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Media &amp; Entertainment - TL Diana Castro/Verizon Communications (VZ)/"/>
    </mc:Choice>
  </mc:AlternateContent>
  <xr:revisionPtr revIDLastSave="5789" documentId="13_ncr:1_{9D173712-668B-40C6-8A6E-FDFAF5129A03}" xr6:coauthVersionLast="47" xr6:coauthVersionMax="47" xr10:uidLastSave="{49322554-02C0-462C-A7C2-038B33AB445D}"/>
  <bookViews>
    <workbookView xWindow="-98" yWindow="-98" windowWidth="19396" windowHeight="11475" firstSheet="1" activeTab="5" xr2:uid="{DDBB804A-18E1-41BA-8D6D-917244262AE1}"/>
  </bookViews>
  <sheets>
    <sheet name="OP" sheetId="1" r:id="rId1"/>
    <sheet name="Segments" sheetId="3" r:id="rId2"/>
    <sheet name="Acuerdo" sheetId="11" state="hidden" r:id="rId3"/>
    <sheet name="Peers" sheetId="10" r:id="rId4"/>
    <sheet name="ESG" sheetId="19" r:id="rId5"/>
    <sheet name="DCF" sheetId="4" r:id="rId6"/>
    <sheet name="Debt" sheetId="23" r:id="rId7"/>
    <sheet name="Assumptions" sheetId="22" r:id="rId8"/>
    <sheet name="Fin. Data" sheetId="16" r:id="rId9"/>
    <sheet name="Fin. Data (Common Size)" sheetId="20" r:id="rId10"/>
    <sheet name="Inputs" sheetId="17" r:id="rId11"/>
    <sheet name="Sector Impact" sheetId="18" state="hidden" r:id="rId12"/>
  </sheets>
  <externalReferences>
    <externalReference r:id="rId13"/>
    <externalReference r:id="rId14"/>
  </externalReferences>
  <definedNames>
    <definedName name="businessresearchinsights">'[1]Segments- LR'!$D$38,'[1]Segments- LR'!$B$38</definedName>
    <definedName name="_xlnm.Print_Area" localSheetId="0">OP!$A$1:$M$81</definedName>
    <definedName name="_xlnm.Print_Area" localSheetId="1">Segments!#REF!</definedName>
    <definedName name="Sectors" localSheetId="7">'[2]Sector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4" l="1"/>
  <c r="I5" i="4"/>
  <c r="H5" i="4"/>
  <c r="H10" i="10" a="1"/>
  <c r="H10" i="10" s="1"/>
  <c r="H34" i="10" s="1"/>
  <c r="G10" i="10" a="1"/>
  <c r="G10" i="10" s="1"/>
  <c r="G33" i="10" s="1"/>
  <c r="F10" i="10" a="1"/>
  <c r="F10" i="10" s="1"/>
  <c r="F35" i="10" s="1"/>
  <c r="E10" i="10" a="1"/>
  <c r="E10" i="10" s="1"/>
  <c r="E35" i="10" s="1"/>
  <c r="D10" i="10" a="1"/>
  <c r="D10" i="10" s="1"/>
  <c r="D35" i="10" s="1"/>
  <c r="M19" i="1"/>
  <c r="C77" i="17"/>
  <c r="D4" i="1" a="1"/>
  <c r="D4" i="1" s="1"/>
  <c r="D15" i="4"/>
  <c r="D12" i="4"/>
  <c r="D8" i="4"/>
  <c r="F33" i="10" l="1"/>
  <c r="G34" i="10"/>
  <c r="D33" i="10"/>
  <c r="E33" i="10"/>
  <c r="F34" i="10"/>
  <c r="G35" i="10"/>
  <c r="H33" i="10"/>
  <c r="D34" i="10"/>
  <c r="E34" i="10"/>
  <c r="H35" i="10"/>
  <c r="F35" i="22" l="1"/>
  <c r="F36" i="22" s="1"/>
  <c r="F18" i="22" s="1"/>
  <c r="G35" i="22"/>
  <c r="G36" i="22" s="1"/>
  <c r="E18" i="22" s="1"/>
  <c r="H35" i="22"/>
  <c r="H36" i="22" s="1"/>
  <c r="D18" i="22" s="1"/>
  <c r="I35" i="22"/>
  <c r="I36" i="22" s="1"/>
  <c r="K35" i="22"/>
  <c r="K36" i="22" s="1"/>
  <c r="L35" i="22"/>
  <c r="L36" i="22" s="1"/>
  <c r="M35" i="22"/>
  <c r="M36" i="22" s="1"/>
  <c r="J106" i="1" l="1"/>
  <c r="I106" i="1"/>
  <c r="L106" i="1"/>
  <c r="M106" i="1"/>
  <c r="H106" i="1"/>
  <c r="G106" i="1"/>
  <c r="F27" i="1"/>
  <c r="F28" i="1"/>
  <c r="M7" i="19" l="1"/>
  <c r="Q7" i="19"/>
  <c r="P7" i="19"/>
  <c r="O7" i="19"/>
  <c r="N7" i="19"/>
  <c r="M8" i="19"/>
  <c r="L9" i="19"/>
  <c r="F15" i="22"/>
  <c r="G15" i="22"/>
  <c r="H15" i="22"/>
  <c r="I7" i="4"/>
  <c r="J7" i="4"/>
  <c r="H7" i="4"/>
  <c r="F14" i="22"/>
  <c r="G14" i="22"/>
  <c r="H14" i="22"/>
  <c r="H21" i="22" l="1"/>
  <c r="M9" i="17"/>
  <c r="L9" i="17"/>
  <c r="L13" i="17" s="1"/>
  <c r="K9" i="17"/>
  <c r="J9" i="17"/>
  <c r="I9" i="17"/>
  <c r="H9" i="17"/>
  <c r="G13" i="17"/>
  <c r="G9" i="17"/>
  <c r="F9" i="17"/>
  <c r="E9" i="17"/>
  <c r="D9" i="17"/>
  <c r="C10" i="17"/>
  <c r="B10" i="17"/>
  <c r="B13" i="17"/>
  <c r="B14" i="17" s="1"/>
  <c r="E28" i="4" l="1"/>
  <c r="F28" i="4"/>
  <c r="M7" i="4"/>
  <c r="N7" i="4"/>
  <c r="O7" i="4"/>
  <c r="P7" i="4"/>
  <c r="Q7" i="4"/>
  <c r="R7" i="4"/>
  <c r="S7" i="4"/>
  <c r="T7" i="4"/>
  <c r="U7" i="4"/>
  <c r="V7" i="4"/>
  <c r="W7" i="4"/>
  <c r="X7" i="4"/>
  <c r="Y7" i="4"/>
  <c r="Z7" i="4"/>
  <c r="AA7" i="4"/>
  <c r="AB7" i="4"/>
  <c r="AC7" i="4"/>
  <c r="AD7" i="4"/>
  <c r="AE7" i="4"/>
  <c r="L7" i="4"/>
  <c r="E55" i="4"/>
  <c r="D17" i="4" l="1"/>
  <c r="E17" i="4"/>
  <c r="F17" i="4"/>
  <c r="E27" i="4"/>
  <c r="D27" i="4"/>
  <c r="F27" i="4"/>
  <c r="M9" i="19" l="1"/>
  <c r="M6" i="19"/>
  <c r="M11" i="19"/>
  <c r="N11" i="19"/>
  <c r="O11" i="19"/>
  <c r="P11" i="19"/>
  <c r="Q11" i="19"/>
  <c r="L8" i="19"/>
  <c r="G27" i="4"/>
  <c r="D21" i="22"/>
  <c r="E21" i="22"/>
  <c r="F21" i="22"/>
  <c r="G21" i="22"/>
  <c r="I48" i="22"/>
  <c r="I47" i="22"/>
  <c r="J21" i="22" l="1"/>
  <c r="H27" i="4"/>
  <c r="I27" i="4" s="1"/>
  <c r="J27" i="4" l="1"/>
  <c r="K27" i="4" l="1"/>
  <c r="L27" i="4" s="1"/>
  <c r="M27" i="4" l="1"/>
  <c r="N27" i="4" l="1"/>
  <c r="O27" i="4" s="1"/>
  <c r="P27" i="4" l="1"/>
  <c r="Q27" i="4" s="1"/>
  <c r="R27" i="4" l="1"/>
  <c r="S27" i="4" l="1"/>
  <c r="T27" i="4" l="1"/>
  <c r="U27" i="4" s="1"/>
  <c r="V27" i="4" l="1"/>
  <c r="W27" i="4" l="1"/>
  <c r="X27" i="4" s="1"/>
  <c r="Y27" i="4" l="1"/>
  <c r="Z27" i="4" s="1"/>
  <c r="AA27" i="4" s="1"/>
  <c r="AB27" i="4" s="1"/>
  <c r="AC27" i="4" l="1"/>
  <c r="AD27" i="4" s="1"/>
  <c r="AE27" i="4" s="1"/>
  <c r="AF27" i="4" l="1"/>
  <c r="L19" i="22" l="1"/>
  <c r="M19" i="22" s="1"/>
  <c r="L20" i="22"/>
  <c r="D59" i="4" s="1"/>
  <c r="L22" i="22"/>
  <c r="D61" i="4" s="1"/>
  <c r="N9" i="19"/>
  <c r="N8" i="19"/>
  <c r="N6" i="19"/>
  <c r="L5" i="4"/>
  <c r="M5" i="4"/>
  <c r="N5" i="4"/>
  <c r="O5" i="4"/>
  <c r="P5" i="4"/>
  <c r="Q5" i="4"/>
  <c r="R5" i="4"/>
  <c r="S5" i="4"/>
  <c r="T5" i="4"/>
  <c r="U5" i="4"/>
  <c r="V5" i="4"/>
  <c r="W5" i="4"/>
  <c r="X5" i="4"/>
  <c r="Y5" i="4"/>
  <c r="Z5" i="4"/>
  <c r="AA5" i="4"/>
  <c r="AB5" i="4"/>
  <c r="AC5" i="4"/>
  <c r="AD5" i="4"/>
  <c r="AE5" i="4"/>
  <c r="AF5" i="4"/>
  <c r="K5" i="4"/>
  <c r="F16" i="22"/>
  <c r="G16" i="22"/>
  <c r="H16" i="22"/>
  <c r="M22" i="22" l="1"/>
  <c r="E61" i="4" s="1"/>
  <c r="M20" i="22"/>
  <c r="E59" i="4" s="1"/>
  <c r="G6" i="4"/>
  <c r="G25" i="4"/>
  <c r="E5" i="4"/>
  <c r="B36" i="17"/>
  <c r="B37" i="17" s="1"/>
  <c r="B32" i="17"/>
  <c r="B31" i="17"/>
  <c r="B22" i="17"/>
  <c r="B23" i="17"/>
  <c r="C49" i="10"/>
  <c r="H6" i="4" l="1"/>
  <c r="H23" i="4" s="1"/>
  <c r="B77" i="17"/>
  <c r="F67" i="17"/>
  <c r="G67" i="17"/>
  <c r="H67" i="17"/>
  <c r="I67" i="17"/>
  <c r="J67" i="17"/>
  <c r="K67" i="17"/>
  <c r="L67" i="17"/>
  <c r="M67" i="17"/>
  <c r="E67" i="17"/>
  <c r="G32" i="17"/>
  <c r="E32" i="17"/>
  <c r="F32" i="17"/>
  <c r="H32" i="17"/>
  <c r="I32" i="17"/>
  <c r="J32" i="17"/>
  <c r="K32" i="17"/>
  <c r="L32" i="17"/>
  <c r="M32" i="17"/>
  <c r="D32" i="17"/>
  <c r="C32" i="17"/>
  <c r="B56" i="17"/>
  <c r="M47" i="17"/>
  <c r="L47" i="17"/>
  <c r="K47" i="17"/>
  <c r="J47" i="17"/>
  <c r="I47" i="17"/>
  <c r="H47" i="17"/>
  <c r="G47" i="17"/>
  <c r="F47" i="17"/>
  <c r="E47" i="17"/>
  <c r="D47" i="17"/>
  <c r="B47" i="17"/>
  <c r="D11" i="3"/>
  <c r="K11" i="3" s="1"/>
  <c r="I6" i="4" l="1"/>
  <c r="J6" i="4" s="1"/>
  <c r="K6" i="4" s="1"/>
  <c r="D11" i="10"/>
  <c r="E11" i="10"/>
  <c r="F11" i="10"/>
  <c r="G11" i="10"/>
  <c r="H11" i="10"/>
  <c r="D13" i="10"/>
  <c r="E13" i="10"/>
  <c r="F13" i="10"/>
  <c r="G13" i="10"/>
  <c r="H13" i="10"/>
  <c r="D14" i="10"/>
  <c r="E14" i="10"/>
  <c r="F14" i="10"/>
  <c r="G14" i="10"/>
  <c r="H14" i="10"/>
  <c r="D15" i="10"/>
  <c r="E15" i="10"/>
  <c r="F15" i="10"/>
  <c r="G15" i="10"/>
  <c r="H15" i="10"/>
  <c r="D16" i="10"/>
  <c r="E16" i="10"/>
  <c r="F16" i="10"/>
  <c r="G16" i="10"/>
  <c r="H16" i="10"/>
  <c r="G45" i="10" a="1"/>
  <c r="G45" i="10" s="1"/>
  <c r="H45" i="10" a="1"/>
  <c r="H45" i="10" s="1"/>
  <c r="H47" i="10" s="1"/>
  <c r="C45" i="10" a="1"/>
  <c r="C45" i="10" s="1"/>
  <c r="E45" i="10" a="1"/>
  <c r="E45" i="10" s="1"/>
  <c r="D45" i="10" a="1"/>
  <c r="D45" i="10" s="1"/>
  <c r="F45" i="10" a="1"/>
  <c r="F45" i="10" s="1"/>
  <c r="D31" i="10"/>
  <c r="D30" i="10"/>
  <c r="D29" i="10"/>
  <c r="D28" i="10"/>
  <c r="D27" i="10"/>
  <c r="D25" i="10"/>
  <c r="D24" i="10"/>
  <c r="D21" i="10"/>
  <c r="D20" i="10"/>
  <c r="D18" i="10"/>
  <c r="D17" i="10"/>
  <c r="F51" i="10"/>
  <c r="E51" i="10"/>
  <c r="D51" i="10"/>
  <c r="H36" i="10" l="1"/>
  <c r="H37" i="10"/>
  <c r="G36" i="10"/>
  <c r="G37" i="10"/>
  <c r="F36" i="10"/>
  <c r="F37" i="10"/>
  <c r="E36" i="10"/>
  <c r="E37" i="10"/>
  <c r="D36" i="10"/>
  <c r="D37" i="10"/>
  <c r="E2" i="1"/>
  <c r="F7" i="22"/>
  <c r="G7" i="22"/>
  <c r="H7" i="22"/>
  <c r="H6" i="22"/>
  <c r="G6" i="22"/>
  <c r="F6" i="22"/>
  <c r="E7" i="22"/>
  <c r="E6" i="22"/>
  <c r="D7" i="22"/>
  <c r="D6" i="22"/>
  <c r="J6" i="22" l="1"/>
  <c r="J7" i="22"/>
  <c r="M7" i="22" s="1"/>
  <c r="L21" i="22"/>
  <c r="D60" i="4" s="1"/>
  <c r="J16" i="22"/>
  <c r="L16" i="22" s="1"/>
  <c r="J15" i="22"/>
  <c r="L15" i="22" s="1"/>
  <c r="E5" i="22"/>
  <c r="F5" i="22" s="1"/>
  <c r="G5" i="22" s="1"/>
  <c r="H5" i="22" s="1"/>
  <c r="J49" i="10"/>
  <c r="G21" i="4" l="1"/>
  <c r="M21" i="22"/>
  <c r="E60" i="4" s="1"/>
  <c r="K21" i="4" s="1"/>
  <c r="M15" i="22"/>
  <c r="D55" i="4"/>
  <c r="M16" i="22"/>
  <c r="F50" i="4"/>
  <c r="O12" i="3"/>
  <c r="N12" i="3"/>
  <c r="M12" i="3"/>
  <c r="L12" i="3"/>
  <c r="K12" i="3"/>
  <c r="Q4" i="19"/>
  <c r="P4" i="19"/>
  <c r="O4" i="19"/>
  <c r="N4" i="19"/>
  <c r="M4" i="19"/>
  <c r="I44" i="10" l="1"/>
  <c r="J44" i="10" s="1"/>
  <c r="I46" i="10"/>
  <c r="J46" i="10" s="1"/>
  <c r="H22" i="10"/>
  <c r="G22" i="10"/>
  <c r="F22" i="10"/>
  <c r="E22" i="10"/>
  <c r="D22" i="10"/>
  <c r="F52" i="1"/>
  <c r="D77" i="17"/>
  <c r="F51" i="1" s="1"/>
  <c r="E77" i="17"/>
  <c r="F50" i="1" s="1"/>
  <c r="F77" i="17"/>
  <c r="F49" i="1" s="1"/>
  <c r="G77" i="17"/>
  <c r="F48" i="1" s="1"/>
  <c r="H77" i="17"/>
  <c r="F47" i="1" s="1"/>
  <c r="I77" i="17"/>
  <c r="F46" i="1" s="1"/>
  <c r="J77" i="17"/>
  <c r="F45" i="1" s="1"/>
  <c r="K77" i="17"/>
  <c r="L77" i="17"/>
  <c r="M77" i="17"/>
  <c r="F53" i="1"/>
  <c r="C19" i="1" l="1" a="1"/>
  <c r="C19" i="1" s="1"/>
  <c r="C20" i="1" a="1"/>
  <c r="C20" i="1" s="1"/>
  <c r="L4" i="19" l="1"/>
  <c r="E28" i="10"/>
  <c r="P9" i="19"/>
  <c r="P8" i="19"/>
  <c r="P6" i="19"/>
  <c r="C23" i="17"/>
  <c r="D23" i="17"/>
  <c r="E23" i="17"/>
  <c r="F23" i="17"/>
  <c r="G23" i="17"/>
  <c r="H23" i="17"/>
  <c r="I23" i="17"/>
  <c r="J23" i="17"/>
  <c r="K23" i="17"/>
  <c r="L23" i="17"/>
  <c r="M23" i="17"/>
  <c r="D21" i="4"/>
  <c r="D19" i="4" s="1"/>
  <c r="E21" i="4"/>
  <c r="E19" i="4" s="1"/>
  <c r="F21" i="4"/>
  <c r="F19" i="4" s="1"/>
  <c r="D24" i="4"/>
  <c r="C6" i="10" l="1"/>
  <c r="C5" i="10"/>
  <c r="C4" i="10"/>
  <c r="C3" i="10"/>
  <c r="C2" i="10"/>
  <c r="K75" i="17"/>
  <c r="L75" i="17"/>
  <c r="M75" i="17"/>
  <c r="J75" i="17"/>
  <c r="B75" i="17"/>
  <c r="F31" i="4" s="1"/>
  <c r="B67" i="17"/>
  <c r="F25" i="4" s="1"/>
  <c r="M63" i="17"/>
  <c r="E63" i="17"/>
  <c r="F63" i="17"/>
  <c r="G63" i="17"/>
  <c r="H63" i="17"/>
  <c r="I63" i="17"/>
  <c r="J63" i="17"/>
  <c r="F26" i="1"/>
  <c r="F20" i="1"/>
  <c r="D28" i="4"/>
  <c r="D72" i="4" l="1"/>
  <c r="G10" i="4" l="1"/>
  <c r="G39" i="4" s="1"/>
  <c r="E75" i="17"/>
  <c r="F75" i="17"/>
  <c r="G75" i="17"/>
  <c r="H75" i="17"/>
  <c r="I75" i="17"/>
  <c r="E36" i="17"/>
  <c r="F46" i="17"/>
  <c r="K50" i="17"/>
  <c r="D75" i="17"/>
  <c r="D31" i="4" s="1"/>
  <c r="C75" i="17"/>
  <c r="E31" i="4" s="1"/>
  <c r="B63" i="17"/>
  <c r="D63" i="17"/>
  <c r="I22" i="17"/>
  <c r="K22" i="17"/>
  <c r="C8" i="19"/>
  <c r="O6" i="19"/>
  <c r="Q6" i="19"/>
  <c r="O8" i="19"/>
  <c r="Q8" i="19"/>
  <c r="O9" i="19"/>
  <c r="Q9" i="19"/>
  <c r="L11" i="3"/>
  <c r="M11" i="3"/>
  <c r="N11" i="3"/>
  <c r="O11" i="3"/>
  <c r="L13" i="3"/>
  <c r="M13" i="3"/>
  <c r="N13" i="3"/>
  <c r="O13" i="3"/>
  <c r="K13" i="3"/>
  <c r="O5" i="3"/>
  <c r="N5" i="3"/>
  <c r="M5" i="3"/>
  <c r="L5" i="3"/>
  <c r="K5" i="3"/>
  <c r="C63" i="17"/>
  <c r="D67" i="17"/>
  <c r="D25" i="4" s="1"/>
  <c r="G31" i="4" l="1"/>
  <c r="H31" i="4" s="1"/>
  <c r="I31" i="4" s="1"/>
  <c r="J31" i="4" s="1"/>
  <c r="G38" i="4"/>
  <c r="C6" i="19"/>
  <c r="D14" i="3"/>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D47" i="10"/>
  <c r="E47" i="10"/>
  <c r="F47" i="10"/>
  <c r="G47" i="10"/>
  <c r="G28" i="10"/>
  <c r="E17" i="10"/>
  <c r="F17" i="10"/>
  <c r="G17" i="10"/>
  <c r="H17" i="10"/>
  <c r="E18" i="10"/>
  <c r="F18" i="10"/>
  <c r="G18" i="10"/>
  <c r="H18" i="10"/>
  <c r="E20" i="10"/>
  <c r="F20" i="10"/>
  <c r="G20" i="10"/>
  <c r="H20" i="10"/>
  <c r="E21" i="10"/>
  <c r="F21" i="10"/>
  <c r="G21" i="10"/>
  <c r="H21" i="10"/>
  <c r="E24" i="10"/>
  <c r="F24" i="10"/>
  <c r="G24" i="10"/>
  <c r="H24" i="10"/>
  <c r="E25" i="10"/>
  <c r="F25" i="10"/>
  <c r="G25" i="10"/>
  <c r="H25" i="10"/>
  <c r="E27" i="10"/>
  <c r="H27" i="10"/>
  <c r="F28" i="10"/>
  <c r="H28" i="10"/>
  <c r="E29" i="10"/>
  <c r="F29" i="10"/>
  <c r="G29" i="10"/>
  <c r="H29" i="10"/>
  <c r="E30" i="10"/>
  <c r="F30" i="10"/>
  <c r="G30" i="10"/>
  <c r="H30" i="10"/>
  <c r="E31" i="10"/>
  <c r="F31" i="10"/>
  <c r="G31" i="10"/>
  <c r="H31" i="10"/>
  <c r="C51" i="10"/>
  <c r="I9" i="10"/>
  <c r="I38" i="10"/>
  <c r="C70" i="10"/>
  <c r="C69" i="10"/>
  <c r="C66" i="10"/>
  <c r="B8" i="3"/>
  <c r="E14" i="3"/>
  <c r="F14" i="3"/>
  <c r="G14" i="3"/>
  <c r="H14" i="3"/>
  <c r="I14" i="3"/>
  <c r="E6" i="3"/>
  <c r="F6" i="3"/>
  <c r="G6" i="3"/>
  <c r="H6" i="3"/>
  <c r="I6" i="3"/>
  <c r="K10" i="3"/>
  <c r="L10" i="3" s="1"/>
  <c r="M10" i="3" s="1"/>
  <c r="N10" i="3" s="1"/>
  <c r="O10" i="3" s="1"/>
  <c r="P10" i="3" s="1"/>
  <c r="K4" i="3"/>
  <c r="L4" i="3" s="1"/>
  <c r="M4" i="3" s="1"/>
  <c r="N4" i="3" s="1"/>
  <c r="O4" i="3" s="1"/>
  <c r="P4" i="3" s="1"/>
  <c r="D10" i="3"/>
  <c r="E10" i="3" s="1"/>
  <c r="F10" i="3" s="1"/>
  <c r="G10" i="3" s="1"/>
  <c r="H10" i="3" s="1"/>
  <c r="I10"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C61" i="10" s="1"/>
  <c r="M73" i="20"/>
  <c r="L73" i="20"/>
  <c r="K73" i="20"/>
  <c r="J73" i="20"/>
  <c r="I73" i="20"/>
  <c r="H73" i="20"/>
  <c r="G73" i="20"/>
  <c r="F73" i="20"/>
  <c r="E73" i="20"/>
  <c r="D73" i="20"/>
  <c r="C73" i="20"/>
  <c r="B73" i="20"/>
  <c r="M72" i="20"/>
  <c r="L72" i="20"/>
  <c r="K72" i="20"/>
  <c r="J72" i="20"/>
  <c r="I72" i="20"/>
  <c r="H72" i="20"/>
  <c r="G72" i="20"/>
  <c r="F72" i="20"/>
  <c r="E72" i="20"/>
  <c r="D72" i="20"/>
  <c r="C72" i="20"/>
  <c r="B72" i="20"/>
  <c r="M71" i="20"/>
  <c r="L71" i="20"/>
  <c r="K71" i="20"/>
  <c r="J71" i="20"/>
  <c r="I71" i="20"/>
  <c r="H71" i="20"/>
  <c r="G71" i="20"/>
  <c r="F71" i="20"/>
  <c r="E71" i="20"/>
  <c r="D71" i="20"/>
  <c r="C71" i="20"/>
  <c r="M70" i="20"/>
  <c r="L70" i="20"/>
  <c r="K70" i="20"/>
  <c r="J70" i="20"/>
  <c r="I70" i="20"/>
  <c r="H70" i="20"/>
  <c r="G70" i="20"/>
  <c r="F70" i="20"/>
  <c r="E70" i="20"/>
  <c r="D70" i="20"/>
  <c r="C70" i="20"/>
  <c r="M69" i="20"/>
  <c r="L69" i="20"/>
  <c r="K69" i="20"/>
  <c r="J69" i="20"/>
  <c r="I69" i="20"/>
  <c r="H69" i="20"/>
  <c r="G69" i="20"/>
  <c r="F69" i="20"/>
  <c r="E69" i="20"/>
  <c r="D69" i="20"/>
  <c r="C69" i="20"/>
  <c r="M68" i="20"/>
  <c r="L68" i="20"/>
  <c r="K68" i="20"/>
  <c r="J68" i="20"/>
  <c r="I68" i="20"/>
  <c r="H68" i="20"/>
  <c r="G68" i="20"/>
  <c r="F68" i="20"/>
  <c r="E68" i="20"/>
  <c r="D68" i="20"/>
  <c r="C68" i="20"/>
  <c r="B68" i="20"/>
  <c r="M67" i="20"/>
  <c r="L67" i="20"/>
  <c r="K67" i="20"/>
  <c r="J67" i="20"/>
  <c r="I67" i="20"/>
  <c r="H67" i="20"/>
  <c r="G67" i="20"/>
  <c r="F67" i="20"/>
  <c r="E67" i="20"/>
  <c r="D67" i="20"/>
  <c r="C67" i="20"/>
  <c r="B67" i="20"/>
  <c r="M61" i="20"/>
  <c r="L61" i="20"/>
  <c r="K61" i="20"/>
  <c r="J61" i="20"/>
  <c r="I61" i="20"/>
  <c r="H61" i="20"/>
  <c r="G61" i="20"/>
  <c r="F61" i="20"/>
  <c r="E61" i="20"/>
  <c r="D61" i="20"/>
  <c r="C61" i="20"/>
  <c r="B61" i="20"/>
  <c r="M54" i="20"/>
  <c r="L54" i="20"/>
  <c r="K54" i="20"/>
  <c r="J54" i="20"/>
  <c r="I54" i="20"/>
  <c r="H54" i="20"/>
  <c r="G54" i="20"/>
  <c r="F54" i="20"/>
  <c r="E54" i="20"/>
  <c r="D54" i="20"/>
  <c r="C54" i="20"/>
  <c r="B54" i="20"/>
  <c r="M53" i="20"/>
  <c r="L53" i="20"/>
  <c r="K53" i="20"/>
  <c r="J53" i="20"/>
  <c r="I53" i="20"/>
  <c r="H53" i="20"/>
  <c r="G53" i="20"/>
  <c r="F53" i="20"/>
  <c r="E53" i="20"/>
  <c r="D53" i="20"/>
  <c r="C53" i="20"/>
  <c r="B53" i="20"/>
  <c r="M52" i="20"/>
  <c r="L52" i="20"/>
  <c r="J52" i="20"/>
  <c r="I52" i="20"/>
  <c r="H52" i="20"/>
  <c r="G52" i="20"/>
  <c r="F52" i="20"/>
  <c r="E52" i="20"/>
  <c r="D52" i="20"/>
  <c r="B52" i="20"/>
  <c r="M50" i="20"/>
  <c r="L50" i="20"/>
  <c r="K50" i="20"/>
  <c r="J50" i="20"/>
  <c r="I50" i="20"/>
  <c r="H50" i="20"/>
  <c r="G50" i="20"/>
  <c r="F50" i="20"/>
  <c r="E50" i="20"/>
  <c r="D50" i="20"/>
  <c r="C50" i="20"/>
  <c r="B50" i="20"/>
  <c r="M49" i="20"/>
  <c r="L49" i="20"/>
  <c r="K49" i="20"/>
  <c r="J49" i="20"/>
  <c r="I49" i="20"/>
  <c r="H49" i="20"/>
  <c r="G49" i="20"/>
  <c r="F49" i="20"/>
  <c r="E49" i="20"/>
  <c r="D49" i="20"/>
  <c r="C49" i="20"/>
  <c r="B49" i="20"/>
  <c r="M48" i="20"/>
  <c r="L48" i="20"/>
  <c r="K48" i="20"/>
  <c r="J48" i="20"/>
  <c r="I48" i="20"/>
  <c r="H48" i="20"/>
  <c r="G48" i="20"/>
  <c r="F48" i="20"/>
  <c r="E48" i="20"/>
  <c r="D48" i="20"/>
  <c r="C48" i="20"/>
  <c r="B48" i="20"/>
  <c r="M42" i="20"/>
  <c r="L42" i="20"/>
  <c r="K42" i="20"/>
  <c r="J42" i="20"/>
  <c r="I42" i="20"/>
  <c r="H42" i="20"/>
  <c r="G42" i="20"/>
  <c r="F42" i="20"/>
  <c r="E42" i="20"/>
  <c r="D42" i="20"/>
  <c r="C42" i="20"/>
  <c r="B42" i="20"/>
  <c r="M41" i="20"/>
  <c r="L41" i="20"/>
  <c r="K41" i="20"/>
  <c r="J41" i="20"/>
  <c r="I41" i="20"/>
  <c r="H41" i="20"/>
  <c r="G41" i="20"/>
  <c r="F41" i="20"/>
  <c r="E41" i="20"/>
  <c r="D41" i="20"/>
  <c r="C41" i="20"/>
  <c r="B41" i="20"/>
  <c r="M40" i="20"/>
  <c r="L40" i="20"/>
  <c r="K40" i="20"/>
  <c r="J40" i="20"/>
  <c r="I40" i="20"/>
  <c r="H40" i="20"/>
  <c r="G40" i="20"/>
  <c r="F40" i="20"/>
  <c r="E40" i="20"/>
  <c r="D40" i="20"/>
  <c r="C40" i="20"/>
  <c r="B40" i="20"/>
  <c r="M39" i="20"/>
  <c r="M26" i="20" s="1"/>
  <c r="L39" i="20"/>
  <c r="K39" i="20"/>
  <c r="J39" i="20"/>
  <c r="I39" i="20"/>
  <c r="H39" i="20"/>
  <c r="G39" i="20"/>
  <c r="F39" i="20"/>
  <c r="E39" i="20"/>
  <c r="D39" i="20"/>
  <c r="C39" i="20"/>
  <c r="B39" i="20"/>
  <c r="M33" i="20"/>
  <c r="L33" i="20"/>
  <c r="K33" i="20"/>
  <c r="J33" i="20"/>
  <c r="I33" i="20"/>
  <c r="H33" i="20"/>
  <c r="G33" i="20"/>
  <c r="F33" i="20"/>
  <c r="E33" i="20"/>
  <c r="D33" i="20"/>
  <c r="C33" i="20"/>
  <c r="B33" i="20"/>
  <c r="M32" i="20"/>
  <c r="L32" i="20"/>
  <c r="K32" i="20"/>
  <c r="J32" i="20"/>
  <c r="I32" i="20"/>
  <c r="H32" i="20"/>
  <c r="G32" i="20"/>
  <c r="F32" i="20"/>
  <c r="E32" i="20"/>
  <c r="D32" i="20"/>
  <c r="C32" i="20"/>
  <c r="B32" i="20"/>
  <c r="M28" i="20"/>
  <c r="L28" i="20"/>
  <c r="K28" i="20"/>
  <c r="J28" i="20"/>
  <c r="I28" i="20"/>
  <c r="H28" i="20"/>
  <c r="G28" i="20"/>
  <c r="F28" i="20"/>
  <c r="E28" i="20"/>
  <c r="D28" i="20"/>
  <c r="C28" i="20"/>
  <c r="B28" i="20"/>
  <c r="M27" i="20"/>
  <c r="L27" i="20"/>
  <c r="K27" i="20"/>
  <c r="J27" i="20"/>
  <c r="I27" i="20"/>
  <c r="H27" i="20"/>
  <c r="G27" i="20"/>
  <c r="F27" i="20"/>
  <c r="E27" i="20"/>
  <c r="D27" i="20"/>
  <c r="C27" i="20"/>
  <c r="B27" i="20"/>
  <c r="M23" i="20"/>
  <c r="L23" i="20"/>
  <c r="K23" i="20"/>
  <c r="J23" i="20"/>
  <c r="I23" i="20"/>
  <c r="H23" i="20"/>
  <c r="G23" i="20"/>
  <c r="F23" i="20"/>
  <c r="E23" i="20"/>
  <c r="D23" i="20"/>
  <c r="C23" i="20"/>
  <c r="B23" i="20"/>
  <c r="M21" i="20"/>
  <c r="L21" i="20"/>
  <c r="K21" i="20"/>
  <c r="J21" i="20"/>
  <c r="I21" i="20"/>
  <c r="H21" i="20"/>
  <c r="G21" i="20"/>
  <c r="F21" i="20"/>
  <c r="E21" i="20"/>
  <c r="D21" i="20"/>
  <c r="C21" i="20"/>
  <c r="B21" i="20"/>
  <c r="M15" i="20"/>
  <c r="L15" i="20"/>
  <c r="K15" i="20"/>
  <c r="J15" i="20"/>
  <c r="I15" i="20"/>
  <c r="H15" i="20"/>
  <c r="G15" i="20"/>
  <c r="F15" i="20"/>
  <c r="E15" i="20"/>
  <c r="D15" i="20"/>
  <c r="C15" i="20"/>
  <c r="B15" i="20"/>
  <c r="M14" i="20"/>
  <c r="L14" i="20"/>
  <c r="K14" i="20"/>
  <c r="J14" i="20"/>
  <c r="I14" i="20"/>
  <c r="H14" i="20"/>
  <c r="G14" i="20"/>
  <c r="F14" i="20"/>
  <c r="E14" i="20"/>
  <c r="D14" i="20"/>
  <c r="C14" i="20"/>
  <c r="B14" i="20"/>
  <c r="M11" i="20"/>
  <c r="M16" i="20" s="1"/>
  <c r="L11" i="20"/>
  <c r="K11" i="20"/>
  <c r="J11" i="20"/>
  <c r="I11" i="20"/>
  <c r="H11" i="20"/>
  <c r="G11" i="20"/>
  <c r="F11" i="20"/>
  <c r="E11" i="20"/>
  <c r="D11" i="20"/>
  <c r="C11" i="20"/>
  <c r="B11" i="20"/>
  <c r="M7" i="20"/>
  <c r="L7" i="20"/>
  <c r="K7" i="20"/>
  <c r="J7" i="20"/>
  <c r="I7" i="20"/>
  <c r="H7" i="20"/>
  <c r="G7" i="20"/>
  <c r="F7" i="20"/>
  <c r="E7" i="20"/>
  <c r="D7" i="20"/>
  <c r="C7" i="20"/>
  <c r="B7" i="20"/>
  <c r="M5" i="20"/>
  <c r="L5" i="20"/>
  <c r="K5" i="20"/>
  <c r="J5" i="20"/>
  <c r="I5" i="20"/>
  <c r="H5" i="20"/>
  <c r="G5" i="20"/>
  <c r="F5" i="20"/>
  <c r="E5" i="20"/>
  <c r="D5" i="20"/>
  <c r="C5" i="20"/>
  <c r="B5" i="20"/>
  <c r="B4" i="20"/>
  <c r="C4" i="20" s="1"/>
  <c r="D4" i="20" s="1"/>
  <c r="A2" i="20"/>
  <c r="A1" i="20"/>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C68" i="10" s="1"/>
  <c r="M42" i="16"/>
  <c r="L42" i="16"/>
  <c r="K42" i="16"/>
  <c r="J42" i="16"/>
  <c r="I42" i="16"/>
  <c r="H42" i="16"/>
  <c r="G42" i="16"/>
  <c r="F42" i="16"/>
  <c r="E42" i="16"/>
  <c r="D42" i="16"/>
  <c r="C42" i="16"/>
  <c r="B42" i="16"/>
  <c r="M41" i="16"/>
  <c r="L41" i="16"/>
  <c r="K41" i="16"/>
  <c r="J41" i="16"/>
  <c r="I41" i="16"/>
  <c r="H41" i="16"/>
  <c r="G41" i="16"/>
  <c r="F41" i="16"/>
  <c r="E41" i="16"/>
  <c r="D41" i="16"/>
  <c r="C41" i="16"/>
  <c r="B41" i="16"/>
  <c r="M40" i="16"/>
  <c r="L40" i="16"/>
  <c r="K40" i="16"/>
  <c r="J40" i="16"/>
  <c r="I40" i="16"/>
  <c r="H40" i="16"/>
  <c r="G40" i="16"/>
  <c r="F40" i="16"/>
  <c r="E40" i="16"/>
  <c r="D40" i="16"/>
  <c r="C40" i="16"/>
  <c r="B40" i="16"/>
  <c r="M39" i="16"/>
  <c r="M26" i="16" s="1"/>
  <c r="L39" i="16"/>
  <c r="K39" i="16"/>
  <c r="J39" i="16"/>
  <c r="I39" i="16"/>
  <c r="H39" i="16"/>
  <c r="G39" i="16"/>
  <c r="F39" i="16"/>
  <c r="E39" i="16"/>
  <c r="D39" i="16"/>
  <c r="D43" i="4" s="1"/>
  <c r="C39" i="16"/>
  <c r="B39" i="16"/>
  <c r="C63" i="10" s="1"/>
  <c r="M33" i="16"/>
  <c r="L33" i="16"/>
  <c r="K33" i="16"/>
  <c r="J33" i="16"/>
  <c r="I33" i="16"/>
  <c r="H33" i="16"/>
  <c r="G33" i="16"/>
  <c r="F33" i="16"/>
  <c r="E33" i="16"/>
  <c r="D33" i="16"/>
  <c r="C33" i="16"/>
  <c r="B33" i="16"/>
  <c r="M32" i="16"/>
  <c r="L32" i="16"/>
  <c r="K32" i="16"/>
  <c r="J32" i="16"/>
  <c r="I32" i="16"/>
  <c r="H32" i="16"/>
  <c r="G32" i="16"/>
  <c r="F32" i="16"/>
  <c r="E32" i="16"/>
  <c r="D32" i="16"/>
  <c r="C32" i="16"/>
  <c r="C34" i="16" s="1"/>
  <c r="B32" i="16"/>
  <c r="M28" i="16"/>
  <c r="L28" i="16"/>
  <c r="K28" i="16"/>
  <c r="J28" i="16"/>
  <c r="I28" i="16"/>
  <c r="H28" i="16"/>
  <c r="G28" i="16"/>
  <c r="F28" i="16"/>
  <c r="E28" i="16"/>
  <c r="D28" i="16"/>
  <c r="C28" i="16"/>
  <c r="B28" i="16"/>
  <c r="M27" i="16"/>
  <c r="L27" i="16"/>
  <c r="K27" i="16"/>
  <c r="J27" i="16"/>
  <c r="I27" i="16"/>
  <c r="H27" i="16"/>
  <c r="G27" i="16"/>
  <c r="F27" i="16"/>
  <c r="E27" i="16"/>
  <c r="D27" i="16"/>
  <c r="C27" i="16"/>
  <c r="B27" i="16"/>
  <c r="M23" i="16"/>
  <c r="L23" i="16"/>
  <c r="K23" i="16"/>
  <c r="J23" i="16"/>
  <c r="I23" i="16"/>
  <c r="H23" i="16"/>
  <c r="G23" i="16"/>
  <c r="F23" i="16"/>
  <c r="E23" i="16"/>
  <c r="D23" i="16"/>
  <c r="C23" i="16"/>
  <c r="M21" i="16"/>
  <c r="L21" i="16"/>
  <c r="K21" i="16"/>
  <c r="J21" i="16"/>
  <c r="I21" i="16"/>
  <c r="H21" i="16"/>
  <c r="G21" i="16"/>
  <c r="F21" i="16"/>
  <c r="E21" i="16"/>
  <c r="D21" i="16"/>
  <c r="D16" i="4" s="1"/>
  <c r="C21" i="16"/>
  <c r="E16" i="4" s="1"/>
  <c r="B21" i="16"/>
  <c r="F16" i="4" s="1"/>
  <c r="M17" i="16"/>
  <c r="M17" i="20" s="1"/>
  <c r="L17" i="16"/>
  <c r="L17" i="20" s="1"/>
  <c r="K17" i="16"/>
  <c r="K17" i="20" s="1"/>
  <c r="J17" i="16"/>
  <c r="J17" i="20" s="1"/>
  <c r="I17" i="16"/>
  <c r="I17" i="20" s="1"/>
  <c r="H17" i="16"/>
  <c r="H17" i="20" s="1"/>
  <c r="G17" i="16"/>
  <c r="G17" i="20" s="1"/>
  <c r="F17" i="16"/>
  <c r="F17" i="20" s="1"/>
  <c r="E17" i="16"/>
  <c r="E17" i="20" s="1"/>
  <c r="D17" i="16"/>
  <c r="C17" i="16"/>
  <c r="C17" i="20" s="1"/>
  <c r="B17" i="16"/>
  <c r="B17" i="20" s="1"/>
  <c r="M15" i="16"/>
  <c r="L15" i="16"/>
  <c r="K15" i="16"/>
  <c r="J15" i="16"/>
  <c r="I15" i="16"/>
  <c r="H15" i="16"/>
  <c r="G15" i="16"/>
  <c r="F15" i="16"/>
  <c r="E15" i="16"/>
  <c r="D15" i="16"/>
  <c r="D14" i="4" s="1"/>
  <c r="C15" i="16"/>
  <c r="E14" i="4" s="1"/>
  <c r="B15" i="16"/>
  <c r="F14" i="4" s="1"/>
  <c r="M14" i="16"/>
  <c r="L14" i="16"/>
  <c r="K14" i="16"/>
  <c r="J14" i="16"/>
  <c r="I14" i="16"/>
  <c r="H14" i="16"/>
  <c r="G14" i="16"/>
  <c r="F14" i="16"/>
  <c r="E14" i="16"/>
  <c r="D14" i="16"/>
  <c r="D13" i="4" s="1"/>
  <c r="C14" i="16"/>
  <c r="E13" i="4" s="1"/>
  <c r="B14" i="16"/>
  <c r="C11" i="16"/>
  <c r="D11" i="16"/>
  <c r="E11" i="16"/>
  <c r="F11" i="16"/>
  <c r="G11" i="16"/>
  <c r="H11" i="16"/>
  <c r="I11" i="16"/>
  <c r="J11" i="16"/>
  <c r="K11" i="16"/>
  <c r="L11" i="16"/>
  <c r="M11" i="16"/>
  <c r="B11" i="16"/>
  <c r="C58" i="10" s="1"/>
  <c r="C7" i="16"/>
  <c r="D7" i="16"/>
  <c r="E7" i="16"/>
  <c r="F7" i="16"/>
  <c r="G7" i="16"/>
  <c r="H7" i="16"/>
  <c r="I7" i="16"/>
  <c r="J7" i="16"/>
  <c r="K7" i="16"/>
  <c r="L7" i="16"/>
  <c r="M7" i="16"/>
  <c r="B7" i="16"/>
  <c r="M5" i="16"/>
  <c r="L5" i="16"/>
  <c r="K5" i="16"/>
  <c r="J5" i="16"/>
  <c r="I5" i="16"/>
  <c r="H5" i="16"/>
  <c r="G5" i="16"/>
  <c r="F5" i="16"/>
  <c r="E5" i="16"/>
  <c r="D5" i="16"/>
  <c r="C5" i="16"/>
  <c r="B5" i="16"/>
  <c r="M13" i="17"/>
  <c r="K13" i="17"/>
  <c r="J13" i="17"/>
  <c r="I13" i="17"/>
  <c r="H13" i="17"/>
  <c r="F13" i="17"/>
  <c r="E13" i="17"/>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C36" i="17"/>
  <c r="C31" i="17"/>
  <c r="D31" i="17"/>
  <c r="E31" i="17"/>
  <c r="F31" i="17"/>
  <c r="G31" i="17"/>
  <c r="H31" i="17"/>
  <c r="I31" i="17"/>
  <c r="J31" i="17"/>
  <c r="K31" i="17"/>
  <c r="L31" i="17"/>
  <c r="M31" i="17"/>
  <c r="C44" i="16"/>
  <c r="B44" i="20"/>
  <c r="B56" i="16"/>
  <c r="D50" i="17"/>
  <c r="D55" i="16" s="1"/>
  <c r="E50" i="17"/>
  <c r="E55" i="16" s="1"/>
  <c r="F50" i="17"/>
  <c r="F55" i="16" s="1"/>
  <c r="G50" i="17"/>
  <c r="G55" i="20" s="1"/>
  <c r="H50" i="17"/>
  <c r="H55" i="20" s="1"/>
  <c r="I50" i="17"/>
  <c r="I55" i="20" s="1"/>
  <c r="J50" i="17"/>
  <c r="J55" i="20" s="1"/>
  <c r="L50" i="17"/>
  <c r="L55" i="20" s="1"/>
  <c r="M50" i="17"/>
  <c r="M55" i="16" s="1"/>
  <c r="B50" i="17"/>
  <c r="B55" i="16" s="1"/>
  <c r="C46" i="17"/>
  <c r="C51" i="16" s="1"/>
  <c r="D46" i="17"/>
  <c r="D51" i="16" s="1"/>
  <c r="E46" i="17"/>
  <c r="F51" i="20"/>
  <c r="G46" i="17"/>
  <c r="G51" i="20" s="1"/>
  <c r="H46" i="17"/>
  <c r="H51" i="20" s="1"/>
  <c r="I46" i="17"/>
  <c r="J46" i="17"/>
  <c r="J51" i="16" s="1"/>
  <c r="K46" i="17"/>
  <c r="K51" i="20" s="1"/>
  <c r="L46" i="17"/>
  <c r="L51" i="20" s="1"/>
  <c r="M46" i="17"/>
  <c r="M51" i="20" s="1"/>
  <c r="B46" i="17"/>
  <c r="B51" i="16" s="1"/>
  <c r="AB38" i="17"/>
  <c r="E23" i="22" l="1"/>
  <c r="G23" i="22"/>
  <c r="G25" i="22"/>
  <c r="D23" i="22"/>
  <c r="F23" i="22"/>
  <c r="C53" i="10"/>
  <c r="C54" i="10"/>
  <c r="C55" i="10"/>
  <c r="D24" i="22"/>
  <c r="E24" i="22"/>
  <c r="E26" i="22"/>
  <c r="D26" i="22"/>
  <c r="F25" i="22"/>
  <c r="C6" i="16"/>
  <c r="E25" i="22"/>
  <c r="D25" i="22"/>
  <c r="G26" i="22"/>
  <c r="G24" i="22"/>
  <c r="K31" i="4"/>
  <c r="F26" i="22"/>
  <c r="F24" i="22"/>
  <c r="L58" i="16"/>
  <c r="M24" i="22" a="1"/>
  <c r="M24" i="22" s="1"/>
  <c r="M25" i="22" a="1"/>
  <c r="M25" i="22" s="1"/>
  <c r="M23" i="22" a="1"/>
  <c r="M23" i="22" s="1"/>
  <c r="H25" i="22"/>
  <c r="H26" i="22"/>
  <c r="F23" i="4"/>
  <c r="H23" i="22"/>
  <c r="H24" i="22"/>
  <c r="C67" i="10"/>
  <c r="J14" i="22"/>
  <c r="L14" i="22" s="1"/>
  <c r="D7" i="4"/>
  <c r="E8" i="4"/>
  <c r="B12" i="3"/>
  <c r="H27" i="1" s="1"/>
  <c r="B11" i="3"/>
  <c r="H26" i="1" s="1"/>
  <c r="C37" i="17"/>
  <c r="I43" i="10"/>
  <c r="J43" i="10" s="1"/>
  <c r="D29" i="4"/>
  <c r="D17" i="20"/>
  <c r="D19" i="20" s="1"/>
  <c r="D20" i="20" s="1"/>
  <c r="D30" i="4"/>
  <c r="E30" i="4"/>
  <c r="E29" i="4"/>
  <c r="F30" i="4"/>
  <c r="C60" i="10"/>
  <c r="F29" i="4"/>
  <c r="H10" i="4"/>
  <c r="H39" i="4" s="1"/>
  <c r="G46" i="4"/>
  <c r="F45" i="4"/>
  <c r="J39" i="1"/>
  <c r="F46" i="4"/>
  <c r="F47" i="4"/>
  <c r="H16" i="16"/>
  <c r="M58" i="16"/>
  <c r="I58" i="16"/>
  <c r="J58" i="16"/>
  <c r="K58" i="16"/>
  <c r="E23" i="4"/>
  <c r="E24" i="4"/>
  <c r="F24" i="4"/>
  <c r="C64" i="10"/>
  <c r="C25" i="10" s="1"/>
  <c r="C65" i="10"/>
  <c r="K47" i="4"/>
  <c r="O47" i="4"/>
  <c r="S47" i="4"/>
  <c r="W47" i="4"/>
  <c r="AA47" i="4"/>
  <c r="AE47" i="4"/>
  <c r="J46" i="4"/>
  <c r="N46" i="4"/>
  <c r="R46" i="4"/>
  <c r="V46" i="4"/>
  <c r="Z46" i="4"/>
  <c r="AD46" i="4"/>
  <c r="G47" i="4"/>
  <c r="K45" i="4"/>
  <c r="O45" i="4"/>
  <c r="S45" i="4"/>
  <c r="W45" i="4"/>
  <c r="AA45" i="4"/>
  <c r="AE45" i="4"/>
  <c r="M47" i="4"/>
  <c r="Y47" i="4"/>
  <c r="H46" i="4"/>
  <c r="P46" i="4"/>
  <c r="X46" i="4"/>
  <c r="AF46" i="4"/>
  <c r="M45" i="4"/>
  <c r="U45" i="4"/>
  <c r="AC45" i="4"/>
  <c r="J47" i="4"/>
  <c r="R47" i="4"/>
  <c r="Z47" i="4"/>
  <c r="AD47" i="4"/>
  <c r="M46" i="4"/>
  <c r="U46" i="4"/>
  <c r="AC46" i="4"/>
  <c r="J45" i="4"/>
  <c r="R45" i="4"/>
  <c r="Z45" i="4"/>
  <c r="H47" i="4"/>
  <c r="L47" i="4"/>
  <c r="P47" i="4"/>
  <c r="T47" i="4"/>
  <c r="X47" i="4"/>
  <c r="AB47" i="4"/>
  <c r="AF47" i="4"/>
  <c r="K46" i="4"/>
  <c r="O46" i="4"/>
  <c r="S46" i="4"/>
  <c r="W46" i="4"/>
  <c r="AA46" i="4"/>
  <c r="AE46" i="4"/>
  <c r="H45" i="4"/>
  <c r="L45" i="4"/>
  <c r="P45" i="4"/>
  <c r="T45" i="4"/>
  <c r="X45" i="4"/>
  <c r="AB45" i="4"/>
  <c r="AF45" i="4"/>
  <c r="I47" i="4"/>
  <c r="Q47" i="4"/>
  <c r="U47" i="4"/>
  <c r="AC47" i="4"/>
  <c r="L46" i="4"/>
  <c r="T46" i="4"/>
  <c r="AB46" i="4"/>
  <c r="I45" i="4"/>
  <c r="Q45" i="4"/>
  <c r="Y45" i="4"/>
  <c r="G45" i="4"/>
  <c r="N47" i="4"/>
  <c r="V47" i="4"/>
  <c r="I46" i="4"/>
  <c r="Q46" i="4"/>
  <c r="Y46" i="4"/>
  <c r="N45" i="4"/>
  <c r="V45" i="4"/>
  <c r="AD45" i="4"/>
  <c r="H12" i="16"/>
  <c r="D23" i="4"/>
  <c r="E51" i="16"/>
  <c r="B58" i="16"/>
  <c r="D35" i="22" s="1"/>
  <c r="D36" i="22" s="1"/>
  <c r="H18" i="22" s="1"/>
  <c r="D58" i="16"/>
  <c r="K58" i="20"/>
  <c r="F17" i="22"/>
  <c r="C58" i="16"/>
  <c r="E35" i="22" s="1"/>
  <c r="E36" i="22" s="1"/>
  <c r="G18" i="22" s="1"/>
  <c r="G58" i="16"/>
  <c r="F58" i="16"/>
  <c r="E58" i="16"/>
  <c r="C59" i="10"/>
  <c r="F13" i="4"/>
  <c r="F8" i="4"/>
  <c r="F7" i="4" s="1"/>
  <c r="M6" i="3"/>
  <c r="L6" i="3"/>
  <c r="O14" i="3"/>
  <c r="N14" i="3"/>
  <c r="M14" i="3"/>
  <c r="L14" i="3"/>
  <c r="K14" i="3"/>
  <c r="N6" i="3"/>
  <c r="O6" i="3"/>
  <c r="B13" i="3"/>
  <c r="H28" i="1" s="1"/>
  <c r="C24" i="10"/>
  <c r="D13" i="17"/>
  <c r="D14" i="17" s="1"/>
  <c r="C13" i="17"/>
  <c r="C14" i="17" s="1"/>
  <c r="C23" i="1"/>
  <c r="H58" i="16"/>
  <c r="J35" i="22" s="1"/>
  <c r="J36" i="22" s="1"/>
  <c r="C56" i="10"/>
  <c r="C34" i="20"/>
  <c r="C58" i="20"/>
  <c r="H26" i="20"/>
  <c r="H29" i="20" s="1"/>
  <c r="D58" i="20"/>
  <c r="L58" i="20"/>
  <c r="E8" i="16"/>
  <c r="G8" i="16"/>
  <c r="F9" i="20"/>
  <c r="F10" i="20" s="1"/>
  <c r="L34" i="20"/>
  <c r="M24" i="16"/>
  <c r="M25" i="16" s="1"/>
  <c r="E24" i="20"/>
  <c r="M24" i="20"/>
  <c r="M25" i="20" s="1"/>
  <c r="F8" i="20"/>
  <c r="F24" i="20"/>
  <c r="B35" i="20"/>
  <c r="B36" i="20" s="1"/>
  <c r="J35" i="20"/>
  <c r="J36" i="20" s="1"/>
  <c r="B34" i="20"/>
  <c r="J34" i="20"/>
  <c r="I19" i="20"/>
  <c r="I20" i="20" s="1"/>
  <c r="C26" i="20"/>
  <c r="C29" i="20" s="1"/>
  <c r="K26" i="20"/>
  <c r="K29" i="20" s="1"/>
  <c r="L51" i="16"/>
  <c r="F12" i="20"/>
  <c r="E22" i="20"/>
  <c r="M22" i="20"/>
  <c r="G58" i="20"/>
  <c r="I16" i="16"/>
  <c r="L55" i="16"/>
  <c r="F6" i="20"/>
  <c r="C8" i="20"/>
  <c r="K8" i="20"/>
  <c r="F22" i="20"/>
  <c r="B24" i="20"/>
  <c r="J24" i="20"/>
  <c r="D26" i="20"/>
  <c r="D29" i="20" s="1"/>
  <c r="L26" i="20"/>
  <c r="L29" i="20" s="1"/>
  <c r="H58" i="20"/>
  <c r="D8" i="20"/>
  <c r="L8" i="20"/>
  <c r="M29" i="20"/>
  <c r="I58" i="20"/>
  <c r="I6" i="20"/>
  <c r="E8" i="20"/>
  <c r="M8" i="20"/>
  <c r="L24" i="20"/>
  <c r="B58" i="20"/>
  <c r="B59" i="20" s="1"/>
  <c r="J58" i="20"/>
  <c r="F51" i="16"/>
  <c r="L22" i="16"/>
  <c r="M51" i="16"/>
  <c r="H16" i="20"/>
  <c r="G22" i="20"/>
  <c r="K16" i="16"/>
  <c r="C16" i="16"/>
  <c r="E16" i="16"/>
  <c r="M16" i="16"/>
  <c r="J19" i="20"/>
  <c r="J20" i="20" s="1"/>
  <c r="H22" i="20"/>
  <c r="B51" i="20"/>
  <c r="F24" i="16"/>
  <c r="B8" i="16"/>
  <c r="J24" i="16"/>
  <c r="H55" i="16"/>
  <c r="G8" i="20"/>
  <c r="D51" i="20"/>
  <c r="G24" i="16"/>
  <c r="M8" i="16"/>
  <c r="G22" i="16"/>
  <c r="C24" i="16"/>
  <c r="K24" i="16"/>
  <c r="I55" i="16"/>
  <c r="D12" i="20"/>
  <c r="L19" i="20"/>
  <c r="L20" i="20" s="1"/>
  <c r="G35" i="20"/>
  <c r="G36" i="20" s="1"/>
  <c r="G34" i="20"/>
  <c r="K34" i="20"/>
  <c r="E51" i="20"/>
  <c r="L8" i="16"/>
  <c r="D8" i="16"/>
  <c r="J55" i="16"/>
  <c r="M19" i="20"/>
  <c r="M20" i="20" s="1"/>
  <c r="G24" i="20"/>
  <c r="H34" i="20"/>
  <c r="D34" i="20"/>
  <c r="E26" i="20"/>
  <c r="E29" i="20" s="1"/>
  <c r="I8" i="16"/>
  <c r="K8" i="16"/>
  <c r="C8" i="16"/>
  <c r="H19" i="20"/>
  <c r="H20" i="20" s="1"/>
  <c r="D22" i="20"/>
  <c r="I35" i="20"/>
  <c r="I36" i="20" s="1"/>
  <c r="I34" i="20"/>
  <c r="M34" i="20"/>
  <c r="G26" i="20"/>
  <c r="G29" i="20" s="1"/>
  <c r="D55" i="20"/>
  <c r="B56" i="20"/>
  <c r="E55" i="20"/>
  <c r="F55" i="20"/>
  <c r="F8" i="16"/>
  <c r="K9" i="20"/>
  <c r="K10" i="20" s="1"/>
  <c r="K6" i="20"/>
  <c r="C51" i="20"/>
  <c r="E9" i="20"/>
  <c r="E10" i="20" s="1"/>
  <c r="M9" i="20"/>
  <c r="M10" i="20" s="1"/>
  <c r="M6" i="20"/>
  <c r="L12" i="20"/>
  <c r="E58" i="20"/>
  <c r="M58" i="20"/>
  <c r="G16" i="16"/>
  <c r="G51" i="16"/>
  <c r="G55" i="16"/>
  <c r="E6" i="20"/>
  <c r="M12" i="20"/>
  <c r="M13" i="20" s="1"/>
  <c r="F35" i="20"/>
  <c r="F36" i="20" s="1"/>
  <c r="F34" i="20"/>
  <c r="C44" i="20"/>
  <c r="F58" i="20"/>
  <c r="E22" i="16"/>
  <c r="E24" i="16"/>
  <c r="E19" i="20"/>
  <c r="E20" i="20" s="1"/>
  <c r="E12" i="20"/>
  <c r="K12" i="20"/>
  <c r="K19" i="20"/>
  <c r="K20" i="20" s="1"/>
  <c r="B16" i="16"/>
  <c r="H51" i="16"/>
  <c r="E16" i="20"/>
  <c r="J51" i="20"/>
  <c r="B55" i="20"/>
  <c r="J16" i="16"/>
  <c r="B19" i="20"/>
  <c r="E22" i="1" s="1"/>
  <c r="I51" i="20"/>
  <c r="I51" i="16"/>
  <c r="I12" i="16"/>
  <c r="B24" i="16"/>
  <c r="J8" i="16"/>
  <c r="F12" i="16"/>
  <c r="B19" i="16"/>
  <c r="C57" i="10" s="1"/>
  <c r="K51" i="16"/>
  <c r="C12" i="20"/>
  <c r="K16" i="20"/>
  <c r="L16" i="20"/>
  <c r="M55" i="20"/>
  <c r="G6" i="20"/>
  <c r="F19" i="20"/>
  <c r="F20" i="20" s="1"/>
  <c r="F16" i="20"/>
  <c r="C22" i="16"/>
  <c r="K22" i="16"/>
  <c r="G16" i="20"/>
  <c r="D22" i="16"/>
  <c r="L24" i="16"/>
  <c r="L16" i="16"/>
  <c r="D12" i="16"/>
  <c r="B6" i="20"/>
  <c r="J6" i="20"/>
  <c r="H9" i="20"/>
  <c r="H10" i="20" s="1"/>
  <c r="H12" i="20"/>
  <c r="K22" i="20"/>
  <c r="C24" i="20"/>
  <c r="K24" i="20"/>
  <c r="E34" i="20"/>
  <c r="H6" i="20"/>
  <c r="H35" i="20"/>
  <c r="H36" i="20" s="1"/>
  <c r="C6" i="20"/>
  <c r="C9" i="20"/>
  <c r="C10" i="20" s="1"/>
  <c r="J9" i="20"/>
  <c r="J10" i="20" s="1"/>
  <c r="D16" i="20"/>
  <c r="I9" i="20"/>
  <c r="I10" i="20" s="1"/>
  <c r="D6" i="20"/>
  <c r="D9" i="20"/>
  <c r="D10" i="20" s="1"/>
  <c r="D24" i="20"/>
  <c r="L22" i="20"/>
  <c r="L6" i="20"/>
  <c r="L9" i="20"/>
  <c r="L10" i="20" s="1"/>
  <c r="H8" i="20"/>
  <c r="C22" i="20"/>
  <c r="C35" i="20"/>
  <c r="C36" i="20" s="1"/>
  <c r="K35" i="20"/>
  <c r="K36" i="20" s="1"/>
  <c r="B26" i="20"/>
  <c r="B29" i="20" s="1"/>
  <c r="J26" i="20"/>
  <c r="J29" i="20" s="1"/>
  <c r="E4" i="20"/>
  <c r="G19" i="20"/>
  <c r="G20" i="20" s="1"/>
  <c r="G12" i="20"/>
  <c r="G9" i="20"/>
  <c r="G10" i="20" s="1"/>
  <c r="I22" i="20"/>
  <c r="C19" i="20"/>
  <c r="C20" i="20" s="1"/>
  <c r="C16" i="20"/>
  <c r="B9" i="20"/>
  <c r="B10" i="20" s="1"/>
  <c r="B22" i="20"/>
  <c r="J22" i="20"/>
  <c r="I16" i="20"/>
  <c r="I12" i="20"/>
  <c r="D35" i="20"/>
  <c r="D36" i="20" s="1"/>
  <c r="L35" i="20"/>
  <c r="L36" i="20" s="1"/>
  <c r="I8" i="20"/>
  <c r="B16" i="20"/>
  <c r="B12" i="20"/>
  <c r="J16" i="20"/>
  <c r="J12" i="20"/>
  <c r="H24" i="20"/>
  <c r="F26" i="20"/>
  <c r="F29" i="20" s="1"/>
  <c r="E35" i="20"/>
  <c r="E36" i="20" s="1"/>
  <c r="M35" i="20"/>
  <c r="M36" i="20" s="1"/>
  <c r="B8" i="20"/>
  <c r="J8" i="20"/>
  <c r="I24" i="20"/>
  <c r="I26" i="20"/>
  <c r="I29" i="20" s="1"/>
  <c r="H8" i="16"/>
  <c r="G12" i="16"/>
  <c r="D16" i="16"/>
  <c r="F22" i="16"/>
  <c r="D24" i="16"/>
  <c r="J12" i="16"/>
  <c r="F16" i="16"/>
  <c r="I22" i="16"/>
  <c r="H22" i="16"/>
  <c r="K12" i="16"/>
  <c r="C12" i="16"/>
  <c r="L12" i="16"/>
  <c r="B22" i="16"/>
  <c r="J22" i="16"/>
  <c r="M12" i="16"/>
  <c r="M13" i="16" s="1"/>
  <c r="M22" i="16"/>
  <c r="E12" i="16"/>
  <c r="H24" i="16"/>
  <c r="I24" i="16"/>
  <c r="B12" i="16"/>
  <c r="B2" i="3"/>
  <c r="B5" i="17"/>
  <c r="C5" i="17" s="1"/>
  <c r="D5" i="17" s="1"/>
  <c r="B4" i="16"/>
  <c r="L45" i="1"/>
  <c r="M45" i="1" s="1"/>
  <c r="B53" i="1"/>
  <c r="B52" i="1" s="1"/>
  <c r="B51" i="1" s="1"/>
  <c r="B50" i="1" s="1"/>
  <c r="B49" i="1" s="1"/>
  <c r="B84" i="17"/>
  <c r="B83" i="17"/>
  <c r="B82" i="17"/>
  <c r="I26" i="10"/>
  <c r="C12" i="19"/>
  <c r="C13" i="19"/>
  <c r="C14" i="19"/>
  <c r="C15" i="19"/>
  <c r="C16" i="19"/>
  <c r="C17" i="19"/>
  <c r="C18" i="19"/>
  <c r="C20" i="19"/>
  <c r="C21" i="19"/>
  <c r="C22" i="19"/>
  <c r="C7" i="19"/>
  <c r="C9" i="19"/>
  <c r="C10" i="19"/>
  <c r="I12" i="10"/>
  <c r="I40" i="10"/>
  <c r="J40" i="10" s="1"/>
  <c r="C87" i="17"/>
  <c r="D87" i="17" s="1"/>
  <c r="AD53" i="17"/>
  <c r="AC53" i="17"/>
  <c r="AD52" i="17"/>
  <c r="AC52" i="17"/>
  <c r="AG49" i="17"/>
  <c r="AG52" i="17" s="1"/>
  <c r="AF49" i="17"/>
  <c r="AE49" i="17"/>
  <c r="AB49" i="17"/>
  <c r="AB52" i="17" s="1"/>
  <c r="AA49" i="17"/>
  <c r="AA52" i="17" s="1"/>
  <c r="Z49" i="17"/>
  <c r="Z52" i="17" s="1"/>
  <c r="E56" i="17"/>
  <c r="AD48" i="17"/>
  <c r="AC48" i="17"/>
  <c r="AB48" i="17"/>
  <c r="AA48" i="17"/>
  <c r="Z48" i="17"/>
  <c r="AG44" i="17"/>
  <c r="AG48" i="17" s="1"/>
  <c r="AF44" i="17"/>
  <c r="AF48" i="17" s="1"/>
  <c r="AE44" i="17"/>
  <c r="AE48" i="17" s="1"/>
  <c r="AG39" i="17"/>
  <c r="AF39" i="17"/>
  <c r="AE39" i="17"/>
  <c r="AD39" i="17"/>
  <c r="AC39" i="17"/>
  <c r="AB31" i="17"/>
  <c r="AB39" i="17" s="1"/>
  <c r="AA31" i="17"/>
  <c r="AA39" i="17" s="1"/>
  <c r="Z31" i="17"/>
  <c r="Z39" i="17" s="1"/>
  <c r="M14" i="17"/>
  <c r="L14" i="17"/>
  <c r="K14" i="17"/>
  <c r="J14" i="17"/>
  <c r="I14" i="17"/>
  <c r="H14" i="17"/>
  <c r="G14" i="17"/>
  <c r="F14" i="17"/>
  <c r="E14" i="17"/>
  <c r="AA25" i="17"/>
  <c r="O74" i="17"/>
  <c r="AE12" i="17"/>
  <c r="AG11" i="17"/>
  <c r="AF11" i="17"/>
  <c r="AE11" i="17"/>
  <c r="AD11" i="17"/>
  <c r="L22" i="17"/>
  <c r="H22" i="17"/>
  <c r="D22" i="17"/>
  <c r="J22" i="17"/>
  <c r="G22" i="17"/>
  <c r="F22" i="17"/>
  <c r="E22" i="17"/>
  <c r="C22" i="17"/>
  <c r="AG9" i="17"/>
  <c r="AF9" i="17"/>
  <c r="AD9" i="17"/>
  <c r="AC9" i="17"/>
  <c r="AB9" i="17"/>
  <c r="AA9" i="17"/>
  <c r="Z9" i="17"/>
  <c r="AG10" i="17"/>
  <c r="AF10" i="17"/>
  <c r="AE10" i="17"/>
  <c r="AD10" i="17"/>
  <c r="AC10" i="17"/>
  <c r="AB10" i="17"/>
  <c r="AA10" i="17"/>
  <c r="Z10" i="17"/>
  <c r="AG7" i="17"/>
  <c r="AG8" i="17" s="1"/>
  <c r="AF7" i="17"/>
  <c r="AF8" i="17" s="1"/>
  <c r="AE7" i="17"/>
  <c r="AE8" i="17" s="1"/>
  <c r="AD7" i="17"/>
  <c r="AD8" i="17" s="1"/>
  <c r="AC7" i="17"/>
  <c r="AC8" i="17" s="1"/>
  <c r="AB7" i="17"/>
  <c r="AB8" i="17" s="1"/>
  <c r="AA7" i="17"/>
  <c r="AA8" i="17" s="1"/>
  <c r="Z7" i="17"/>
  <c r="Z8" i="17" s="1"/>
  <c r="Z13" i="17" s="1"/>
  <c r="Z14" i="17" s="1"/>
  <c r="O7" i="17"/>
  <c r="A2" i="16"/>
  <c r="A1" i="16"/>
  <c r="M48" i="1" s="1"/>
  <c r="C21" i="1"/>
  <c r="C10" i="10" s="1"/>
  <c r="D6" i="3"/>
  <c r="L51" i="1" l="1"/>
  <c r="L52" i="1"/>
  <c r="M31" i="1" s="1"/>
  <c r="L49" i="1"/>
  <c r="L50" i="1"/>
  <c r="E7" i="4"/>
  <c r="E12" i="4"/>
  <c r="L11" i="19"/>
  <c r="L7" i="19" s="1"/>
  <c r="C13" i="10"/>
  <c r="J23" i="22"/>
  <c r="L23" i="22" s="1"/>
  <c r="D53" i="4"/>
  <c r="G9" i="4" s="1"/>
  <c r="J25" i="22"/>
  <c r="L25" i="22" s="1"/>
  <c r="M18" i="22" a="1"/>
  <c r="M18" i="22" s="1"/>
  <c r="G40" i="4"/>
  <c r="J26" i="22"/>
  <c r="L26" i="22" s="1"/>
  <c r="J24" i="22"/>
  <c r="L24" i="22" s="1"/>
  <c r="D63" i="4" s="1"/>
  <c r="L31" i="4"/>
  <c r="M31" i="4" s="1"/>
  <c r="C22" i="1"/>
  <c r="C24" i="1" s="1"/>
  <c r="D39" i="22"/>
  <c r="M14" i="22"/>
  <c r="E15" i="4"/>
  <c r="G17" i="22" s="1"/>
  <c r="C33" i="10"/>
  <c r="I25" i="10"/>
  <c r="J25" i="10" s="1"/>
  <c r="C47" i="10"/>
  <c r="I45" i="10"/>
  <c r="J45" i="10" s="1"/>
  <c r="E32" i="4"/>
  <c r="C22" i="10"/>
  <c r="C31" i="10"/>
  <c r="C11" i="10"/>
  <c r="B14" i="3"/>
  <c r="D32" i="4"/>
  <c r="F35" i="4"/>
  <c r="D35" i="4"/>
  <c r="F32" i="4"/>
  <c r="C15" i="10"/>
  <c r="E35" i="4"/>
  <c r="B20" i="20"/>
  <c r="E23" i="1"/>
  <c r="C30" i="10"/>
  <c r="B59" i="16"/>
  <c r="C28" i="10"/>
  <c r="C14" i="10"/>
  <c r="C34" i="10"/>
  <c r="C16" i="10"/>
  <c r="D44" i="4"/>
  <c r="E44" i="4"/>
  <c r="F44" i="4"/>
  <c r="F26" i="4"/>
  <c r="H13" i="16"/>
  <c r="G13" i="16"/>
  <c r="B60" i="16"/>
  <c r="D26" i="4"/>
  <c r="F12" i="4"/>
  <c r="F15" i="4"/>
  <c r="B5" i="3"/>
  <c r="K6" i="3"/>
  <c r="F5" i="4"/>
  <c r="C29" i="10"/>
  <c r="C27" i="10"/>
  <c r="C59" i="20"/>
  <c r="B25" i="20"/>
  <c r="M46" i="1"/>
  <c r="M54" i="1"/>
  <c r="M47" i="1"/>
  <c r="M49" i="1"/>
  <c r="L53" i="1"/>
  <c r="M50" i="1"/>
  <c r="L54" i="1"/>
  <c r="M51" i="1"/>
  <c r="M52" i="1"/>
  <c r="M53" i="1"/>
  <c r="L46" i="1"/>
  <c r="L47" i="1"/>
  <c r="K21" i="1"/>
  <c r="K23" i="1"/>
  <c r="K30" i="1"/>
  <c r="K29" i="1"/>
  <c r="K24" i="1"/>
  <c r="K22" i="1"/>
  <c r="E28" i="1"/>
  <c r="E27" i="1"/>
  <c r="B20" i="16"/>
  <c r="E21" i="1"/>
  <c r="E19" i="1"/>
  <c r="E20" i="1"/>
  <c r="L30" i="20"/>
  <c r="L31" i="20" s="1"/>
  <c r="L25" i="16"/>
  <c r="K25" i="20"/>
  <c r="F25" i="20"/>
  <c r="E25" i="16"/>
  <c r="I25" i="20"/>
  <c r="I25" i="16"/>
  <c r="E25" i="20"/>
  <c r="L25" i="20"/>
  <c r="D25" i="20"/>
  <c r="E13" i="20"/>
  <c r="G25" i="16"/>
  <c r="K13" i="20"/>
  <c r="D25" i="16"/>
  <c r="B30" i="20"/>
  <c r="B31" i="20" s="1"/>
  <c r="C13" i="16"/>
  <c r="K30" i="20"/>
  <c r="K31" i="20" s="1"/>
  <c r="G13" i="20"/>
  <c r="M30" i="20"/>
  <c r="M31" i="20" s="1"/>
  <c r="H13" i="20"/>
  <c r="J30" i="20"/>
  <c r="J31" i="20" s="1"/>
  <c r="J25" i="20"/>
  <c r="L13" i="20"/>
  <c r="G30" i="20"/>
  <c r="G31" i="20" s="1"/>
  <c r="H25" i="20"/>
  <c r="D13" i="20"/>
  <c r="J13" i="20"/>
  <c r="D80" i="20"/>
  <c r="B25" i="16"/>
  <c r="F25" i="16"/>
  <c r="C13" i="20"/>
  <c r="E13" i="16"/>
  <c r="J25" i="16"/>
  <c r="E30" i="20"/>
  <c r="E31" i="20" s="1"/>
  <c r="H18" i="16"/>
  <c r="H18" i="20"/>
  <c r="E18" i="20"/>
  <c r="E18" i="16"/>
  <c r="L18" i="20"/>
  <c r="L18" i="16"/>
  <c r="D56" i="20"/>
  <c r="D56" i="16"/>
  <c r="H30" i="20"/>
  <c r="H31" i="20" s="1"/>
  <c r="K18" i="20"/>
  <c r="K18" i="16"/>
  <c r="B18" i="20"/>
  <c r="B18" i="16"/>
  <c r="G56" i="16"/>
  <c r="G56" i="20"/>
  <c r="C18" i="20"/>
  <c r="C18" i="16"/>
  <c r="C43" i="20"/>
  <c r="C43" i="16"/>
  <c r="J56" i="16"/>
  <c r="J56" i="20"/>
  <c r="F18" i="20"/>
  <c r="F18" i="16"/>
  <c r="E56" i="20"/>
  <c r="E56" i="16"/>
  <c r="B80" i="16"/>
  <c r="B69" i="20"/>
  <c r="B43" i="16"/>
  <c r="B43" i="20"/>
  <c r="K25" i="16"/>
  <c r="B13" i="20"/>
  <c r="C80" i="20"/>
  <c r="B80" i="20"/>
  <c r="G18" i="16"/>
  <c r="G18" i="20"/>
  <c r="B64" i="16"/>
  <c r="C72" i="10" s="1"/>
  <c r="B63" i="20"/>
  <c r="H56" i="16"/>
  <c r="H56" i="20"/>
  <c r="I18" i="20"/>
  <c r="I18" i="16"/>
  <c r="B82" i="16"/>
  <c r="B71" i="20"/>
  <c r="B70" i="20"/>
  <c r="B81" i="16"/>
  <c r="J18" i="20"/>
  <c r="J18" i="16"/>
  <c r="L56" i="20"/>
  <c r="L56" i="16"/>
  <c r="M56" i="20"/>
  <c r="M56" i="16"/>
  <c r="F56" i="16"/>
  <c r="F56" i="20"/>
  <c r="I56" i="16"/>
  <c r="I56" i="20"/>
  <c r="M18" i="16"/>
  <c r="M18" i="20"/>
  <c r="D18" i="16"/>
  <c r="D18" i="20"/>
  <c r="K13" i="16"/>
  <c r="F13" i="20"/>
  <c r="I13" i="20"/>
  <c r="D30" i="20"/>
  <c r="D31" i="20" s="1"/>
  <c r="G25" i="20"/>
  <c r="C25" i="20"/>
  <c r="F4" i="20"/>
  <c r="G4" i="20" s="1"/>
  <c r="H4" i="20" s="1"/>
  <c r="I4" i="20" s="1"/>
  <c r="J4" i="20" s="1"/>
  <c r="K4" i="20" s="1"/>
  <c r="L4" i="20" s="1"/>
  <c r="M4" i="20" s="1"/>
  <c r="I30" i="20"/>
  <c r="I31" i="20" s="1"/>
  <c r="F30" i="20"/>
  <c r="F31" i="20" s="1"/>
  <c r="C30" i="20"/>
  <c r="C31" i="20" s="1"/>
  <c r="F13" i="16"/>
  <c r="B13" i="16"/>
  <c r="J13" i="16"/>
  <c r="C25" i="16"/>
  <c r="H25" i="16"/>
  <c r="I13" i="16"/>
  <c r="L13" i="16"/>
  <c r="D13" i="16"/>
  <c r="AD13" i="17"/>
  <c r="AD14" i="17" s="1"/>
  <c r="AB53" i="17"/>
  <c r="AG53" i="17"/>
  <c r="Z53" i="17"/>
  <c r="AA13" i="17"/>
  <c r="AA14" i="17" s="1"/>
  <c r="AC13" i="17"/>
  <c r="AC14" i="17" s="1"/>
  <c r="AG13" i="17"/>
  <c r="AG14" i="17" s="1"/>
  <c r="AA53" i="17"/>
  <c r="AB13" i="17"/>
  <c r="AB14" i="17" s="1"/>
  <c r="AE13" i="17"/>
  <c r="AE14" i="17" s="1"/>
  <c r="AE53" i="17"/>
  <c r="AF13" i="17"/>
  <c r="AF14" i="17" s="1"/>
  <c r="AF53" i="17"/>
  <c r="AF52" i="17"/>
  <c r="AE52" i="17"/>
  <c r="C4" i="16"/>
  <c r="D4" i="16" s="1"/>
  <c r="E4" i="16" s="1"/>
  <c r="F4" i="16" s="1"/>
  <c r="B91" i="16"/>
  <c r="I39" i="10"/>
  <c r="J39" i="10" s="1"/>
  <c r="E5" i="17"/>
  <c r="E80" i="20" s="1"/>
  <c r="B48" i="1"/>
  <c r="L6" i="19" l="1"/>
  <c r="H9" i="4"/>
  <c r="G24" i="4"/>
  <c r="E63" i="4"/>
  <c r="K24" i="4" s="1"/>
  <c r="J18" i="22"/>
  <c r="L18" i="22" s="1"/>
  <c r="H17" i="22"/>
  <c r="J17" i="22" s="1"/>
  <c r="L17" i="22" s="1"/>
  <c r="M26" i="22"/>
  <c r="J24" i="4"/>
  <c r="I24" i="4"/>
  <c r="H24" i="4"/>
  <c r="N31" i="4"/>
  <c r="O31" i="4" s="1"/>
  <c r="I27" i="10"/>
  <c r="J27" i="10" s="1"/>
  <c r="I30" i="10"/>
  <c r="J30" i="10" s="1"/>
  <c r="I15" i="10"/>
  <c r="J15" i="10" s="1"/>
  <c r="I11" i="10"/>
  <c r="J11" i="10" s="1"/>
  <c r="I29" i="10"/>
  <c r="J29" i="10" s="1"/>
  <c r="I31" i="10"/>
  <c r="J31" i="10" s="1"/>
  <c r="I47" i="10"/>
  <c r="J47" i="10" s="1"/>
  <c r="H20" i="1"/>
  <c r="D34" i="4"/>
  <c r="D36" i="4" s="1"/>
  <c r="B6" i="3"/>
  <c r="C35" i="10"/>
  <c r="C17" i="10"/>
  <c r="K27" i="1"/>
  <c r="K26" i="1"/>
  <c r="K25" i="1"/>
  <c r="E24" i="1"/>
  <c r="I33" i="10"/>
  <c r="J33" i="10" s="1"/>
  <c r="C71" i="10"/>
  <c r="B34" i="16"/>
  <c r="M26" i="1"/>
  <c r="I24" i="10"/>
  <c r="J24" i="10" s="1"/>
  <c r="I16" i="10"/>
  <c r="J16" i="10" s="1"/>
  <c r="M23" i="1"/>
  <c r="B35" i="16"/>
  <c r="I14" i="10"/>
  <c r="J14" i="10" s="1"/>
  <c r="F5" i="17"/>
  <c r="G4" i="16"/>
  <c r="B47" i="1"/>
  <c r="D56" i="4" l="1"/>
  <c r="M17" i="22"/>
  <c r="P31" i="4"/>
  <c r="C37" i="10"/>
  <c r="C36" i="10"/>
  <c r="I35" i="10"/>
  <c r="J35" i="10" s="1"/>
  <c r="I41" i="10"/>
  <c r="J41" i="10" s="1"/>
  <c r="G41" i="4"/>
  <c r="B85" i="17"/>
  <c r="C21" i="10"/>
  <c r="C20" i="10"/>
  <c r="C18" i="10"/>
  <c r="I19" i="10"/>
  <c r="B36" i="16"/>
  <c r="I10" i="10"/>
  <c r="J10" i="10" s="1"/>
  <c r="I22" i="10"/>
  <c r="J22" i="10" s="1"/>
  <c r="I17" i="10"/>
  <c r="J17" i="10" s="1"/>
  <c r="G5" i="17"/>
  <c r="H4" i="16"/>
  <c r="B46" i="1"/>
  <c r="Q31" i="4" l="1"/>
  <c r="R31" i="4" s="1"/>
  <c r="I36" i="10"/>
  <c r="J36" i="10" s="1"/>
  <c r="I18" i="10"/>
  <c r="J18" i="10" s="1"/>
  <c r="I37" i="10"/>
  <c r="J37" i="10" s="1"/>
  <c r="I20" i="10"/>
  <c r="J20" i="10" s="1"/>
  <c r="I21" i="10"/>
  <c r="J21" i="10" s="1"/>
  <c r="E25" i="1"/>
  <c r="H5" i="17"/>
  <c r="I4" i="16"/>
  <c r="J4" i="16" s="1"/>
  <c r="B45" i="1"/>
  <c r="D45" i="1" s="1" a="1"/>
  <c r="D45" i="1" s="1"/>
  <c r="S31" i="4" l="1"/>
  <c r="H45" i="1" a="1"/>
  <c r="H45" i="1" s="1"/>
  <c r="C45" i="1" a="1"/>
  <c r="N52" i="1" s="1"/>
  <c r="I5" i="17"/>
  <c r="T31" i="4" l="1"/>
  <c r="H41" i="4"/>
  <c r="C45" i="1"/>
  <c r="C54" i="1" s="1"/>
  <c r="J5" i="17"/>
  <c r="K4" i="16"/>
  <c r="U31" i="4" l="1"/>
  <c r="V31" i="4" s="1"/>
  <c r="K5" i="17"/>
  <c r="L4" i="16"/>
  <c r="W31" i="4" l="1"/>
  <c r="L5" i="17"/>
  <c r="M4" i="16"/>
  <c r="X31" i="4" l="1"/>
  <c r="M5" i="17"/>
  <c r="D91" i="16"/>
  <c r="E91" i="16"/>
  <c r="Y31" i="4" l="1"/>
  <c r="M6" i="16"/>
  <c r="D34" i="16"/>
  <c r="K35" i="16"/>
  <c r="K36" i="16" s="1"/>
  <c r="I34" i="16"/>
  <c r="G9" i="16"/>
  <c r="G10" i="16" s="1"/>
  <c r="K19" i="16"/>
  <c r="I19" i="16"/>
  <c r="K9" i="16"/>
  <c r="K10" i="16" s="1"/>
  <c r="I9" i="16"/>
  <c r="I10" i="16" s="1"/>
  <c r="M25" i="1"/>
  <c r="I28" i="10"/>
  <c r="J28" i="10" s="1"/>
  <c r="H57" i="1"/>
  <c r="E34" i="16"/>
  <c r="C91" i="16"/>
  <c r="F26" i="16"/>
  <c r="I6" i="16"/>
  <c r="K26" i="16"/>
  <c r="K29" i="16" s="1"/>
  <c r="J26" i="16"/>
  <c r="I35" i="16"/>
  <c r="I36" i="16" s="1"/>
  <c r="K34" i="16"/>
  <c r="K20" i="16" l="1"/>
  <c r="M39" i="22"/>
  <c r="Z31" i="4"/>
  <c r="AA31" i="4" s="1"/>
  <c r="AB31" i="4" s="1"/>
  <c r="I20" i="16"/>
  <c r="K39" i="22"/>
  <c r="D60" i="16"/>
  <c r="K60" i="16"/>
  <c r="I60" i="16"/>
  <c r="L34" i="16"/>
  <c r="M34" i="16"/>
  <c r="M19" i="16"/>
  <c r="M20" i="16" s="1"/>
  <c r="L6" i="16"/>
  <c r="M9" i="16"/>
  <c r="M10" i="16" s="1"/>
  <c r="M29" i="16"/>
  <c r="M30" i="16" s="1"/>
  <c r="M31" i="16" s="1"/>
  <c r="E26" i="16"/>
  <c r="E29" i="16" s="1"/>
  <c r="M35" i="16"/>
  <c r="M36" i="16" s="1"/>
  <c r="L26" i="16"/>
  <c r="L29" i="16" s="1"/>
  <c r="H54" i="1"/>
  <c r="R48" i="1"/>
  <c r="C35" i="16"/>
  <c r="C36" i="16" s="1"/>
  <c r="L35" i="16"/>
  <c r="L36" i="16" s="1"/>
  <c r="D26" i="16"/>
  <c r="D29" i="16" s="1"/>
  <c r="J35" i="16"/>
  <c r="J36" i="16" s="1"/>
  <c r="H34" i="16"/>
  <c r="C60" i="16"/>
  <c r="E30" i="1" s="1"/>
  <c r="J34" i="16"/>
  <c r="G19" i="16"/>
  <c r="I39" i="22" s="1"/>
  <c r="F35" i="16"/>
  <c r="F36" i="16" s="1"/>
  <c r="F29" i="16"/>
  <c r="G35" i="16"/>
  <c r="G36" i="16" s="1"/>
  <c r="J29" i="16"/>
  <c r="I26" i="16"/>
  <c r="I29" i="16" s="1"/>
  <c r="E9" i="16"/>
  <c r="E10" i="16" s="1"/>
  <c r="D6" i="16"/>
  <c r="D5" i="4" s="1"/>
  <c r="B6" i="16"/>
  <c r="R53" i="1"/>
  <c r="R50" i="1"/>
  <c r="R49" i="1"/>
  <c r="J19" i="16"/>
  <c r="E35" i="16"/>
  <c r="E36" i="16" s="1"/>
  <c r="C26" i="16"/>
  <c r="C29" i="16" s="1"/>
  <c r="B26" i="16"/>
  <c r="B29" i="16" s="1"/>
  <c r="O49" i="1"/>
  <c r="F19" i="16"/>
  <c r="H39" i="22" s="1"/>
  <c r="O48" i="1"/>
  <c r="H19" i="16"/>
  <c r="C9" i="16"/>
  <c r="C10" i="16" s="1"/>
  <c r="C19" i="16"/>
  <c r="E39" i="22" s="1"/>
  <c r="E19" i="16"/>
  <c r="G39" i="22" s="1"/>
  <c r="D35" i="16"/>
  <c r="D36" i="16" s="1"/>
  <c r="G6" i="16"/>
  <c r="H9" i="16"/>
  <c r="H10" i="16" s="1"/>
  <c r="H6" i="16"/>
  <c r="J9" i="16"/>
  <c r="J10" i="16" s="1"/>
  <c r="J6" i="16"/>
  <c r="D19" i="16"/>
  <c r="F39" i="22" s="1"/>
  <c r="H56" i="1"/>
  <c r="K6" i="16"/>
  <c r="L9" i="16"/>
  <c r="L10" i="16" s="1"/>
  <c r="G34" i="16"/>
  <c r="L19" i="16"/>
  <c r="D9" i="16"/>
  <c r="D10" i="16" s="1"/>
  <c r="G26" i="16"/>
  <c r="G29" i="16" s="1"/>
  <c r="H26" i="16"/>
  <c r="H29" i="16" s="1"/>
  <c r="E6" i="16"/>
  <c r="F9" i="16"/>
  <c r="F10" i="16" s="1"/>
  <c r="N49" i="1"/>
  <c r="F6" i="16"/>
  <c r="R47" i="1"/>
  <c r="H35" i="16"/>
  <c r="F34" i="16"/>
  <c r="AC31" i="4" l="1"/>
  <c r="AD31" i="4" s="1"/>
  <c r="AE31" i="4" s="1"/>
  <c r="H20" i="16"/>
  <c r="J39" i="22"/>
  <c r="L20" i="16"/>
  <c r="J20" i="16"/>
  <c r="L39" i="22"/>
  <c r="G20" i="16"/>
  <c r="F20" i="16"/>
  <c r="E20" i="16"/>
  <c r="D20" i="16"/>
  <c r="I45" i="1" a="1"/>
  <c r="S50" i="1" s="1"/>
  <c r="B30" i="16"/>
  <c r="B31" i="16" s="1"/>
  <c r="I32" i="10" s="1"/>
  <c r="H36" i="16"/>
  <c r="E45" i="1" a="1"/>
  <c r="M30" i="1" s="1"/>
  <c r="K28" i="1"/>
  <c r="N54" i="1"/>
  <c r="C20" i="16"/>
  <c r="J60" i="16"/>
  <c r="M60" i="16"/>
  <c r="G60" i="16"/>
  <c r="F60" i="16"/>
  <c r="E60" i="16"/>
  <c r="L60" i="16"/>
  <c r="H60" i="16"/>
  <c r="C59" i="16"/>
  <c r="K30" i="16"/>
  <c r="K31" i="16" s="1"/>
  <c r="L30" i="16"/>
  <c r="L31" i="16" s="1"/>
  <c r="O46" i="1"/>
  <c r="O47" i="1"/>
  <c r="J30" i="16"/>
  <c r="J31" i="16" s="1"/>
  <c r="D30" i="16"/>
  <c r="D31" i="16" s="1"/>
  <c r="N46" i="1"/>
  <c r="N50" i="1"/>
  <c r="E30" i="16"/>
  <c r="E31" i="16" s="1"/>
  <c r="I30" i="16"/>
  <c r="I31" i="16" s="1"/>
  <c r="H30" i="16"/>
  <c r="H31" i="16" s="1"/>
  <c r="N48" i="1"/>
  <c r="N47" i="1"/>
  <c r="G30" i="16"/>
  <c r="G31" i="16" s="1"/>
  <c r="C30" i="16"/>
  <c r="C31" i="16" s="1"/>
  <c r="C56" i="1"/>
  <c r="F30" i="16"/>
  <c r="F31" i="16" s="1"/>
  <c r="O50" i="1"/>
  <c r="R52" i="1"/>
  <c r="R51" i="1"/>
  <c r="N51" i="1"/>
  <c r="O51" i="1"/>
  <c r="O52" i="1"/>
  <c r="C57" i="1"/>
  <c r="N53" i="1"/>
  <c r="AF31" i="4" l="1"/>
  <c r="N39" i="22"/>
  <c r="E26" i="1"/>
  <c r="E45" i="1"/>
  <c r="M56" i="1"/>
  <c r="S49" i="1"/>
  <c r="S48" i="1"/>
  <c r="I45" i="1"/>
  <c r="S53" i="1"/>
  <c r="S52" i="1"/>
  <c r="S51" i="1"/>
  <c r="L56" i="1"/>
  <c r="S47" i="1"/>
  <c r="Q49" i="1"/>
  <c r="Q50" i="1"/>
  <c r="Q51" i="1"/>
  <c r="Q47" i="1"/>
  <c r="M28" i="1"/>
  <c r="C55" i="1"/>
  <c r="F56" i="1"/>
  <c r="F54" i="1"/>
  <c r="F57" i="1"/>
  <c r="Q52" i="1"/>
  <c r="Q48" i="1"/>
  <c r="Q53" i="1"/>
  <c r="H55" i="1" l="1"/>
  <c r="F55" i="1"/>
  <c r="M24" i="1"/>
  <c r="D54" i="1" l="1"/>
  <c r="O54" i="1" s="1"/>
  <c r="B9" i="16"/>
  <c r="B10" i="16" s="1"/>
  <c r="L57" i="1" l="1"/>
  <c r="I34" i="10"/>
  <c r="J34" i="10" s="1"/>
  <c r="D56" i="1"/>
  <c r="M27" i="1"/>
  <c r="D57" i="1"/>
  <c r="O53" i="1"/>
  <c r="D55" i="1" s="1"/>
  <c r="M57" i="1" l="1"/>
  <c r="I13" i="10"/>
  <c r="J13" i="10" s="1"/>
  <c r="F36" i="17" l="1"/>
  <c r="F37" i="17" s="1"/>
  <c r="J56" i="17"/>
  <c r="J36" i="17"/>
  <c r="J37" i="17" s="1"/>
  <c r="M44" i="16"/>
  <c r="M59" i="16" s="1"/>
  <c r="M36" i="17"/>
  <c r="M37" i="17" s="1"/>
  <c r="I44" i="16"/>
  <c r="I59" i="16" s="1"/>
  <c r="I36" i="17"/>
  <c r="I37" i="17" s="1"/>
  <c r="I43" i="16" s="1"/>
  <c r="E44" i="16"/>
  <c r="E59" i="16" s="1"/>
  <c r="E37" i="17"/>
  <c r="G36" i="17"/>
  <c r="G37" i="17" s="1"/>
  <c r="K36" i="17"/>
  <c r="K37" i="17" s="1"/>
  <c r="H56" i="17"/>
  <c r="H36" i="17"/>
  <c r="H37" i="17" s="1"/>
  <c r="L44" i="16"/>
  <c r="L59" i="16" s="1"/>
  <c r="L36" i="17"/>
  <c r="L37" i="17" s="1"/>
  <c r="L43" i="16" s="1"/>
  <c r="L44" i="20" l="1"/>
  <c r="L59" i="20" s="1"/>
  <c r="G56" i="17"/>
  <c r="G44" i="20"/>
  <c r="G59" i="20" s="1"/>
  <c r="J44" i="16"/>
  <c r="J59" i="16" s="1"/>
  <c r="J44" i="20"/>
  <c r="J59" i="20" s="1"/>
  <c r="G64" i="16"/>
  <c r="G63" i="20"/>
  <c r="H64" i="16"/>
  <c r="H63" i="20"/>
  <c r="K43" i="20"/>
  <c r="K43" i="16"/>
  <c r="F43" i="20"/>
  <c r="F43" i="16"/>
  <c r="J43" i="20"/>
  <c r="J43" i="16"/>
  <c r="G43" i="16"/>
  <c r="G43" i="20"/>
  <c r="M56" i="17"/>
  <c r="F56" i="17"/>
  <c r="H44" i="20"/>
  <c r="H59" i="20" s="1"/>
  <c r="F44" i="20"/>
  <c r="F59" i="20" s="1"/>
  <c r="K44" i="16"/>
  <c r="K59" i="16" s="1"/>
  <c r="F44" i="16"/>
  <c r="F59" i="16" s="1"/>
  <c r="G44" i="16"/>
  <c r="G59" i="16" s="1"/>
  <c r="H44" i="16"/>
  <c r="H59" i="16" s="1"/>
  <c r="K44" i="20"/>
  <c r="K59" i="20" s="1"/>
  <c r="L43" i="20"/>
  <c r="I43" i="20"/>
  <c r="E44" i="20"/>
  <c r="E59" i="20" s="1"/>
  <c r="L56" i="17"/>
  <c r="M44" i="20"/>
  <c r="M59" i="20" s="1"/>
  <c r="I44" i="20"/>
  <c r="I59" i="20" s="1"/>
  <c r="I56" i="17"/>
  <c r="M64" i="16" l="1"/>
  <c r="M63" i="20"/>
  <c r="I64" i="16"/>
  <c r="I63" i="20"/>
  <c r="M43" i="16"/>
  <c r="M43" i="20"/>
  <c r="H43" i="20"/>
  <c r="H43" i="16"/>
  <c r="E43" i="16"/>
  <c r="E43" i="20"/>
  <c r="F64" i="16"/>
  <c r="F63" i="20"/>
  <c r="J64" i="16"/>
  <c r="J63" i="20"/>
  <c r="L64" i="16"/>
  <c r="L63" i="20"/>
  <c r="E64" i="16"/>
  <c r="E63" i="20"/>
  <c r="D36" i="17"/>
  <c r="D37" i="17" s="1"/>
  <c r="D43" i="20" s="1"/>
  <c r="D56" i="17"/>
  <c r="D64" i="16" s="1"/>
  <c r="C56" i="17"/>
  <c r="C64" i="16" s="1"/>
  <c r="C56" i="16"/>
  <c r="C47" i="17"/>
  <c r="C50" i="17" s="1"/>
  <c r="C56" i="20"/>
  <c r="C52" i="20" l="1"/>
  <c r="D43" i="16"/>
  <c r="D63" i="20"/>
  <c r="D44" i="20"/>
  <c r="D59" i="20" s="1"/>
  <c r="D44" i="16"/>
  <c r="D59" i="16" s="1"/>
  <c r="G45" i="1" s="1" a="1"/>
  <c r="G45" i="1" s="1"/>
  <c r="C55" i="16"/>
  <c r="C55" i="20"/>
  <c r="C52" i="16"/>
  <c r="C63" i="20"/>
  <c r="B68" i="16"/>
  <c r="L48" i="1" s="1"/>
  <c r="L55" i="1" s="1"/>
  <c r="B75" i="16"/>
  <c r="C68" i="16"/>
  <c r="M55" i="1" s="1"/>
  <c r="C67" i="17"/>
  <c r="E25" i="4" s="1"/>
  <c r="E26" i="4" l="1"/>
  <c r="E34" i="4" s="1"/>
  <c r="E36" i="4" s="1"/>
  <c r="E43" i="4" s="1"/>
  <c r="H25" i="4"/>
  <c r="K55" i="20"/>
  <c r="K56" i="17"/>
  <c r="K56" i="16"/>
  <c r="K52" i="16"/>
  <c r="K55" i="16"/>
  <c r="K52" i="20"/>
  <c r="K64" i="16" l="1"/>
  <c r="K63" i="20"/>
  <c r="K56" i="20"/>
  <c r="H38" i="4" l="1"/>
  <c r="I10" i="4" l="1"/>
  <c r="I39" i="4" s="1"/>
  <c r="I38" i="4" l="1"/>
  <c r="J10" i="4" s="1"/>
  <c r="J39" i="4" l="1"/>
  <c r="J38" i="4"/>
  <c r="K10" i="4" s="1"/>
  <c r="K38" i="4" l="1"/>
  <c r="L10" i="4" s="1"/>
  <c r="K39" i="4"/>
  <c r="L39" i="4" l="1"/>
  <c r="L38" i="4"/>
  <c r="M10" i="4" s="1"/>
  <c r="M39" i="4" l="1"/>
  <c r="M38" i="4"/>
  <c r="N10" i="4" s="1"/>
  <c r="N38" i="4" l="1"/>
  <c r="O10" i="4" s="1"/>
  <c r="N39" i="4"/>
  <c r="O39" i="4" l="1"/>
  <c r="O38" i="4"/>
  <c r="P10" i="4" s="1"/>
  <c r="P38" i="4" l="1"/>
  <c r="Q10" i="4" s="1"/>
  <c r="P39" i="4"/>
  <c r="Q38" i="4" l="1"/>
  <c r="R10" i="4" s="1"/>
  <c r="Q39" i="4"/>
  <c r="R39" i="4" l="1"/>
  <c r="R38" i="4"/>
  <c r="S10" i="4" s="1"/>
  <c r="S39" i="4" l="1"/>
  <c r="S38" i="4"/>
  <c r="T10" i="4" s="1"/>
  <c r="T38" i="4" l="1"/>
  <c r="U10" i="4" s="1"/>
  <c r="T39" i="4" l="1"/>
  <c r="U39" i="4" l="1"/>
  <c r="U38" i="4"/>
  <c r="V10" i="4" s="1"/>
  <c r="V39" i="4" l="1"/>
  <c r="V38" i="4"/>
  <c r="W10" i="4" s="1"/>
  <c r="W38" i="4" l="1"/>
  <c r="X10" i="4" s="1"/>
  <c r="W39" i="4"/>
  <c r="X39" i="4" l="1"/>
  <c r="X38" i="4"/>
  <c r="Y10" i="4" s="1"/>
  <c r="Y38" i="4" l="1"/>
  <c r="Z10" i="4" s="1"/>
  <c r="Y39" i="4"/>
  <c r="Z39" i="4" l="1"/>
  <c r="Z38" i="4"/>
  <c r="AA10" i="4" s="1"/>
  <c r="AA39" i="4" l="1"/>
  <c r="AA38" i="4"/>
  <c r="AB10" i="4" s="1"/>
  <c r="AB38" i="4" l="1"/>
  <c r="AC10" i="4" s="1"/>
  <c r="AB39" i="4" l="1"/>
  <c r="AC39" i="4" l="1"/>
  <c r="AC38" i="4"/>
  <c r="AD10" i="4" s="1"/>
  <c r="AD39" i="4" l="1"/>
  <c r="AD38" i="4"/>
  <c r="AE10" i="4" s="1"/>
  <c r="AE38" i="4" l="1"/>
  <c r="AF10" i="4" s="1"/>
  <c r="AE39" i="4"/>
  <c r="AF39" i="4" l="1"/>
  <c r="AG39" i="4" s="1"/>
  <c r="AF38" i="4"/>
  <c r="AG38" i="4" s="1"/>
  <c r="K63" i="17" l="1"/>
  <c r="K67" i="16"/>
  <c r="L63" i="17"/>
  <c r="L67" i="16"/>
  <c r="J68" i="16"/>
  <c r="L68" i="16"/>
  <c r="M68" i="16"/>
  <c r="G8" i="4" l="1"/>
  <c r="G12" i="4" s="1"/>
  <c r="G44" i="4" s="1"/>
  <c r="G11" i="4"/>
  <c r="G20" i="4" s="1"/>
  <c r="G14" i="4"/>
  <c r="G28" i="4" l="1"/>
  <c r="G26" i="4"/>
  <c r="H11" i="4" l="1"/>
  <c r="H20" i="4" s="1"/>
  <c r="H21" i="4"/>
  <c r="H8" i="4"/>
  <c r="H40" i="4" l="1"/>
  <c r="I9" i="4" s="1"/>
  <c r="I11" i="4"/>
  <c r="I20" i="4" s="1"/>
  <c r="I23" i="4"/>
  <c r="I21" i="4"/>
  <c r="I8" i="4"/>
  <c r="H14" i="4"/>
  <c r="H26" i="4"/>
  <c r="H12" i="4"/>
  <c r="H44" i="4" s="1"/>
  <c r="I40" i="4" l="1"/>
  <c r="J9" i="4" s="1"/>
  <c r="I25" i="4"/>
  <c r="I26" i="4" s="1"/>
  <c r="J11" i="4"/>
  <c r="J20" i="4" s="1"/>
  <c r="J23" i="4"/>
  <c r="J8" i="4"/>
  <c r="J21" i="4"/>
  <c r="I14" i="4"/>
  <c r="H28" i="4"/>
  <c r="I12" i="4" l="1"/>
  <c r="I44" i="4" s="1"/>
  <c r="J40" i="4"/>
  <c r="K9" i="4" s="1"/>
  <c r="K23" i="4"/>
  <c r="J14" i="4"/>
  <c r="K11" i="4"/>
  <c r="K20" i="4" s="1"/>
  <c r="K8" i="4"/>
  <c r="J25" i="4"/>
  <c r="J26" i="4" s="1"/>
  <c r="I41" i="4"/>
  <c r="I28" i="4" l="1"/>
  <c r="K40" i="4"/>
  <c r="L9" i="4" s="1"/>
  <c r="K14" i="4"/>
  <c r="K25" i="4"/>
  <c r="K26" i="4" s="1"/>
  <c r="K12" i="4"/>
  <c r="K44" i="4" s="1"/>
  <c r="J12" i="4"/>
  <c r="J44" i="4" s="1"/>
  <c r="J41" i="4"/>
  <c r="K41" i="4" s="1"/>
  <c r="L41" i="4" l="1"/>
  <c r="J28" i="4"/>
  <c r="K28" i="4"/>
  <c r="L14" i="4" l="1"/>
  <c r="L25" i="4"/>
  <c r="M25" i="4" s="1"/>
  <c r="L6" i="4"/>
  <c r="L24" i="4" l="1"/>
  <c r="L8" i="4"/>
  <c r="N25" i="4"/>
  <c r="O25" i="4" s="1"/>
  <c r="L11" i="4"/>
  <c r="L20" i="4" s="1"/>
  <c r="L21" i="4"/>
  <c r="L23" i="4"/>
  <c r="M6" i="4"/>
  <c r="M24" i="4" s="1"/>
  <c r="M14" i="4"/>
  <c r="P25" i="4" l="1"/>
  <c r="Q25" i="4" s="1"/>
  <c r="R25" i="4" s="1"/>
  <c r="L12" i="4"/>
  <c r="L44" i="4" s="1"/>
  <c r="L40" i="4"/>
  <c r="L26" i="4"/>
  <c r="M23" i="4"/>
  <c r="M11" i="4"/>
  <c r="M20" i="4" s="1"/>
  <c r="M21" i="4"/>
  <c r="M8" i="4"/>
  <c r="N6" i="4"/>
  <c r="N24" i="4" s="1"/>
  <c r="N14" i="4"/>
  <c r="L28" i="4" l="1"/>
  <c r="M26" i="4"/>
  <c r="O14" i="4"/>
  <c r="P14" i="4" s="1"/>
  <c r="Q14" i="4" s="1"/>
  <c r="N8" i="4"/>
  <c r="N11" i="4"/>
  <c r="N20" i="4" s="1"/>
  <c r="N21" i="4"/>
  <c r="O6" i="4"/>
  <c r="O24" i="4" s="1"/>
  <c r="N23" i="4"/>
  <c r="M9" i="4"/>
  <c r="M12" i="4" s="1"/>
  <c r="M44" i="4" s="1"/>
  <c r="M40" i="4"/>
  <c r="S25" i="4"/>
  <c r="M28" i="4" l="1"/>
  <c r="N40" i="4"/>
  <c r="N9" i="4"/>
  <c r="N12" i="4" s="1"/>
  <c r="N44" i="4" s="1"/>
  <c r="R14" i="4"/>
  <c r="S14" i="4" s="1"/>
  <c r="P6" i="4"/>
  <c r="P24" i="4" s="1"/>
  <c r="O21" i="4"/>
  <c r="O23" i="4"/>
  <c r="O11" i="4"/>
  <c r="O20" i="4" s="1"/>
  <c r="O8" i="4"/>
  <c r="M41" i="4"/>
  <c r="N26" i="4"/>
  <c r="T25" i="4"/>
  <c r="U25" i="4" s="1"/>
  <c r="V25" i="4" s="1"/>
  <c r="N28" i="4" l="1"/>
  <c r="O26" i="4"/>
  <c r="T14" i="4"/>
  <c r="U14" i="4" s="1"/>
  <c r="V14" i="4" s="1"/>
  <c r="N41" i="4"/>
  <c r="Q6" i="4"/>
  <c r="Q24" i="4" s="1"/>
  <c r="P11" i="4"/>
  <c r="P20" i="4" s="1"/>
  <c r="P8" i="4"/>
  <c r="P21" i="4"/>
  <c r="P23" i="4"/>
  <c r="O9" i="4"/>
  <c r="O12" i="4" s="1"/>
  <c r="O44" i="4" s="1"/>
  <c r="O40" i="4"/>
  <c r="W25" i="4"/>
  <c r="O28" i="4" l="1"/>
  <c r="X25" i="4"/>
  <c r="O41" i="4"/>
  <c r="P9" i="4"/>
  <c r="P12" i="4" s="1"/>
  <c r="P44" i="4" s="1"/>
  <c r="P40" i="4"/>
  <c r="Q11" i="4"/>
  <c r="Q20" i="4" s="1"/>
  <c r="Q21" i="4"/>
  <c r="R6" i="4"/>
  <c r="R24" i="4" s="1"/>
  <c r="Q8" i="4"/>
  <c r="Q23" i="4"/>
  <c r="W14" i="4"/>
  <c r="P26" i="4"/>
  <c r="P28" i="4" l="1"/>
  <c r="Y25" i="4"/>
  <c r="Z25" i="4" s="1"/>
  <c r="Q26" i="4"/>
  <c r="Q9" i="4"/>
  <c r="Q12" i="4" s="1"/>
  <c r="Q44" i="4" s="1"/>
  <c r="Q40" i="4"/>
  <c r="X14" i="4"/>
  <c r="Y14" i="4" s="1"/>
  <c r="R11" i="4"/>
  <c r="R20" i="4" s="1"/>
  <c r="R23" i="4"/>
  <c r="R21" i="4"/>
  <c r="S6" i="4"/>
  <c r="S24" i="4" s="1"/>
  <c r="R8" i="4"/>
  <c r="P41" i="4"/>
  <c r="Q28" i="4" l="1"/>
  <c r="Q41" i="4"/>
  <c r="Z14" i="4"/>
  <c r="AA14" i="4" s="1"/>
  <c r="S8" i="4"/>
  <c r="S23" i="4"/>
  <c r="S11" i="4"/>
  <c r="S20" i="4" s="1"/>
  <c r="T6" i="4"/>
  <c r="T24" i="4" s="1"/>
  <c r="S21" i="4"/>
  <c r="R26" i="4"/>
  <c r="R9" i="4"/>
  <c r="R12" i="4" s="1"/>
  <c r="R44" i="4" s="1"/>
  <c r="R40" i="4"/>
  <c r="AA25" i="4"/>
  <c r="R28" i="4" l="1"/>
  <c r="AB14" i="4"/>
  <c r="S26" i="4"/>
  <c r="S9" i="4"/>
  <c r="S12" i="4" s="1"/>
  <c r="S44" i="4" s="1"/>
  <c r="S40" i="4"/>
  <c r="T8" i="4"/>
  <c r="T11" i="4"/>
  <c r="T20" i="4" s="1"/>
  <c r="T23" i="4"/>
  <c r="U6" i="4"/>
  <c r="U24" i="4" s="1"/>
  <c r="T21" i="4"/>
  <c r="AB25" i="4"/>
  <c r="R41" i="4"/>
  <c r="S28" i="4" l="1"/>
  <c r="AC25" i="4"/>
  <c r="AD25" i="4" s="1"/>
  <c r="AE25" i="4" s="1"/>
  <c r="AF25" i="4" s="1"/>
  <c r="T9" i="4"/>
  <c r="T12" i="4" s="1"/>
  <c r="T44" i="4" s="1"/>
  <c r="T40" i="4"/>
  <c r="U8" i="4"/>
  <c r="U21" i="4"/>
  <c r="U23" i="4"/>
  <c r="V6" i="4"/>
  <c r="V24" i="4" s="1"/>
  <c r="U11" i="4"/>
  <c r="U20" i="4" s="1"/>
  <c r="T26" i="4"/>
  <c r="S41" i="4"/>
  <c r="AC14" i="4"/>
  <c r="T28" i="4" l="1"/>
  <c r="T41" i="4"/>
  <c r="U26" i="4"/>
  <c r="V11" i="4"/>
  <c r="V20" i="4" s="1"/>
  <c r="V21" i="4"/>
  <c r="V23" i="4"/>
  <c r="W6" i="4"/>
  <c r="W24" i="4" s="1"/>
  <c r="V8" i="4"/>
  <c r="U9" i="4"/>
  <c r="U40" i="4"/>
  <c r="AD14" i="4"/>
  <c r="AE14" i="4" s="1"/>
  <c r="AF14" i="4" s="1"/>
  <c r="U41" i="4" l="1"/>
  <c r="U12" i="4"/>
  <c r="U44" i="4" s="1"/>
  <c r="V26" i="4"/>
  <c r="W21" i="4"/>
  <c r="W8" i="4"/>
  <c r="X6" i="4"/>
  <c r="X24" i="4" s="1"/>
  <c r="W11" i="4"/>
  <c r="W20" i="4" s="1"/>
  <c r="W23" i="4"/>
  <c r="V9" i="4"/>
  <c r="V40" i="4"/>
  <c r="V41" i="4" l="1"/>
  <c r="U28" i="4"/>
  <c r="X21" i="4"/>
  <c r="X23" i="4"/>
  <c r="Y6" i="4"/>
  <c r="Y24" i="4" s="1"/>
  <c r="X11" i="4"/>
  <c r="X20" i="4" s="1"/>
  <c r="X8" i="4"/>
  <c r="W26" i="4"/>
  <c r="V12" i="4"/>
  <c r="V44" i="4" s="1"/>
  <c r="W9" i="4"/>
  <c r="W40" i="4"/>
  <c r="W41" i="4" l="1"/>
  <c r="V28" i="4"/>
  <c r="X26" i="4"/>
  <c r="Y23" i="4"/>
  <c r="Y8" i="4"/>
  <c r="Y11" i="4"/>
  <c r="Y20" i="4" s="1"/>
  <c r="Y21" i="4"/>
  <c r="Z6" i="4"/>
  <c r="Z24" i="4" s="1"/>
  <c r="X40" i="4"/>
  <c r="X9" i="4"/>
  <c r="W12" i="4"/>
  <c r="W44" i="4" s="1"/>
  <c r="X41" i="4" l="1"/>
  <c r="W28" i="4"/>
  <c r="X12" i="4"/>
  <c r="X44" i="4" s="1"/>
  <c r="AA6" i="4"/>
  <c r="AA24" i="4" s="1"/>
  <c r="Z23" i="4"/>
  <c r="Z8" i="4"/>
  <c r="Z11" i="4"/>
  <c r="Z20" i="4" s="1"/>
  <c r="Z21" i="4"/>
  <c r="Y26" i="4"/>
  <c r="Y9" i="4"/>
  <c r="Y40" i="4"/>
  <c r="Y41" i="4" l="1"/>
  <c r="X28" i="4"/>
  <c r="Z26" i="4"/>
  <c r="AA11" i="4"/>
  <c r="AA20" i="4" s="1"/>
  <c r="AA21" i="4"/>
  <c r="AB6" i="4"/>
  <c r="AB24" i="4" s="1"/>
  <c r="AA8" i="4"/>
  <c r="AA23" i="4"/>
  <c r="Y12" i="4"/>
  <c r="Y44" i="4" s="1"/>
  <c r="Z40" i="4"/>
  <c r="Z9" i="4"/>
  <c r="Z41" i="4" l="1"/>
  <c r="Y28" i="4"/>
  <c r="AA26" i="4"/>
  <c r="AA9" i="4"/>
  <c r="AA40" i="4"/>
  <c r="AB8" i="4"/>
  <c r="AB23" i="4"/>
  <c r="AC6" i="4"/>
  <c r="AC24" i="4" s="1"/>
  <c r="AB11" i="4"/>
  <c r="AB20" i="4" s="1"/>
  <c r="AB21" i="4"/>
  <c r="Z12" i="4"/>
  <c r="Z44" i="4" s="1"/>
  <c r="AA41" i="4" l="1"/>
  <c r="Z28" i="4"/>
  <c r="AA12" i="4"/>
  <c r="AA44" i="4" s="1"/>
  <c r="AB26" i="4"/>
  <c r="AC8" i="4"/>
  <c r="AC11" i="4"/>
  <c r="AC20" i="4" s="1"/>
  <c r="AC21" i="4"/>
  <c r="AD6" i="4"/>
  <c r="AD24" i="4" s="1"/>
  <c r="AC23" i="4"/>
  <c r="AB40" i="4"/>
  <c r="AB9" i="4"/>
  <c r="AB41" i="4" l="1"/>
  <c r="AA28" i="4"/>
  <c r="AC40" i="4"/>
  <c r="AC9" i="4"/>
  <c r="AD8" i="4"/>
  <c r="AD11" i="4"/>
  <c r="AD20" i="4" s="1"/>
  <c r="AE6" i="4"/>
  <c r="AD21" i="4"/>
  <c r="AD23" i="4"/>
  <c r="AB12" i="4"/>
  <c r="AB44" i="4" s="1"/>
  <c r="AC26" i="4"/>
  <c r="AE24" i="4" l="1"/>
  <c r="AF6" i="4"/>
  <c r="AF24" i="4" s="1"/>
  <c r="AC41" i="4"/>
  <c r="AB28" i="4"/>
  <c r="AC12" i="4"/>
  <c r="AC44" i="4" s="1"/>
  <c r="AE23" i="4"/>
  <c r="AE11" i="4"/>
  <c r="AE20" i="4" s="1"/>
  <c r="AE8" i="4"/>
  <c r="AE21" i="4"/>
  <c r="AD9" i="4"/>
  <c r="AD40" i="4"/>
  <c r="AD26" i="4"/>
  <c r="AD41" i="4" l="1"/>
  <c r="AC28" i="4"/>
  <c r="AE40" i="4"/>
  <c r="AE9" i="4"/>
  <c r="AF11" i="4"/>
  <c r="AF20" i="4" s="1"/>
  <c r="AF8" i="4"/>
  <c r="AF21" i="4"/>
  <c r="AF23" i="4"/>
  <c r="AD12" i="4"/>
  <c r="AD44" i="4" s="1"/>
  <c r="AE26" i="4"/>
  <c r="AE41" i="4" l="1"/>
  <c r="AD28" i="4"/>
  <c r="AF40" i="4"/>
  <c r="AF9" i="4"/>
  <c r="AG9" i="4" s="1"/>
  <c r="AE12" i="4"/>
  <c r="AE44" i="4" s="1"/>
  <c r="AF26" i="4"/>
  <c r="AG23" i="4"/>
  <c r="AE28" i="4" l="1"/>
  <c r="AF12" i="4"/>
  <c r="AF44" i="4" s="1"/>
  <c r="AH24" i="4"/>
  <c r="AF41" i="4"/>
  <c r="AG41" i="4" s="1"/>
  <c r="AF28" i="4" l="1"/>
  <c r="F34" i="4" l="1"/>
  <c r="F36" i="4" s="1"/>
  <c r="F43" i="4" s="1"/>
  <c r="G13" i="4" s="1"/>
  <c r="G15" i="4" s="1"/>
  <c r="G16" i="4" s="1"/>
  <c r="G17" i="4" s="1"/>
  <c r="B81" i="4" s="1"/>
  <c r="G30" i="4" l="1"/>
  <c r="G19" i="4"/>
  <c r="G22" i="4" s="1"/>
  <c r="G34" i="4" s="1"/>
  <c r="G29" i="4"/>
  <c r="G35" i="4" l="1"/>
  <c r="G36" i="4" s="1"/>
  <c r="G43" i="4" s="1"/>
  <c r="H13" i="4" s="1"/>
  <c r="H15" i="4" s="1"/>
  <c r="G32" i="4"/>
  <c r="H16" i="4" l="1"/>
  <c r="H17" i="4" s="1"/>
  <c r="H19" i="4" l="1"/>
  <c r="H22" i="4" s="1"/>
  <c r="H34" i="4" s="1"/>
  <c r="H30" i="4"/>
  <c r="H29" i="4"/>
  <c r="H35" i="4" l="1"/>
  <c r="H36" i="4" s="1"/>
  <c r="H43" i="4" s="1"/>
  <c r="I13" i="4" s="1"/>
  <c r="I15" i="4" s="1"/>
  <c r="H32" i="4"/>
  <c r="I16" i="4" l="1"/>
  <c r="I17" i="4" s="1"/>
  <c r="I29" i="4" l="1"/>
  <c r="I30" i="4"/>
  <c r="I19" i="4"/>
  <c r="I22" i="4" s="1"/>
  <c r="I34" i="4" s="1"/>
  <c r="I35" i="4" l="1"/>
  <c r="I36" i="4" s="1"/>
  <c r="I43" i="4" s="1"/>
  <c r="J13" i="4" s="1"/>
  <c r="J15" i="4" s="1"/>
  <c r="I32" i="4"/>
  <c r="J16" i="4" l="1"/>
  <c r="J17" i="4" s="1"/>
  <c r="J29" i="4" l="1"/>
  <c r="J30" i="4"/>
  <c r="J19" i="4"/>
  <c r="J22" i="4" s="1"/>
  <c r="J34" i="4" s="1"/>
  <c r="J35" i="4" l="1"/>
  <c r="J36" i="4" s="1"/>
  <c r="J43" i="4" s="1"/>
  <c r="K13" i="4" s="1"/>
  <c r="K15" i="4" s="1"/>
  <c r="J32" i="4"/>
  <c r="K16" i="4" l="1"/>
  <c r="K17" i="4" s="1"/>
  <c r="K29" i="4" s="1"/>
  <c r="K30" i="4" l="1"/>
  <c r="K19" i="4"/>
  <c r="K22" i="4" s="1"/>
  <c r="K34" i="4" s="1"/>
  <c r="K35" i="4" l="1"/>
  <c r="K36" i="4" s="1"/>
  <c r="K43" i="4" s="1"/>
  <c r="L13" i="4" s="1"/>
  <c r="L15" i="4" s="1"/>
  <c r="K32" i="4"/>
  <c r="L16" i="4" l="1"/>
  <c r="L17" i="4" s="1"/>
  <c r="L29" i="4" s="1"/>
  <c r="L30" i="4" l="1"/>
  <c r="L19" i="4"/>
  <c r="L22" i="4" s="1"/>
  <c r="L34" i="4" s="1"/>
  <c r="L35" i="4" l="1"/>
  <c r="L36" i="4" s="1"/>
  <c r="L43" i="4" s="1"/>
  <c r="M13" i="4" s="1"/>
  <c r="M15" i="4" s="1"/>
  <c r="L32" i="4"/>
  <c r="M16" i="4" l="1"/>
  <c r="M17" i="4" s="1"/>
  <c r="M29" i="4" s="1"/>
  <c r="M30" i="4" l="1"/>
  <c r="M19" i="4"/>
  <c r="M22" i="4" s="1"/>
  <c r="M34" i="4" s="1"/>
  <c r="M35" i="4" l="1"/>
  <c r="M36" i="4" s="1"/>
  <c r="M43" i="4" s="1"/>
  <c r="N13" i="4" s="1"/>
  <c r="N15" i="4" s="1"/>
  <c r="M32" i="4"/>
  <c r="N16" i="4" l="1"/>
  <c r="N17" i="4" s="1"/>
  <c r="N29" i="4" s="1"/>
  <c r="N30" i="4" l="1"/>
  <c r="N19" i="4"/>
  <c r="N22" i="4" s="1"/>
  <c r="N34" i="4" s="1"/>
  <c r="N35" i="4" l="1"/>
  <c r="N36" i="4" s="1"/>
  <c r="N43" i="4" s="1"/>
  <c r="O13" i="4" s="1"/>
  <c r="O15" i="4" s="1"/>
  <c r="N32" i="4"/>
  <c r="O16" i="4" l="1"/>
  <c r="O17" i="4" s="1"/>
  <c r="O29" i="4" s="1"/>
  <c r="O19" i="4" l="1"/>
  <c r="O22" i="4" s="1"/>
  <c r="O34" i="4" s="1"/>
  <c r="O30" i="4"/>
  <c r="O35" i="4" l="1"/>
  <c r="O36" i="4" s="1"/>
  <c r="O43" i="4" s="1"/>
  <c r="P13" i="4" s="1"/>
  <c r="P15" i="4" s="1"/>
  <c r="O32" i="4"/>
  <c r="P16" i="4" l="1"/>
  <c r="P17" i="4" s="1"/>
  <c r="P29" i="4" s="1"/>
  <c r="P19" i="4" l="1"/>
  <c r="P22" i="4" s="1"/>
  <c r="P34" i="4" s="1"/>
  <c r="P30" i="4"/>
  <c r="P35" i="4" l="1"/>
  <c r="P36" i="4" s="1"/>
  <c r="P43" i="4" s="1"/>
  <c r="Q13" i="4" s="1"/>
  <c r="Q15" i="4" s="1"/>
  <c r="P32" i="4"/>
  <c r="Q16" i="4" l="1"/>
  <c r="Q17" i="4" s="1"/>
  <c r="Q29" i="4" s="1"/>
  <c r="Q19" i="4" l="1"/>
  <c r="Q22" i="4" s="1"/>
  <c r="Q34" i="4" s="1"/>
  <c r="Q30" i="4"/>
  <c r="Q35" i="4" l="1"/>
  <c r="Q36" i="4" s="1"/>
  <c r="Q43" i="4" s="1"/>
  <c r="R13" i="4" s="1"/>
  <c r="R15" i="4" s="1"/>
  <c r="Q32" i="4"/>
  <c r="R16" i="4" l="1"/>
  <c r="R17" i="4" s="1"/>
  <c r="R29" i="4" s="1"/>
  <c r="R19" i="4" l="1"/>
  <c r="R22" i="4" s="1"/>
  <c r="R34" i="4" s="1"/>
  <c r="R30" i="4"/>
  <c r="R35" i="4" l="1"/>
  <c r="R36" i="4" s="1"/>
  <c r="R43" i="4" s="1"/>
  <c r="S13" i="4" s="1"/>
  <c r="S15" i="4" s="1"/>
  <c r="R32" i="4"/>
  <c r="S16" i="4" l="1"/>
  <c r="S17" i="4" s="1"/>
  <c r="S29" i="4" s="1"/>
  <c r="S19" i="4" l="1"/>
  <c r="S22" i="4" s="1"/>
  <c r="S34" i="4" s="1"/>
  <c r="S30" i="4"/>
  <c r="S35" i="4" l="1"/>
  <c r="S36" i="4" s="1"/>
  <c r="S43" i="4" s="1"/>
  <c r="T13" i="4" s="1"/>
  <c r="T15" i="4" s="1"/>
  <c r="S32" i="4"/>
  <c r="T16" i="4" l="1"/>
  <c r="T17" i="4" s="1"/>
  <c r="T29" i="4" s="1"/>
  <c r="T19" i="4" l="1"/>
  <c r="T22" i="4" s="1"/>
  <c r="T34" i="4" s="1"/>
  <c r="T30" i="4"/>
  <c r="T35" i="4" l="1"/>
  <c r="T36" i="4" s="1"/>
  <c r="T43" i="4" s="1"/>
  <c r="U13" i="4" s="1"/>
  <c r="U15" i="4" s="1"/>
  <c r="T32" i="4"/>
  <c r="U16" i="4" l="1"/>
  <c r="U17" i="4" s="1"/>
  <c r="U29" i="4" s="1"/>
  <c r="U30" i="4" l="1"/>
  <c r="U19" i="4"/>
  <c r="U22" i="4" s="1"/>
  <c r="U34" i="4" s="1"/>
  <c r="U35" i="4" l="1"/>
  <c r="U36" i="4" s="1"/>
  <c r="U43" i="4" s="1"/>
  <c r="V13" i="4" s="1"/>
  <c r="V15" i="4" s="1"/>
  <c r="U32" i="4"/>
  <c r="V16" i="4" l="1"/>
  <c r="V17" i="4" s="1"/>
  <c r="V29" i="4" s="1"/>
  <c r="V30" i="4" l="1"/>
  <c r="V19" i="4"/>
  <c r="V22" i="4" s="1"/>
  <c r="V34" i="4" s="1"/>
  <c r="V35" i="4" l="1"/>
  <c r="V36" i="4" s="1"/>
  <c r="V43" i="4" s="1"/>
  <c r="W13" i="4" s="1"/>
  <c r="W15" i="4" s="1"/>
  <c r="V32" i="4"/>
  <c r="W16" i="4" l="1"/>
  <c r="W17" i="4" s="1"/>
  <c r="W29" i="4" s="1"/>
  <c r="W30" i="4" l="1"/>
  <c r="W19" i="4"/>
  <c r="W22" i="4" s="1"/>
  <c r="W34" i="4" s="1"/>
  <c r="W35" i="4" l="1"/>
  <c r="W36" i="4" s="1"/>
  <c r="W43" i="4" s="1"/>
  <c r="X13" i="4" s="1"/>
  <c r="X15" i="4" s="1"/>
  <c r="W32" i="4"/>
  <c r="X16" i="4" l="1"/>
  <c r="X17" i="4" s="1"/>
  <c r="X29" i="4" s="1"/>
  <c r="X19" i="4" l="1"/>
  <c r="X22" i="4" s="1"/>
  <c r="X34" i="4" s="1"/>
  <c r="X30" i="4"/>
  <c r="X35" i="4" l="1"/>
  <c r="X36" i="4" s="1"/>
  <c r="X43" i="4" s="1"/>
  <c r="Y13" i="4" s="1"/>
  <c r="Y15" i="4" s="1"/>
  <c r="X32" i="4"/>
  <c r="Y16" i="4" l="1"/>
  <c r="Y17" i="4" s="1"/>
  <c r="Y29" i="4" s="1"/>
  <c r="Y30" i="4" l="1"/>
  <c r="Y19" i="4"/>
  <c r="Y22" i="4" s="1"/>
  <c r="Y34" i="4" s="1"/>
  <c r="Y35" i="4" l="1"/>
  <c r="Y36" i="4" s="1"/>
  <c r="Y43" i="4" s="1"/>
  <c r="Z13" i="4" s="1"/>
  <c r="Z15" i="4" s="1"/>
  <c r="Y32" i="4"/>
  <c r="Z16" i="4" l="1"/>
  <c r="Z17" i="4" s="1"/>
  <c r="Z29" i="4" s="1"/>
  <c r="Z19" i="4" l="1"/>
  <c r="Z22" i="4" s="1"/>
  <c r="Z34" i="4" s="1"/>
  <c r="Z30" i="4"/>
  <c r="Z35" i="4" l="1"/>
  <c r="Z36" i="4" s="1"/>
  <c r="Z43" i="4" s="1"/>
  <c r="AA13" i="4" s="1"/>
  <c r="AA15" i="4" s="1"/>
  <c r="Z32" i="4"/>
  <c r="AA16" i="4" l="1"/>
  <c r="AA17" i="4" s="1"/>
  <c r="AA29" i="4" s="1"/>
  <c r="AA19" i="4" l="1"/>
  <c r="AA22" i="4" s="1"/>
  <c r="AA34" i="4" s="1"/>
  <c r="AA30" i="4"/>
  <c r="AA35" i="4" l="1"/>
  <c r="AA36" i="4" s="1"/>
  <c r="AA43" i="4" s="1"/>
  <c r="AB13" i="4" s="1"/>
  <c r="AB15" i="4" s="1"/>
  <c r="AA32" i="4"/>
  <c r="AB16" i="4" l="1"/>
  <c r="AB17" i="4" s="1"/>
  <c r="AB29" i="4" s="1"/>
  <c r="AB30" i="4" l="1"/>
  <c r="AB19" i="4"/>
  <c r="AB22" i="4" s="1"/>
  <c r="AB34" i="4" s="1"/>
  <c r="AB35" i="4" l="1"/>
  <c r="AB36" i="4" s="1"/>
  <c r="AB43" i="4" s="1"/>
  <c r="AC13" i="4" s="1"/>
  <c r="AC15" i="4" s="1"/>
  <c r="AB32" i="4"/>
  <c r="AC16" i="4" l="1"/>
  <c r="AC17" i="4" s="1"/>
  <c r="AC29" i="4" s="1"/>
  <c r="AC19" i="4" l="1"/>
  <c r="AC22" i="4" s="1"/>
  <c r="AC34" i="4" s="1"/>
  <c r="AC30" i="4"/>
  <c r="AC35" i="4" l="1"/>
  <c r="AC36" i="4" s="1"/>
  <c r="AC43" i="4" s="1"/>
  <c r="AD13" i="4" s="1"/>
  <c r="AD15" i="4" s="1"/>
  <c r="AC32" i="4"/>
  <c r="AD16" i="4" l="1"/>
  <c r="AD17" i="4" s="1"/>
  <c r="AD29" i="4" s="1"/>
  <c r="AD19" i="4" l="1"/>
  <c r="AD22" i="4" s="1"/>
  <c r="AD34" i="4" s="1"/>
  <c r="AD30" i="4"/>
  <c r="AD35" i="4" l="1"/>
  <c r="AD36" i="4" s="1"/>
  <c r="AD43" i="4" s="1"/>
  <c r="AE13" i="4" s="1"/>
  <c r="AE15" i="4" s="1"/>
  <c r="AD32" i="4"/>
  <c r="AE16" i="4" l="1"/>
  <c r="AE17" i="4" s="1"/>
  <c r="AE29" i="4" s="1"/>
  <c r="AE30" i="4" l="1"/>
  <c r="AE19" i="4"/>
  <c r="AE22" i="4" s="1"/>
  <c r="AE34" i="4" s="1"/>
  <c r="AE35" i="4" l="1"/>
  <c r="AE36" i="4" s="1"/>
  <c r="AE43" i="4" s="1"/>
  <c r="AF13" i="4" s="1"/>
  <c r="AF15" i="4" s="1"/>
  <c r="AE32" i="4"/>
  <c r="AF16" i="4" l="1"/>
  <c r="AF17" i="4" s="1"/>
  <c r="AF19" i="4" s="1"/>
  <c r="AF29" i="4" l="1"/>
  <c r="AF22" i="4"/>
  <c r="AF34" i="4" s="1"/>
  <c r="AF30" i="4"/>
  <c r="D70" i="4" l="1"/>
  <c r="AF35" i="4"/>
  <c r="AF36" i="4" s="1"/>
  <c r="AF43" i="4" s="1"/>
  <c r="AF32" i="4"/>
  <c r="D69" i="4" l="1"/>
  <c r="D71" i="4" s="1"/>
  <c r="E70" i="4" s="1"/>
  <c r="D77" i="4"/>
  <c r="D76" i="4"/>
  <c r="E69" i="4" l="1"/>
  <c r="D74" i="4"/>
  <c r="E77" i="4" s="1"/>
  <c r="D73" i="4" l="1"/>
  <c r="M39" i="1" s="1"/>
  <c r="H39" i="1"/>
  <c r="E7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THIAGO SANTOS FERREIRA</author>
    <author>Lara Filipa da Rosa Escoval</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4"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L48" authorId="4" shapeId="0" xr:uid="{848B7258-DF15-4D24-B932-F38AED7D259F}">
      <text>
        <r>
          <rPr>
            <sz val="10"/>
            <rFont val="Arial"/>
            <family val="2"/>
          </rPr>
          <t>Data extracted from Refinitiv already have Cash Outflows as negative values, but the Changes in Cash formula as it is doesn't consider that</t>
        </r>
      </text>
    </comment>
    <comment ref="F52" authorId="5" shapeId="0" xr:uid="{A902B67F-EA73-4AD2-83A2-666A77FFDAC2}">
      <text>
        <r>
          <rPr>
            <sz val="10"/>
            <rFont val="Arial"/>
            <family val="2"/>
          </rPr>
          <t xml:space="preserve">Lara Filipa da Rosa Escoval:
Verizon acquired Tracfone, a prepaid wireless company.
</t>
        </r>
      </text>
    </comment>
    <comment ref="I52" authorId="5" shapeId="0" xr:uid="{D2E5A8B4-F70A-4AED-8B42-BCE87823E604}">
      <text>
        <r>
          <rPr>
            <sz val="10"/>
            <rFont val="Arial"/>
            <family val="2"/>
          </rPr>
          <t xml:space="preserve">Lara Filipa da Rosa Escoval:
Verizon acquired Tracfone, a prepaid wireless company.
</t>
        </r>
      </text>
    </comment>
    <comment ref="L52" authorId="4" shapeId="0" xr:uid="{599051C8-8AE8-44C5-B4DE-B0D8B798D4B7}">
      <text>
        <r>
          <rPr>
            <sz val="10"/>
            <rFont val="Arial"/>
            <family val="2"/>
          </rPr>
          <t>Dividends are being accounted twice in the formula, because they already are included in the Financing CF</t>
        </r>
      </text>
    </comment>
    <comment ref="L55" authorId="4" shapeId="0" xr:uid="{8D0786D4-92BA-4867-926C-110DDE476738}">
      <text>
        <r>
          <rPr>
            <sz val="10"/>
            <rFont val="Arial"/>
            <family val="2"/>
          </rPr>
          <t>According to the Annual Report, the correct Changes in Cash would be -50$
Cash &amp; Eq in the Balance Sheet doesn't include Restricted Cash, which are taken into account in the Changes in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author>
  </authors>
  <commentList>
    <comment ref="H10" authorId="0" shapeId="0" xr:uid="{BF4B5B5B-9D10-47EB-8556-F449DF293687}">
      <text>
        <r>
          <rPr>
            <b/>
            <sz val="9"/>
            <color indexed="81"/>
            <rFont val="Tahoma"/>
            <family val="2"/>
          </rPr>
          <t>Diana:</t>
        </r>
        <r>
          <rPr>
            <sz val="9"/>
            <color indexed="81"/>
            <rFont val="Tahoma"/>
            <family val="2"/>
          </rPr>
          <t xml:space="preserve">
In November 2018, they announced a strategic reorganization of the business. Under the new structure, effective April 1, 2019, there
are two reportable segments that we operate and manage as strategic business units—Verizon Consumer Group (Consumer) and
Verizon Business Group (Business). Previous to that there were two reportable segments, Wireless and Wireline.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Gabriel Gonçalves</author>
  </authors>
  <commentList>
    <comment ref="G7" authorId="0" shapeId="0" xr:uid="{82646843-99F8-4CE7-8D39-06C8A758BC73}">
      <text>
        <r>
          <rPr>
            <b/>
            <sz val="9"/>
            <color indexed="81"/>
            <rFont val="Tahoma"/>
            <family val="2"/>
          </rPr>
          <t>Gabriel Gonçalves:</t>
        </r>
        <r>
          <rPr>
            <sz val="9"/>
            <color indexed="81"/>
            <rFont val="Tahoma"/>
            <family val="2"/>
          </rPr>
          <t xml:space="preserve">
Guidance</t>
        </r>
      </text>
    </comment>
    <comment ref="E23" authorId="0" shapeId="0" xr:uid="{766C4292-5C14-4D15-BC2D-D0140A3867AA}">
      <text>
        <r>
          <rPr>
            <b/>
            <sz val="9"/>
            <color indexed="81"/>
            <rFont val="Tahoma"/>
            <family val="2"/>
          </rPr>
          <t>Gabriel Gonçalves:</t>
        </r>
        <r>
          <rPr>
            <sz val="9"/>
            <color indexed="81"/>
            <rFont val="Tahoma"/>
            <family val="2"/>
          </rPr>
          <t xml:space="preserve">
deploy its new 5G network</t>
        </r>
      </text>
    </comment>
    <comment ref="F23" authorId="0" shapeId="0" xr:uid="{3CB52156-3AED-4A31-B143-447909ACA7FC}">
      <text>
        <r>
          <rPr>
            <b/>
            <sz val="9"/>
            <color indexed="81"/>
            <rFont val="Tahoma"/>
            <family val="2"/>
          </rPr>
          <t>Gabriel Gonçalves:</t>
        </r>
        <r>
          <rPr>
            <sz val="9"/>
            <color indexed="81"/>
            <rFont val="Tahoma"/>
            <family val="2"/>
          </rPr>
          <t xml:space="preserve">
C-Band spectrum stands to significantly expand the availability of higher-performance 5G connectivity around the country, providing fast speeds to more areas of the country than was previously possible. </t>
        </r>
      </text>
    </comment>
    <comment ref="G23" authorId="0" shapeId="0" xr:uid="{87E171A7-B16B-42E7-AE1C-36155F22C449}">
      <text>
        <r>
          <rPr>
            <b/>
            <sz val="9"/>
            <color indexed="81"/>
            <rFont val="Tahoma"/>
            <family val="2"/>
          </rPr>
          <t>Gabriel Gonçalves:</t>
        </r>
        <r>
          <rPr>
            <sz val="9"/>
            <color indexed="81"/>
            <rFont val="Tahoma"/>
            <family val="2"/>
          </rPr>
          <t xml:space="preserve">
GUIDANCE
Earnings Call: And as you know, we're doing all of this as our capital spending budget is expected to decline from $23.1 billion in 2022 to under $19 billion at the
midpoint of our guidance range this year, a reduction of nearly 20% year-over-year. In 2024, we expect our CapEx to be around $17 billion, which
we expect to represent the lowest capital intensity in over a decade and among the lowest in the industry. We expect we will deliver a best-in-class
network experience while reducing our 2022 CapEx levels by more than $5 billion over the next couple of years.
</t>
        </r>
      </text>
    </comment>
    <comment ref="G44" authorId="0" shapeId="0" xr:uid="{6FA08894-13F4-4E0B-9B68-9E0307ED52D4}">
      <text>
        <r>
          <rPr>
            <b/>
            <sz val="9"/>
            <color indexed="81"/>
            <rFont val="Tahoma"/>
            <family val="2"/>
          </rPr>
          <t>Gabriel Gonçalves:</t>
        </r>
        <r>
          <rPr>
            <sz val="9"/>
            <color indexed="81"/>
            <rFont val="Tahoma"/>
            <family val="2"/>
          </rPr>
          <t xml:space="preserve">
So that puts us in a position where we can start to see accelerated levels of debt reduction versus what you've seen in the past year
or so. So that's the targets we have ahead of us and look forward to discussing progress against that as we go forward here.</t>
        </r>
      </text>
    </comment>
    <comment ref="D50" authorId="0" shapeId="0" xr:uid="{DB1D3CBB-20F1-4DE9-9990-BA0330391B7B}">
      <text>
        <r>
          <rPr>
            <b/>
            <sz val="9"/>
            <color indexed="81"/>
            <rFont val="Tahoma"/>
            <family val="2"/>
          </rPr>
          <t>Gabriel Gonçalves:</t>
        </r>
        <r>
          <rPr>
            <sz val="9"/>
            <color indexed="81"/>
            <rFont val="Tahoma"/>
            <family val="2"/>
          </rPr>
          <t xml:space="preserve">
https://pages.stern.nyu.edu/~adamodar/New_Home_Page/datafile/ctryprem.html
100% USA</t>
        </r>
      </text>
    </comment>
    <comment ref="C62" authorId="0" shapeId="0" xr:uid="{E18D5A18-B3F8-4B00-873E-E4AFFD70852D}">
      <text>
        <r>
          <rPr>
            <b/>
            <sz val="9"/>
            <color indexed="81"/>
            <rFont val="Tahoma"/>
            <family val="2"/>
          </rPr>
          <t>Gabriel Gonçalves:</t>
        </r>
        <r>
          <rPr>
            <sz val="9"/>
            <color indexed="81"/>
            <rFont val="Tahoma"/>
            <family val="2"/>
          </rPr>
          <t xml:space="preserve">
high capital expenditures to maintain the network infrastructures and licence rights.</t>
        </r>
      </text>
    </comment>
    <comment ref="C64" authorId="0" shapeId="0" xr:uid="{1CA0B7AA-FBD0-40B0-92C1-16F9CC55E2E3}">
      <text>
        <r>
          <rPr>
            <b/>
            <sz val="9"/>
            <color indexed="81"/>
            <rFont val="Tahoma"/>
            <family val="2"/>
          </rPr>
          <t>Gabriel Gonçalves:</t>
        </r>
        <r>
          <rPr>
            <sz val="9"/>
            <color indexed="81"/>
            <rFont val="Tahoma"/>
            <family val="2"/>
          </rPr>
          <t xml:space="preserve">
“As the strongest cash generating company in the industry, we have raised our dividend 16 years in a row,” </t>
        </r>
      </text>
    </comment>
    <comment ref="C65" authorId="0" shapeId="0" xr:uid="{7A17FF47-1786-486C-AFCC-5745314035E9}">
      <text>
        <r>
          <rPr>
            <b/>
            <sz val="9"/>
            <color indexed="81"/>
            <rFont val="Tahoma"/>
            <family val="2"/>
          </rPr>
          <t>Gabriel Gonçalves:</t>
        </r>
        <r>
          <rPr>
            <sz val="9"/>
            <color indexed="81"/>
            <rFont val="Tahoma"/>
            <family val="2"/>
          </rPr>
          <t xml:space="preserve">
Verizon hasn’t done any significant buyback in the last years, opting instead to distribute a big and consistent dividend which has increased through the years
During the years ended December 31, 2022 and 2021, Verizon did not repurchase any shares of the Company's common stock under our authorized share buyback program. At December 31, 2022, the maximum number of shares that could be purchased by or on behalf of Verizon under our share buyback program was 100 million.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author>
  </authors>
  <commentList>
    <comment ref="B43" authorId="0" shapeId="0" xr:uid="{794F5435-FE99-4F59-BAD0-8AE629223364}">
      <text>
        <r>
          <rPr>
            <b/>
            <sz val="9"/>
            <color indexed="81"/>
            <rFont val="Tahoma"/>
            <family val="2"/>
          </rPr>
          <t>Diana:</t>
        </r>
        <r>
          <rPr>
            <sz val="9"/>
            <color indexed="81"/>
            <rFont val="Tahoma"/>
            <family val="2"/>
          </rPr>
          <t xml:space="preserve">
https://pages.stern.nyu.edu/~adamodar/New_Home_Page/datafile/ratings.html</t>
        </r>
      </text>
    </comment>
    <comment ref="B46" authorId="0" shapeId="0" xr:uid="{5B2BE5FC-28AD-45CF-ABE5-141E51A93117}">
      <text>
        <r>
          <rPr>
            <b/>
            <sz val="9"/>
            <color indexed="81"/>
            <rFont val="Tahoma"/>
            <family val="2"/>
          </rPr>
          <t>Diana:</t>
        </r>
        <r>
          <rPr>
            <sz val="9"/>
            <color indexed="81"/>
            <rFont val="Tahoma"/>
            <family val="2"/>
          </rPr>
          <t xml:space="preserve">
https://pages.stern.nyu.edu/~adamodar/New_Home_Page/datafile/ctryprem.html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Gabriel Gonçalves</author>
  </authors>
  <commentList>
    <comment ref="B36" authorId="0" shapeId="0" xr:uid="{2E8BC754-9F00-49C3-9B6C-50730EA153E5}">
      <text>
        <r>
          <rPr>
            <b/>
            <sz val="9"/>
            <color indexed="81"/>
            <rFont val="Tahoma"/>
            <family val="2"/>
          </rPr>
          <t>Gabriel Gonçalves:</t>
        </r>
        <r>
          <rPr>
            <sz val="9"/>
            <color indexed="81"/>
            <rFont val="Tahoma"/>
            <family val="2"/>
          </rPr>
          <t xml:space="preserve">
28B Goodwill
149B Wireless licenses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2"/>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<sst xmlns="http://schemas.openxmlformats.org/spreadsheetml/2006/main" count="2039" uniqueCount="873">
  <si>
    <t>Team 4</t>
  </si>
  <si>
    <t>NYSE</t>
  </si>
  <si>
    <t xml:space="preserve">SIC: </t>
  </si>
  <si>
    <t>COMPANY DESCRIPTION</t>
  </si>
  <si>
    <t>CEO &amp; BOARD OF DIRECTORS</t>
  </si>
  <si>
    <t>Name</t>
  </si>
  <si>
    <t>Gender</t>
  </si>
  <si>
    <t>Age</t>
  </si>
  <si>
    <t>Tenure</t>
  </si>
  <si>
    <t>Executive?</t>
  </si>
  <si>
    <t>Other roles</t>
  </si>
  <si>
    <t>Hans Vestberg</t>
  </si>
  <si>
    <t>M</t>
  </si>
  <si>
    <t>Yes</t>
  </si>
  <si>
    <t>Chairman and Chief Executive Officer of verizon Communications Inc.</t>
  </si>
  <si>
    <t xml:space="preserve">Clarence Otis, Jr. </t>
  </si>
  <si>
    <t>No</t>
  </si>
  <si>
    <t>Former Chairmanand Chief executive Officer of Darden Restaurents, Inc.</t>
  </si>
  <si>
    <t>Shellye L. Archambeau</t>
  </si>
  <si>
    <t>F</t>
  </si>
  <si>
    <t>Former Chief Execituve Officer of MetricStream, Inc.</t>
  </si>
  <si>
    <t>Roxanne S. Austin</t>
  </si>
  <si>
    <t>President and Chief Executive Officer of Austin Investement Advisors</t>
  </si>
  <si>
    <t>Mark T. Bertolini</t>
  </si>
  <si>
    <t>Chief Executive Officer of Oscar Health, Inc.</t>
  </si>
  <si>
    <t>Vittorio Colao</t>
  </si>
  <si>
    <t>Former Italian Minister for Innovation, Digital Transition and Space and Former Chief Executive of Vodafine Group Plc</t>
  </si>
  <si>
    <t xml:space="preserve">Melanie L. Healey </t>
  </si>
  <si>
    <t>Former Group President of The Procter &amp; Gamble Company</t>
  </si>
  <si>
    <t>Laxman Narasimhan</t>
  </si>
  <si>
    <t>Chief Executive Officer of Starbucks Corporation</t>
  </si>
  <si>
    <t>Daniel H. Schulman</t>
  </si>
  <si>
    <t>Presindet and Chied Executive Officer of PayPal Holdings, Inc.</t>
  </si>
  <si>
    <t>Rodney E. Slater</t>
  </si>
  <si>
    <t>Partner at Squire Patton Boggs LLP</t>
  </si>
  <si>
    <t>Carol B. Tomé</t>
  </si>
  <si>
    <t>Chief Executive officer, United Parcel Service, Inc.</t>
  </si>
  <si>
    <t>USD MILLIONS</t>
  </si>
  <si>
    <t>Gregory G. Weaver</t>
  </si>
  <si>
    <t>Former Chairman and Chief Executive Officer of Delotte &amp; Touche LLP</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</si>
  <si>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</si>
  <si>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</si>
  <si>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</si>
  <si>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</si>
  <si>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</si>
  <si>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</si>
  <si>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</si>
  <si>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</si>
  <si>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</si>
  <si>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</si>
  <si>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</si>
  <si>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</si>
  <si>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</si>
  <si>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</si>
  <si>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</si>
  <si>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1 October 2022</t>
  </si>
  <si>
    <t>Insiders Own</t>
  </si>
  <si>
    <t>Market Cap.</t>
  </si>
  <si>
    <t>Cash/Share</t>
  </si>
  <si>
    <t>EBITDA</t>
  </si>
  <si>
    <t>b (Yahoo)</t>
  </si>
  <si>
    <t>+Total Debt</t>
  </si>
  <si>
    <t>EBIDTA/Net Financial Cost (NFC)</t>
  </si>
  <si>
    <t>Depreciation &amp; Amortization</t>
  </si>
  <si>
    <t>Score (S&amp;P)</t>
  </si>
  <si>
    <t>BBB+</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</si>
  <si>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</si>
  <si>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</si>
  <si>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</si>
  <si>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</si>
  <si>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</si>
  <si>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</si>
  <si>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</si>
  <si>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</si>
  <si>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</si>
  <si>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</si>
  <si>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</si>
  <si>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</si>
  <si>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</si>
  <si>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</si>
  <si>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</si>
  <si>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</si>
  <si>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</si>
  <si>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</si>
  <si>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</si>
  <si>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</si>
  <si>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</si>
  <si>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EV/Ebidta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</si>
  <si>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</si>
  <si>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</si>
  <si>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</si>
  <si>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</si>
  <si>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</si>
  <si>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</si>
  <si>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</si>
  <si>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</si>
  <si>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</si>
  <si>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</si>
  <si>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</si>
  <si>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</si>
  <si>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</si>
  <si>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</si>
  <si>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</si>
  <si>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</si>
  <si>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</si>
  <si>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</si>
  <si>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</si>
  <si>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BUY</t>
  </si>
  <si>
    <t>Check DCF</t>
  </si>
  <si>
    <t>5G</t>
  </si>
  <si>
    <t>Verizon has been leading the development of 5G wireless technology industry standards and the
ecosystems for fixed and mobile 5G wireless services.</t>
  </si>
  <si>
    <t>Steady Demand</t>
  </si>
  <si>
    <t>It's anticipate that demand will continue to increase over time, driven by growth in customer connections and the increased usage of wireless broadband services that use more bandwidth and require faster rates of speed, providing a reliable source of revenue.</t>
  </si>
  <si>
    <t>Network quality</t>
  </si>
  <si>
    <t>Their network differentiation will be the cornerstone of their service revenue growth and that will allow the attraction the highest quality customer base in the industry and maintain a market-leading share of the B2B market.</t>
  </si>
  <si>
    <t>Risks of Investment</t>
  </si>
  <si>
    <t>Price Target</t>
  </si>
  <si>
    <t>Valuation</t>
  </si>
  <si>
    <t>Risk</t>
  </si>
  <si>
    <t>Discount Rate</t>
  </si>
  <si>
    <t>Upside</t>
  </si>
  <si>
    <t>Competitive market</t>
  </si>
  <si>
    <t>Many other companies have strong market presence, brand recognition and existing customer relationships, all of which contribute to intensifying competition that may affect future revenue growth.</t>
  </si>
  <si>
    <t xml:space="preserve">Cybersecurity </t>
  </si>
  <si>
    <t xml:space="preserve">The inability to operate or use the networks and systems or those of suppliers, vendors and other service providers as a result of cyber attacks, even for a limited period of time, may result in significant expenses to Verizon and/or a loss of marketshare to our competitors. </t>
  </si>
  <si>
    <t>Regulatory and Political Changes</t>
  </si>
  <si>
    <t>Data privacy regulations can affect how telecommunications companies collect, store, and use customer data and changes in spectrum allocation policies can affect the availability and cost of spectrum for telecommunications companies, impacting their ability to provide services and innovate.</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</si>
  <si>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</si>
  <si>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</si>
  <si>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</si>
  <si>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</si>
  <si>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</si>
  <si>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</si>
  <si>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</si>
  <si>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</si>
  <si>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</si>
  <si>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</si>
  <si>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</si>
  <si>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</si>
  <si>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</si>
  <si>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</si>
  <si>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</si>
  <si>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</si>
  <si>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</si>
  <si>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</si>
  <si>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</si>
  <si>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</si>
  <si>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</si>
  <si>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</si>
  <si>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</si>
  <si>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</si>
  <si>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</si>
  <si>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</si>
  <si>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</si>
  <si>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</si>
  <si>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 Stake</t>
  </si>
  <si>
    <t>Market Leader; Strong Network Infraestructure; Diverse Service Portfolio; Strong brand Presence (reputation for reliability and quality)</t>
  </si>
  <si>
    <t>High Operating Costs; Competetive Pricing Pressure; Regulatory Challenges</t>
  </si>
  <si>
    <t>Opportunities</t>
  </si>
  <si>
    <t>Risks</t>
  </si>
  <si>
    <t>5G Expansion; Diversification; Global expansion</t>
  </si>
  <si>
    <t>Highly competitive market; Low diversity of supliers; Technological Disruption;  Economic Downturn</t>
  </si>
  <si>
    <t>NOTES</t>
  </si>
  <si>
    <t>STOCK PERFORMANCE (5 years)</t>
  </si>
  <si>
    <t xml:space="preserve">Verizon's mobile network is the largest wireless carrier in the United States, with 143.3 million subscribers as of the end of Q2 2023. Verizon currently owns the 8.5% market share of the entire global telecommunication services industry      </t>
  </si>
  <si>
    <t>Products</t>
  </si>
  <si>
    <t>Nominal value</t>
  </si>
  <si>
    <t>YoY Growth</t>
  </si>
  <si>
    <t>Consumer Segment</t>
  </si>
  <si>
    <t>Weight</t>
  </si>
  <si>
    <t>Region</t>
  </si>
  <si>
    <t>Verizon Consumer Group</t>
  </si>
  <si>
    <t>United States (U.S.)</t>
  </si>
  <si>
    <t>Services</t>
  </si>
  <si>
    <t>TOTAL</t>
  </si>
  <si>
    <t>Wireless equipment</t>
  </si>
  <si>
    <t>Other</t>
  </si>
  <si>
    <t>Total Operating Revenues</t>
  </si>
  <si>
    <t>Category</t>
  </si>
  <si>
    <t>Verizon Business Group</t>
  </si>
  <si>
    <t>Small and Medium Business</t>
  </si>
  <si>
    <t>Corporate and other</t>
  </si>
  <si>
    <t>Global Enterprise</t>
  </si>
  <si>
    <t>Public Sector and Other</t>
  </si>
  <si>
    <t>Business Segment</t>
  </si>
  <si>
    <t>Wholesale</t>
  </si>
  <si>
    <t>Description</t>
  </si>
  <si>
    <t>Graphs</t>
  </si>
  <si>
    <t xml:space="preserve"> </t>
  </si>
  <si>
    <t xml:space="preserve">Provides consumer-focused wireless and wireline communications services and products. </t>
  </si>
  <si>
    <t>Provides wireless and wireline communications services and products to businesses, government customers and wireless and wireline carriers across the U.S. and select products and services to customers around the world.</t>
  </si>
  <si>
    <t>Primarily includes insurance captives, investments in unconsolidated businesses and development stage businesses.</t>
  </si>
  <si>
    <t>Industry</t>
  </si>
  <si>
    <t>Graphs (Industry Forecasts)</t>
  </si>
  <si>
    <t>Drivers</t>
  </si>
  <si>
    <t>Consumer Satisfaction</t>
  </si>
  <si>
    <t>Growth based on delivering what customers want and need in the digital world.</t>
  </si>
  <si>
    <t>5G Technology Advancements</t>
  </si>
  <si>
    <t>Deploying new network architecture and technologies to secure leadership in both fourth-generation (4G) and fifth-generation (5G) wireless networks creates new opportunities in the business market in a cost efficient manner.</t>
  </si>
  <si>
    <t>Cybersecurity</t>
  </si>
  <si>
    <t>Regulatory changes in this area are important to the development of tecnology and  security and managed network services.</t>
  </si>
  <si>
    <t>Sales forecast</t>
  </si>
  <si>
    <t>Source</t>
  </si>
  <si>
    <t>Market Growth CGAR</t>
  </si>
  <si>
    <t>Period</t>
  </si>
  <si>
    <t>Grand View Research</t>
  </si>
  <si>
    <t>2023-2030</t>
  </si>
  <si>
    <t>Statista</t>
  </si>
  <si>
    <t>2023-2028</t>
  </si>
  <si>
    <t>Analysys Mason</t>
  </si>
  <si>
    <t>2021-2026</t>
  </si>
  <si>
    <t>Transparency Market Research</t>
  </si>
  <si>
    <t>2020-2030</t>
  </si>
  <si>
    <t>Company's Strategy / Extra Notes</t>
  </si>
  <si>
    <t>To compete effectively in today’s dynamic marketplace, we are focused on the capabilities of our high-performing networks to
drive growth based on delivering what customers want and need in the digital world. In 2022, we focused on maintaining our
network leadership, including by rapidly deploying C-Band spectrum; retaining and growing our high-quality customer base while
balancing profitability in challenging market conditions; and driving monetization of our networks, platforms and solutions. We are
creating business value by earning the trust of our stakeholders, limiting our environmental impact and supporting our customer
base growth while creating social benefit through our products and services.</t>
  </si>
  <si>
    <t>Invertir</t>
  </si>
  <si>
    <t>NO invertir</t>
  </si>
  <si>
    <t>Mantener sin elevar posición</t>
  </si>
  <si>
    <t>Mantener (y seguir comprando)</t>
  </si>
  <si>
    <t>Liquidar</t>
  </si>
  <si>
    <t>PENDIENTE</t>
  </si>
  <si>
    <t>Peer Logo</t>
  </si>
  <si>
    <t>Peer Name</t>
  </si>
  <si>
    <t xml:space="preserve">AT&amp;T Inc. is a holding company. The Company is a provider of telecommunications and technology services globally. The Company operates through two segments, namely Communications and Latin America. The Communications segment provides wireless and wireline telecom and broadband services to consumers located in the United States and globally. The business units of the Communication segment include Mobility, Business Wireline, and Consumer Wireline. </t>
  </si>
  <si>
    <t xml:space="preserve">T-Mobile US, Inc. is a provider of mobile communications services, including voice, messaging and data, under its flagship brands, T-Mobile and Metro by T-Mobile, in the United States, Puerto Rico and the United States Virgin Islands. The Company provides mobile communications services primarily using its fourth generation (4G) long term evolution network and its fifth generation (5G) technology network. It also offers a selection of wireless devices, including handsets, tablets and other mobile communication devices, and accessories for sale, as well as financing through equipment installment plans and leasing through JUMP! On Demand. </t>
  </si>
  <si>
    <t xml:space="preserve">Comcast Corporation is a global media and technology company. The Company provides broadband, wireless, and video through Xfinity, Comcast Business, and Sky; produce, distribute, and stream entertainment, sports, and news through brands, including NBC, Telemundo, Universal, Peacock, and Sky; and brings theme parks and attractions to life through Universal Destinations and Experiences. The Company operates through two primary businesses, namely Connectivity &amp; Platforms and Content &amp; Experiences. </t>
  </si>
  <si>
    <t>Charter Communications, Inc. is a broadband connectivity company and cable operator serving more than 32 million customers in 41 states through its Spectrum brand. The Company offers a range of residential and business services including Spectrum Internet, television (TV), mobile and voice. The Company also distributes news coverage and sports programming to its customers through Spectrum Networks. Its Spectrum Mobile service is offered to customers subscribing to its Internet service, and runs on Verizon Communications Inc.(Verizon) mobile network, combined with Spectrum WiFi.</t>
  </si>
  <si>
    <t>Lumen Technologies, Inc. is an international facilities-based technology and communications company. The Company is engaged primarily in providing a range of integrated services to its business and mass-market customers. It conducts its operations under three brands: Lumen, which is its flagship brand for serving the enterprise and wholesale markets; Quantum Fiber, which provides fiber-based services to residential and small business customers, and CenturyLink, which offers mass-marketed legacy copper-based services. The Company’s segments include Business Segment and Mass Markets Segment.</t>
  </si>
  <si>
    <t>In Millions USD (exc Market Cap)</t>
  </si>
  <si>
    <t>AVERAGE</t>
  </si>
  <si>
    <t>Deviation from Average</t>
  </si>
  <si>
    <t>Company Info</t>
  </si>
  <si>
    <t>TRAFFIC</t>
  </si>
  <si>
    <t>Market Cap</t>
  </si>
  <si>
    <t>Best Value</t>
  </si>
  <si>
    <t>Net Sales (current)</t>
  </si>
  <si>
    <t>Profitability</t>
  </si>
  <si>
    <t>Middle Ground</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</si>
  <si>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</si>
  <si>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</si>
  <si>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</si>
  <si>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</si>
  <si>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</si>
  <si>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</si>
  <si>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</si>
  <si>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</si>
  <si>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</si>
  <si>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</si>
  <si>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</si>
  <si>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</si>
  <si>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</si>
  <si>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</si>
  <si>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</si>
  <si>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</si>
  <si>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</si>
  <si>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</si>
  <si>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</si>
  <si>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</si>
  <si>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</si>
  <si>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</si>
  <si>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</si>
  <si>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</si>
  <si>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</si>
  <si>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</si>
  <si>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</si>
  <si>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</si>
  <si>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</si>
  <si>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</si>
  <si>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</si>
  <si>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</si>
  <si>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</si>
  <si>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</si>
  <si>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Financial Data</t>
  </si>
  <si>
    <t>IS</t>
  </si>
  <si>
    <t>Net Sales (36m ago)</t>
  </si>
  <si>
    <t>Net Sales (12m ago)</t>
  </si>
  <si>
    <t>COGS</t>
  </si>
  <si>
    <t>Operating Income</t>
  </si>
  <si>
    <t>Net Financial Cost</t>
  </si>
  <si>
    <t>Taxes</t>
  </si>
  <si>
    <t>BS</t>
  </si>
  <si>
    <t>Cash &amp; Eq.</t>
  </si>
  <si>
    <t>Acc. Receivables</t>
  </si>
  <si>
    <t>Inventory</t>
  </si>
  <si>
    <t>Current Assets</t>
  </si>
  <si>
    <t>Fixed Assets</t>
  </si>
  <si>
    <t>Acc. Payable</t>
  </si>
  <si>
    <t>Current Liabilities</t>
  </si>
  <si>
    <t>Total Debt</t>
  </si>
  <si>
    <t>Total Equity</t>
  </si>
  <si>
    <t>Company GICS Sector:</t>
  </si>
  <si>
    <t>Communication Services</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</si>
  <si>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</si>
  <si>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</si>
  <si>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</si>
  <si>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</si>
  <si>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</si>
  <si>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</si>
  <si>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</si>
  <si>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</si>
  <si>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</si>
  <si>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</si>
  <si>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</si>
  <si>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</si>
  <si>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</si>
  <si>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</si>
  <si>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</si>
  <si>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CO2 Emissions/$M Sales</t>
  </si>
  <si>
    <t>Total Water Consumption</t>
  </si>
  <si>
    <t>Water Consumption/$M Sales</t>
  </si>
  <si>
    <t>Total Energy Consumption</t>
  </si>
  <si>
    <t>"Best in class"</t>
  </si>
  <si>
    <t xml:space="preserve">For the 10th consecutive year, the EPA named Verizon an ENERGY
STAR Partner of the Year and was again recognized with a Sustained Excellence designation. </t>
  </si>
  <si>
    <t>Energy Consumption/$M Sales</t>
  </si>
  <si>
    <t>Waste Management</t>
  </si>
  <si>
    <t>Waste Production/$M Sales</t>
  </si>
  <si>
    <t>Land Degradation/Deforestation/Biodiversity loss/Animal sufering/…</t>
  </si>
  <si>
    <t>Inputs</t>
  </si>
  <si>
    <t>Social</t>
  </si>
  <si>
    <t>Net Sales ($M)</t>
  </si>
  <si>
    <t>Employee Turnover %</t>
  </si>
  <si>
    <t>Employee’s turnover sits below 5%</t>
  </si>
  <si>
    <t>CO2 Emissions Total (Tonnes)</t>
  </si>
  <si>
    <t>Salaries &amp; Compensation</t>
  </si>
  <si>
    <t>Medium High</t>
  </si>
  <si>
    <t xml:space="preserve">In 2022, Verizon invested $2.5 billion to provide healthcare benefits and services to approximately 460,000 employees, eligible retirees and their dependents. </t>
  </si>
  <si>
    <t>Water Consumption Total (Cubic Meters)</t>
  </si>
  <si>
    <t>Reputation</t>
  </si>
  <si>
    <t>Energy Consumption Total (Gigajoules)</t>
  </si>
  <si>
    <t>Discrimination Events</t>
  </si>
  <si>
    <t>Waste Production Total (Tonnes)</t>
  </si>
  <si>
    <t>Work Safety</t>
  </si>
  <si>
    <t>None</t>
  </si>
  <si>
    <t>In 2022, occupational injuries and illnesses rate was
1.1 per 100 employees, well below the Bureau of Labor Statistics telecommunications industry average of 1.7</t>
  </si>
  <si>
    <t>ESG Scores</t>
  </si>
  <si>
    <t>Damage to consumer health</t>
  </si>
  <si>
    <t>Refinitiv</t>
  </si>
  <si>
    <t>72/100</t>
  </si>
  <si>
    <t>76/100</t>
  </si>
  <si>
    <t>64/100</t>
  </si>
  <si>
    <t>66/100</t>
  </si>
  <si>
    <t>43/100</t>
  </si>
  <si>
    <t>Not scored</t>
  </si>
  <si>
    <t>PXP?</t>
  </si>
  <si>
    <t>Sustainalytics</t>
  </si>
  <si>
    <t>18,6 (Low Risk)</t>
  </si>
  <si>
    <t>23,9 (Medium Risk)</t>
  </si>
  <si>
    <t>24,7 (Medium Risk)</t>
  </si>
  <si>
    <t>23,1 (Medium risk)</t>
  </si>
  <si>
    <t>24,2 (Medium Risk)</t>
  </si>
  <si>
    <t>26,1 (Medium Risk)</t>
  </si>
  <si>
    <t>Supply chain</t>
  </si>
  <si>
    <t>Medium</t>
  </si>
  <si>
    <t>supplier diversity for over 15 years</t>
  </si>
  <si>
    <t>ISS</t>
  </si>
  <si>
    <t>Community involvement</t>
  </si>
  <si>
    <t>CDP</t>
  </si>
  <si>
    <t>B</t>
  </si>
  <si>
    <t>A</t>
  </si>
  <si>
    <t>A-</t>
  </si>
  <si>
    <t>Not Scored</t>
  </si>
  <si>
    <t>Public Sector</t>
  </si>
  <si>
    <t>Litigation</t>
  </si>
  <si>
    <t>Verizon is involved in various litigation and regulatory proceedings at the state and federal level but they don't believe that any pending legal proceedings to which they're subject are required to be disclosed as material legal proceedings in the report.</t>
  </si>
  <si>
    <t>Corporate Governance</t>
  </si>
  <si>
    <t>PARAMETERS</t>
  </si>
  <si>
    <t>Diversity (Gender, Age, Industry, Region)</t>
  </si>
  <si>
    <t xml:space="preserve">As of December 31, 2022, the 12-member Board
included four women and five Directors who self-identify as racially
or ethnically diverse. </t>
  </si>
  <si>
    <t>IMPACT</t>
  </si>
  <si>
    <t>RANKING</t>
  </si>
  <si>
    <t>MITIGATION PLAN</t>
  </si>
  <si>
    <t>% Independence</t>
  </si>
  <si>
    <t>91.67% of board members are independent.</t>
  </si>
  <si>
    <t>Low</t>
  </si>
  <si>
    <t>Is there evidence of a plan/program ?</t>
  </si>
  <si>
    <t>average time as independent directors</t>
  </si>
  <si>
    <t>6.98 Yrs average board tenure.</t>
  </si>
  <si>
    <t>Recent departures of directors / C-level executives?</t>
  </si>
  <si>
    <t>Mr. Colao was elected to the Board in November 2022 as an independent Director.</t>
  </si>
  <si>
    <t>High</t>
  </si>
  <si>
    <t>CEO/Chairman duality</t>
  </si>
  <si>
    <t>"Villain"</t>
  </si>
  <si>
    <t>Hans Vestberg is the CEO and Chairman since 2019.</t>
  </si>
  <si>
    <t>Very high</t>
  </si>
  <si>
    <t>Transparency (ESG, segments, acquisitions, other)</t>
  </si>
  <si>
    <t>The information of the board about their public profile is available 
and accurately disclosed.</t>
  </si>
  <si>
    <t>Time taken to report after the end of the quarter / year</t>
  </si>
  <si>
    <t>1Q was released on 27/04/2023 and the Annual Report was released on 10/02/2023.</t>
  </si>
  <si>
    <t>Additional participation of the CEO in other boards or excessive participation of Ch.</t>
  </si>
  <si>
    <t>Audit / Consulting</t>
  </si>
  <si>
    <t>The company hasn't paid for any extra services.</t>
  </si>
  <si>
    <t>ESG-compensation related</t>
  </si>
  <si>
    <t xml:space="preserve">For over 20 years, our short-term incentive program has included an ESG metric. </t>
  </si>
  <si>
    <t>Management compensation schemes</t>
  </si>
  <si>
    <t>Directors and executive officers have interests in other stock-based units under Verizon deferred compensation plans and stock-based long-term incentive awards. There is alignment with shareholders' interests and the same incentives to drive the company's success.</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</si>
  <si>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</si>
  <si>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</si>
  <si>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</si>
  <si>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</si>
  <si>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</si>
  <si>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</si>
  <si>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</si>
  <si>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</si>
  <si>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</si>
  <si>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</si>
  <si>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</si>
  <si>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</si>
  <si>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</si>
  <si>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</si>
  <si>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</si>
  <si>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</si>
  <si>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</si>
  <si>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</si>
  <si>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</si>
  <si>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EBIDTA</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</si>
  <si>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</si>
  <si>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</si>
  <si>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</si>
  <si>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</si>
  <si>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</si>
  <si>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</si>
  <si>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</si>
  <si>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</si>
  <si>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</si>
  <si>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</si>
  <si>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</si>
  <si>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</si>
  <si>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</si>
  <si>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</si>
  <si>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</si>
  <si>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</si>
  <si>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</si>
  <si>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</si>
  <si>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</si>
  <si>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</si>
  <si>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</si>
  <si>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</si>
  <si>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</si>
  <si>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</si>
  <si>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</si>
  <si>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</si>
  <si>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</si>
  <si>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amorization</t>
  </si>
  <si>
    <t>PPE+Right of use Assets</t>
  </si>
  <si>
    <t>x</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</si>
  <si>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</si>
  <si>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</si>
  <si>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</si>
  <si>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</si>
  <si>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</si>
  <si>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</si>
  <si>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</si>
  <si>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</si>
  <si>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</si>
  <si>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</si>
  <si>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</si>
  <si>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</si>
  <si>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</si>
  <si>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</si>
  <si>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</si>
  <si>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</si>
  <si>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</si>
  <si>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</si>
  <si>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</si>
  <si>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</si>
  <si>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</si>
  <si>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</si>
  <si>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(line 9)</t>
  </si>
  <si>
    <t>Interest Rate on debt</t>
  </si>
  <si>
    <t>% debt (l29)</t>
  </si>
  <si>
    <t>Interest Rate on cash</t>
  </si>
  <si>
    <t>% of cash (l28)</t>
  </si>
  <si>
    <t>PPE+ROA</t>
  </si>
  <si>
    <t>Growing with capex</t>
  </si>
  <si>
    <t>Working capital flows</t>
  </si>
  <si>
    <t>% of change revenues (l2)</t>
  </si>
  <si>
    <t>Intangible Assets</t>
  </si>
  <si>
    <t>Growing with amortization</t>
  </si>
  <si>
    <t xml:space="preserve">Capex </t>
  </si>
  <si>
    <t>% revenue (l2)</t>
  </si>
  <si>
    <t>Acquisition factor</t>
  </si>
  <si>
    <t>% net income (11)</t>
  </si>
  <si>
    <t>Repurchases</t>
  </si>
  <si>
    <t>Leases</t>
  </si>
  <si>
    <t>$ millions</t>
  </si>
  <si>
    <t>Value of flows</t>
  </si>
  <si>
    <t>Value of perpetuity</t>
  </si>
  <si>
    <t>Total Value</t>
  </si>
  <si>
    <t>Actual share price</t>
  </si>
  <si>
    <t>Total value vs Mkt Cap</t>
  </si>
  <si>
    <t>Estimated NPV per share</t>
  </si>
  <si>
    <t>Sensibility</t>
  </si>
  <si>
    <t>Sensitivity +0.1%</t>
  </si>
  <si>
    <t>Sensitivity +0.5%</t>
  </si>
  <si>
    <t>Notes</t>
  </si>
  <si>
    <t>EPS 2023 Model</t>
  </si>
  <si>
    <t>EPS 2023 Guidance</t>
  </si>
  <si>
    <t>4.55 - 4.85</t>
  </si>
  <si>
    <t>Amount outstanding
 (at maturity)</t>
  </si>
  <si>
    <t>Coupon rate</t>
  </si>
  <si>
    <t>Maturity date</t>
  </si>
  <si>
    <t>Company totals</t>
  </si>
  <si>
    <t>Dollars in millions</t>
  </si>
  <si>
    <t>Debt maturing within one year</t>
  </si>
  <si>
    <t>Commericail Paper</t>
  </si>
  <si>
    <t>Verizon Communications Inc.</t>
  </si>
  <si>
    <t>€685(a)</t>
  </si>
  <si>
    <t>SOFR+0.50%</t>
  </si>
  <si>
    <t>£413(a)</t>
  </si>
  <si>
    <t>Private placements</t>
  </si>
  <si>
    <t>Total debt maturing within one year</t>
  </si>
  <si>
    <t>Long-term debt</t>
  </si>
  <si>
    <t>Verizon Pennsylvania LLC</t>
  </si>
  <si>
    <t>Verizon Maryland LLC</t>
  </si>
  <si>
    <t>Verizon Virginia LLC</t>
  </si>
  <si>
    <t>Verizon Delaware LLC</t>
  </si>
  <si>
    <t>Verizon New Jersey Inc.</t>
  </si>
  <si>
    <t>Verizon New England Inc.</t>
  </si>
  <si>
    <t>Verizon New York Inc.</t>
  </si>
  <si>
    <t>Alltel Corporation</t>
  </si>
  <si>
    <t>€1,000(a)</t>
  </si>
  <si>
    <t>LIBOR+1.10%</t>
  </si>
  <si>
    <t>€1,250(a)</t>
  </si>
  <si>
    <t>SOFR+0.79%</t>
  </si>
  <si>
    <t>CHF400(a)</t>
  </si>
  <si>
    <t>CAD$1,000(a)</t>
  </si>
  <si>
    <t>CHF375(a)</t>
  </si>
  <si>
    <t>£600(a)</t>
  </si>
  <si>
    <t>€750(a)</t>
  </si>
  <si>
    <t>£550(a)</t>
  </si>
  <si>
    <t>CHF325(a)</t>
  </si>
  <si>
    <t>£500(a)</t>
  </si>
  <si>
    <t>€800(a)</t>
  </si>
  <si>
    <t>€1,350(a)</t>
  </si>
  <si>
    <t>£457(a)</t>
  </si>
  <si>
    <t>£450(a)</t>
  </si>
  <si>
    <t>£1,000(a)</t>
  </si>
  <si>
    <t>€1,500(a)</t>
  </si>
  <si>
    <t>€500(a)</t>
  </si>
  <si>
    <t>CAD$300(a)</t>
  </si>
  <si>
    <t>CAD$500(a)</t>
  </si>
  <si>
    <t>Private Placements</t>
  </si>
  <si>
    <t>Total long-term debt</t>
  </si>
  <si>
    <t>Total debt as of September 30, 2023</t>
  </si>
  <si>
    <t>Note: Amounts above represent outstanding par value of borrowings as of Septmeber 30, 2023 and do not include adjustments and other items typically included within "DEBT MATURING WITHIN ONE YEAR" and "LONG-TERM DEBT" for financial reporting purposes.  Amounts may not add due to rounding.</t>
  </si>
  <si>
    <t>(a) At issuance, the Issuer entered into cross currency swaps to exchange the cash proceeds and the future principal and interest payments in US dollars.</t>
  </si>
  <si>
    <t>Assumptions</t>
  </si>
  <si>
    <t xml:space="preserve">Average </t>
  </si>
  <si>
    <t>Short Term Forecast</t>
  </si>
  <si>
    <t>Long Term Forecast</t>
  </si>
  <si>
    <t>Revenue growth</t>
  </si>
  <si>
    <t>Modelling Factors</t>
  </si>
  <si>
    <t>Last 5 Years</t>
  </si>
  <si>
    <t>Average</t>
  </si>
  <si>
    <t>Reference</t>
  </si>
  <si>
    <t xml:space="preserve">CAPEX </t>
  </si>
  <si>
    <t>Forecasts</t>
  </si>
  <si>
    <t>Interest Rate on Debt</t>
  </si>
  <si>
    <t>Average 10Y</t>
  </si>
  <si>
    <t>Interest Expense</t>
  </si>
  <si>
    <t>Debt</t>
  </si>
  <si>
    <t>Debt/Ebitda</t>
  </si>
  <si>
    <t>Short term</t>
  </si>
  <si>
    <t>A3/A-(current level)</t>
  </si>
  <si>
    <t>Medium term</t>
  </si>
  <si>
    <t>Default spread</t>
  </si>
  <si>
    <t>Long term</t>
  </si>
  <si>
    <t>30Y US Bond Yield</t>
  </si>
  <si>
    <t>5Y US Bond Yield</t>
  </si>
  <si>
    <t>Country default spread (US)</t>
  </si>
  <si>
    <t>Short-term cost debt</t>
  </si>
  <si>
    <t>Long-term cost of debt</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</si>
  <si>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</si>
  <si>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</si>
  <si>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</si>
  <si>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</si>
  <si>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</si>
  <si>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</si>
  <si>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</si>
  <si>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</si>
  <si>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</si>
  <si>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</si>
  <si>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</si>
  <si>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</si>
  <si>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</si>
  <si>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</si>
  <si>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</si>
  <si>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</si>
  <si>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</si>
  <si>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</si>
  <si>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</si>
  <si>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</si>
  <si>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</si>
  <si>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</si>
  <si>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</si>
  <si>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</si>
  <si>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</si>
  <si>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</si>
  <si>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</si>
  <si>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</si>
  <si>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</si>
  <si>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</si>
  <si>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</si>
  <si>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</si>
  <si>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</si>
  <si>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</si>
  <si>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</si>
  <si>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</si>
  <si>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</si>
  <si>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</si>
  <si>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</si>
  <si>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</si>
  <si>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</si>
  <si>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</si>
  <si>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</si>
  <si>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Depreciation and Amortization</t>
  </si>
  <si>
    <t>FNP</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</si>
  <si>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</si>
  <si>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</si>
  <si>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</si>
  <si>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</si>
  <si>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</si>
  <si>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</si>
  <si>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</si>
  <si>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</si>
  <si>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</si>
  <si>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</si>
  <si>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</si>
  <si>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</si>
  <si>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</si>
  <si>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</si>
  <si>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</si>
  <si>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</si>
  <si>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</si>
  <si>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</si>
  <si>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</si>
  <si>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</si>
  <si>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Interest expense</t>
  </si>
  <si>
    <t>Provision for income tax</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</si>
  <si>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</si>
  <si>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</si>
  <si>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</si>
  <si>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</si>
  <si>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</si>
  <si>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</si>
  <si>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</si>
  <si>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</si>
  <si>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</si>
  <si>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</si>
  <si>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</si>
  <si>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</si>
  <si>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</si>
  <si>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</si>
  <si>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</si>
  <si>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</si>
  <si>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</si>
  <si>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</si>
  <si>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</si>
  <si>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</si>
  <si>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</si>
  <si>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</si>
  <si>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</si>
  <si>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</si>
  <si>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</si>
  <si>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</si>
  <si>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net</t>
  </si>
  <si>
    <t xml:space="preserve">  + Inventarios</t>
  </si>
  <si>
    <t>Operating leases</t>
  </si>
  <si>
    <t>Equity Method Investments</t>
  </si>
  <si>
    <t>Other Non-Current Assets</t>
  </si>
  <si>
    <t xml:space="preserve">  + Propiedad, planta y equipo; neto</t>
  </si>
  <si>
    <t>Activos totales</t>
  </si>
  <si>
    <t>LIABILITIES</t>
  </si>
  <si>
    <t>Payables</t>
  </si>
  <si>
    <t>Accounts Payable</t>
  </si>
  <si>
    <t>Short term Debt</t>
  </si>
  <si>
    <t>Pasivos totales corrientes</t>
  </si>
  <si>
    <t>Capital Leases</t>
  </si>
  <si>
    <t xml:space="preserve">    + Préstamos CP</t>
  </si>
  <si>
    <t>Total non current liabilities</t>
  </si>
  <si>
    <t>Long term debt</t>
  </si>
  <si>
    <t>Capital Lease Obligations (Total LT debt)</t>
  </si>
  <si>
    <t>Pasivos totales no corrientes</t>
  </si>
  <si>
    <t>Other non current Liabilities</t>
  </si>
  <si>
    <t xml:space="preserve">    + Préstamos a largo plazo</t>
  </si>
  <si>
    <t>non Redeemable</t>
  </si>
  <si>
    <t xml:space="preserve">  + Participación minoritaria/no dominante</t>
  </si>
  <si>
    <t>CASH FLOW</t>
  </si>
  <si>
    <t>Changes in assets and liabilities</t>
  </si>
  <si>
    <t>changes in working Capital</t>
  </si>
  <si>
    <t>Other Adjustments</t>
  </si>
  <si>
    <t>Capital Expenditures</t>
  </si>
  <si>
    <t>Acquisition of Business</t>
  </si>
  <si>
    <t>Other Inflows (Outflows)</t>
  </si>
  <si>
    <t>Debt Borrowing</t>
  </si>
  <si>
    <t>Debt Repayment</t>
  </si>
  <si>
    <t>Lease Increases</t>
  </si>
  <si>
    <t>Lease Payments</t>
  </si>
  <si>
    <t>cash flows FINANCING</t>
  </si>
  <si>
    <t>Dividends paid</t>
  </si>
  <si>
    <t>0,1B - 2015</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</si>
  <si>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</si>
  <si>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</si>
  <si>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</si>
  <si>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</si>
  <si>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</si>
  <si>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</si>
  <si>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</si>
  <si>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</si>
  <si>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</si>
  <si>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Yahoo Finance</t>
  </si>
  <si>
    <t>Sector</t>
  </si>
  <si>
    <t>Sub-Industry</t>
  </si>
  <si>
    <t>Environment</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</si>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</sst>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176" formatCode="_-* #,##0.00\ &quot;€&quot;_-;\-* #,##0.00\ &quot;€&quot;_-;_-* &quot;-&quot;??\ &quot;€&quot;_-;_-@_-"/>
    <numFmt numFmtId="177" formatCode="_-&quot;$&quot;* #,##0.00_-;\-&quot;$&quot;* #,##0.00_-;_-&quot;$&quot;* &quot;-&quot;??_-;_-@_-"/>
    <numFmt numFmtId="178" formatCode="&quot;$&quot;#,##0.00"/>
    <numFmt numFmtId="179" formatCode="&quot;$&quot;#,##0"/>
    <numFmt numFmtId="180" formatCode="0.0%"/>
    <numFmt numFmtId="181" formatCode="0.0"/>
    <numFmt numFmtId="182" formatCode="#,##0.0"/>
    <numFmt numFmtId="183" formatCode="[$$-409]#,##0.00_ ;\-[$$-409]#,##0.00\ "/>
    <numFmt numFmtId="184" formatCode="[$$-409]#,##0.00"/>
    <numFmt numFmtId="185" formatCode="[$$-409]#,##0"/>
    <numFmt numFmtId="186" formatCode="0.000000"/>
    <numFmt numFmtId="187" formatCode="_([$$-409]* #,##0.00_);_([$$-409]* \(#,##0.00\);_([$$-409]* &quot;-&quot;??_);_(@_)"/>
    <numFmt numFmtId="188" formatCode="[$$-409]#,##0.0"/>
    <numFmt numFmtId="189" formatCode="0.000%"/>
    <numFmt numFmtId="190" formatCode="#,##0_);[Red]\(#,##0\)"/>
    <numFmt numFmtId="191" formatCode="&quot;$&quot;#,##0_);[Red]\(&quot;$&quot;#,##0\)"/>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7.5"/>
      <color theme="0"/>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b/>
      <sz val="14"/>
      <color rgb="FF000000"/>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2"/>
      <color rgb="FFFFFFFF"/>
      <name val="Arial"/>
      <family val="2"/>
    </font>
    <font>
      <sz val="9"/>
      <color indexed="81"/>
      <name val="Tahoma"/>
      <family val="2"/>
    </font>
    <font>
      <b/>
      <sz val="9"/>
      <color indexed="81"/>
      <name val="Tahoma"/>
      <family val="2"/>
    </font>
    <font>
      <sz val="10"/>
      <color theme="1"/>
      <name val="Calibri"/>
      <family val="2"/>
      <scheme val="minor"/>
    </font>
    <font>
      <sz val="10"/>
      <color rgb="FFC00000"/>
      <name val="Arial"/>
      <family val="2"/>
    </font>
    <font>
      <sz val="11"/>
      <name val="Calibri"/>
      <family val="2"/>
      <charset val="1"/>
    </font>
    <font>
      <sz val="8"/>
      <name val="Arial"/>
      <family val="2"/>
    </font>
    <font>
      <sz val="8"/>
      <color rgb="FF000000"/>
      <name val="Calibri"/>
      <family val="2"/>
    </font>
    <font>
      <b/>
      <sz val="8"/>
      <name val="Arial"/>
      <family val="2"/>
    </font>
    <font>
      <sz val="11"/>
      <name val="Calibri"/>
      <family val="2"/>
      <scheme val="minor"/>
    </font>
    <font>
      <b/>
      <sz val="11"/>
      <color rgb="FF000000"/>
      <name val="Arial"/>
      <family val="2"/>
    </font>
    <font>
      <b/>
      <sz val="11"/>
      <color theme="1"/>
      <name val="Arial"/>
      <family val="2"/>
    </font>
    <font>
      <sz val="11"/>
      <color rgb="FF000000"/>
      <name val="Arial"/>
      <family val="2"/>
    </font>
    <font>
      <sz val="10"/>
      <name val="Arial"/>
      <family val="2"/>
    </font>
  </fonts>
  <fills count="55">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00B0F0"/>
        <bgColor rgb="FF000000"/>
      </patternFill>
    </fill>
    <fill>
      <patternFill patternType="solid">
        <fgColor rgb="FFF5F6FA"/>
        <bgColor indexed="64"/>
      </patternFill>
    </fill>
    <fill>
      <patternFill patternType="solid">
        <fgColor theme="7" tint="-0.249977111117893"/>
        <bgColor indexed="64"/>
      </patternFill>
    </fill>
    <fill>
      <patternFill patternType="solid">
        <fgColor rgb="FFE838D3"/>
        <bgColor indexed="64"/>
      </patternFill>
    </fill>
    <fill>
      <patternFill patternType="solid">
        <fgColor rgb="FFF6F6F6"/>
        <bgColor indexed="64"/>
      </patternFill>
    </fill>
    <fill>
      <patternFill patternType="solid">
        <fgColor rgb="FFDDDDDD"/>
        <bgColor indexed="64"/>
      </patternFill>
    </fill>
    <fill>
      <patternFill patternType="solid">
        <fgColor rgb="FFCCCCCC"/>
        <bgColor indexed="64"/>
      </patternFill>
    </fill>
    <fill>
      <patternFill patternType="solid">
        <fgColor theme="7" tint="0.79998168889431442"/>
        <bgColor indexed="64"/>
      </patternFill>
    </fill>
  </fills>
  <borders count="283">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top style="medium">
        <color theme="3"/>
      </top>
      <bottom style="medium">
        <color theme="3"/>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tint="-0.249977111117893"/>
      </right>
      <top/>
      <bottom/>
      <diagonal/>
    </border>
    <border>
      <left style="thin">
        <color theme="0" tint="-0.249977111117893"/>
      </left>
      <right style="medium">
        <color rgb="FF000000"/>
      </right>
      <top/>
      <bottom/>
      <diagonal/>
    </border>
    <border>
      <left/>
      <right style="thin">
        <color theme="0" tint="-0.249977111117893"/>
      </right>
      <top/>
      <bottom/>
      <diagonal/>
    </border>
    <border>
      <left style="medium">
        <color rgb="FF000000"/>
      </left>
      <right style="medium">
        <color theme="3"/>
      </right>
      <top/>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77111117893"/>
      </right>
      <top/>
      <bottom style="medium">
        <color rgb="FF000000"/>
      </bottom>
      <diagonal/>
    </border>
    <border>
      <left style="thin">
        <color theme="0" tint="-0.249977111117893"/>
      </left>
      <right style="medium">
        <color rgb="FF000000"/>
      </right>
      <top/>
      <bottom style="medium">
        <color rgb="FF000000"/>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style="medium">
        <color rgb="FF1F497D"/>
      </left>
      <right/>
      <top style="medium">
        <color rgb="FF1F497D"/>
      </top>
      <bottom style="medium">
        <color theme="3"/>
      </bottom>
      <diagonal/>
    </border>
    <border>
      <left/>
      <right/>
      <top style="medium">
        <color rgb="FF1F497D"/>
      </top>
      <bottom style="medium">
        <color theme="3"/>
      </bottom>
      <diagonal/>
    </border>
    <border>
      <left/>
      <right style="medium">
        <color rgb="FF1F497D"/>
      </right>
      <top style="medium">
        <color rgb="FF1F497D"/>
      </top>
      <bottom style="medium">
        <color theme="3"/>
      </bottom>
      <diagonal/>
    </border>
    <border>
      <left/>
      <right/>
      <top style="medium">
        <color rgb="FFE5EBF4"/>
      </top>
      <bottom/>
      <diagonal/>
    </border>
    <border>
      <left style="medium">
        <color rgb="FF404040"/>
      </left>
      <right style="medium">
        <color rgb="FF404040"/>
      </right>
      <top style="medium">
        <color rgb="FF404040"/>
      </top>
      <bottom style="medium">
        <color rgb="FF404040"/>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style="medium">
        <color rgb="FF000000"/>
      </left>
      <right style="medium">
        <color indexed="64"/>
      </right>
      <top style="medium">
        <color rgb="FF000000"/>
      </top>
      <bottom/>
      <diagonal/>
    </border>
    <border>
      <left style="medium">
        <color indexed="64"/>
      </left>
      <right style="medium">
        <color indexed="64"/>
      </right>
      <top style="medium">
        <color indexed="64"/>
      </top>
      <bottom style="thin">
        <color indexed="64"/>
      </bottom>
      <diagonal/>
    </border>
    <border>
      <left style="medium">
        <color rgb="FF000000"/>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right/>
      <top style="medium">
        <color rgb="FF000000"/>
      </top>
      <bottom style="thin">
        <color indexed="64"/>
      </bottom>
      <diagonal/>
    </border>
    <border>
      <left style="medium">
        <color indexed="64"/>
      </left>
      <right/>
      <top style="medium">
        <color indexed="64"/>
      </top>
      <bottom style="thin">
        <color indexed="64"/>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medium">
        <color indexed="64"/>
      </top>
      <bottom style="thin">
        <color rgb="FF000000"/>
      </bottom>
      <diagonal/>
    </border>
    <border>
      <left style="medium">
        <color indexed="64"/>
      </left>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style="thin">
        <color indexed="64"/>
      </left>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rgb="FF000000"/>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rgb="FF000000"/>
      </right>
      <top style="medium">
        <color indexed="64"/>
      </top>
      <bottom style="medium">
        <color rgb="FF000000"/>
      </bottom>
      <diagonal/>
    </border>
    <border>
      <left style="medium">
        <color auto="1"/>
      </left>
      <right/>
      <top/>
      <bottom style="medium">
        <color auto="1"/>
      </bottom>
      <diagonal/>
    </border>
    <border>
      <left style="medium">
        <color indexed="64"/>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style="thin">
        <color indexed="64"/>
      </right>
      <top style="thin">
        <color indexed="64"/>
      </top>
      <bottom style="medium">
        <color indexed="64"/>
      </bottom>
      <diagonal/>
    </border>
    <border>
      <left style="medium">
        <color rgb="FF000000"/>
      </left>
      <right style="medium">
        <color rgb="FF000000"/>
      </right>
      <top style="medium">
        <color rgb="FF000000"/>
      </top>
      <bottom style="thin">
        <color indexed="64"/>
      </bottom>
      <diagonal/>
    </border>
    <border>
      <left/>
      <right style="medium">
        <color indexed="64"/>
      </right>
      <top style="medium">
        <color indexed="64"/>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bottom style="thin">
        <color indexed="64"/>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indexed="64"/>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medium">
        <color indexed="64"/>
      </right>
      <top/>
      <bottom style="medium">
        <color indexed="64"/>
      </bottom>
      <diagonal/>
    </border>
    <border>
      <left/>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right/>
      <top/>
      <bottom style="thin">
        <color rgb="FF000000"/>
      </bottom>
      <diagonal/>
    </border>
    <border>
      <left style="thin">
        <color rgb="FF000000"/>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theme="3"/>
      </right>
      <top style="thin">
        <color theme="0" tint="-0.24994659260841701"/>
      </top>
      <bottom/>
      <diagonal/>
    </border>
    <border>
      <left/>
      <right style="medium">
        <color theme="3"/>
      </right>
      <top/>
      <bottom style="thin">
        <color theme="0" tint="-0.24994659260841701"/>
      </bottom>
      <diagonal/>
    </border>
    <border>
      <left/>
      <right/>
      <top style="thin">
        <color indexed="64"/>
      </top>
      <bottom style="double">
        <color indexed="64"/>
      </bottom>
      <diagonal/>
    </border>
    <border>
      <left/>
      <right/>
      <top/>
      <bottom style="medium">
        <color rgb="FFFFFFFF"/>
      </bottom>
      <diagonal/>
    </border>
    <border>
      <left/>
      <right/>
      <top style="medium">
        <color rgb="FFDDDDDD"/>
      </top>
      <bottom style="medium">
        <color rgb="FFFFFFFF"/>
      </bottom>
      <diagonal/>
    </border>
    <border>
      <left/>
      <right/>
      <top style="medium">
        <color rgb="FFDDDDDD"/>
      </top>
      <bottom style="medium">
        <color rgb="FFDDDDDD"/>
      </bottom>
      <diagonal/>
    </border>
    <border>
      <left/>
      <right/>
      <top style="medium">
        <color rgb="FFFFFFFF"/>
      </top>
      <bottom style="medium">
        <color rgb="FFDDDDDD"/>
      </bottom>
      <diagonal/>
    </border>
  </borders>
  <cellStyleXfs count="35">
    <xf numFmtId="0" fontId="0" fillId="0" borderId="0"/>
    <xf numFmtId="0" fontId="15" fillId="2" borderId="1" applyNumberFormat="0" applyProtection="0">
      <alignment horizontal="left" vertical="center" readingOrder="1"/>
    </xf>
    <xf numFmtId="0" fontId="16" fillId="2" borderId="2">
      <alignment horizontal="left"/>
    </xf>
    <xf numFmtId="0" fontId="16" fillId="2" borderId="3">
      <alignment horizontal="right"/>
    </xf>
    <xf numFmtId="0" fontId="16" fillId="2" borderId="3">
      <alignment horizontal="left"/>
    </xf>
    <xf numFmtId="3" fontId="17" fillId="3" borderId="4">
      <alignment horizontal="right"/>
    </xf>
    <xf numFmtId="182" fontId="10" fillId="3" borderId="4">
      <alignment horizontal="right"/>
    </xf>
    <xf numFmtId="4" fontId="10" fillId="3" borderId="4">
      <alignment horizontal="right"/>
    </xf>
    <xf numFmtId="0" fontId="19" fillId="4" borderId="5" applyNumberFormat="0" applyAlignment="0" applyProtection="0"/>
    <xf numFmtId="0" fontId="17" fillId="3" borderId="6"/>
    <xf numFmtId="0" fontId="18" fillId="3" borderId="6"/>
    <xf numFmtId="0" fontId="9" fillId="0" borderId="0" applyNumberFormat="0" applyFill="0" applyBorder="0" applyAlignment="0" applyProtection="0">
      <alignment vertical="top"/>
      <protection locked="0"/>
    </xf>
    <xf numFmtId="177" fontId="21" fillId="0" borderId="0" applyFont="0" applyFill="0" applyBorder="0" applyAlignment="0" applyProtection="0"/>
    <xf numFmtId="177" fontId="11" fillId="0" borderId="0" applyFont="0" applyFill="0" applyBorder="0" applyAlignment="0" applyProtection="0"/>
    <xf numFmtId="0" fontId="23" fillId="0" borderId="0"/>
    <xf numFmtId="0" fontId="11" fillId="0" borderId="0"/>
    <xf numFmtId="9" fontId="7" fillId="0" borderId="0" applyFont="0" applyFill="0" applyBorder="0" applyAlignment="0" applyProtection="0"/>
    <xf numFmtId="9" fontId="21"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0" fontId="6" fillId="0" borderId="0"/>
    <xf numFmtId="0" fontId="6"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5" fillId="0" borderId="0"/>
    <xf numFmtId="9" fontId="5"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9" fontId="2" fillId="0" borderId="0" applyFont="0" applyFill="0" applyBorder="0" applyAlignment="0" applyProtection="0"/>
    <xf numFmtId="0" fontId="1" fillId="0" borderId="0"/>
    <xf numFmtId="176" fontId="87" fillId="0" borderId="0" applyFont="0" applyFill="0" applyBorder="0" applyAlignment="0" applyProtection="0"/>
  </cellStyleXfs>
  <cellXfs count="1138">
    <xf numFmtId="0" fontId="0" fillId="0" borderId="0" xfId="0"/>
    <xf numFmtId="9" fontId="0" fillId="0" borderId="0" xfId="16" applyFont="1" applyAlignment="1">
      <alignment horizontal="center"/>
    </xf>
    <xf numFmtId="0" fontId="0" fillId="0" borderId="0" xfId="0" applyAlignment="1">
      <alignment horizontal="center"/>
    </xf>
    <xf numFmtId="179" fontId="0" fillId="0" borderId="0" xfId="0" applyNumberFormat="1"/>
    <xf numFmtId="10" fontId="0" fillId="0" borderId="0" xfId="0" applyNumberFormat="1" applyAlignment="1">
      <alignment horizontal="center"/>
    </xf>
    <xf numFmtId="180" fontId="0" fillId="0" borderId="0" xfId="0" applyNumberFormat="1" applyAlignment="1">
      <alignment horizontal="center"/>
    </xf>
    <xf numFmtId="0" fontId="12" fillId="0" borderId="0" xfId="0" applyFont="1" applyAlignment="1">
      <alignment horizontal="center"/>
    </xf>
    <xf numFmtId="0" fontId="25" fillId="0" borderId="0" xfId="0" applyFont="1"/>
    <xf numFmtId="0" fontId="14" fillId="0" borderId="19" xfId="0" applyFont="1" applyBorder="1"/>
    <xf numFmtId="0" fontId="12" fillId="0" borderId="22" xfId="0" applyFont="1" applyBorder="1" applyAlignment="1">
      <alignment horizontal="center"/>
    </xf>
    <xf numFmtId="0" fontId="22" fillId="0" borderId="0" xfId="0" applyFont="1"/>
    <xf numFmtId="0" fontId="7" fillId="0" borderId="0" xfId="0" applyFont="1"/>
    <xf numFmtId="0" fontId="7" fillId="0" borderId="19" xfId="0" applyFont="1" applyBorder="1"/>
    <xf numFmtId="0" fontId="7" fillId="0" borderId="19" xfId="0" applyFont="1" applyBorder="1" applyAlignment="1">
      <alignment horizontal="left"/>
    </xf>
    <xf numFmtId="0" fontId="12" fillId="0" borderId="0" xfId="0" applyFont="1"/>
    <xf numFmtId="179" fontId="12" fillId="0" borderId="0" xfId="0" applyNumberFormat="1" applyFont="1" applyAlignment="1">
      <alignment horizontal="center"/>
    </xf>
    <xf numFmtId="9" fontId="12" fillId="0" borderId="0" xfId="16" applyFont="1"/>
    <xf numFmtId="9" fontId="7" fillId="0" borderId="19" xfId="16" applyFont="1" applyFill="1" applyBorder="1" applyAlignment="1">
      <alignment horizontal="center"/>
    </xf>
    <xf numFmtId="9" fontId="7" fillId="8" borderId="19" xfId="16" applyFont="1" applyFill="1" applyBorder="1" applyAlignment="1">
      <alignment horizontal="center"/>
    </xf>
    <xf numFmtId="10" fontId="7" fillId="8" borderId="19" xfId="0" applyNumberFormat="1" applyFont="1" applyFill="1" applyBorder="1" applyAlignment="1">
      <alignment horizontal="center"/>
    </xf>
    <xf numFmtId="0" fontId="7" fillId="8" borderId="26" xfId="0" applyFont="1" applyFill="1" applyBorder="1" applyAlignment="1">
      <alignment horizontal="center" vertical="center"/>
    </xf>
    <xf numFmtId="0" fontId="25" fillId="8" borderId="0" xfId="0" applyFont="1" applyFill="1"/>
    <xf numFmtId="0" fontId="32" fillId="0" borderId="0" xfId="0" applyFont="1"/>
    <xf numFmtId="0" fontId="25" fillId="8" borderId="0" xfId="0" applyFont="1" applyFill="1" applyAlignment="1">
      <alignment horizontal="center"/>
    </xf>
    <xf numFmtId="0" fontId="34" fillId="0" borderId="0" xfId="0" applyFont="1"/>
    <xf numFmtId="0" fontId="34" fillId="12" borderId="0" xfId="0" applyFont="1" applyFill="1"/>
    <xf numFmtId="3" fontId="34" fillId="0" borderId="0" xfId="0" applyNumberFormat="1" applyFont="1" applyAlignment="1">
      <alignment horizontal="center"/>
    </xf>
    <xf numFmtId="0" fontId="34" fillId="0" borderId="0" xfId="0" applyFont="1" applyAlignment="1">
      <alignment horizontal="left"/>
    </xf>
    <xf numFmtId="0" fontId="34" fillId="19" borderId="0" xfId="0" applyFont="1" applyFill="1"/>
    <xf numFmtId="3" fontId="34" fillId="19" borderId="0" xfId="0" applyNumberFormat="1" applyFont="1" applyFill="1" applyAlignment="1">
      <alignment horizontal="center"/>
    </xf>
    <xf numFmtId="0" fontId="0" fillId="12" borderId="0" xfId="0" applyFill="1"/>
    <xf numFmtId="3" fontId="34" fillId="0" borderId="0" xfId="0" applyNumberFormat="1" applyFont="1"/>
    <xf numFmtId="3" fontId="35" fillId="19" borderId="0" xfId="0" applyNumberFormat="1" applyFont="1" applyFill="1" applyAlignment="1">
      <alignment horizontal="center"/>
    </xf>
    <xf numFmtId="3" fontId="34" fillId="12" borderId="0" xfId="0" applyNumberFormat="1" applyFont="1" applyFill="1" applyAlignment="1">
      <alignment horizontal="center"/>
    </xf>
    <xf numFmtId="3" fontId="35" fillId="12" borderId="0" xfId="0" applyNumberFormat="1" applyFont="1" applyFill="1" applyAlignment="1">
      <alignment horizontal="center"/>
    </xf>
    <xf numFmtId="0" fontId="18" fillId="3" borderId="6" xfId="10"/>
    <xf numFmtId="0" fontId="0" fillId="20" borderId="0" xfId="0" applyFill="1"/>
    <xf numFmtId="3" fontId="22" fillId="0" borderId="0" xfId="0" applyNumberFormat="1" applyFont="1" applyAlignment="1">
      <alignment horizontal="center"/>
    </xf>
    <xf numFmtId="3" fontId="22" fillId="0" borderId="0" xfId="0" applyNumberFormat="1" applyFont="1"/>
    <xf numFmtId="0" fontId="0" fillId="21" borderId="0" xfId="0" applyFill="1"/>
    <xf numFmtId="3" fontId="22" fillId="19" borderId="0" xfId="0" applyNumberFormat="1" applyFont="1" applyFill="1" applyAlignment="1">
      <alignment horizontal="center"/>
    </xf>
    <xf numFmtId="0" fontId="22" fillId="19" borderId="0" xfId="0" applyFont="1" applyFill="1"/>
    <xf numFmtId="0" fontId="0" fillId="22" borderId="0" xfId="0" applyFill="1"/>
    <xf numFmtId="182" fontId="34" fillId="0" borderId="0" xfId="0" applyNumberFormat="1" applyFont="1" applyAlignment="1">
      <alignment horizontal="center"/>
    </xf>
    <xf numFmtId="9" fontId="0" fillId="8" borderId="19" xfId="16" applyFont="1" applyFill="1" applyBorder="1" applyAlignment="1">
      <alignment horizontal="center"/>
    </xf>
    <xf numFmtId="0" fontId="0" fillId="0" borderId="43" xfId="0" applyBorder="1"/>
    <xf numFmtId="0" fontId="37" fillId="0" borderId="0" xfId="0" applyFont="1"/>
    <xf numFmtId="0" fontId="38" fillId="0" borderId="0" xfId="0" applyFont="1"/>
    <xf numFmtId="0" fontId="39" fillId="0" borderId="0" xfId="0" applyFont="1" applyAlignment="1">
      <alignment horizontal="center"/>
    </xf>
    <xf numFmtId="0" fontId="39" fillId="0" borderId="0" xfId="0" applyFont="1"/>
    <xf numFmtId="181" fontId="38" fillId="0" borderId="0" xfId="0" applyNumberFormat="1" applyFont="1" applyAlignment="1">
      <alignment horizontal="center"/>
    </xf>
    <xf numFmtId="0" fontId="40" fillId="0" borderId="0" xfId="0" applyFont="1"/>
    <xf numFmtId="0" fontId="41" fillId="0" borderId="0" xfId="0" applyFont="1"/>
    <xf numFmtId="0" fontId="42" fillId="0" borderId="0" xfId="0" applyFont="1"/>
    <xf numFmtId="0" fontId="0" fillId="0" borderId="12" xfId="0" applyBorder="1"/>
    <xf numFmtId="0" fontId="22" fillId="0" borderId="0" xfId="0" applyFont="1" applyAlignment="1">
      <alignment horizontal="center"/>
    </xf>
    <xf numFmtId="0" fontId="38" fillId="0" borderId="0" xfId="0" applyFont="1" applyAlignment="1">
      <alignment horizontal="center"/>
    </xf>
    <xf numFmtId="179" fontId="7" fillId="24" borderId="19" xfId="0" applyNumberFormat="1" applyFont="1" applyFill="1" applyBorder="1" applyAlignment="1">
      <alignment horizontal="center"/>
    </xf>
    <xf numFmtId="3" fontId="37" fillId="0" borderId="0" xfId="0" applyNumberFormat="1" applyFont="1"/>
    <xf numFmtId="0" fontId="39" fillId="17" borderId="0" xfId="0" applyFont="1" applyFill="1" applyAlignment="1">
      <alignment horizontal="center"/>
    </xf>
    <xf numFmtId="0" fontId="38" fillId="17" borderId="44" xfId="0" applyFont="1" applyFill="1" applyBorder="1"/>
    <xf numFmtId="3" fontId="0" fillId="25" borderId="1" xfId="0" applyNumberFormat="1" applyFill="1" applyBorder="1" applyAlignment="1">
      <alignment horizontal="center"/>
    </xf>
    <xf numFmtId="3" fontId="0" fillId="25" borderId="45" xfId="0" applyNumberFormat="1" applyFill="1" applyBorder="1" applyAlignment="1">
      <alignment horizontal="center"/>
    </xf>
    <xf numFmtId="0" fontId="38" fillId="0" borderId="44" xfId="0" applyFont="1" applyBorder="1" applyAlignment="1">
      <alignment horizontal="left" indent="1"/>
    </xf>
    <xf numFmtId="180" fontId="12" fillId="26" borderId="1" xfId="16" applyNumberFormat="1" applyFont="1" applyFill="1" applyBorder="1" applyAlignment="1">
      <alignment horizontal="center"/>
    </xf>
    <xf numFmtId="180" fontId="12" fillId="26" borderId="45" xfId="16" applyNumberFormat="1" applyFont="1" applyFill="1" applyBorder="1" applyAlignment="1">
      <alignment horizontal="center"/>
    </xf>
    <xf numFmtId="0" fontId="38" fillId="0" borderId="44" xfId="0" applyFont="1" applyBorder="1" applyAlignment="1">
      <alignment horizontal="left"/>
    </xf>
    <xf numFmtId="3" fontId="0" fillId="25" borderId="1" xfId="16" applyNumberFormat="1" applyFont="1" applyFill="1" applyBorder="1" applyAlignment="1">
      <alignment horizontal="center"/>
    </xf>
    <xf numFmtId="3" fontId="0" fillId="25" borderId="45" xfId="16" applyNumberFormat="1" applyFont="1" applyFill="1" applyBorder="1" applyAlignment="1">
      <alignment horizontal="center"/>
    </xf>
    <xf numFmtId="0" fontId="38" fillId="17" borderId="44" xfId="0" applyFont="1" applyFill="1" applyBorder="1" applyAlignment="1">
      <alignment horizontal="left" indent="1"/>
    </xf>
    <xf numFmtId="0" fontId="39" fillId="0" borderId="44" xfId="0" applyFont="1" applyBorder="1" applyAlignment="1">
      <alignment horizontal="left"/>
    </xf>
    <xf numFmtId="3" fontId="12" fillId="27" borderId="1" xfId="16" applyNumberFormat="1" applyFont="1" applyFill="1" applyBorder="1" applyAlignment="1">
      <alignment horizontal="center"/>
    </xf>
    <xf numFmtId="3" fontId="12" fillId="27" borderId="45" xfId="16" applyNumberFormat="1" applyFont="1" applyFill="1" applyBorder="1" applyAlignment="1">
      <alignment horizontal="center"/>
    </xf>
    <xf numFmtId="0" fontId="39" fillId="17" borderId="44" xfId="0" applyFont="1" applyFill="1" applyBorder="1"/>
    <xf numFmtId="0" fontId="38" fillId="0" borderId="44" xfId="0" applyFont="1" applyBorder="1"/>
    <xf numFmtId="3" fontId="0" fillId="0" borderId="0" xfId="0" applyNumberFormat="1" applyAlignment="1">
      <alignment horizontal="center"/>
    </xf>
    <xf numFmtId="181" fontId="0" fillId="0" borderId="0" xfId="0" applyNumberFormat="1" applyAlignment="1">
      <alignment horizontal="center"/>
    </xf>
    <xf numFmtId="10" fontId="34" fillId="19" borderId="0" xfId="16" applyNumberFormat="1" applyFont="1" applyFill="1" applyAlignment="1">
      <alignment horizontal="center"/>
    </xf>
    <xf numFmtId="9" fontId="34" fillId="19" borderId="0" xfId="16" applyFont="1" applyFill="1" applyAlignment="1">
      <alignment horizontal="center"/>
    </xf>
    <xf numFmtId="180" fontId="34" fillId="19" borderId="0" xfId="16" applyNumberFormat="1" applyFont="1" applyFill="1" applyAlignment="1">
      <alignment horizontal="center"/>
    </xf>
    <xf numFmtId="10" fontId="34" fillId="19" borderId="0" xfId="0" applyNumberFormat="1" applyFont="1" applyFill="1" applyAlignment="1">
      <alignment horizontal="center"/>
    </xf>
    <xf numFmtId="4" fontId="34" fillId="19" borderId="0" xfId="0" applyNumberFormat="1" applyFont="1" applyFill="1" applyAlignment="1">
      <alignment horizontal="center"/>
    </xf>
    <xf numFmtId="182" fontId="34" fillId="19" borderId="0" xfId="0" applyNumberFormat="1" applyFont="1" applyFill="1" applyAlignment="1">
      <alignment horizontal="center"/>
    </xf>
    <xf numFmtId="0" fontId="34" fillId="19" borderId="0" xfId="0" applyFont="1" applyFill="1" applyAlignment="1">
      <alignment horizontal="center"/>
    </xf>
    <xf numFmtId="180" fontId="34" fillId="19" borderId="0" xfId="0" applyNumberFormat="1" applyFont="1" applyFill="1" applyAlignment="1">
      <alignment horizontal="center"/>
    </xf>
    <xf numFmtId="9" fontId="34" fillId="0" borderId="0" xfId="16" applyFont="1" applyFill="1" applyAlignment="1">
      <alignment horizontal="center"/>
    </xf>
    <xf numFmtId="180" fontId="34" fillId="0" borderId="0" xfId="16" applyNumberFormat="1" applyFont="1" applyFill="1" applyAlignment="1">
      <alignment horizontal="center"/>
    </xf>
    <xf numFmtId="9" fontId="34" fillId="0" borderId="0" xfId="22" applyFont="1" applyFill="1" applyAlignment="1">
      <alignment horizontal="center"/>
    </xf>
    <xf numFmtId="184" fontId="7" fillId="24" borderId="19" xfId="0" applyNumberFormat="1" applyFont="1" applyFill="1" applyBorder="1" applyAlignment="1">
      <alignment horizontal="center"/>
    </xf>
    <xf numFmtId="180" fontId="32" fillId="24" borderId="19" xfId="16" applyNumberFormat="1" applyFont="1" applyFill="1" applyBorder="1" applyAlignment="1">
      <alignment horizontal="center"/>
    </xf>
    <xf numFmtId="0" fontId="12" fillId="0" borderId="37" xfId="0" applyFont="1" applyBorder="1"/>
    <xf numFmtId="0" fontId="16" fillId="5" borderId="8" xfId="4" applyFill="1" applyBorder="1" applyAlignment="1"/>
    <xf numFmtId="0" fontId="7" fillId="0" borderId="0" xfId="26"/>
    <xf numFmtId="0" fontId="26" fillId="5" borderId="7" xfId="26" applyFont="1" applyFill="1" applyBorder="1" applyAlignment="1">
      <alignment horizontal="center"/>
    </xf>
    <xf numFmtId="0" fontId="26" fillId="5" borderId="11" xfId="26" applyFont="1" applyFill="1" applyBorder="1" applyAlignment="1">
      <alignment horizontal="center"/>
    </xf>
    <xf numFmtId="0" fontId="28" fillId="3" borderId="10" xfId="10" applyFont="1" applyBorder="1"/>
    <xf numFmtId="0" fontId="7" fillId="0" borderId="0" xfId="26" applyAlignment="1">
      <alignment vertical="center"/>
    </xf>
    <xf numFmtId="0" fontId="28" fillId="3" borderId="13" xfId="10" applyFont="1" applyBorder="1"/>
    <xf numFmtId="0" fontId="28" fillId="0" borderId="10" xfId="10" applyFont="1" applyFill="1" applyBorder="1"/>
    <xf numFmtId="0" fontId="19" fillId="0" borderId="0" xfId="8" applyFill="1" applyBorder="1"/>
    <xf numFmtId="9" fontId="7" fillId="0" borderId="0" xfId="28" applyFont="1"/>
    <xf numFmtId="0" fontId="29" fillId="0" borderId="0" xfId="11" applyFont="1" applyAlignment="1" applyProtection="1"/>
    <xf numFmtId="0" fontId="26" fillId="29" borderId="0" xfId="26" applyFont="1" applyFill="1" applyAlignment="1">
      <alignment horizontal="center" vertical="center"/>
    </xf>
    <xf numFmtId="0" fontId="27" fillId="0" borderId="9" xfId="9" applyFont="1" applyFill="1" applyBorder="1"/>
    <xf numFmtId="0" fontId="18" fillId="3" borderId="13" xfId="10" applyBorder="1"/>
    <xf numFmtId="0" fontId="18" fillId="3" borderId="10" xfId="10" applyBorder="1"/>
    <xf numFmtId="0" fontId="25" fillId="0" borderId="0" xfId="26" applyFont="1"/>
    <xf numFmtId="0" fontId="12" fillId="0" borderId="32" xfId="0" applyFont="1" applyBorder="1"/>
    <xf numFmtId="0" fontId="12"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2" fillId="0" borderId="44" xfId="0" applyFont="1" applyBorder="1"/>
    <xf numFmtId="0" fontId="12" fillId="0" borderId="1" xfId="0" applyFont="1" applyBorder="1"/>
    <xf numFmtId="0" fontId="12" fillId="0" borderId="45" xfId="0" applyFont="1" applyBorder="1"/>
    <xf numFmtId="0" fontId="0" fillId="8" borderId="0" xfId="0" applyFill="1"/>
    <xf numFmtId="0" fontId="34" fillId="19" borderId="0" xfId="0" applyFont="1" applyFill="1" applyAlignment="1">
      <alignment horizontal="left" indent="1"/>
    </xf>
    <xf numFmtId="182" fontId="34" fillId="19" borderId="0" xfId="0" applyNumberFormat="1" applyFont="1" applyFill="1" applyAlignment="1">
      <alignment horizontal="left" indent="1"/>
    </xf>
    <xf numFmtId="0" fontId="34" fillId="30" borderId="0" xfId="0" applyFont="1" applyFill="1" applyAlignment="1">
      <alignment horizontal="left" indent="1"/>
    </xf>
    <xf numFmtId="0" fontId="22" fillId="0" borderId="0" xfId="0" applyFont="1" applyAlignment="1">
      <alignment horizontal="left"/>
    </xf>
    <xf numFmtId="0" fontId="26" fillId="32" borderId="28" xfId="0" applyFont="1" applyFill="1" applyBorder="1" applyAlignment="1">
      <alignment horizontal="center"/>
    </xf>
    <xf numFmtId="0" fontId="26" fillId="32" borderId="25" xfId="0" applyFont="1" applyFill="1" applyBorder="1" applyAlignment="1">
      <alignment horizontal="center"/>
    </xf>
    <xf numFmtId="9" fontId="32" fillId="8" borderId="52" xfId="16" applyFont="1" applyFill="1" applyBorder="1" applyAlignment="1">
      <alignment horizontal="center"/>
    </xf>
    <xf numFmtId="9" fontId="7" fillId="8" borderId="52" xfId="16" applyFont="1" applyFill="1" applyBorder="1" applyAlignment="1">
      <alignment horizontal="center"/>
    </xf>
    <xf numFmtId="0" fontId="12" fillId="0" borderId="52" xfId="0" applyFont="1" applyBorder="1" applyAlignment="1">
      <alignment horizontal="center"/>
    </xf>
    <xf numFmtId="180" fontId="32" fillId="24" borderId="52" xfId="16" applyNumberFormat="1" applyFont="1" applyFill="1" applyBorder="1" applyAlignment="1">
      <alignment horizontal="center"/>
    </xf>
    <xf numFmtId="0" fontId="26" fillId="32" borderId="19" xfId="0" applyFont="1" applyFill="1" applyBorder="1" applyAlignment="1">
      <alignment horizontal="center" vertical="center" wrapText="1"/>
    </xf>
    <xf numFmtId="0" fontId="26" fillId="32" borderId="19" xfId="0" applyFont="1" applyFill="1" applyBorder="1" applyAlignment="1">
      <alignment horizontal="center"/>
    </xf>
    <xf numFmtId="0" fontId="26" fillId="32" borderId="23" xfId="0" applyFont="1" applyFill="1" applyBorder="1" applyAlignment="1">
      <alignment horizontal="center" vertical="center" wrapText="1"/>
    </xf>
    <xf numFmtId="0" fontId="7" fillId="8" borderId="19" xfId="0" applyFont="1" applyFill="1" applyBorder="1" applyAlignment="1">
      <alignment vertical="center" wrapText="1"/>
    </xf>
    <xf numFmtId="0" fontId="26" fillId="32" borderId="52" xfId="0" applyFont="1" applyFill="1" applyBorder="1" applyAlignment="1">
      <alignment horizontal="center"/>
    </xf>
    <xf numFmtId="3" fontId="7" fillId="0" borderId="0" xfId="0" applyNumberFormat="1" applyFont="1"/>
    <xf numFmtId="0" fontId="7" fillId="17" borderId="44" xfId="0" applyFont="1" applyFill="1" applyBorder="1"/>
    <xf numFmtId="0" fontId="7" fillId="0" borderId="44" xfId="0" applyFont="1" applyBorder="1" applyAlignment="1">
      <alignment horizontal="left" indent="1"/>
    </xf>
    <xf numFmtId="0" fontId="7" fillId="0" borderId="44" xfId="0" applyFont="1" applyBorder="1" applyAlignment="1">
      <alignment horizontal="left"/>
    </xf>
    <xf numFmtId="0" fontId="7" fillId="17" borderId="44" xfId="0" applyFont="1" applyFill="1" applyBorder="1" applyAlignment="1">
      <alignment horizontal="left" indent="1"/>
    </xf>
    <xf numFmtId="0" fontId="12" fillId="0" borderId="44" xfId="0" applyFont="1" applyBorder="1" applyAlignment="1">
      <alignment horizontal="left"/>
    </xf>
    <xf numFmtId="0" fontId="12" fillId="17" borderId="44" xfId="0" applyFont="1" applyFill="1" applyBorder="1"/>
    <xf numFmtId="0" fontId="7" fillId="0" borderId="44" xfId="0" applyFont="1" applyBorder="1"/>
    <xf numFmtId="185" fontId="7" fillId="24" borderId="19" xfId="0" applyNumberFormat="1" applyFont="1" applyFill="1" applyBorder="1" applyAlignment="1">
      <alignment horizontal="center"/>
    </xf>
    <xf numFmtId="9" fontId="7" fillId="24" borderId="19" xfId="16" applyFont="1" applyFill="1" applyBorder="1" applyAlignment="1">
      <alignment horizontal="center"/>
    </xf>
    <xf numFmtId="184" fontId="7" fillId="0" borderId="19" xfId="0" applyNumberFormat="1" applyFont="1" applyBorder="1" applyAlignment="1">
      <alignment horizontal="center"/>
    </xf>
    <xf numFmtId="179" fontId="7" fillId="7" borderId="19" xfId="0" applyNumberFormat="1" applyFont="1" applyFill="1" applyBorder="1" applyAlignment="1">
      <alignment horizontal="center"/>
    </xf>
    <xf numFmtId="4" fontId="7" fillId="7" borderId="19" xfId="0" applyNumberFormat="1" applyFont="1" applyFill="1" applyBorder="1" applyAlignment="1">
      <alignment horizontal="center"/>
    </xf>
    <xf numFmtId="9" fontId="32" fillId="7" borderId="52" xfId="16" applyFont="1" applyFill="1" applyBorder="1" applyAlignment="1">
      <alignment horizontal="center"/>
    </xf>
    <xf numFmtId="0" fontId="7" fillId="7" borderId="19" xfId="0" applyFont="1" applyFill="1" applyBorder="1"/>
    <xf numFmtId="9" fontId="7" fillId="7" borderId="19" xfId="16" applyFont="1" applyFill="1" applyBorder="1" applyAlignment="1">
      <alignment horizontal="center"/>
    </xf>
    <xf numFmtId="180" fontId="7" fillId="7" borderId="19" xfId="16" applyNumberFormat="1" applyFont="1" applyFill="1" applyBorder="1" applyAlignment="1">
      <alignment horizontal="center"/>
    </xf>
    <xf numFmtId="9" fontId="7" fillId="7" borderId="19" xfId="16" applyFont="1" applyFill="1" applyBorder="1"/>
    <xf numFmtId="185" fontId="32" fillId="8" borderId="52" xfId="16" applyNumberFormat="1" applyFont="1" applyFill="1" applyBorder="1" applyAlignment="1">
      <alignment horizontal="center"/>
    </xf>
    <xf numFmtId="185" fontId="7" fillId="8" borderId="52" xfId="0" applyNumberFormat="1" applyFont="1" applyFill="1" applyBorder="1" applyAlignment="1">
      <alignment horizontal="center"/>
    </xf>
    <xf numFmtId="0" fontId="47" fillId="32" borderId="52" xfId="0" applyFont="1" applyFill="1" applyBorder="1" applyAlignment="1">
      <alignment horizontal="center"/>
    </xf>
    <xf numFmtId="0" fontId="48" fillId="32" borderId="52" xfId="0" applyFont="1" applyFill="1" applyBorder="1" applyAlignment="1">
      <alignment horizontal="center"/>
    </xf>
    <xf numFmtId="179" fontId="12" fillId="24" borderId="19" xfId="0" applyNumberFormat="1" applyFont="1" applyFill="1" applyBorder="1" applyAlignment="1">
      <alignment horizontal="center"/>
    </xf>
    <xf numFmtId="0" fontId="12" fillId="14" borderId="12" xfId="0" applyFont="1" applyFill="1" applyBorder="1" applyAlignment="1">
      <alignment horizontal="center"/>
    </xf>
    <xf numFmtId="0" fontId="0" fillId="0" borderId="50" xfId="0" applyBorder="1"/>
    <xf numFmtId="0" fontId="0" fillId="0" borderId="70" xfId="0" applyBorder="1"/>
    <xf numFmtId="0" fontId="12" fillId="0" borderId="88" xfId="0" applyFont="1" applyBorder="1" applyAlignment="1">
      <alignment horizontal="left"/>
    </xf>
    <xf numFmtId="179" fontId="12" fillId="0" borderId="74" xfId="0" applyNumberFormat="1" applyFont="1" applyBorder="1" applyAlignment="1">
      <alignment horizontal="center"/>
    </xf>
    <xf numFmtId="0" fontId="12" fillId="0" borderId="87" xfId="0" applyFont="1" applyBorder="1" applyAlignment="1">
      <alignment horizontal="center"/>
    </xf>
    <xf numFmtId="9" fontId="0" fillId="0" borderId="66" xfId="0" applyNumberFormat="1" applyBorder="1"/>
    <xf numFmtId="0" fontId="0" fillId="33" borderId="89" xfId="0" applyFill="1" applyBorder="1"/>
    <xf numFmtId="0" fontId="0" fillId="33" borderId="90" xfId="0" applyFill="1" applyBorder="1"/>
    <xf numFmtId="10" fontId="0" fillId="33" borderId="90" xfId="0" applyNumberFormat="1" applyFill="1" applyBorder="1"/>
    <xf numFmtId="10" fontId="0" fillId="33" borderId="91" xfId="0" applyNumberFormat="1" applyFill="1" applyBorder="1"/>
    <xf numFmtId="0" fontId="12" fillId="8" borderId="39" xfId="0" applyFont="1" applyFill="1" applyBorder="1" applyAlignment="1">
      <alignment horizontal="center"/>
    </xf>
    <xf numFmtId="9" fontId="0" fillId="0" borderId="92" xfId="16" applyFont="1" applyBorder="1"/>
    <xf numFmtId="0" fontId="12" fillId="0" borderId="92" xfId="0" applyFont="1" applyBorder="1"/>
    <xf numFmtId="0" fontId="12" fillId="14" borderId="65" xfId="0" applyFont="1" applyFill="1" applyBorder="1" applyAlignment="1">
      <alignment horizontal="center"/>
    </xf>
    <xf numFmtId="9" fontId="12" fillId="14" borderId="65" xfId="16" applyFont="1" applyFill="1" applyBorder="1" applyAlignment="1">
      <alignment horizontal="center"/>
    </xf>
    <xf numFmtId="0" fontId="12" fillId="0" borderId="65" xfId="0" applyFont="1" applyBorder="1" applyAlignment="1">
      <alignment horizontal="center"/>
    </xf>
    <xf numFmtId="179" fontId="0" fillId="0" borderId="93" xfId="0" applyNumberFormat="1" applyBorder="1" applyAlignment="1">
      <alignment horizontal="center"/>
    </xf>
    <xf numFmtId="0" fontId="12" fillId="0" borderId="94" xfId="0" applyFont="1" applyBorder="1" applyAlignment="1">
      <alignment horizontal="center"/>
    </xf>
    <xf numFmtId="0" fontId="0" fillId="0" borderId="67" xfId="0" applyBorder="1"/>
    <xf numFmtId="0" fontId="9" fillId="0" borderId="68" xfId="11" applyBorder="1" applyAlignment="1" applyProtection="1">
      <alignment horizontal="center"/>
    </xf>
    <xf numFmtId="0" fontId="0" fillId="0" borderId="68" xfId="0" applyBorder="1" applyAlignment="1">
      <alignment horizontal="center"/>
    </xf>
    <xf numFmtId="0" fontId="0" fillId="0" borderId="68" xfId="0" applyBorder="1"/>
    <xf numFmtId="0" fontId="0" fillId="0" borderId="69" xfId="0" applyBorder="1"/>
    <xf numFmtId="0" fontId="0" fillId="0" borderId="51" xfId="0" applyBorder="1"/>
    <xf numFmtId="0" fontId="0" fillId="0" borderId="74" xfId="0" applyBorder="1"/>
    <xf numFmtId="0" fontId="0" fillId="0" borderId="74" xfId="0" applyBorder="1" applyAlignment="1">
      <alignment horizontal="center"/>
    </xf>
    <xf numFmtId="0" fontId="0" fillId="0" borderId="75" xfId="0" applyBorder="1"/>
    <xf numFmtId="9" fontId="0" fillId="0" borderId="0" xfId="0" applyNumberFormat="1"/>
    <xf numFmtId="0" fontId="12" fillId="14" borderId="91" xfId="0" applyFont="1" applyFill="1" applyBorder="1" applyAlignment="1">
      <alignment horizontal="center"/>
    </xf>
    <xf numFmtId="0" fontId="0" fillId="33" borderId="71" xfId="0" applyFill="1" applyBorder="1"/>
    <xf numFmtId="0" fontId="0" fillId="33" borderId="73" xfId="0" applyFill="1" applyBorder="1"/>
    <xf numFmtId="0" fontId="12" fillId="0" borderId="71" xfId="0" applyFont="1" applyBorder="1" applyAlignment="1">
      <alignment horizontal="center"/>
    </xf>
    <xf numFmtId="0" fontId="12" fillId="8" borderId="9" xfId="0" applyFont="1" applyFill="1" applyBorder="1" applyAlignment="1">
      <alignment horizontal="center"/>
    </xf>
    <xf numFmtId="185" fontId="0" fillId="0" borderId="96" xfId="0" applyNumberFormat="1" applyBorder="1" applyAlignment="1">
      <alignment horizontal="center"/>
    </xf>
    <xf numFmtId="185" fontId="0" fillId="0" borderId="98" xfId="0" applyNumberFormat="1" applyBorder="1" applyAlignment="1">
      <alignment horizontal="center"/>
    </xf>
    <xf numFmtId="0" fontId="0" fillId="31" borderId="72" xfId="0" applyFill="1" applyBorder="1"/>
    <xf numFmtId="0" fontId="26" fillId="31" borderId="72" xfId="0" applyFont="1" applyFill="1" applyBorder="1" applyAlignment="1">
      <alignment horizontal="left"/>
    </xf>
    <xf numFmtId="9" fontId="0" fillId="31" borderId="72" xfId="16" applyFont="1" applyFill="1" applyBorder="1" applyAlignment="1">
      <alignment horizontal="center" vertical="center"/>
    </xf>
    <xf numFmtId="183" fontId="26" fillId="31" borderId="73" xfId="0" applyNumberFormat="1" applyFont="1" applyFill="1" applyBorder="1" applyAlignment="1">
      <alignment horizontal="center" vertical="center"/>
    </xf>
    <xf numFmtId="0" fontId="12" fillId="17" borderId="102" xfId="0" applyFont="1" applyFill="1" applyBorder="1"/>
    <xf numFmtId="0" fontId="12" fillId="17" borderId="104" xfId="0" applyFont="1" applyFill="1" applyBorder="1"/>
    <xf numFmtId="185" fontId="0" fillId="0" borderId="105" xfId="0" applyNumberFormat="1" applyBorder="1" applyAlignment="1">
      <alignment horizontal="center"/>
    </xf>
    <xf numFmtId="185" fontId="0" fillId="0" borderId="103" xfId="0" applyNumberFormat="1" applyBorder="1" applyAlignment="1">
      <alignment horizontal="center"/>
    </xf>
    <xf numFmtId="185" fontId="0" fillId="0" borderId="106" xfId="0" applyNumberFormat="1" applyBorder="1" applyAlignment="1">
      <alignment horizontal="center"/>
    </xf>
    <xf numFmtId="0" fontId="26" fillId="32" borderId="107" xfId="0" applyFont="1" applyFill="1" applyBorder="1" applyAlignment="1">
      <alignment horizontal="center"/>
    </xf>
    <xf numFmtId="0" fontId="0" fillId="32" borderId="108" xfId="0" applyFill="1" applyBorder="1"/>
    <xf numFmtId="0" fontId="0" fillId="32" borderId="109" xfId="0" applyFill="1" applyBorder="1"/>
    <xf numFmtId="0" fontId="26" fillId="32" borderId="102" xfId="0" applyFont="1" applyFill="1" applyBorder="1" applyAlignment="1">
      <alignment horizontal="center"/>
    </xf>
    <xf numFmtId="0" fontId="0" fillId="32" borderId="98" xfId="0" applyFill="1" applyBorder="1"/>
    <xf numFmtId="0" fontId="0" fillId="32" borderId="103" xfId="0" applyFill="1" applyBorder="1"/>
    <xf numFmtId="0" fontId="12" fillId="0" borderId="100" xfId="0" applyFont="1" applyBorder="1" applyAlignment="1">
      <alignment horizontal="left" vertical="center"/>
    </xf>
    <xf numFmtId="0" fontId="46" fillId="5" borderId="71" xfId="0" applyFont="1" applyFill="1" applyBorder="1" applyAlignment="1">
      <alignment horizontal="left" vertical="center"/>
    </xf>
    <xf numFmtId="0" fontId="46" fillId="31" borderId="71" xfId="0" applyFont="1" applyFill="1" applyBorder="1" applyAlignment="1">
      <alignment horizontal="left" vertical="center"/>
    </xf>
    <xf numFmtId="0" fontId="46" fillId="13" borderId="73" xfId="0" applyFont="1" applyFill="1" applyBorder="1" applyAlignment="1">
      <alignment horizontal="center"/>
    </xf>
    <xf numFmtId="0" fontId="12" fillId="8" borderId="100" xfId="0" applyFont="1" applyFill="1" applyBorder="1" applyAlignment="1">
      <alignment horizontal="left" vertical="center"/>
    </xf>
    <xf numFmtId="0" fontId="12" fillId="8" borderId="102" xfId="0" applyFont="1" applyFill="1" applyBorder="1" applyAlignment="1">
      <alignment horizontal="left" vertical="center"/>
    </xf>
    <xf numFmtId="0" fontId="0" fillId="31" borderId="72" xfId="0" applyFill="1" applyBorder="1" applyAlignment="1">
      <alignment horizontal="center"/>
    </xf>
    <xf numFmtId="0" fontId="7" fillId="0" borderId="67" xfId="0" applyFont="1" applyBorder="1"/>
    <xf numFmtId="0" fontId="49" fillId="5" borderId="64" xfId="0" applyFont="1" applyFill="1" applyBorder="1" applyAlignment="1">
      <alignment horizontal="center"/>
    </xf>
    <xf numFmtId="0" fontId="49" fillId="5" borderId="64" xfId="0" applyFont="1" applyFill="1" applyBorder="1"/>
    <xf numFmtId="0" fontId="0" fillId="0" borderId="64" xfId="0" applyBorder="1"/>
    <xf numFmtId="185" fontId="0" fillId="24" borderId="98" xfId="0" applyNumberFormat="1" applyFill="1" applyBorder="1" applyAlignment="1">
      <alignment horizontal="center"/>
    </xf>
    <xf numFmtId="185" fontId="0" fillId="24" borderId="105" xfId="0" applyNumberFormat="1" applyFill="1" applyBorder="1" applyAlignment="1">
      <alignment horizontal="center"/>
    </xf>
    <xf numFmtId="0" fontId="28" fillId="0" borderId="10" xfId="26" applyFont="1" applyBorder="1" applyAlignment="1">
      <alignment horizontal="center"/>
    </xf>
    <xf numFmtId="0" fontId="28" fillId="0" borderId="16" xfId="26" applyFont="1" applyBorder="1" applyAlignment="1">
      <alignment horizontal="center"/>
    </xf>
    <xf numFmtId="0" fontId="28" fillId="0" borderId="10" xfId="26" applyFont="1" applyBorder="1" applyAlignment="1">
      <alignment horizontal="center" vertical="center"/>
    </xf>
    <xf numFmtId="0" fontId="28" fillId="0" borderId="16" xfId="26" applyFont="1" applyBorder="1" applyAlignment="1">
      <alignment horizontal="center" vertical="center"/>
    </xf>
    <xf numFmtId="0" fontId="28" fillId="0" borderId="14" xfId="26" applyFont="1" applyBorder="1" applyAlignment="1">
      <alignment horizontal="center"/>
    </xf>
    <xf numFmtId="0" fontId="28" fillId="0" borderId="17" xfId="26" applyFont="1" applyBorder="1" applyAlignment="1">
      <alignment horizontal="center"/>
    </xf>
    <xf numFmtId="0" fontId="50" fillId="5" borderId="113" xfId="4" applyFont="1" applyFill="1" applyBorder="1" applyAlignment="1">
      <alignment horizontal="center" vertical="center"/>
    </xf>
    <xf numFmtId="0" fontId="50" fillId="5" borderId="113" xfId="3" applyFont="1" applyFill="1" applyBorder="1" applyAlignment="1">
      <alignment horizontal="center" vertical="center" wrapText="1"/>
    </xf>
    <xf numFmtId="0" fontId="50" fillId="5" borderId="113" xfId="3" applyFont="1" applyFill="1" applyBorder="1" applyAlignment="1">
      <alignment horizontal="center" vertical="center"/>
    </xf>
    <xf numFmtId="0" fontId="7" fillId="3" borderId="113" xfId="10" applyFont="1" applyBorder="1" applyAlignment="1">
      <alignment horizontal="center" vertical="center"/>
    </xf>
    <xf numFmtId="182" fontId="7" fillId="8" borderId="113" xfId="6" applyFont="1" applyFill="1" applyBorder="1" applyAlignment="1">
      <alignment horizontal="right" vertical="center" wrapText="1"/>
    </xf>
    <xf numFmtId="0" fontId="28" fillId="3" borderId="113" xfId="10" applyFont="1" applyBorder="1" applyAlignment="1">
      <alignment vertical="center"/>
    </xf>
    <xf numFmtId="182" fontId="7" fillId="3" borderId="113" xfId="6" applyFont="1" applyBorder="1" applyAlignment="1">
      <alignment horizontal="right" vertical="center" wrapText="1"/>
    </xf>
    <xf numFmtId="0" fontId="28" fillId="3" borderId="113" xfId="10" applyFont="1" applyBorder="1" applyAlignment="1">
      <alignment horizontal="center" vertical="center"/>
    </xf>
    <xf numFmtId="3" fontId="12" fillId="34" borderId="115" xfId="5" applyFont="1" applyFill="1" applyBorder="1" applyAlignment="1">
      <alignment horizontal="center" vertical="center"/>
    </xf>
    <xf numFmtId="0" fontId="12" fillId="0" borderId="0" xfId="26" applyFont="1" applyAlignment="1">
      <alignment vertical="center"/>
    </xf>
    <xf numFmtId="0" fontId="7" fillId="12" borderId="0" xfId="26" applyFill="1" applyAlignment="1">
      <alignment vertical="center"/>
    </xf>
    <xf numFmtId="0" fontId="27" fillId="0" borderId="113" xfId="9" applyFont="1" applyFill="1" applyBorder="1" applyAlignment="1">
      <alignment horizontal="center" vertical="center"/>
    </xf>
    <xf numFmtId="3" fontId="51" fillId="34" borderId="114" xfId="5" applyFont="1" applyFill="1" applyBorder="1" applyAlignment="1">
      <alignment horizontal="right" vertical="center"/>
    </xf>
    <xf numFmtId="3" fontId="51" fillId="34" borderId="115" xfId="5" applyFont="1" applyFill="1" applyBorder="1" applyAlignment="1">
      <alignment horizontal="right" vertical="center"/>
    </xf>
    <xf numFmtId="3" fontId="51" fillId="34" borderId="116" xfId="5" applyFont="1" applyFill="1" applyBorder="1" applyAlignment="1">
      <alignment horizontal="right" vertical="center"/>
    </xf>
    <xf numFmtId="182" fontId="7" fillId="3" borderId="113" xfId="6" applyFont="1" applyBorder="1" applyAlignment="1">
      <alignment horizontal="center" vertical="center"/>
    </xf>
    <xf numFmtId="4" fontId="31" fillId="0" borderId="113" xfId="7" applyFont="1" applyFill="1" applyBorder="1" applyAlignment="1">
      <alignment horizontal="right" vertical="center"/>
    </xf>
    <xf numFmtId="0" fontId="0" fillId="34" borderId="115" xfId="0" applyFill="1" applyBorder="1" applyAlignment="1">
      <alignment horizontal="center" vertical="center"/>
    </xf>
    <xf numFmtId="4" fontId="7" fillId="34" borderId="115" xfId="7" applyFont="1" applyFill="1" applyBorder="1" applyAlignment="1">
      <alignment horizontal="right" vertical="center"/>
    </xf>
    <xf numFmtId="3" fontId="12" fillId="34" borderId="116" xfId="5" applyFont="1" applyFill="1" applyBorder="1" applyAlignment="1">
      <alignment horizontal="right" vertical="center" wrapText="1"/>
    </xf>
    <xf numFmtId="4" fontId="7" fillId="8" borderId="113" xfId="7" applyFont="1" applyFill="1" applyBorder="1" applyAlignment="1">
      <alignment horizontal="right" vertical="center" wrapText="1"/>
    </xf>
    <xf numFmtId="4" fontId="7" fillId="3" borderId="113" xfId="7" applyFont="1" applyBorder="1" applyAlignment="1">
      <alignment horizontal="center" vertical="center"/>
    </xf>
    <xf numFmtId="4" fontId="7" fillId="3" borderId="113" xfId="7" applyFont="1" applyBorder="1" applyAlignment="1">
      <alignment horizontal="right" vertical="center" wrapText="1"/>
    </xf>
    <xf numFmtId="0" fontId="28" fillId="0" borderId="113" xfId="10" applyFont="1" applyFill="1" applyBorder="1" applyAlignment="1">
      <alignment vertical="center"/>
    </xf>
    <xf numFmtId="0" fontId="7" fillId="0" borderId="113" xfId="10" applyFont="1" applyFill="1" applyBorder="1" applyAlignment="1">
      <alignment horizontal="center" vertical="center"/>
    </xf>
    <xf numFmtId="0" fontId="7" fillId="0" borderId="113" xfId="27" applyFont="1" applyBorder="1" applyAlignment="1">
      <alignment horizontal="right" vertical="center" wrapText="1"/>
    </xf>
    <xf numFmtId="3" fontId="12" fillId="34" borderId="114" xfId="5" applyFont="1" applyFill="1" applyBorder="1" applyAlignment="1">
      <alignment horizontal="right" vertical="center"/>
    </xf>
    <xf numFmtId="4" fontId="7" fillId="6" borderId="113" xfId="7" applyFont="1" applyFill="1" applyBorder="1" applyAlignment="1">
      <alignment horizontal="right" vertical="center"/>
    </xf>
    <xf numFmtId="4" fontId="7" fillId="6" borderId="113" xfId="7" applyFont="1" applyFill="1" applyBorder="1" applyAlignment="1">
      <alignment horizontal="center" vertical="center"/>
    </xf>
    <xf numFmtId="4" fontId="7" fillId="0" borderId="113" xfId="7" applyFont="1" applyFill="1" applyBorder="1" applyAlignment="1">
      <alignment horizontal="right" vertical="center" wrapText="1"/>
    </xf>
    <xf numFmtId="0" fontId="28" fillId="3" borderId="113" xfId="10" applyFont="1" applyBorder="1" applyAlignment="1">
      <alignment vertical="center" wrapText="1"/>
    </xf>
    <xf numFmtId="4" fontId="7" fillId="0" borderId="113" xfId="7" applyFont="1" applyFill="1" applyBorder="1" applyAlignment="1">
      <alignment horizontal="center" vertical="center"/>
    </xf>
    <xf numFmtId="0" fontId="50" fillId="32" borderId="113" xfId="3" applyFont="1" applyFill="1" applyBorder="1" applyAlignment="1">
      <alignment horizontal="center" vertical="center" wrapText="1"/>
    </xf>
    <xf numFmtId="0" fontId="7" fillId="0" borderId="113" xfId="26" applyBorder="1"/>
    <xf numFmtId="0" fontId="7" fillId="0" borderId="113" xfId="26" applyBorder="1" applyAlignment="1">
      <alignment vertical="center"/>
    </xf>
    <xf numFmtId="0" fontId="34" fillId="12" borderId="113" xfId="26" applyFont="1" applyFill="1" applyBorder="1" applyAlignment="1">
      <alignment horizontal="center" vertical="center"/>
    </xf>
    <xf numFmtId="0" fontId="53" fillId="0" borderId="0" xfId="0" applyFont="1"/>
    <xf numFmtId="0" fontId="55" fillId="0" borderId="0" xfId="0" applyFont="1"/>
    <xf numFmtId="0" fontId="12" fillId="0" borderId="36" xfId="0" applyFont="1" applyBorder="1" applyAlignment="1">
      <alignment horizontal="center"/>
    </xf>
    <xf numFmtId="0" fontId="12" fillId="12" borderId="120" xfId="0" applyFont="1" applyFill="1" applyBorder="1" applyAlignment="1">
      <alignment horizontal="center"/>
    </xf>
    <xf numFmtId="0" fontId="26" fillId="5" borderId="8" xfId="26" applyFont="1" applyFill="1" applyBorder="1" applyAlignment="1">
      <alignment horizontal="center"/>
    </xf>
    <xf numFmtId="0" fontId="53" fillId="8" borderId="0" xfId="0" applyFont="1" applyFill="1"/>
    <xf numFmtId="0" fontId="57" fillId="42" borderId="0" xfId="0" applyFont="1" applyFill="1"/>
    <xf numFmtId="0" fontId="7" fillId="39" borderId="0" xfId="0" applyFont="1" applyFill="1"/>
    <xf numFmtId="0" fontId="12" fillId="0" borderId="145" xfId="0" applyFont="1" applyBorder="1" applyAlignment="1">
      <alignment horizontal="center"/>
    </xf>
    <xf numFmtId="0" fontId="12" fillId="0" borderId="41" xfId="0" applyFont="1" applyBorder="1" applyAlignment="1">
      <alignment horizontal="center"/>
    </xf>
    <xf numFmtId="0" fontId="7" fillId="39" borderId="121" xfId="0" applyFont="1" applyFill="1" applyBorder="1"/>
    <xf numFmtId="14" fontId="12" fillId="0" borderId="21" xfId="0" applyNumberFormat="1" applyFont="1" applyBorder="1" applyAlignment="1">
      <alignment horizontal="center" vertical="center"/>
    </xf>
    <xf numFmtId="0" fontId="7" fillId="0" borderId="57" xfId="0" applyFont="1" applyBorder="1" applyAlignment="1">
      <alignment horizontal="center" vertical="center"/>
    </xf>
    <xf numFmtId="0" fontId="38" fillId="8" borderId="23" xfId="0" applyFont="1" applyFill="1" applyBorder="1" applyAlignment="1">
      <alignment horizontal="left" vertical="center" wrapText="1"/>
    </xf>
    <xf numFmtId="10" fontId="0" fillId="0" borderId="0" xfId="16" applyNumberFormat="1" applyFont="1"/>
    <xf numFmtId="9" fontId="32" fillId="38" borderId="140" xfId="16" applyFont="1" applyFill="1" applyBorder="1" applyAlignment="1">
      <alignment horizontal="center" vertical="center"/>
    </xf>
    <xf numFmtId="3" fontId="22" fillId="0" borderId="0" xfId="0" applyNumberFormat="1" applyFont="1" applyAlignment="1">
      <alignment horizontal="center" vertical="center"/>
    </xf>
    <xf numFmtId="3" fontId="34" fillId="19" borderId="0" xfId="0" applyNumberFormat="1" applyFont="1" applyFill="1" applyAlignment="1">
      <alignment horizontal="center" vertical="center"/>
    </xf>
    <xf numFmtId="180" fontId="32" fillId="43" borderId="141" xfId="30" applyNumberFormat="1" applyFont="1" applyFill="1" applyBorder="1" applyAlignment="1">
      <alignment horizontal="center" vertical="center"/>
    </xf>
    <xf numFmtId="9" fontId="37" fillId="0" borderId="0" xfId="16" applyFont="1"/>
    <xf numFmtId="9" fontId="0" fillId="0" borderId="93" xfId="0" applyNumberFormat="1" applyBorder="1" applyAlignment="1">
      <alignment horizontal="center"/>
    </xf>
    <xf numFmtId="9" fontId="12" fillId="0" borderId="71" xfId="0" applyNumberFormat="1" applyFont="1" applyBorder="1" applyAlignment="1">
      <alignment horizontal="center"/>
    </xf>
    <xf numFmtId="9" fontId="12" fillId="0" borderId="72" xfId="0" applyNumberFormat="1" applyFont="1" applyBorder="1" applyAlignment="1">
      <alignment horizontal="center"/>
    </xf>
    <xf numFmtId="9" fontId="7" fillId="0" borderId="76" xfId="0" applyNumberFormat="1" applyFont="1" applyBorder="1" applyAlignment="1">
      <alignment horizontal="center"/>
    </xf>
    <xf numFmtId="9" fontId="7" fillId="0" borderId="81" xfId="0" applyNumberFormat="1" applyFont="1" applyBorder="1" applyAlignment="1">
      <alignment horizontal="center"/>
    </xf>
    <xf numFmtId="3" fontId="0" fillId="0" borderId="0" xfId="0" applyNumberFormat="1"/>
    <xf numFmtId="0" fontId="9" fillId="0" borderId="50" xfId="11" applyBorder="1" applyAlignment="1" applyProtection="1"/>
    <xf numFmtId="10" fontId="0" fillId="0" borderId="0" xfId="0" applyNumberFormat="1"/>
    <xf numFmtId="4" fontId="31" fillId="12" borderId="113" xfId="7" applyFont="1" applyFill="1" applyBorder="1" applyAlignment="1">
      <alignment horizontal="right" vertical="center"/>
    </xf>
    <xf numFmtId="4" fontId="7" fillId="0" borderId="0" xfId="7" applyFont="1" applyFill="1" applyBorder="1">
      <alignment horizontal="right"/>
    </xf>
    <xf numFmtId="4" fontId="31" fillId="0" borderId="0" xfId="7" applyFont="1" applyFill="1" applyBorder="1">
      <alignment horizontal="right"/>
    </xf>
    <xf numFmtId="4" fontId="31" fillId="9" borderId="113" xfId="7" applyFont="1" applyFill="1" applyBorder="1" applyAlignment="1">
      <alignment horizontal="right" vertical="center"/>
    </xf>
    <xf numFmtId="4" fontId="31" fillId="28" borderId="113" xfId="7" applyFont="1" applyFill="1" applyBorder="1" applyAlignment="1">
      <alignment horizontal="right" vertical="center"/>
    </xf>
    <xf numFmtId="4" fontId="24" fillId="28" borderId="113" xfId="7" applyFont="1" applyFill="1" applyBorder="1" applyAlignment="1">
      <alignment horizontal="right" vertical="center"/>
    </xf>
    <xf numFmtId="0" fontId="25" fillId="0" borderId="0" xfId="0" applyFont="1" applyAlignment="1">
      <alignment horizontal="center"/>
    </xf>
    <xf numFmtId="0" fontId="63" fillId="0" borderId="0" xfId="0" applyFont="1"/>
    <xf numFmtId="0" fontId="0" fillId="0" borderId="46" xfId="0" applyBorder="1"/>
    <xf numFmtId="0" fontId="62" fillId="0" borderId="0" xfId="0" applyFont="1"/>
    <xf numFmtId="3" fontId="7" fillId="8" borderId="15" xfId="0" applyNumberFormat="1" applyFont="1" applyFill="1" applyBorder="1" applyAlignment="1">
      <alignment horizontal="center"/>
    </xf>
    <xf numFmtId="180" fontId="32" fillId="38" borderId="46" xfId="16" applyNumberFormat="1" applyFont="1" applyFill="1" applyBorder="1" applyAlignment="1">
      <alignment horizontal="center" vertical="center"/>
    </xf>
    <xf numFmtId="180" fontId="32" fillId="38" borderId="143" xfId="16" applyNumberFormat="1" applyFont="1" applyFill="1" applyBorder="1" applyAlignment="1">
      <alignment horizontal="center" vertical="center"/>
    </xf>
    <xf numFmtId="1" fontId="0" fillId="0" borderId="46" xfId="0" applyNumberFormat="1" applyBorder="1" applyAlignment="1">
      <alignment horizontal="center" vertical="center"/>
    </xf>
    <xf numFmtId="1" fontId="0" fillId="0" borderId="140" xfId="0" applyNumberFormat="1" applyBorder="1" applyAlignment="1">
      <alignment horizontal="center" vertical="center"/>
    </xf>
    <xf numFmtId="1" fontId="0" fillId="0" borderId="141" xfId="0" applyNumberFormat="1" applyBorder="1" applyAlignment="1">
      <alignment horizontal="center" vertical="center"/>
    </xf>
    <xf numFmtId="1" fontId="0" fillId="0" borderId="142" xfId="0" applyNumberFormat="1" applyBorder="1" applyAlignment="1">
      <alignment horizontal="center" vertical="center"/>
    </xf>
    <xf numFmtId="1" fontId="0" fillId="0" borderId="143" xfId="0" applyNumberFormat="1" applyBorder="1" applyAlignment="1">
      <alignment horizontal="center" vertical="center"/>
    </xf>
    <xf numFmtId="1" fontId="0" fillId="0" borderId="136" xfId="0" applyNumberFormat="1" applyBorder="1" applyAlignment="1">
      <alignment horizontal="center" vertical="center"/>
    </xf>
    <xf numFmtId="9" fontId="0" fillId="0" borderId="0" xfId="16" applyFont="1" applyBorder="1" applyAlignment="1">
      <alignment horizontal="left"/>
    </xf>
    <xf numFmtId="2" fontId="7" fillId="24" borderId="19" xfId="0" applyNumberFormat="1" applyFont="1" applyFill="1" applyBorder="1" applyAlignment="1">
      <alignment horizontal="center"/>
    </xf>
    <xf numFmtId="0" fontId="22" fillId="0" borderId="0" xfId="0" applyFont="1" applyAlignment="1">
      <alignment horizontal="center" vertical="center"/>
    </xf>
    <xf numFmtId="3" fontId="34" fillId="19" borderId="0" xfId="21" applyNumberFormat="1" applyFont="1" applyFill="1" applyAlignment="1">
      <alignment horizontal="center" vertical="center"/>
    </xf>
    <xf numFmtId="3" fontId="35" fillId="19" borderId="0" xfId="21" applyNumberFormat="1" applyFont="1" applyFill="1" applyAlignment="1">
      <alignment horizontal="center" vertical="center"/>
    </xf>
    <xf numFmtId="3" fontId="35" fillId="19" borderId="0" xfId="0" applyNumberFormat="1" applyFont="1" applyFill="1" applyAlignment="1">
      <alignment horizontal="center" vertical="center"/>
    </xf>
    <xf numFmtId="3" fontId="34" fillId="0" borderId="0" xfId="0" applyNumberFormat="1" applyFont="1" applyAlignment="1">
      <alignment horizontal="center" vertical="center"/>
    </xf>
    <xf numFmtId="182" fontId="22" fillId="0" borderId="0" xfId="0" applyNumberFormat="1" applyFont="1" applyAlignment="1">
      <alignment horizontal="center" vertical="center"/>
    </xf>
    <xf numFmtId="4" fontId="34" fillId="19" borderId="0" xfId="0" applyNumberFormat="1" applyFont="1" applyFill="1" applyAlignment="1">
      <alignment horizontal="center" vertical="center"/>
    </xf>
    <xf numFmtId="4" fontId="34" fillId="19" borderId="0" xfId="21" applyNumberFormat="1" applyFont="1" applyFill="1" applyAlignment="1">
      <alignment horizontal="center" vertical="center"/>
    </xf>
    <xf numFmtId="3" fontId="22" fillId="19"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7" fillId="8" borderId="19" xfId="0" applyFont="1" applyFill="1" applyBorder="1" applyAlignment="1">
      <alignment horizontal="center" vertical="center" wrapText="1"/>
    </xf>
    <xf numFmtId="0" fontId="33" fillId="8" borderId="19" xfId="0" applyFont="1" applyFill="1" applyBorder="1" applyAlignment="1">
      <alignment horizontal="center" vertical="center" wrapText="1"/>
    </xf>
    <xf numFmtId="185" fontId="0" fillId="0" borderId="98" xfId="0" applyNumberFormat="1" applyBorder="1" applyAlignment="1">
      <alignment horizontal="center" wrapText="1"/>
    </xf>
    <xf numFmtId="0" fontId="46" fillId="9" borderId="71" xfId="0" applyFont="1" applyFill="1" applyBorder="1" applyAlignment="1">
      <alignment horizontal="center" vertical="center" wrapText="1"/>
    </xf>
    <xf numFmtId="0" fontId="46" fillId="10" borderId="72" xfId="0" applyFont="1" applyFill="1" applyBorder="1" applyAlignment="1">
      <alignment horizontal="center" vertical="center" wrapText="1"/>
    </xf>
    <xf numFmtId="0" fontId="46" fillId="11" borderId="72" xfId="0" applyFont="1" applyFill="1" applyBorder="1" applyAlignment="1">
      <alignment horizontal="center" vertical="center" wrapText="1"/>
    </xf>
    <xf numFmtId="0" fontId="46" fillId="15" borderId="72" xfId="0" applyFont="1" applyFill="1" applyBorder="1" applyAlignment="1">
      <alignment horizontal="center" vertical="center" wrapText="1"/>
    </xf>
    <xf numFmtId="0" fontId="46" fillId="23" borderId="99" xfId="0" applyFont="1" applyFill="1" applyBorder="1" applyAlignment="1">
      <alignment horizontal="center" vertical="center" wrapText="1"/>
    </xf>
    <xf numFmtId="0" fontId="46" fillId="16" borderId="72" xfId="0" applyFont="1" applyFill="1" applyBorder="1" applyAlignment="1">
      <alignment horizontal="center" vertical="center" wrapText="1"/>
    </xf>
    <xf numFmtId="0" fontId="46" fillId="10" borderId="64" xfId="0" applyFont="1" applyFill="1" applyBorder="1" applyAlignment="1">
      <alignment horizontal="center" vertical="center" wrapText="1"/>
    </xf>
    <xf numFmtId="0" fontId="46" fillId="11" borderId="64" xfId="0" applyFont="1" applyFill="1" applyBorder="1" applyAlignment="1">
      <alignment horizontal="center" vertical="center" wrapText="1"/>
    </xf>
    <xf numFmtId="0" fontId="46" fillId="15" borderId="64" xfId="0" applyFont="1" applyFill="1" applyBorder="1" applyAlignment="1">
      <alignment horizontal="center" vertical="center" wrapText="1"/>
    </xf>
    <xf numFmtId="0" fontId="46" fillId="23" borderId="64" xfId="0" applyFont="1" applyFill="1" applyBorder="1" applyAlignment="1">
      <alignment horizontal="center" vertical="center" wrapText="1"/>
    </xf>
    <xf numFmtId="0" fontId="46" fillId="16" borderId="64" xfId="0" applyFont="1" applyFill="1" applyBorder="1" applyAlignment="1">
      <alignment horizontal="center" vertical="center" wrapText="1"/>
    </xf>
    <xf numFmtId="0" fontId="55" fillId="0" borderId="0" xfId="0" applyFont="1" applyAlignment="1">
      <alignment horizontal="center" vertical="center"/>
    </xf>
    <xf numFmtId="14" fontId="12" fillId="0" borderId="20" xfId="0" applyNumberFormat="1" applyFont="1" applyBorder="1" applyAlignment="1">
      <alignment horizontal="center" vertical="center"/>
    </xf>
    <xf numFmtId="14" fontId="12" fillId="0" borderId="54" xfId="0" applyNumberFormat="1" applyFont="1" applyBorder="1" applyAlignment="1">
      <alignment horizontal="center" vertical="center"/>
    </xf>
    <xf numFmtId="0" fontId="0" fillId="0" borderId="0" xfId="0" applyAlignment="1">
      <alignment horizontal="left"/>
    </xf>
    <xf numFmtId="2" fontId="7" fillId="24" borderId="52" xfId="0" applyNumberFormat="1" applyFont="1" applyFill="1" applyBorder="1" applyAlignment="1">
      <alignment horizontal="center"/>
    </xf>
    <xf numFmtId="2" fontId="32" fillId="24" borderId="52" xfId="16" applyNumberFormat="1" applyFont="1" applyFill="1" applyBorder="1" applyAlignment="1">
      <alignment horizontal="center"/>
    </xf>
    <xf numFmtId="0" fontId="7" fillId="7" borderId="158" xfId="0" applyFont="1" applyFill="1" applyBorder="1"/>
    <xf numFmtId="0" fontId="26" fillId="32" borderId="61" xfId="0" applyFont="1" applyFill="1" applyBorder="1" applyAlignment="1">
      <alignment horizontal="center"/>
    </xf>
    <xf numFmtId="0" fontId="12" fillId="0" borderId="61" xfId="0" applyFont="1" applyBorder="1" applyAlignment="1">
      <alignment horizontal="center"/>
    </xf>
    <xf numFmtId="179" fontId="12" fillId="24" borderId="23" xfId="0" applyNumberFormat="1" applyFont="1" applyFill="1" applyBorder="1" applyAlignment="1">
      <alignment horizontal="center"/>
    </xf>
    <xf numFmtId="2" fontId="32" fillId="24" borderId="61" xfId="16" applyNumberFormat="1" applyFont="1" applyFill="1" applyBorder="1" applyAlignment="1">
      <alignment horizontal="center"/>
    </xf>
    <xf numFmtId="0" fontId="7" fillId="0" borderId="0" xfId="0" applyFont="1" applyAlignment="1">
      <alignment horizontal="center"/>
    </xf>
    <xf numFmtId="0" fontId="0" fillId="0" borderId="46" xfId="0" applyBorder="1" applyAlignment="1">
      <alignment horizontal="center"/>
    </xf>
    <xf numFmtId="179" fontId="0" fillId="0" borderId="46" xfId="0" applyNumberFormat="1" applyBorder="1" applyAlignment="1">
      <alignment horizontal="center"/>
    </xf>
    <xf numFmtId="180" fontId="62" fillId="0" borderId="46" xfId="16" applyNumberFormat="1" applyFont="1" applyBorder="1" applyAlignment="1">
      <alignment horizontal="center"/>
    </xf>
    <xf numFmtId="0" fontId="62" fillId="0" borderId="46" xfId="0" applyFont="1" applyBorder="1"/>
    <xf numFmtId="178" fontId="62" fillId="0" borderId="46" xfId="0" applyNumberFormat="1" applyFont="1" applyBorder="1" applyAlignment="1">
      <alignment horizontal="center"/>
    </xf>
    <xf numFmtId="9" fontId="0" fillId="0" borderId="0" xfId="16" applyFont="1" applyAlignment="1">
      <alignment horizontal="left"/>
    </xf>
    <xf numFmtId="0" fontId="62" fillId="0" borderId="0" xfId="29" applyFont="1" applyAlignment="1">
      <alignment horizontal="center" vertical="center"/>
    </xf>
    <xf numFmtId="0" fontId="4" fillId="0" borderId="0" xfId="29"/>
    <xf numFmtId="0" fontId="4" fillId="0" borderId="36" xfId="29" applyBorder="1"/>
    <xf numFmtId="10" fontId="0" fillId="0" borderId="0" xfId="0" applyNumberFormat="1" applyAlignment="1">
      <alignment horizontal="center" vertical="center"/>
    </xf>
    <xf numFmtId="0" fontId="55" fillId="0" borderId="46" xfId="0" applyFont="1" applyBorder="1"/>
    <xf numFmtId="9" fontId="22" fillId="0" borderId="0" xfId="16" applyFont="1" applyAlignment="1">
      <alignment horizontal="center" vertical="center"/>
    </xf>
    <xf numFmtId="9" fontId="34" fillId="0" borderId="0" xfId="16" applyFont="1" applyAlignment="1">
      <alignment horizontal="center" vertical="center"/>
    </xf>
    <xf numFmtId="180" fontId="37" fillId="0" borderId="0" xfId="0" applyNumberFormat="1" applyFont="1"/>
    <xf numFmtId="1" fontId="0" fillId="0" borderId="164" xfId="0" applyNumberFormat="1" applyBorder="1" applyAlignment="1">
      <alignment horizontal="center" vertical="center"/>
    </xf>
    <xf numFmtId="1" fontId="0" fillId="0" borderId="45" xfId="0" applyNumberFormat="1" applyBorder="1" applyAlignment="1">
      <alignment horizontal="center" vertical="center"/>
    </xf>
    <xf numFmtId="2" fontId="0" fillId="24" borderId="61" xfId="0" applyNumberFormat="1" applyFill="1" applyBorder="1" applyAlignment="1">
      <alignment horizontal="center"/>
    </xf>
    <xf numFmtId="179" fontId="0" fillId="24" borderId="23" xfId="0" applyNumberFormat="1" applyFill="1" applyBorder="1" applyAlignment="1">
      <alignment horizontal="center"/>
    </xf>
    <xf numFmtId="10" fontId="0" fillId="8" borderId="23" xfId="25" applyNumberFormat="1" applyFont="1" applyFill="1" applyBorder="1" applyAlignment="1">
      <alignment horizontal="center"/>
    </xf>
    <xf numFmtId="180" fontId="0" fillId="8" borderId="23" xfId="25" applyNumberFormat="1" applyFont="1" applyFill="1" applyBorder="1" applyAlignment="1">
      <alignment horizontal="center"/>
    </xf>
    <xf numFmtId="180" fontId="0" fillId="8" borderId="23" xfId="16" quotePrefix="1" applyNumberFormat="1" applyFont="1" applyFill="1" applyBorder="1" applyAlignment="1">
      <alignment horizontal="center"/>
    </xf>
    <xf numFmtId="181" fontId="0" fillId="24" borderId="23" xfId="0" applyNumberFormat="1" applyFill="1" applyBorder="1" applyAlignment="1">
      <alignment horizontal="center"/>
    </xf>
    <xf numFmtId="181" fontId="0" fillId="24" borderId="23" xfId="16" applyNumberFormat="1" applyFont="1" applyFill="1" applyBorder="1" applyAlignment="1">
      <alignment horizontal="center"/>
    </xf>
    <xf numFmtId="180" fontId="0" fillId="24" borderId="23" xfId="16" applyNumberFormat="1" applyFont="1" applyFill="1" applyBorder="1" applyAlignment="1">
      <alignment horizontal="center"/>
    </xf>
    <xf numFmtId="2" fontId="0" fillId="24" borderId="23" xfId="16" applyNumberFormat="1" applyFont="1" applyFill="1" applyBorder="1" applyAlignment="1">
      <alignment horizontal="center"/>
    </xf>
    <xf numFmtId="0" fontId="0" fillId="0" borderId="22" xfId="0" quotePrefix="1" applyBorder="1"/>
    <xf numFmtId="10" fontId="0" fillId="8" borderId="23" xfId="16" applyNumberFormat="1" applyFont="1" applyFill="1" applyBorder="1" applyAlignment="1">
      <alignment horizontal="center"/>
    </xf>
    <xf numFmtId="4" fontId="0" fillId="8" borderId="23" xfId="0" applyNumberFormat="1" applyFill="1" applyBorder="1" applyAlignment="1">
      <alignment horizontal="center"/>
    </xf>
    <xf numFmtId="0" fontId="0" fillId="0" borderId="22" xfId="0" applyBorder="1"/>
    <xf numFmtId="0" fontId="0" fillId="8" borderId="23" xfId="0" applyFill="1" applyBorder="1" applyAlignment="1">
      <alignment horizontal="left" vertical="center" wrapText="1"/>
    </xf>
    <xf numFmtId="0" fontId="0" fillId="0" borderId="58" xfId="0" applyBorder="1" applyAlignment="1">
      <alignment horizontal="center" vertical="center"/>
    </xf>
    <xf numFmtId="186" fontId="0" fillId="0" borderId="0" xfId="0" applyNumberFormat="1" applyAlignment="1">
      <alignment horizontal="center"/>
    </xf>
    <xf numFmtId="10" fontId="66" fillId="35" borderId="113" xfId="26" applyNumberFormat="1" applyFont="1" applyFill="1" applyBorder="1"/>
    <xf numFmtId="180" fontId="53" fillId="0" borderId="0" xfId="16" applyNumberFormat="1" applyFont="1"/>
    <xf numFmtId="3" fontId="24" fillId="38" borderId="143" xfId="0" applyNumberFormat="1" applyFont="1" applyFill="1" applyBorder="1" applyAlignment="1">
      <alignment horizontal="center" vertical="center"/>
    </xf>
    <xf numFmtId="3" fontId="24" fillId="38" borderId="46" xfId="0" applyNumberFormat="1" applyFont="1" applyFill="1" applyBorder="1" applyAlignment="1">
      <alignment horizontal="center" vertical="center"/>
    </xf>
    <xf numFmtId="1" fontId="24" fillId="0" borderId="46" xfId="0" applyNumberFormat="1" applyFont="1" applyBorder="1" applyAlignment="1">
      <alignment horizontal="center" vertical="center"/>
    </xf>
    <xf numFmtId="1" fontId="24" fillId="0" borderId="136" xfId="0" applyNumberFormat="1" applyFont="1" applyBorder="1" applyAlignment="1">
      <alignment horizontal="center" vertical="center"/>
    </xf>
    <xf numFmtId="0" fontId="63" fillId="0" borderId="0" xfId="0" applyFont="1" applyAlignment="1">
      <alignment horizontal="center"/>
    </xf>
    <xf numFmtId="1" fontId="63" fillId="0" borderId="0" xfId="0" applyNumberFormat="1" applyFont="1" applyAlignment="1">
      <alignment horizontal="center"/>
    </xf>
    <xf numFmtId="1" fontId="67" fillId="0" borderId="0" xfId="0" applyNumberFormat="1" applyFont="1" applyAlignment="1">
      <alignment horizontal="left"/>
    </xf>
    <xf numFmtId="0" fontId="7" fillId="0" borderId="0" xfId="26" applyAlignment="1">
      <alignment vertical="center" wrapText="1"/>
    </xf>
    <xf numFmtId="3" fontId="51" fillId="34" borderId="115" xfId="5" applyFont="1" applyFill="1" applyBorder="1" applyAlignment="1">
      <alignment horizontal="right" vertical="center" wrapText="1"/>
    </xf>
    <xf numFmtId="4" fontId="7" fillId="34" borderId="115" xfId="7" applyFont="1" applyFill="1" applyBorder="1" applyAlignment="1">
      <alignment horizontal="right" vertical="center" wrapText="1"/>
    </xf>
    <xf numFmtId="4" fontId="31" fillId="0" borderId="113" xfId="7" applyFont="1" applyFill="1" applyBorder="1" applyAlignment="1">
      <alignment horizontal="right" vertical="center" wrapText="1"/>
    </xf>
    <xf numFmtId="0" fontId="7" fillId="0" borderId="113" xfId="10" applyFont="1" applyFill="1" applyBorder="1" applyAlignment="1">
      <alignment horizontal="right" vertical="center" wrapText="1"/>
    </xf>
    <xf numFmtId="0" fontId="19" fillId="0" borderId="0" xfId="8" applyFill="1" applyBorder="1" applyAlignment="1">
      <alignment wrapText="1"/>
    </xf>
    <xf numFmtId="0" fontId="7" fillId="0" borderId="0" xfId="26" applyAlignment="1">
      <alignment wrapText="1"/>
    </xf>
    <xf numFmtId="0" fontId="0" fillId="0" borderId="0" xfId="0" applyAlignment="1">
      <alignment wrapText="1"/>
    </xf>
    <xf numFmtId="9" fontId="0" fillId="8" borderId="23" xfId="16" applyFont="1" applyFill="1" applyBorder="1" applyAlignment="1">
      <alignment horizontal="center"/>
    </xf>
    <xf numFmtId="0" fontId="0" fillId="0" borderId="0" xfId="26" applyFont="1"/>
    <xf numFmtId="2" fontId="7" fillId="0" borderId="0" xfId="26" applyNumberFormat="1"/>
    <xf numFmtId="2" fontId="0" fillId="0" borderId="0" xfId="26" applyNumberFormat="1" applyFont="1"/>
    <xf numFmtId="188" fontId="7" fillId="24" borderId="19" xfId="0" applyNumberFormat="1" applyFont="1" applyFill="1" applyBorder="1" applyAlignment="1">
      <alignment horizontal="center"/>
    </xf>
    <xf numFmtId="187" fontId="0" fillId="8" borderId="98" xfId="0" applyNumberFormat="1" applyFill="1" applyBorder="1" applyAlignment="1">
      <alignment horizontal="right" vertical="center"/>
    </xf>
    <xf numFmtId="0" fontId="58" fillId="0" borderId="0" xfId="0" applyFont="1"/>
    <xf numFmtId="0" fontId="58" fillId="0" borderId="0" xfId="0" applyFont="1" applyAlignment="1">
      <alignment horizontal="center"/>
    </xf>
    <xf numFmtId="179" fontId="7" fillId="0" borderId="0" xfId="0" applyNumberFormat="1" applyFont="1"/>
    <xf numFmtId="178" fontId="7" fillId="0" borderId="0" xfId="0" applyNumberFormat="1" applyFont="1"/>
    <xf numFmtId="179" fontId="25" fillId="0" borderId="0" xfId="0" applyNumberFormat="1" applyFont="1"/>
    <xf numFmtId="180" fontId="7" fillId="24" borderId="19" xfId="16" applyNumberFormat="1" applyFont="1" applyFill="1" applyBorder="1" applyAlignment="1">
      <alignment horizontal="center"/>
    </xf>
    <xf numFmtId="185" fontId="33" fillId="24" borderId="98" xfId="0" applyNumberFormat="1" applyFont="1" applyFill="1" applyBorder="1" applyAlignment="1">
      <alignment horizontal="center"/>
    </xf>
    <xf numFmtId="0" fontId="46" fillId="31" borderId="71" xfId="0" applyFont="1" applyFill="1" applyBorder="1" applyAlignment="1">
      <alignment horizontal="center" vertical="center"/>
    </xf>
    <xf numFmtId="4" fontId="24" fillId="9" borderId="113" xfId="7" applyFont="1" applyFill="1" applyBorder="1" applyAlignment="1">
      <alignment horizontal="right" vertical="center"/>
    </xf>
    <xf numFmtId="0" fontId="46" fillId="5" borderId="132" xfId="0" applyFont="1" applyFill="1" applyBorder="1" applyAlignment="1">
      <alignment horizontal="center"/>
    </xf>
    <xf numFmtId="0" fontId="26" fillId="32" borderId="10" xfId="0" applyFont="1" applyFill="1" applyBorder="1" applyAlignment="1">
      <alignment horizontal="center"/>
    </xf>
    <xf numFmtId="0" fontId="0" fillId="8" borderId="168" xfId="0" applyFill="1" applyBorder="1" applyAlignment="1">
      <alignment vertical="center" wrapText="1"/>
    </xf>
    <xf numFmtId="0" fontId="46" fillId="5" borderId="121" xfId="0" applyFont="1" applyFill="1" applyBorder="1" applyAlignment="1">
      <alignment horizontal="center"/>
    </xf>
    <xf numFmtId="0" fontId="26" fillId="32" borderId="168" xfId="0" applyFont="1" applyFill="1" applyBorder="1" applyAlignment="1">
      <alignment horizontal="center"/>
    </xf>
    <xf numFmtId="0" fontId="12" fillId="17" borderId="101" xfId="0" applyFont="1" applyFill="1" applyBorder="1" applyAlignment="1">
      <alignment horizontal="left" vertical="center"/>
    </xf>
    <xf numFmtId="185" fontId="0" fillId="17" borderId="97" xfId="0" applyNumberFormat="1" applyFill="1" applyBorder="1" applyAlignment="1">
      <alignment horizontal="center"/>
    </xf>
    <xf numFmtId="0" fontId="12" fillId="17" borderId="102" xfId="0" applyFont="1" applyFill="1" applyBorder="1" applyAlignment="1">
      <alignment horizontal="left" vertical="center"/>
    </xf>
    <xf numFmtId="9" fontId="0" fillId="17" borderId="98" xfId="16" applyFont="1" applyFill="1" applyBorder="1" applyAlignment="1">
      <alignment horizontal="center"/>
    </xf>
    <xf numFmtId="9" fontId="0" fillId="17" borderId="97" xfId="16" applyFont="1" applyFill="1" applyBorder="1" applyAlignment="1">
      <alignment horizontal="center"/>
    </xf>
    <xf numFmtId="2" fontId="7" fillId="17" borderId="98" xfId="0" applyNumberFormat="1" applyFont="1" applyFill="1" applyBorder="1" applyAlignment="1">
      <alignment horizontal="center" vertical="center"/>
    </xf>
    <xf numFmtId="2" fontId="0" fillId="17" borderId="98" xfId="0" applyNumberFormat="1" applyFill="1" applyBorder="1" applyAlignment="1">
      <alignment horizontal="center"/>
    </xf>
    <xf numFmtId="0" fontId="12" fillId="17" borderId="100" xfId="0" applyFont="1" applyFill="1" applyBorder="1" applyAlignment="1">
      <alignment horizontal="left" vertical="center"/>
    </xf>
    <xf numFmtId="2" fontId="0" fillId="17" borderId="96" xfId="0" applyNumberFormat="1" applyFill="1" applyBorder="1" applyAlignment="1">
      <alignment horizontal="center"/>
    </xf>
    <xf numFmtId="2" fontId="7" fillId="17" borderId="98" xfId="0" applyNumberFormat="1" applyFont="1" applyFill="1" applyBorder="1" applyAlignment="1">
      <alignment horizontal="center"/>
    </xf>
    <xf numFmtId="181" fontId="0" fillId="17" borderId="98" xfId="0" applyNumberFormat="1" applyFill="1" applyBorder="1" applyAlignment="1">
      <alignment horizontal="center"/>
    </xf>
    <xf numFmtId="9" fontId="0" fillId="0" borderId="96" xfId="16" applyFont="1" applyFill="1" applyBorder="1" applyAlignment="1">
      <alignment horizontal="center"/>
    </xf>
    <xf numFmtId="0" fontId="12" fillId="0" borderId="102" xfId="0" applyFont="1" applyBorder="1" applyAlignment="1">
      <alignment horizontal="left" vertical="center"/>
    </xf>
    <xf numFmtId="9" fontId="0" fillId="0" borderId="98" xfId="16" applyFont="1" applyFill="1" applyBorder="1" applyAlignment="1">
      <alignment horizontal="center"/>
    </xf>
    <xf numFmtId="2" fontId="0" fillId="0" borderId="96" xfId="0" applyNumberFormat="1" applyBorder="1" applyAlignment="1">
      <alignment horizontal="center"/>
    </xf>
    <xf numFmtId="0" fontId="12" fillId="0" borderId="101" xfId="0" applyFont="1" applyBorder="1" applyAlignment="1">
      <alignment horizontal="left" vertical="center"/>
    </xf>
    <xf numFmtId="2" fontId="0" fillId="0" borderId="98" xfId="0" applyNumberFormat="1" applyBorder="1" applyAlignment="1">
      <alignment horizontal="center"/>
    </xf>
    <xf numFmtId="2" fontId="7" fillId="17" borderId="96" xfId="0" applyNumberFormat="1" applyFont="1" applyFill="1" applyBorder="1" applyAlignment="1">
      <alignment horizontal="center"/>
    </xf>
    <xf numFmtId="2" fontId="0" fillId="17" borderId="97" xfId="0" applyNumberFormat="1" applyFill="1" applyBorder="1" applyAlignment="1">
      <alignment horizontal="center"/>
    </xf>
    <xf numFmtId="0" fontId="13" fillId="17" borderId="102" xfId="0" applyFont="1" applyFill="1" applyBorder="1" applyAlignment="1">
      <alignment horizontal="left" vertical="center"/>
    </xf>
    <xf numFmtId="2" fontId="0" fillId="17" borderId="98" xfId="16" applyNumberFormat="1" applyFont="1" applyFill="1" applyBorder="1" applyAlignment="1">
      <alignment horizontal="center"/>
    </xf>
    <xf numFmtId="10" fontId="0" fillId="17" borderId="98" xfId="16" applyNumberFormat="1" applyFont="1" applyFill="1" applyBorder="1" applyAlignment="1">
      <alignment horizontal="center" vertical="center"/>
    </xf>
    <xf numFmtId="187" fontId="0" fillId="17" borderId="98" xfId="0" applyNumberFormat="1" applyFill="1" applyBorder="1" applyAlignment="1">
      <alignment horizontal="center"/>
    </xf>
    <xf numFmtId="0" fontId="12" fillId="0" borderId="104" xfId="0" applyFont="1" applyBorder="1" applyAlignment="1">
      <alignment horizontal="left" vertical="center"/>
    </xf>
    <xf numFmtId="9" fontId="0" fillId="0" borderId="105" xfId="16" applyFont="1" applyFill="1" applyBorder="1" applyAlignment="1">
      <alignment horizontal="center"/>
    </xf>
    <xf numFmtId="10" fontId="7" fillId="0" borderId="97" xfId="16" applyNumberFormat="1" applyFont="1" applyFill="1" applyBorder="1" applyAlignment="1">
      <alignment horizontal="center"/>
    </xf>
    <xf numFmtId="10" fontId="0" fillId="0" borderId="97" xfId="16" applyNumberFormat="1" applyFont="1" applyFill="1" applyBorder="1" applyAlignment="1">
      <alignment horizontal="center"/>
    </xf>
    <xf numFmtId="181" fontId="0" fillId="0" borderId="97" xfId="0" applyNumberFormat="1" applyBorder="1" applyAlignment="1">
      <alignment horizontal="center"/>
    </xf>
    <xf numFmtId="181" fontId="7" fillId="0" borderId="96" xfId="0" applyNumberFormat="1" applyFont="1" applyBorder="1" applyAlignment="1">
      <alignment horizontal="center"/>
    </xf>
    <xf numFmtId="181" fontId="0" fillId="0" borderId="96" xfId="0" applyNumberFormat="1" applyBorder="1" applyAlignment="1">
      <alignment horizontal="center"/>
    </xf>
    <xf numFmtId="2" fontId="0" fillId="0" borderId="97" xfId="0" applyNumberFormat="1" applyBorder="1" applyAlignment="1">
      <alignment horizontal="center"/>
    </xf>
    <xf numFmtId="181" fontId="0" fillId="0" borderId="98" xfId="0" applyNumberFormat="1" applyBorder="1" applyAlignment="1">
      <alignment horizontal="center"/>
    </xf>
    <xf numFmtId="180" fontId="0" fillId="0" borderId="96" xfId="16" applyNumberFormat="1" applyFont="1" applyFill="1" applyBorder="1" applyAlignment="1">
      <alignment horizontal="center"/>
    </xf>
    <xf numFmtId="185" fontId="25" fillId="18" borderId="187" xfId="0" applyNumberFormat="1" applyFont="1" applyFill="1" applyBorder="1" applyAlignment="1">
      <alignment horizontal="center"/>
    </xf>
    <xf numFmtId="185" fontId="25" fillId="18" borderId="188" xfId="0" applyNumberFormat="1" applyFont="1" applyFill="1" applyBorder="1" applyAlignment="1">
      <alignment horizontal="center"/>
    </xf>
    <xf numFmtId="9" fontId="25" fillId="31" borderId="73" xfId="16" applyFont="1" applyFill="1" applyBorder="1" applyAlignment="1">
      <alignment horizontal="center" vertical="center"/>
    </xf>
    <xf numFmtId="9" fontId="25" fillId="18" borderId="187" xfId="16" applyFont="1" applyFill="1" applyBorder="1" applyAlignment="1">
      <alignment horizontal="center"/>
    </xf>
    <xf numFmtId="9" fontId="25" fillId="18" borderId="103" xfId="16" applyFont="1" applyFill="1" applyBorder="1" applyAlignment="1">
      <alignment horizontal="center"/>
    </xf>
    <xf numFmtId="9" fontId="25" fillId="18" borderId="188" xfId="16" applyFont="1" applyFill="1" applyBorder="1" applyAlignment="1">
      <alignment horizontal="center"/>
    </xf>
    <xf numFmtId="0" fontId="25" fillId="31" borderId="73" xfId="0" applyFont="1" applyFill="1" applyBorder="1" applyAlignment="1">
      <alignment horizontal="center" vertical="center"/>
    </xf>
    <xf numFmtId="2" fontId="25" fillId="18" borderId="103" xfId="0" applyNumberFormat="1" applyFont="1" applyFill="1" applyBorder="1" applyAlignment="1">
      <alignment horizontal="center"/>
    </xf>
    <xf numFmtId="2" fontId="25" fillId="18" borderId="188" xfId="0" applyNumberFormat="1" applyFont="1" applyFill="1" applyBorder="1" applyAlignment="1">
      <alignment horizontal="center"/>
    </xf>
    <xf numFmtId="2" fontId="25" fillId="31" borderId="73" xfId="16" applyNumberFormat="1" applyFont="1" applyFill="1" applyBorder="1" applyAlignment="1">
      <alignment horizontal="center" vertical="center"/>
    </xf>
    <xf numFmtId="2" fontId="25" fillId="18" borderId="187" xfId="0" applyNumberFormat="1" applyFont="1" applyFill="1" applyBorder="1" applyAlignment="1">
      <alignment horizontal="center"/>
    </xf>
    <xf numFmtId="10" fontId="25" fillId="31" borderId="73" xfId="0" applyNumberFormat="1" applyFont="1" applyFill="1" applyBorder="1" applyAlignment="1">
      <alignment horizontal="center" vertical="center"/>
    </xf>
    <xf numFmtId="183" fontId="25" fillId="31" borderId="73" xfId="19" applyNumberFormat="1" applyFont="1" applyFill="1" applyBorder="1" applyAlignment="1">
      <alignment horizontal="center" vertical="center"/>
    </xf>
    <xf numFmtId="2" fontId="25" fillId="18" borderId="103" xfId="16" applyNumberFormat="1" applyFont="1" applyFill="1" applyBorder="1" applyAlignment="1">
      <alignment horizontal="center"/>
    </xf>
    <xf numFmtId="0" fontId="25" fillId="31" borderId="73" xfId="0" applyFont="1" applyFill="1" applyBorder="1" applyAlignment="1">
      <alignment horizontal="center"/>
    </xf>
    <xf numFmtId="9" fontId="25" fillId="18" borderId="75" xfId="16" applyFont="1" applyFill="1" applyBorder="1" applyAlignment="1">
      <alignment horizontal="center"/>
    </xf>
    <xf numFmtId="9" fontId="7" fillId="0" borderId="189" xfId="0" applyNumberFormat="1" applyFont="1" applyBorder="1" applyAlignment="1">
      <alignment horizontal="center"/>
    </xf>
    <xf numFmtId="0" fontId="26" fillId="0" borderId="0" xfId="26" applyFont="1" applyAlignment="1">
      <alignment horizontal="center" vertical="center"/>
    </xf>
    <xf numFmtId="4" fontId="24" fillId="0" borderId="0" xfId="7" applyFont="1" applyFill="1" applyBorder="1">
      <alignment horizontal="right"/>
    </xf>
    <xf numFmtId="0" fontId="46" fillId="31" borderId="65" xfId="0" applyFont="1" applyFill="1" applyBorder="1" applyAlignment="1">
      <alignment horizontal="left" vertical="center"/>
    </xf>
    <xf numFmtId="10" fontId="0" fillId="0" borderId="51" xfId="0" applyNumberFormat="1" applyBorder="1" applyAlignment="1">
      <alignment horizontal="center" vertical="center"/>
    </xf>
    <xf numFmtId="0" fontId="46" fillId="0" borderId="0" xfId="0" applyFont="1" applyAlignment="1">
      <alignment horizontal="left" vertical="center"/>
    </xf>
    <xf numFmtId="0" fontId="57" fillId="36" borderId="75" xfId="0" applyFont="1" applyFill="1" applyBorder="1" applyAlignment="1">
      <alignment horizontal="center" vertical="center"/>
    </xf>
    <xf numFmtId="185" fontId="0" fillId="0" borderId="187" xfId="0" applyNumberFormat="1" applyBorder="1" applyAlignment="1">
      <alignment horizontal="center"/>
    </xf>
    <xf numFmtId="185" fontId="0" fillId="17" borderId="188" xfId="0" applyNumberFormat="1" applyFill="1" applyBorder="1" applyAlignment="1">
      <alignment horizontal="center"/>
    </xf>
    <xf numFmtId="0" fontId="0" fillId="31" borderId="73" xfId="0" applyFill="1" applyBorder="1" applyAlignment="1">
      <alignment horizontal="center"/>
    </xf>
    <xf numFmtId="9" fontId="0" fillId="0" borderId="187" xfId="16" applyFont="1" applyFill="1" applyBorder="1" applyAlignment="1">
      <alignment horizontal="center"/>
    </xf>
    <xf numFmtId="9" fontId="0" fillId="17" borderId="103" xfId="16" applyFont="1" applyFill="1" applyBorder="1" applyAlignment="1">
      <alignment horizontal="center"/>
    </xf>
    <xf numFmtId="9" fontId="0" fillId="0" borderId="103" xfId="16" applyFont="1" applyFill="1" applyBorder="1" applyAlignment="1">
      <alignment horizontal="center"/>
    </xf>
    <xf numFmtId="9" fontId="0" fillId="17" borderId="188" xfId="16" applyFont="1" applyFill="1" applyBorder="1" applyAlignment="1">
      <alignment horizontal="center"/>
    </xf>
    <xf numFmtId="2" fontId="0" fillId="0" borderId="187" xfId="0" applyNumberFormat="1" applyBorder="1" applyAlignment="1">
      <alignment horizontal="center"/>
    </xf>
    <xf numFmtId="2" fontId="0" fillId="17" borderId="103" xfId="0" applyNumberFormat="1" applyFill="1" applyBorder="1" applyAlignment="1">
      <alignment horizontal="center"/>
    </xf>
    <xf numFmtId="2" fontId="0" fillId="0" borderId="188" xfId="0" applyNumberFormat="1" applyBorder="1" applyAlignment="1">
      <alignment horizontal="center"/>
    </xf>
    <xf numFmtId="2" fontId="0" fillId="17" borderId="187" xfId="0" applyNumberFormat="1" applyFill="1" applyBorder="1" applyAlignment="1">
      <alignment horizontal="center"/>
    </xf>
    <xf numFmtId="2" fontId="0" fillId="0" borderId="103" xfId="0" applyNumberFormat="1" applyBorder="1" applyAlignment="1">
      <alignment horizontal="center"/>
    </xf>
    <xf numFmtId="2" fontId="0" fillId="17" borderId="188" xfId="0" applyNumberFormat="1" applyFill="1" applyBorder="1" applyAlignment="1">
      <alignment horizontal="center"/>
    </xf>
    <xf numFmtId="181" fontId="0" fillId="0" borderId="187" xfId="0" applyNumberFormat="1" applyBorder="1" applyAlignment="1">
      <alignment horizontal="center"/>
    </xf>
    <xf numFmtId="181" fontId="0" fillId="17" borderId="103" xfId="0" applyNumberFormat="1" applyFill="1" applyBorder="1" applyAlignment="1">
      <alignment horizontal="center"/>
    </xf>
    <xf numFmtId="181" fontId="0" fillId="0" borderId="103" xfId="0" applyNumberFormat="1" applyBorder="1" applyAlignment="1">
      <alignment horizontal="center"/>
    </xf>
    <xf numFmtId="181" fontId="0" fillId="0" borderId="188" xfId="0" applyNumberFormat="1" applyBorder="1" applyAlignment="1">
      <alignment horizontal="center"/>
    </xf>
    <xf numFmtId="180" fontId="0" fillId="0" borderId="187" xfId="16" applyNumberFormat="1" applyFont="1" applyFill="1" applyBorder="1" applyAlignment="1">
      <alignment horizontal="center"/>
    </xf>
    <xf numFmtId="2" fontId="0" fillId="17" borderId="103" xfId="16" applyNumberFormat="1" applyFont="1" applyFill="1" applyBorder="1" applyAlignment="1">
      <alignment horizontal="center"/>
    </xf>
    <xf numFmtId="10" fontId="0" fillId="0" borderId="188" xfId="16" applyNumberFormat="1" applyFont="1" applyFill="1" applyBorder="1" applyAlignment="1">
      <alignment horizontal="center"/>
    </xf>
    <xf numFmtId="10" fontId="0" fillId="17" borderId="103" xfId="16" applyNumberFormat="1" applyFont="1" applyFill="1" applyBorder="1" applyAlignment="1">
      <alignment horizontal="center" vertical="center"/>
    </xf>
    <xf numFmtId="187" fontId="0" fillId="8" borderId="103" xfId="0" applyNumberFormat="1" applyFill="1" applyBorder="1" applyAlignment="1">
      <alignment horizontal="right" vertical="center"/>
    </xf>
    <xf numFmtId="187" fontId="0" fillId="17" borderId="103" xfId="0" applyNumberFormat="1" applyFill="1" applyBorder="1" applyAlignment="1">
      <alignment horizontal="center"/>
    </xf>
    <xf numFmtId="9" fontId="0" fillId="0" borderId="106" xfId="16" applyFont="1" applyFill="1" applyBorder="1" applyAlignment="1">
      <alignment horizontal="center"/>
    </xf>
    <xf numFmtId="0" fontId="69" fillId="36" borderId="73" xfId="0" applyFont="1" applyFill="1" applyBorder="1" applyAlignment="1">
      <alignment horizontal="center" vertical="center" wrapText="1"/>
    </xf>
    <xf numFmtId="9" fontId="0" fillId="0" borderId="0" xfId="16" applyFont="1" applyBorder="1" applyAlignment="1">
      <alignment horizontal="center" vertical="center"/>
    </xf>
    <xf numFmtId="0" fontId="26" fillId="5" borderId="192" xfId="26" applyFont="1" applyFill="1" applyBorder="1" applyAlignment="1">
      <alignment horizontal="center" vertical="center"/>
    </xf>
    <xf numFmtId="4" fontId="24" fillId="28" borderId="193" xfId="7" applyFont="1" applyFill="1" applyBorder="1">
      <alignment horizontal="right"/>
    </xf>
    <xf numFmtId="4" fontId="7" fillId="12" borderId="193" xfId="7" applyFont="1" applyFill="1" applyBorder="1">
      <alignment horizontal="right"/>
    </xf>
    <xf numFmtId="4" fontId="31" fillId="9" borderId="194" xfId="7" applyFont="1" applyFill="1" applyBorder="1">
      <alignment horizontal="right"/>
    </xf>
    <xf numFmtId="0" fontId="57" fillId="36" borderId="0" xfId="24" applyFont="1" applyFill="1"/>
    <xf numFmtId="0" fontId="70" fillId="36" borderId="0" xfId="24" applyFont="1" applyFill="1" applyAlignment="1">
      <alignment horizontal="left" vertical="center"/>
    </xf>
    <xf numFmtId="0" fontId="70" fillId="36" borderId="0" xfId="24" applyFont="1" applyFill="1" applyAlignment="1">
      <alignment horizontal="center" vertical="center"/>
    </xf>
    <xf numFmtId="0" fontId="7" fillId="31" borderId="0" xfId="24" applyFill="1"/>
    <xf numFmtId="0" fontId="7" fillId="0" borderId="0" xfId="24"/>
    <xf numFmtId="10" fontId="0" fillId="0" borderId="0" xfId="16" applyNumberFormat="1" applyFont="1" applyAlignment="1">
      <alignment horizontal="left"/>
    </xf>
    <xf numFmtId="0" fontId="7" fillId="8" borderId="0" xfId="24" applyFill="1"/>
    <xf numFmtId="0" fontId="7" fillId="0" borderId="0" xfId="24" applyAlignment="1">
      <alignment horizontal="left"/>
    </xf>
    <xf numFmtId="0" fontId="12" fillId="0" borderId="0" xfId="24" applyFont="1" applyAlignment="1">
      <alignment horizontal="center"/>
    </xf>
    <xf numFmtId="10" fontId="7" fillId="0" borderId="0" xfId="24" applyNumberFormat="1"/>
    <xf numFmtId="180" fontId="0" fillId="0" borderId="0" xfId="16" applyNumberFormat="1" applyFont="1"/>
    <xf numFmtId="0" fontId="49" fillId="31" borderId="0" xfId="24" applyFont="1" applyFill="1"/>
    <xf numFmtId="180" fontId="37" fillId="0" borderId="0" xfId="24" applyNumberFormat="1" applyFont="1"/>
    <xf numFmtId="0" fontId="0" fillId="7" borderId="0" xfId="0" applyFill="1"/>
    <xf numFmtId="0" fontId="26" fillId="32" borderId="203" xfId="0" applyFont="1" applyFill="1" applyBorder="1" applyAlignment="1">
      <alignment horizontal="center"/>
    </xf>
    <xf numFmtId="0" fontId="12" fillId="0" borderId="203" xfId="0" applyFont="1" applyBorder="1" applyAlignment="1">
      <alignment horizontal="center"/>
    </xf>
    <xf numFmtId="0" fontId="0" fillId="0" borderId="203" xfId="0" applyBorder="1" applyAlignment="1">
      <alignment horizontal="center"/>
    </xf>
    <xf numFmtId="0" fontId="56" fillId="0" borderId="0" xfId="24" applyFont="1" applyAlignment="1">
      <alignment horizontal="center"/>
    </xf>
    <xf numFmtId="0" fontId="7" fillId="24" borderId="0" xfId="0" applyFont="1" applyFill="1" applyAlignment="1">
      <alignment horizontal="center" vertical="center"/>
    </xf>
    <xf numFmtId="189" fontId="72" fillId="46" borderId="0" xfId="16" applyNumberFormat="1" applyFont="1" applyFill="1" applyBorder="1" applyAlignment="1">
      <alignment horizontal="center"/>
    </xf>
    <xf numFmtId="0" fontId="57" fillId="0" borderId="0" xfId="24" applyFont="1"/>
    <xf numFmtId="0" fontId="70" fillId="0" borderId="0" xfId="24" applyFont="1" applyAlignment="1">
      <alignment horizontal="center" vertical="center"/>
    </xf>
    <xf numFmtId="0" fontId="71" fillId="0" borderId="0" xfId="0" applyFont="1" applyAlignment="1">
      <alignment horizontal="center"/>
    </xf>
    <xf numFmtId="0" fontId="7" fillId="8" borderId="0" xfId="24" applyFill="1" applyAlignment="1">
      <alignment horizontal="center" vertical="center"/>
    </xf>
    <xf numFmtId="0" fontId="12" fillId="8" borderId="0" xfId="24" applyFont="1" applyFill="1" applyAlignment="1">
      <alignment horizontal="center" vertical="center"/>
    </xf>
    <xf numFmtId="0" fontId="7" fillId="0" borderId="0" xfId="24" applyAlignment="1">
      <alignment horizontal="center" vertical="center"/>
    </xf>
    <xf numFmtId="0" fontId="74" fillId="47" borderId="72" xfId="0" applyFont="1" applyFill="1" applyBorder="1" applyAlignment="1">
      <alignment horizontal="center" vertical="center" wrapText="1"/>
    </xf>
    <xf numFmtId="185" fontId="0" fillId="0" borderId="0" xfId="0" applyNumberFormat="1" applyAlignment="1">
      <alignment horizontal="center"/>
    </xf>
    <xf numFmtId="185" fontId="0" fillId="23" borderId="98" xfId="0" applyNumberFormat="1" applyFill="1" applyBorder="1" applyAlignment="1">
      <alignment horizontal="center"/>
    </xf>
    <xf numFmtId="185" fontId="33" fillId="23" borderId="98" xfId="0" applyNumberFormat="1" applyFont="1" applyFill="1" applyBorder="1" applyAlignment="1">
      <alignment horizontal="center"/>
    </xf>
    <xf numFmtId="185" fontId="0" fillId="12" borderId="98" xfId="0" applyNumberFormat="1" applyFill="1" applyBorder="1" applyAlignment="1">
      <alignment horizontal="center"/>
    </xf>
    <xf numFmtId="38" fontId="77" fillId="48" borderId="213" xfId="0" applyNumberFormat="1" applyFont="1" applyFill="1" applyBorder="1" applyAlignment="1">
      <alignment horizontal="right" wrapText="1"/>
    </xf>
    <xf numFmtId="10" fontId="7" fillId="8" borderId="0" xfId="16" applyNumberFormat="1" applyFill="1"/>
    <xf numFmtId="9" fontId="77" fillId="48" borderId="213" xfId="16" applyFont="1" applyFill="1" applyBorder="1" applyAlignment="1">
      <alignment horizontal="right" wrapText="1"/>
    </xf>
    <xf numFmtId="10" fontId="77" fillId="48" borderId="213" xfId="16" applyNumberFormat="1" applyFont="1" applyFill="1" applyBorder="1" applyAlignment="1">
      <alignment horizontal="right" wrapText="1"/>
    </xf>
    <xf numFmtId="180" fontId="72" fillId="46" borderId="0" xfId="16" applyNumberFormat="1" applyFont="1" applyFill="1" applyBorder="1" applyAlignment="1">
      <alignment horizontal="center"/>
    </xf>
    <xf numFmtId="0" fontId="0" fillId="0" borderId="214" xfId="0" applyBorder="1"/>
    <xf numFmtId="0" fontId="0" fillId="0" borderId="214" xfId="0" applyBorder="1" applyAlignment="1">
      <alignment vertical="center"/>
    </xf>
    <xf numFmtId="0" fontId="7" fillId="8" borderId="168" xfId="0" applyFont="1" applyFill="1" applyBorder="1" applyAlignment="1">
      <alignment vertical="center" wrapText="1"/>
    </xf>
    <xf numFmtId="0" fontId="7" fillId="8" borderId="168" xfId="0" applyFont="1" applyFill="1" applyBorder="1" applyAlignment="1">
      <alignment horizontal="left" vertical="center"/>
    </xf>
    <xf numFmtId="9" fontId="77" fillId="48" borderId="213" xfId="16" quotePrefix="1" applyFont="1" applyFill="1" applyBorder="1" applyAlignment="1">
      <alignment horizontal="right" wrapText="1"/>
    </xf>
    <xf numFmtId="2" fontId="0" fillId="25" borderId="1" xfId="0" applyNumberFormat="1" applyFill="1" applyBorder="1" applyAlignment="1">
      <alignment horizontal="center"/>
    </xf>
    <xf numFmtId="0" fontId="0" fillId="0" borderId="5" xfId="0" applyBorder="1"/>
    <xf numFmtId="10" fontId="0" fillId="0" borderId="3" xfId="0" applyNumberFormat="1" applyBorder="1"/>
    <xf numFmtId="0" fontId="0" fillId="0" borderId="1" xfId="0" applyBorder="1"/>
    <xf numFmtId="10" fontId="0" fillId="0" borderId="46" xfId="16" applyNumberFormat="1" applyFont="1" applyBorder="1"/>
    <xf numFmtId="0" fontId="12" fillId="17" borderId="1" xfId="0" applyFont="1" applyFill="1" applyBorder="1"/>
    <xf numFmtId="10" fontId="12" fillId="17" borderId="46" xfId="16" applyNumberFormat="1" applyFont="1" applyFill="1" applyBorder="1"/>
    <xf numFmtId="0" fontId="0" fillId="0" borderId="113" xfId="26" applyFont="1" applyBorder="1" applyAlignment="1">
      <alignment vertical="center"/>
    </xf>
    <xf numFmtId="9" fontId="66" fillId="35" borderId="113" xfId="16" applyFont="1" applyFill="1" applyBorder="1"/>
    <xf numFmtId="184" fontId="7" fillId="0" borderId="113" xfId="26" applyNumberFormat="1" applyBorder="1"/>
    <xf numFmtId="2" fontId="0" fillId="0" borderId="0" xfId="0" applyNumberFormat="1"/>
    <xf numFmtId="9" fontId="7" fillId="0" borderId="0" xfId="24" applyNumberFormat="1"/>
    <xf numFmtId="0" fontId="61" fillId="0" borderId="126" xfId="0" applyFont="1" applyBorder="1" applyAlignment="1">
      <alignment horizontal="center"/>
    </xf>
    <xf numFmtId="0" fontId="61" fillId="0" borderId="215" xfId="0" applyFont="1" applyBorder="1" applyAlignment="1">
      <alignment horizontal="center"/>
    </xf>
    <xf numFmtId="0" fontId="12" fillId="0" borderId="216" xfId="0" applyFont="1" applyBorder="1" applyAlignment="1">
      <alignment horizontal="center"/>
    </xf>
    <xf numFmtId="0" fontId="12" fillId="0" borderId="121" xfId="0" applyFont="1" applyBorder="1" applyAlignment="1">
      <alignment horizontal="center"/>
    </xf>
    <xf numFmtId="0" fontId="12" fillId="0" borderId="218" xfId="0" applyFont="1" applyBorder="1" applyAlignment="1">
      <alignment horizontal="center"/>
    </xf>
    <xf numFmtId="0" fontId="12" fillId="37" borderId="32" xfId="0" applyFont="1" applyFill="1" applyBorder="1" applyAlignment="1">
      <alignment vertical="center"/>
    </xf>
    <xf numFmtId="180" fontId="32" fillId="43" borderId="142" xfId="30" applyNumberFormat="1" applyFont="1" applyFill="1" applyBorder="1" applyAlignment="1">
      <alignment horizontal="center" vertical="center"/>
    </xf>
    <xf numFmtId="180" fontId="0" fillId="0" borderId="164" xfId="16" applyNumberFormat="1" applyFont="1" applyBorder="1" applyAlignment="1">
      <alignment horizontal="center" vertical="center"/>
    </xf>
    <xf numFmtId="180" fontId="0" fillId="0" borderId="141" xfId="16" applyNumberFormat="1" applyFont="1" applyBorder="1" applyAlignment="1">
      <alignment horizontal="center" vertical="center"/>
    </xf>
    <xf numFmtId="180" fontId="0" fillId="0" borderId="142" xfId="16" applyNumberFormat="1" applyFont="1" applyBorder="1" applyAlignment="1">
      <alignment horizontal="center" vertical="center"/>
    </xf>
    <xf numFmtId="0" fontId="12" fillId="0" borderId="220" xfId="0" applyFont="1" applyBorder="1" applyAlignment="1">
      <alignment horizontal="center"/>
    </xf>
    <xf numFmtId="0" fontId="0" fillId="37" borderId="32" xfId="0" applyFill="1" applyBorder="1" applyAlignment="1">
      <alignment horizontal="left" vertical="center"/>
    </xf>
    <xf numFmtId="3" fontId="32" fillId="43" borderId="143" xfId="30" applyNumberFormat="1" applyFont="1" applyFill="1" applyBorder="1" applyAlignment="1">
      <alignment horizontal="center" vertical="center"/>
    </xf>
    <xf numFmtId="3" fontId="32" fillId="43" borderId="46" xfId="30" applyNumberFormat="1" applyFont="1" applyFill="1" applyBorder="1" applyAlignment="1">
      <alignment horizontal="center" vertical="center"/>
    </xf>
    <xf numFmtId="3" fontId="32" fillId="43" borderId="136" xfId="30" applyNumberFormat="1" applyFont="1" applyFill="1" applyBorder="1" applyAlignment="1">
      <alignment horizontal="center" vertical="center"/>
    </xf>
    <xf numFmtId="1" fontId="33" fillId="0" borderId="45" xfId="0" applyNumberFormat="1" applyFont="1" applyBorder="1" applyAlignment="1">
      <alignment horizontal="center" vertical="center"/>
    </xf>
    <xf numFmtId="1" fontId="33" fillId="0" borderId="46" xfId="0" applyNumberFormat="1" applyFont="1" applyBorder="1" applyAlignment="1">
      <alignment horizontal="center" vertical="center"/>
    </xf>
    <xf numFmtId="1" fontId="33" fillId="0" borderId="136" xfId="0" applyNumberFormat="1" applyFont="1" applyBorder="1" applyAlignment="1">
      <alignment horizontal="center" vertical="center"/>
    </xf>
    <xf numFmtId="0" fontId="12" fillId="8" borderId="220" xfId="0" applyFont="1" applyFill="1" applyBorder="1" applyAlignment="1">
      <alignment horizontal="center"/>
    </xf>
    <xf numFmtId="0" fontId="12" fillId="37" borderId="32" xfId="0" applyFont="1" applyFill="1" applyBorder="1" applyAlignment="1">
      <alignment horizontal="left" vertical="center"/>
    </xf>
    <xf numFmtId="180" fontId="32" fillId="38" borderId="136" xfId="16" applyNumberFormat="1" applyFont="1" applyFill="1" applyBorder="1" applyAlignment="1">
      <alignment horizontal="center" vertical="center"/>
    </xf>
    <xf numFmtId="180" fontId="32" fillId="0" borderId="45" xfId="16" applyNumberFormat="1" applyFont="1" applyBorder="1" applyAlignment="1">
      <alignment horizontal="center" vertical="center"/>
    </xf>
    <xf numFmtId="1" fontId="12" fillId="41" borderId="191" xfId="0" applyNumberFormat="1" applyFont="1" applyFill="1" applyBorder="1" applyAlignment="1">
      <alignment horizontal="left" vertical="center"/>
    </xf>
    <xf numFmtId="1" fontId="0" fillId="41" borderId="221" xfId="0" applyNumberFormat="1" applyFill="1" applyBorder="1" applyAlignment="1">
      <alignment horizontal="center" vertical="center"/>
    </xf>
    <xf numFmtId="1" fontId="0" fillId="41" borderId="222" xfId="0" applyNumberFormat="1" applyFill="1" applyBorder="1" applyAlignment="1">
      <alignment horizontal="center" vertical="center"/>
    </xf>
    <xf numFmtId="1" fontId="0" fillId="41" borderId="223" xfId="0" applyNumberFormat="1" applyFill="1" applyBorder="1" applyAlignment="1">
      <alignment horizontal="center" vertical="center"/>
    </xf>
    <xf numFmtId="1" fontId="0" fillId="41" borderId="224" xfId="0" applyNumberFormat="1" applyFill="1" applyBorder="1" applyAlignment="1">
      <alignment horizontal="center" vertical="center"/>
    </xf>
    <xf numFmtId="0" fontId="12" fillId="0" borderId="220" xfId="0" applyFont="1" applyBorder="1" applyAlignment="1">
      <alignment horizontal="center" wrapText="1"/>
    </xf>
    <xf numFmtId="0" fontId="24" fillId="38" borderId="143" xfId="0" applyFont="1" applyFill="1" applyBorder="1" applyAlignment="1">
      <alignment horizontal="center" vertical="center"/>
    </xf>
    <xf numFmtId="0" fontId="24" fillId="38" borderId="46" xfId="0" applyFont="1" applyFill="1" applyBorder="1" applyAlignment="1">
      <alignment horizontal="center" vertical="center"/>
    </xf>
    <xf numFmtId="0" fontId="24" fillId="38" borderId="136" xfId="0" applyFont="1" applyFill="1" applyBorder="1" applyAlignment="1">
      <alignment horizontal="center" vertical="center"/>
    </xf>
    <xf numFmtId="1" fontId="24" fillId="0" borderId="45" xfId="0" applyNumberFormat="1" applyFont="1" applyBorder="1" applyAlignment="1">
      <alignment horizontal="center" vertical="center"/>
    </xf>
    <xf numFmtId="3" fontId="24" fillId="38" borderId="136" xfId="0" applyNumberFormat="1" applyFont="1" applyFill="1" applyBorder="1" applyAlignment="1">
      <alignment horizontal="center" vertical="center"/>
    </xf>
    <xf numFmtId="0" fontId="0" fillId="37" borderId="0" xfId="0" applyFill="1" applyAlignment="1">
      <alignment horizontal="left" vertical="center"/>
    </xf>
    <xf numFmtId="3" fontId="32" fillId="38" borderId="160" xfId="0" applyNumberFormat="1" applyFont="1" applyFill="1" applyBorder="1" applyAlignment="1">
      <alignment horizontal="center" vertical="center"/>
    </xf>
    <xf numFmtId="3" fontId="32" fillId="38" borderId="3" xfId="0" applyNumberFormat="1" applyFont="1" applyFill="1" applyBorder="1" applyAlignment="1">
      <alignment horizontal="center" vertical="center"/>
    </xf>
    <xf numFmtId="3" fontId="32" fillId="38" borderId="162" xfId="0" applyNumberFormat="1" applyFont="1" applyFill="1" applyBorder="1" applyAlignment="1">
      <alignment horizontal="center" vertical="center"/>
    </xf>
    <xf numFmtId="1" fontId="33" fillId="0" borderId="35" xfId="0" applyNumberFormat="1" applyFont="1" applyBorder="1" applyAlignment="1">
      <alignment horizontal="center" vertical="center"/>
    </xf>
    <xf numFmtId="1" fontId="33" fillId="0" borderId="3" xfId="0" applyNumberFormat="1" applyFont="1" applyBorder="1" applyAlignment="1">
      <alignment horizontal="center" vertical="center"/>
    </xf>
    <xf numFmtId="1" fontId="33" fillId="0" borderId="162" xfId="0" applyNumberFormat="1" applyFont="1" applyBorder="1" applyAlignment="1">
      <alignment horizontal="center" vertical="center"/>
    </xf>
    <xf numFmtId="3" fontId="24" fillId="0" borderId="35" xfId="0" applyNumberFormat="1" applyFont="1" applyBorder="1" applyAlignment="1">
      <alignment horizontal="center" vertical="center"/>
    </xf>
    <xf numFmtId="0" fontId="12" fillId="0" borderId="154" xfId="0" applyFont="1" applyBorder="1" applyAlignment="1">
      <alignment horizontal="center" wrapText="1"/>
    </xf>
    <xf numFmtId="0" fontId="33" fillId="12" borderId="124" xfId="0" applyFont="1" applyFill="1" applyBorder="1"/>
    <xf numFmtId="0" fontId="33" fillId="12" borderId="0" xfId="0" applyFont="1" applyFill="1" applyAlignment="1">
      <alignment horizontal="center"/>
    </xf>
    <xf numFmtId="0" fontId="0" fillId="39" borderId="0" xfId="0" applyFill="1"/>
    <xf numFmtId="0" fontId="33" fillId="39" borderId="0" xfId="0" applyFont="1" applyFill="1"/>
    <xf numFmtId="0" fontId="12" fillId="0" borderId="226" xfId="0" applyFont="1" applyBorder="1" applyAlignment="1">
      <alignment horizontal="center"/>
    </xf>
    <xf numFmtId="0" fontId="0" fillId="37" borderId="227" xfId="0" applyFill="1" applyBorder="1" applyAlignment="1">
      <alignment vertical="center"/>
    </xf>
    <xf numFmtId="3" fontId="0" fillId="40" borderId="140" xfId="0" applyNumberFormat="1" applyFill="1" applyBorder="1" applyAlignment="1">
      <alignment horizontal="center" vertical="center"/>
    </xf>
    <xf numFmtId="3" fontId="0" fillId="40" borderId="141" xfId="0" applyNumberFormat="1" applyFill="1" applyBorder="1" applyAlignment="1">
      <alignment horizontal="center" vertical="center"/>
    </xf>
    <xf numFmtId="3" fontId="0" fillId="40" borderId="157" xfId="0" applyNumberFormat="1" applyFill="1" applyBorder="1" applyAlignment="1">
      <alignment horizontal="center" vertical="center"/>
    </xf>
    <xf numFmtId="1" fontId="0" fillId="0" borderId="228" xfId="0" applyNumberFormat="1" applyBorder="1" applyAlignment="1">
      <alignment horizontal="center" vertical="center"/>
    </xf>
    <xf numFmtId="1" fontId="0" fillId="0" borderId="229" xfId="0" applyNumberFormat="1" applyBorder="1" applyAlignment="1">
      <alignment horizontal="center" vertical="center"/>
    </xf>
    <xf numFmtId="1" fontId="0" fillId="0" borderId="230" xfId="0" applyNumberFormat="1" applyBorder="1" applyAlignment="1">
      <alignment horizontal="center" vertical="center"/>
    </xf>
    <xf numFmtId="1" fontId="0" fillId="0" borderId="231" xfId="0" applyNumberFormat="1" applyBorder="1" applyAlignment="1">
      <alignment horizontal="center" vertical="center"/>
    </xf>
    <xf numFmtId="0" fontId="12" fillId="0" borderId="32" xfId="0" applyFont="1" applyBorder="1" applyAlignment="1">
      <alignment horizontal="center"/>
    </xf>
    <xf numFmtId="0" fontId="0" fillId="37" borderId="232" xfId="0" applyFill="1" applyBorder="1" applyAlignment="1">
      <alignment vertical="center"/>
    </xf>
    <xf numFmtId="3" fontId="0" fillId="40" borderId="143" xfId="0" applyNumberFormat="1" applyFill="1" applyBorder="1" applyAlignment="1">
      <alignment horizontal="center" vertical="center"/>
    </xf>
    <xf numFmtId="3" fontId="0" fillId="40" borderId="143" xfId="0" quotePrefix="1" applyNumberFormat="1" applyFill="1" applyBorder="1" applyAlignment="1">
      <alignment horizontal="center" vertical="center"/>
    </xf>
    <xf numFmtId="3" fontId="0" fillId="40" borderId="46" xfId="0" applyNumberFormat="1" applyFill="1" applyBorder="1" applyAlignment="1">
      <alignment horizontal="center" vertical="center"/>
    </xf>
    <xf numFmtId="3" fontId="0" fillId="40" borderId="44" xfId="0" applyNumberFormat="1" applyFill="1" applyBorder="1" applyAlignment="1">
      <alignment horizontal="center" vertical="center"/>
    </xf>
    <xf numFmtId="3" fontId="0" fillId="40" borderId="44" xfId="0" quotePrefix="1" applyNumberFormat="1" applyFill="1" applyBorder="1" applyAlignment="1">
      <alignment horizontal="center" vertical="center"/>
    </xf>
    <xf numFmtId="1" fontId="0" fillId="0" borderId="233" xfId="0" applyNumberFormat="1" applyBorder="1" applyAlignment="1">
      <alignment horizontal="center" vertical="center"/>
    </xf>
    <xf numFmtId="1" fontId="0" fillId="0" borderId="117" xfId="0" applyNumberFormat="1" applyBorder="1" applyAlignment="1">
      <alignment horizontal="center" vertical="center"/>
    </xf>
    <xf numFmtId="1" fontId="0" fillId="0" borderId="234" xfId="0" applyNumberFormat="1" applyBorder="1" applyAlignment="1">
      <alignment horizontal="center" vertical="center"/>
    </xf>
    <xf numFmtId="1" fontId="0" fillId="0" borderId="235" xfId="0" applyNumberFormat="1" applyBorder="1" applyAlignment="1">
      <alignment horizontal="center" vertical="center"/>
    </xf>
    <xf numFmtId="1" fontId="0" fillId="0" borderId="236" xfId="0" applyNumberFormat="1" applyBorder="1" applyAlignment="1">
      <alignment horizontal="center" vertical="center"/>
    </xf>
    <xf numFmtId="0" fontId="0" fillId="37" borderId="43" xfId="0" applyFill="1" applyBorder="1" applyAlignment="1">
      <alignment vertical="center"/>
    </xf>
    <xf numFmtId="3" fontId="0" fillId="40" borderId="160" xfId="0" applyNumberFormat="1" applyFill="1" applyBorder="1" applyAlignment="1">
      <alignment horizontal="center" vertical="center"/>
    </xf>
    <xf numFmtId="3" fontId="0" fillId="40" borderId="3" xfId="0" applyNumberFormat="1" applyFill="1" applyBorder="1" applyAlignment="1">
      <alignment horizontal="center" vertical="center"/>
    </xf>
    <xf numFmtId="3" fontId="0" fillId="40" borderId="34" xfId="0" applyNumberFormat="1" applyFill="1" applyBorder="1" applyAlignment="1">
      <alignment horizontal="center" vertical="center"/>
    </xf>
    <xf numFmtId="3" fontId="0" fillId="0" borderId="237" xfId="0" applyNumberFormat="1" applyBorder="1" applyAlignment="1">
      <alignment horizontal="center" vertical="center"/>
    </xf>
    <xf numFmtId="3" fontId="0" fillId="0" borderId="118" xfId="0" applyNumberFormat="1" applyBorder="1" applyAlignment="1">
      <alignment horizontal="center" vertical="center"/>
    </xf>
    <xf numFmtId="3" fontId="0" fillId="0" borderId="238" xfId="0" applyNumberFormat="1" applyBorder="1" applyAlignment="1">
      <alignment horizontal="center" vertical="center"/>
    </xf>
    <xf numFmtId="3" fontId="0" fillId="0" borderId="239" xfId="0" applyNumberFormat="1" applyBorder="1" applyAlignment="1">
      <alignment horizontal="center" vertical="center"/>
    </xf>
    <xf numFmtId="3" fontId="0" fillId="0" borderId="240" xfId="0" applyNumberFormat="1" applyBorder="1" applyAlignment="1">
      <alignment horizontal="center" vertical="center"/>
    </xf>
    <xf numFmtId="0" fontId="12" fillId="41" borderId="190" xfId="0" quotePrefix="1" applyFont="1" applyFill="1" applyBorder="1" applyAlignment="1">
      <alignment vertical="center"/>
    </xf>
    <xf numFmtId="0" fontId="0" fillId="41" borderId="221" xfId="0" applyFill="1" applyBorder="1" applyAlignment="1">
      <alignment horizontal="center" vertical="center"/>
    </xf>
    <xf numFmtId="0" fontId="0" fillId="41" borderId="222" xfId="0" applyFill="1" applyBorder="1" applyAlignment="1">
      <alignment horizontal="center" vertical="center"/>
    </xf>
    <xf numFmtId="0" fontId="0" fillId="41" borderId="241" xfId="0" applyFill="1" applyBorder="1" applyAlignment="1">
      <alignment horizontal="center" vertical="center"/>
    </xf>
    <xf numFmtId="1" fontId="0" fillId="41" borderId="242" xfId="0" applyNumberFormat="1" applyFill="1" applyBorder="1" applyAlignment="1">
      <alignment horizontal="center" vertical="center"/>
    </xf>
    <xf numFmtId="1" fontId="0" fillId="41" borderId="243" xfId="0" applyNumberFormat="1" applyFill="1" applyBorder="1" applyAlignment="1">
      <alignment horizontal="center" vertical="center"/>
    </xf>
    <xf numFmtId="1" fontId="0" fillId="41" borderId="244" xfId="0" applyNumberFormat="1" applyFill="1" applyBorder="1" applyAlignment="1">
      <alignment horizontal="center" vertical="center"/>
    </xf>
    <xf numFmtId="1" fontId="0" fillId="41" borderId="245" xfId="0" applyNumberFormat="1" applyFill="1" applyBorder="1" applyAlignment="1">
      <alignment horizontal="center" vertical="center"/>
    </xf>
    <xf numFmtId="1" fontId="0" fillId="41" borderId="246" xfId="0" applyNumberFormat="1" applyFill="1" applyBorder="1" applyAlignment="1">
      <alignment horizontal="center" vertical="center"/>
    </xf>
    <xf numFmtId="3" fontId="0" fillId="40" borderId="134" xfId="0" quotePrefix="1" applyNumberFormat="1" applyFill="1" applyBorder="1" applyAlignment="1">
      <alignment horizontal="center" vertical="center"/>
    </xf>
    <xf numFmtId="3" fontId="0" fillId="40" borderId="2" xfId="0" quotePrefix="1" applyNumberFormat="1" applyFill="1" applyBorder="1" applyAlignment="1">
      <alignment horizontal="center" vertical="center"/>
    </xf>
    <xf numFmtId="3" fontId="0" fillId="40" borderId="37" xfId="0" quotePrefix="1" applyNumberFormat="1" applyFill="1" applyBorder="1" applyAlignment="1">
      <alignment horizontal="center" vertical="center"/>
    </xf>
    <xf numFmtId="1" fontId="0" fillId="0" borderId="247" xfId="0" applyNumberFormat="1" applyBorder="1" applyAlignment="1">
      <alignment horizontal="center" vertical="center"/>
    </xf>
    <xf numFmtId="1" fontId="0" fillId="0" borderId="163" xfId="0" applyNumberFormat="1" applyBorder="1" applyAlignment="1">
      <alignment horizontal="center" vertical="center"/>
    </xf>
    <xf numFmtId="1" fontId="0" fillId="0" borderId="248" xfId="0" applyNumberFormat="1" applyBorder="1" applyAlignment="1">
      <alignment horizontal="center" vertical="center"/>
    </xf>
    <xf numFmtId="0" fontId="12" fillId="8" borderId="32" xfId="0" applyFont="1" applyFill="1" applyBorder="1" applyAlignment="1">
      <alignment horizontal="center"/>
    </xf>
    <xf numFmtId="1" fontId="0" fillId="0" borderId="237" xfId="0" applyNumberFormat="1" applyBorder="1" applyAlignment="1">
      <alignment horizontal="center" vertical="center"/>
    </xf>
    <xf numFmtId="1" fontId="0" fillId="0" borderId="118" xfId="0" applyNumberFormat="1" applyBorder="1" applyAlignment="1">
      <alignment horizontal="center" vertical="center"/>
    </xf>
    <xf numFmtId="1" fontId="0" fillId="0" borderId="238" xfId="0" applyNumberFormat="1" applyBorder="1" applyAlignment="1">
      <alignment horizontal="center" vertical="center"/>
    </xf>
    <xf numFmtId="1" fontId="0" fillId="0" borderId="239" xfId="0" applyNumberFormat="1" applyBorder="1" applyAlignment="1">
      <alignment horizontal="center" vertical="center"/>
    </xf>
    <xf numFmtId="1" fontId="0" fillId="0" borderId="240" xfId="0" applyNumberFormat="1" applyBorder="1" applyAlignment="1">
      <alignment horizontal="center" vertical="center"/>
    </xf>
    <xf numFmtId="3" fontId="0" fillId="41" borderId="241" xfId="0" applyNumberFormat="1" applyFill="1" applyBorder="1" applyAlignment="1">
      <alignment horizontal="center" vertical="center"/>
    </xf>
    <xf numFmtId="3" fontId="0" fillId="40" borderId="134" xfId="0" applyNumberFormat="1" applyFill="1" applyBorder="1" applyAlignment="1">
      <alignment horizontal="center" vertical="center"/>
    </xf>
    <xf numFmtId="3" fontId="0" fillId="40" borderId="2" xfId="0" applyNumberFormat="1" applyFill="1" applyBorder="1" applyAlignment="1">
      <alignment horizontal="center" vertical="center"/>
    </xf>
    <xf numFmtId="3" fontId="0" fillId="40" borderId="37" xfId="0" applyNumberFormat="1" applyFill="1" applyBorder="1" applyAlignment="1">
      <alignment horizontal="center" vertical="center"/>
    </xf>
    <xf numFmtId="0" fontId="0" fillId="0" borderId="247" xfId="0" quotePrefix="1" applyBorder="1" applyAlignment="1">
      <alignment horizontal="center" vertical="center"/>
    </xf>
    <xf numFmtId="0" fontId="0" fillId="0" borderId="119" xfId="0" quotePrefix="1" applyBorder="1" applyAlignment="1">
      <alignment horizontal="center" vertical="center"/>
    </xf>
    <xf numFmtId="0" fontId="0" fillId="0" borderId="127" xfId="0" quotePrefix="1" applyBorder="1" applyAlignment="1">
      <alignment horizontal="center" vertical="center"/>
    </xf>
    <xf numFmtId="0" fontId="0" fillId="0" borderId="163" xfId="0" quotePrefix="1" applyBorder="1" applyAlignment="1">
      <alignment horizontal="center" vertical="center"/>
    </xf>
    <xf numFmtId="0" fontId="0" fillId="0" borderId="159" xfId="0" quotePrefix="1" applyBorder="1" applyAlignment="1">
      <alignment horizontal="center" vertical="center"/>
    </xf>
    <xf numFmtId="3" fontId="0" fillId="41" borderId="221" xfId="0" applyNumberFormat="1" applyFill="1" applyBorder="1" applyAlignment="1">
      <alignment horizontal="center" vertical="center"/>
    </xf>
    <xf numFmtId="3" fontId="0" fillId="41" borderId="222" xfId="0" applyNumberFormat="1" applyFill="1" applyBorder="1" applyAlignment="1">
      <alignment horizontal="center" vertical="center"/>
    </xf>
    <xf numFmtId="3" fontId="0" fillId="41" borderId="250" xfId="0" applyNumberFormat="1" applyFill="1" applyBorder="1" applyAlignment="1">
      <alignment horizontal="center" vertical="center"/>
    </xf>
    <xf numFmtId="3" fontId="0" fillId="41" borderId="251" xfId="0" applyNumberFormat="1" applyFill="1" applyBorder="1" applyAlignment="1">
      <alignment horizontal="center" vertical="center"/>
    </xf>
    <xf numFmtId="3" fontId="0" fillId="41" borderId="252" xfId="0" applyNumberFormat="1" applyFill="1" applyBorder="1" applyAlignment="1">
      <alignment horizontal="center" vertical="center"/>
    </xf>
    <xf numFmtId="3" fontId="0" fillId="41" borderId="245" xfId="0" applyNumberFormat="1" applyFill="1" applyBorder="1" applyAlignment="1">
      <alignment horizontal="center" vertical="center"/>
    </xf>
    <xf numFmtId="3" fontId="0" fillId="41" borderId="243" xfId="0" applyNumberFormat="1" applyFill="1" applyBorder="1" applyAlignment="1">
      <alignment horizontal="center" vertical="center"/>
    </xf>
    <xf numFmtId="3" fontId="0" fillId="41" borderId="246" xfId="0" applyNumberFormat="1" applyFill="1" applyBorder="1" applyAlignment="1">
      <alignment horizontal="center" vertical="center"/>
    </xf>
    <xf numFmtId="0" fontId="61" fillId="0" borderId="227" xfId="0" applyFont="1" applyBorder="1"/>
    <xf numFmtId="3" fontId="33" fillId="40" borderId="140" xfId="0" applyNumberFormat="1" applyFont="1" applyFill="1" applyBorder="1" applyAlignment="1">
      <alignment horizontal="center" vertical="center"/>
    </xf>
    <xf numFmtId="3" fontId="33" fillId="40" borderId="141" xfId="0" applyNumberFormat="1" applyFont="1" applyFill="1" applyBorder="1" applyAlignment="1">
      <alignment horizontal="center" vertical="center"/>
    </xf>
    <xf numFmtId="3" fontId="33" fillId="40" borderId="142" xfId="0" applyNumberFormat="1" applyFont="1" applyFill="1" applyBorder="1" applyAlignment="1">
      <alignment horizontal="center" vertical="center"/>
    </xf>
    <xf numFmtId="0" fontId="61" fillId="0" borderId="232" xfId="0" applyFont="1" applyBorder="1"/>
    <xf numFmtId="1" fontId="33" fillId="40" borderId="143" xfId="0" applyNumberFormat="1" applyFont="1" applyFill="1" applyBorder="1" applyAlignment="1">
      <alignment horizontal="center" vertical="center"/>
    </xf>
    <xf numFmtId="1" fontId="33" fillId="40" borderId="46" xfId="0" applyNumberFormat="1" applyFont="1" applyFill="1" applyBorder="1" applyAlignment="1">
      <alignment horizontal="center" vertical="center"/>
    </xf>
    <xf numFmtId="1" fontId="33" fillId="40" borderId="136" xfId="0" applyNumberFormat="1" applyFont="1" applyFill="1" applyBorder="1" applyAlignment="1">
      <alignment horizontal="center" vertical="center"/>
    </xf>
    <xf numFmtId="0" fontId="61" fillId="0" borderId="253" xfId="0" applyFont="1" applyBorder="1"/>
    <xf numFmtId="1" fontId="0" fillId="40" borderId="144" xfId="0" applyNumberFormat="1" applyFill="1" applyBorder="1" applyAlignment="1">
      <alignment horizontal="center" vertical="center"/>
    </xf>
    <xf numFmtId="1" fontId="0" fillId="40" borderId="155" xfId="0" applyNumberFormat="1" applyFill="1" applyBorder="1" applyAlignment="1">
      <alignment horizontal="center" vertical="center"/>
    </xf>
    <xf numFmtId="1" fontId="33" fillId="40" borderId="156" xfId="0" applyNumberFormat="1" applyFont="1" applyFill="1" applyBorder="1" applyAlignment="1">
      <alignment horizontal="center" vertical="center"/>
    </xf>
    <xf numFmtId="1" fontId="0" fillId="0" borderId="144" xfId="0" applyNumberFormat="1" applyBorder="1" applyAlignment="1">
      <alignment horizontal="center" vertical="center"/>
    </xf>
    <xf numFmtId="1" fontId="0" fillId="0" borderId="155" xfId="0" applyNumberFormat="1" applyBorder="1" applyAlignment="1">
      <alignment horizontal="center" vertical="center"/>
    </xf>
    <xf numFmtId="1" fontId="0" fillId="0" borderId="156" xfId="0" applyNumberFormat="1" applyBorder="1" applyAlignment="1">
      <alignment horizontal="center" vertical="center"/>
    </xf>
    <xf numFmtId="0" fontId="61" fillId="12" borderId="126" xfId="0" applyFont="1" applyFill="1" applyBorder="1"/>
    <xf numFmtId="0" fontId="61" fillId="12" borderId="0" xfId="0" applyFont="1" applyFill="1"/>
    <xf numFmtId="3" fontId="78" fillId="12" borderId="0" xfId="0" applyNumberFormat="1" applyFont="1" applyFill="1" applyAlignment="1">
      <alignment horizontal="center" vertical="center"/>
    </xf>
    <xf numFmtId="3" fontId="78" fillId="12" borderId="121" xfId="0" applyNumberFormat="1" applyFont="1" applyFill="1" applyBorder="1" applyAlignment="1">
      <alignment horizontal="center" vertical="center"/>
    </xf>
    <xf numFmtId="0" fontId="61" fillId="0" borderId="32" xfId="0" applyFont="1" applyBorder="1" applyAlignment="1">
      <alignment horizontal="center"/>
    </xf>
    <xf numFmtId="0" fontId="61" fillId="0" borderId="218" xfId="0" applyFont="1" applyBorder="1" applyAlignment="1">
      <alignment vertical="center"/>
    </xf>
    <xf numFmtId="1" fontId="33" fillId="40" borderId="140" xfId="0" applyNumberFormat="1" applyFont="1" applyFill="1" applyBorder="1" applyAlignment="1">
      <alignment horizontal="center" vertical="center"/>
    </xf>
    <xf numFmtId="1" fontId="33" fillId="40" borderId="141" xfId="0" applyNumberFormat="1" applyFont="1" applyFill="1" applyBorder="1" applyAlignment="1">
      <alignment horizontal="center" vertical="center"/>
    </xf>
    <xf numFmtId="1" fontId="33" fillId="40" borderId="157" xfId="0" applyNumberFormat="1" applyFont="1" applyFill="1" applyBorder="1" applyAlignment="1">
      <alignment horizontal="center" vertical="center"/>
    </xf>
    <xf numFmtId="0" fontId="61" fillId="0" borderId="220" xfId="0" applyFont="1" applyBorder="1" applyAlignment="1">
      <alignment vertical="center"/>
    </xf>
    <xf numFmtId="1" fontId="33" fillId="40" borderId="44" xfId="0" applyNumberFormat="1" applyFont="1" applyFill="1" applyBorder="1" applyAlignment="1">
      <alignment horizontal="center" vertical="center"/>
    </xf>
    <xf numFmtId="0" fontId="61" fillId="0" borderId="133" xfId="0" applyFont="1" applyBorder="1" applyAlignment="1">
      <alignment horizontal="center" wrapText="1"/>
    </xf>
    <xf numFmtId="0" fontId="61" fillId="0" borderId="154" xfId="0" applyFont="1" applyBorder="1" applyAlignment="1">
      <alignment vertical="center"/>
    </xf>
    <xf numFmtId="1" fontId="33" fillId="40" borderId="254" xfId="0" applyNumberFormat="1" applyFont="1" applyFill="1" applyBorder="1" applyAlignment="1">
      <alignment horizontal="center" vertical="center"/>
    </xf>
    <xf numFmtId="1" fontId="33" fillId="40" borderId="255" xfId="0" applyNumberFormat="1" applyFont="1" applyFill="1" applyBorder="1" applyAlignment="1">
      <alignment horizontal="center" vertical="center"/>
    </xf>
    <xf numFmtId="1" fontId="33" fillId="40" borderId="256" xfId="0" applyNumberFormat="1" applyFont="1" applyFill="1" applyBorder="1" applyAlignment="1">
      <alignment horizontal="center" vertical="center"/>
    </xf>
    <xf numFmtId="1" fontId="0" fillId="0" borderId="257" xfId="0" applyNumberFormat="1" applyBorder="1" applyAlignment="1">
      <alignment horizontal="center" vertical="center"/>
    </xf>
    <xf numFmtId="0" fontId="12" fillId="0" borderId="258" xfId="0" applyFont="1" applyBorder="1" applyAlignment="1">
      <alignment horizontal="center"/>
    </xf>
    <xf numFmtId="0" fontId="61" fillId="0" borderId="259" xfId="0" applyFont="1" applyBorder="1" applyAlignment="1">
      <alignment vertical="center"/>
    </xf>
    <xf numFmtId="3" fontId="33" fillId="7" borderId="229" xfId="0" applyNumberFormat="1" applyFont="1" applyFill="1" applyBorder="1" applyAlignment="1">
      <alignment horizontal="center" vertical="center"/>
    </xf>
    <xf numFmtId="0" fontId="33" fillId="7" borderId="260" xfId="0" applyFont="1" applyFill="1" applyBorder="1" applyAlignment="1">
      <alignment horizontal="center" vertical="center"/>
    </xf>
    <xf numFmtId="0" fontId="33" fillId="7" borderId="226" xfId="0" applyFont="1" applyFill="1" applyBorder="1" applyAlignment="1">
      <alignment horizontal="center" vertical="center"/>
    </xf>
    <xf numFmtId="1" fontId="33" fillId="0" borderId="228" xfId="0" applyNumberFormat="1" applyFont="1" applyBorder="1" applyAlignment="1">
      <alignment horizontal="center" vertical="center"/>
    </xf>
    <xf numFmtId="1" fontId="33" fillId="0" borderId="260" xfId="0" applyNumberFormat="1" applyFont="1" applyBorder="1" applyAlignment="1">
      <alignment horizontal="center" vertical="center"/>
    </xf>
    <xf numFmtId="1" fontId="33" fillId="0" borderId="261" xfId="0" applyNumberFormat="1" applyFont="1" applyBorder="1" applyAlignment="1">
      <alignment horizontal="center" vertical="center"/>
    </xf>
    <xf numFmtId="1" fontId="33" fillId="0" borderId="262" xfId="0" applyNumberFormat="1" applyFont="1" applyBorder="1" applyAlignment="1">
      <alignment horizontal="center" vertical="center"/>
    </xf>
    <xf numFmtId="0" fontId="12" fillId="0" borderId="263" xfId="0" applyFont="1" applyBorder="1" applyAlignment="1">
      <alignment horizontal="center"/>
    </xf>
    <xf numFmtId="0" fontId="61" fillId="8" borderId="135" xfId="0" applyFont="1" applyFill="1" applyBorder="1" applyAlignment="1">
      <alignment vertical="center"/>
    </xf>
    <xf numFmtId="3" fontId="33" fillId="7" borderId="235" xfId="0" applyNumberFormat="1" applyFont="1" applyFill="1" applyBorder="1" applyAlignment="1">
      <alignment horizontal="center" vertical="center"/>
    </xf>
    <xf numFmtId="3" fontId="33" fillId="7" borderId="117" xfId="0" applyNumberFormat="1" applyFont="1" applyFill="1" applyBorder="1" applyAlignment="1">
      <alignment horizontal="center" vertical="center"/>
    </xf>
    <xf numFmtId="3" fontId="33" fillId="7" borderId="32" xfId="0" applyNumberFormat="1" applyFont="1" applyFill="1" applyBorder="1" applyAlignment="1">
      <alignment horizontal="center" vertical="center"/>
    </xf>
    <xf numFmtId="1" fontId="0" fillId="0" borderId="161" xfId="0" applyNumberFormat="1" applyBorder="1" applyAlignment="1">
      <alignment horizontal="center" vertical="center"/>
    </xf>
    <xf numFmtId="0" fontId="33" fillId="7" borderId="235" xfId="0" applyFont="1" applyFill="1" applyBorder="1"/>
    <xf numFmtId="0" fontId="33" fillId="7" borderId="117" xfId="0" applyFont="1" applyFill="1" applyBorder="1"/>
    <xf numFmtId="4" fontId="32" fillId="7" borderId="1" xfId="29" applyNumberFormat="1" applyFont="1" applyFill="1" applyBorder="1" applyAlignment="1">
      <alignment horizontal="center"/>
    </xf>
    <xf numFmtId="4" fontId="32" fillId="0" borderId="233" xfId="29" applyNumberFormat="1" applyFont="1" applyBorder="1" applyAlignment="1">
      <alignment horizontal="center"/>
    </xf>
    <xf numFmtId="4" fontId="32" fillId="0" borderId="117" xfId="29" applyNumberFormat="1" applyFont="1" applyBorder="1" applyAlignment="1">
      <alignment horizontal="center"/>
    </xf>
    <xf numFmtId="4" fontId="32" fillId="0" borderId="161" xfId="29" applyNumberFormat="1" applyFont="1" applyBorder="1" applyAlignment="1">
      <alignment horizontal="center"/>
    </xf>
    <xf numFmtId="4" fontId="32" fillId="0" borderId="234" xfId="29" applyNumberFormat="1" applyFont="1" applyBorder="1" applyAlignment="1">
      <alignment horizontal="center"/>
    </xf>
    <xf numFmtId="10" fontId="32" fillId="7" borderId="117" xfId="29" quotePrefix="1" applyNumberFormat="1" applyFont="1" applyFill="1" applyBorder="1" applyAlignment="1">
      <alignment horizontal="right"/>
    </xf>
    <xf numFmtId="0" fontId="12" fillId="0" borderId="249" xfId="0" applyFont="1" applyBorder="1" applyAlignment="1">
      <alignment horizontal="center"/>
    </xf>
    <xf numFmtId="0" fontId="33" fillId="7" borderId="264" xfId="0" applyFont="1" applyFill="1" applyBorder="1"/>
    <xf numFmtId="10" fontId="32" fillId="7" borderId="265" xfId="29" quotePrefix="1" applyNumberFormat="1" applyFont="1" applyFill="1" applyBorder="1" applyAlignment="1">
      <alignment horizontal="right"/>
    </xf>
    <xf numFmtId="4" fontId="32" fillId="7" borderId="266" xfId="29" applyNumberFormat="1" applyFont="1" applyFill="1" applyBorder="1" applyAlignment="1">
      <alignment horizontal="center"/>
    </xf>
    <xf numFmtId="4" fontId="32" fillId="0" borderId="267" xfId="29" applyNumberFormat="1" applyFont="1" applyBorder="1" applyAlignment="1">
      <alignment horizontal="center"/>
    </xf>
    <xf numFmtId="4" fontId="32" fillId="0" borderId="265" xfId="29" applyNumberFormat="1" applyFont="1" applyBorder="1" applyAlignment="1">
      <alignment horizontal="center"/>
    </xf>
    <xf numFmtId="4" fontId="32" fillId="0" borderId="268" xfId="29" applyNumberFormat="1" applyFont="1" applyBorder="1" applyAlignment="1">
      <alignment horizontal="center"/>
    </xf>
    <xf numFmtId="4" fontId="32" fillId="0" borderId="269" xfId="29" applyNumberFormat="1" applyFont="1" applyBorder="1" applyAlignment="1">
      <alignment horizontal="center"/>
    </xf>
    <xf numFmtId="3" fontId="24" fillId="38" borderId="160" xfId="0" applyNumberFormat="1" applyFont="1" applyFill="1" applyBorder="1" applyAlignment="1">
      <alignment horizontal="center" vertical="center"/>
    </xf>
    <xf numFmtId="3" fontId="24" fillId="38" borderId="3" xfId="0" applyNumberFormat="1" applyFont="1" applyFill="1" applyBorder="1" applyAlignment="1">
      <alignment horizontal="center" vertical="center"/>
    </xf>
    <xf numFmtId="3" fontId="24" fillId="38" borderId="162" xfId="0" applyNumberFormat="1" applyFont="1" applyFill="1" applyBorder="1" applyAlignment="1">
      <alignment horizontal="center" vertical="center"/>
    </xf>
    <xf numFmtId="3" fontId="24" fillId="0" borderId="3" xfId="0" applyNumberFormat="1" applyFont="1" applyBorder="1" applyAlignment="1">
      <alignment horizontal="center" vertical="center"/>
    </xf>
    <xf numFmtId="3" fontId="24" fillId="0" borderId="162" xfId="0" applyNumberFormat="1" applyFont="1" applyBorder="1" applyAlignment="1">
      <alignment horizontal="center" vertical="center"/>
    </xf>
    <xf numFmtId="0" fontId="0" fillId="0" borderId="119" xfId="0" applyBorder="1" applyAlignment="1">
      <alignment horizontal="center" vertical="center"/>
    </xf>
    <xf numFmtId="0" fontId="55" fillId="0" borderId="46" xfId="0" applyFont="1" applyBorder="1" applyAlignment="1">
      <alignment horizontal="center" vertical="center"/>
    </xf>
    <xf numFmtId="0" fontId="55" fillId="0" borderId="140" xfId="0" applyFont="1" applyBorder="1" applyAlignment="1">
      <alignment horizontal="center" vertical="center"/>
    </xf>
    <xf numFmtId="0" fontId="55" fillId="0" borderId="141" xfId="0" applyFont="1" applyBorder="1" applyAlignment="1">
      <alignment horizontal="center" vertical="center"/>
    </xf>
    <xf numFmtId="0" fontId="55" fillId="0" borderId="142" xfId="0" applyFont="1" applyBorder="1" applyAlignment="1">
      <alignment horizontal="center" vertical="center"/>
    </xf>
    <xf numFmtId="10" fontId="0" fillId="0" borderId="144" xfId="0" applyNumberFormat="1" applyBorder="1" applyAlignment="1">
      <alignment horizontal="center" vertical="center"/>
    </xf>
    <xf numFmtId="10" fontId="0" fillId="0" borderId="155" xfId="0" applyNumberFormat="1" applyBorder="1" applyAlignment="1">
      <alignment horizontal="center" vertical="center"/>
    </xf>
    <xf numFmtId="10" fontId="0" fillId="0" borderId="156" xfId="0" applyNumberFormat="1" applyBorder="1" applyAlignment="1">
      <alignment horizontal="center" vertical="center"/>
    </xf>
    <xf numFmtId="0" fontId="53" fillId="0" borderId="46" xfId="0" applyFont="1" applyBorder="1"/>
    <xf numFmtId="10" fontId="7" fillId="0" borderId="46" xfId="0" applyNumberFormat="1" applyFont="1" applyBorder="1" applyAlignment="1">
      <alignment horizontal="center" vertical="center"/>
    </xf>
    <xf numFmtId="0" fontId="53" fillId="0" borderId="46" xfId="0" applyFont="1" applyBorder="1" applyAlignment="1">
      <alignment horizontal="center" vertical="center"/>
    </xf>
    <xf numFmtId="0" fontId="61" fillId="0" borderId="135" xfId="0" applyFont="1" applyBorder="1" applyAlignment="1">
      <alignment vertical="center"/>
    </xf>
    <xf numFmtId="0" fontId="61" fillId="0" borderId="137" xfId="0" applyFont="1" applyBorder="1" applyAlignment="1">
      <alignment vertical="center"/>
    </xf>
    <xf numFmtId="1" fontId="0" fillId="41" borderId="270" xfId="0" applyNumberFormat="1" applyFill="1" applyBorder="1" applyAlignment="1">
      <alignment horizontal="center" vertical="center"/>
    </xf>
    <xf numFmtId="180" fontId="32" fillId="0" borderId="1" xfId="16" applyNumberFormat="1" applyFont="1" applyBorder="1" applyAlignment="1">
      <alignment horizontal="center" vertical="center"/>
    </xf>
    <xf numFmtId="180" fontId="32" fillId="0" borderId="156" xfId="16" applyNumberFormat="1" applyFont="1" applyBorder="1" applyAlignment="1">
      <alignment horizontal="center" vertical="center"/>
    </xf>
    <xf numFmtId="0" fontId="0" fillId="8" borderId="168" xfId="0" applyFill="1" applyBorder="1" applyAlignment="1">
      <alignment horizontal="left" vertical="center"/>
    </xf>
    <xf numFmtId="180" fontId="37" fillId="0" borderId="0" xfId="16" applyNumberFormat="1" applyFont="1"/>
    <xf numFmtId="2" fontId="7" fillId="0" borderId="0" xfId="24" applyNumberFormat="1"/>
    <xf numFmtId="1" fontId="0" fillId="0" borderId="271" xfId="0" applyNumberFormat="1" applyBorder="1" applyAlignment="1">
      <alignment horizontal="center" vertical="center"/>
    </xf>
    <xf numFmtId="1" fontId="0" fillId="0" borderId="159" xfId="0" applyNumberFormat="1" applyBorder="1" applyAlignment="1">
      <alignment horizontal="center" vertical="center"/>
    </xf>
    <xf numFmtId="1" fontId="0" fillId="0" borderId="272" xfId="0" applyNumberFormat="1" applyBorder="1" applyAlignment="1">
      <alignment horizontal="center" vertical="center"/>
    </xf>
    <xf numFmtId="1" fontId="0" fillId="0" borderId="273" xfId="0" applyNumberFormat="1" applyBorder="1" applyAlignment="1">
      <alignment horizontal="center" vertical="center"/>
    </xf>
    <xf numFmtId="1" fontId="0" fillId="41" borderId="274" xfId="0" applyNumberFormat="1" applyFill="1" applyBorder="1" applyAlignment="1">
      <alignment horizontal="center" vertical="center"/>
    </xf>
    <xf numFmtId="0" fontId="80" fillId="0" borderId="0" xfId="0" applyFont="1"/>
    <xf numFmtId="2" fontId="81" fillId="0" borderId="0" xfId="0" applyNumberFormat="1" applyFont="1" applyAlignment="1">
      <alignment horizontal="left"/>
    </xf>
    <xf numFmtId="0" fontId="7" fillId="12" borderId="19" xfId="0" applyFont="1" applyFill="1" applyBorder="1" applyAlignment="1">
      <alignment horizontal="center"/>
    </xf>
    <xf numFmtId="0" fontId="7" fillId="28" borderId="19" xfId="0" applyFont="1" applyFill="1" applyBorder="1" applyAlignment="1">
      <alignment horizontal="center"/>
    </xf>
    <xf numFmtId="0" fontId="82" fillId="12" borderId="65" xfId="0" applyFont="1" applyFill="1" applyBorder="1" applyAlignment="1">
      <alignment horizontal="center" vertical="center" wrapText="1"/>
    </xf>
    <xf numFmtId="0" fontId="48" fillId="9" borderId="65" xfId="0" applyFont="1" applyFill="1" applyBorder="1" applyAlignment="1">
      <alignment horizontal="center" vertical="center" wrapText="1"/>
    </xf>
    <xf numFmtId="0" fontId="48" fillId="50" borderId="65" xfId="0" applyFont="1" applyFill="1" applyBorder="1" applyAlignment="1">
      <alignment horizontal="center" vertical="center" wrapText="1"/>
    </xf>
    <xf numFmtId="0" fontId="48" fillId="49" borderId="65" xfId="0" applyFont="1" applyFill="1" applyBorder="1" applyAlignment="1">
      <alignment horizontal="center" vertical="center" wrapText="1"/>
    </xf>
    <xf numFmtId="0" fontId="48" fillId="10" borderId="65" xfId="0" applyFont="1" applyFill="1" applyBorder="1" applyAlignment="1">
      <alignment horizontal="center" vertical="center" wrapText="1"/>
    </xf>
    <xf numFmtId="0" fontId="12" fillId="0" borderId="0" xfId="24" applyFont="1" applyAlignment="1">
      <alignment horizontal="center" vertical="center"/>
    </xf>
    <xf numFmtId="0" fontId="83" fillId="0" borderId="0" xfId="0" applyFont="1" applyAlignment="1">
      <alignment horizontal="left"/>
    </xf>
    <xf numFmtId="190" fontId="77" fillId="8" borderId="213" xfId="0" applyNumberFormat="1" applyFont="1" applyFill="1" applyBorder="1" applyAlignment="1">
      <alignment horizontal="center" vertical="center" wrapText="1"/>
    </xf>
    <xf numFmtId="3" fontId="7" fillId="0" borderId="0" xfId="24" applyNumberFormat="1" applyAlignment="1">
      <alignment horizontal="center" vertical="center"/>
    </xf>
    <xf numFmtId="180" fontId="7" fillId="0" borderId="0" xfId="16" applyNumberFormat="1" applyAlignment="1">
      <alignment horizontal="center" vertical="center"/>
    </xf>
    <xf numFmtId="2" fontId="7" fillId="0" borderId="0" xfId="0" quotePrefix="1" applyNumberFormat="1" applyFont="1"/>
    <xf numFmtId="0" fontId="12" fillId="0" borderId="0" xfId="0" applyFont="1" applyAlignment="1">
      <alignment horizontal="center" vertical="center"/>
    </xf>
    <xf numFmtId="0" fontId="84" fillId="51" borderId="0" xfId="33" applyFont="1" applyFill="1" applyAlignment="1">
      <alignment vertical="center"/>
    </xf>
    <xf numFmtId="0" fontId="84" fillId="51" borderId="0" xfId="33" applyFont="1" applyFill="1" applyAlignment="1">
      <alignment horizontal="right" vertical="center" wrapText="1"/>
    </xf>
    <xf numFmtId="189" fontId="84" fillId="51" borderId="0" xfId="33" applyNumberFormat="1" applyFont="1" applyFill="1" applyAlignment="1">
      <alignment horizontal="right" vertical="center" wrapText="1"/>
    </xf>
    <xf numFmtId="0" fontId="35" fillId="8" borderId="0" xfId="33" applyFont="1" applyFill="1"/>
    <xf numFmtId="0" fontId="85" fillId="52" borderId="279" xfId="33" applyFont="1" applyFill="1" applyBorder="1" applyAlignment="1">
      <alignment vertical="center"/>
    </xf>
    <xf numFmtId="0" fontId="86" fillId="52" borderId="280" xfId="33" applyFont="1" applyFill="1" applyBorder="1" applyAlignment="1">
      <alignment vertical="center" wrapText="1"/>
    </xf>
    <xf numFmtId="189" fontId="86" fillId="52" borderId="280" xfId="33" applyNumberFormat="1" applyFont="1" applyFill="1" applyBorder="1" applyAlignment="1">
      <alignment vertical="center" wrapText="1"/>
    </xf>
    <xf numFmtId="0" fontId="86" fillId="53" borderId="281" xfId="33" applyFont="1" applyFill="1" applyBorder="1" applyAlignment="1">
      <alignment vertical="center"/>
    </xf>
    <xf numFmtId="0" fontId="86" fillId="53" borderId="281" xfId="33" applyFont="1" applyFill="1" applyBorder="1" applyAlignment="1">
      <alignment vertical="center" wrapText="1"/>
    </xf>
    <xf numFmtId="189" fontId="86" fillId="53" borderId="281" xfId="33" applyNumberFormat="1" applyFont="1" applyFill="1" applyBorder="1" applyAlignment="1">
      <alignment vertical="center" wrapText="1"/>
    </xf>
    <xf numFmtId="0" fontId="84" fillId="52" borderId="282" xfId="33" applyFont="1" applyFill="1" applyBorder="1" applyAlignment="1">
      <alignment vertical="center"/>
    </xf>
    <xf numFmtId="0" fontId="84" fillId="52" borderId="282" xfId="33" applyFont="1" applyFill="1" applyBorder="1" applyAlignment="1">
      <alignment vertical="center" wrapText="1"/>
    </xf>
    <xf numFmtId="189" fontId="84" fillId="52" borderId="282" xfId="33" applyNumberFormat="1" applyFont="1" applyFill="1" applyBorder="1" applyAlignment="1">
      <alignment vertical="center" wrapText="1"/>
    </xf>
    <xf numFmtId="0" fontId="86" fillId="8" borderId="0" xfId="33" applyFont="1" applyFill="1" applyAlignment="1">
      <alignment horizontal="left" vertical="center"/>
    </xf>
    <xf numFmtId="191" fontId="86" fillId="8" borderId="0" xfId="33" applyNumberFormat="1" applyFont="1" applyFill="1" applyAlignment="1">
      <alignment horizontal="right" vertical="center" wrapText="1"/>
    </xf>
    <xf numFmtId="189" fontId="86" fillId="8" borderId="0" xfId="33" applyNumberFormat="1" applyFont="1" applyFill="1" applyAlignment="1">
      <alignment horizontal="right" vertical="center" wrapText="1"/>
    </xf>
    <xf numFmtId="15" fontId="86" fillId="8" borderId="0" xfId="33" applyNumberFormat="1" applyFont="1" applyFill="1" applyAlignment="1">
      <alignment horizontal="right" vertical="center" wrapText="1"/>
    </xf>
    <xf numFmtId="191" fontId="86" fillId="8" borderId="0" xfId="33" applyNumberFormat="1" applyFont="1" applyFill="1" applyAlignment="1">
      <alignment vertical="center" wrapText="1"/>
    </xf>
    <xf numFmtId="0" fontId="86" fillId="8" borderId="0" xfId="33" applyFont="1" applyFill="1" applyAlignment="1">
      <alignment horizontal="right" vertical="center" wrapText="1" indent="1"/>
    </xf>
    <xf numFmtId="0" fontId="86" fillId="8" borderId="0" xfId="33" applyFont="1" applyFill="1" applyAlignment="1">
      <alignment horizontal="right" vertical="center" wrapText="1"/>
    </xf>
    <xf numFmtId="0" fontId="86" fillId="8" borderId="0" xfId="33" applyFont="1" applyFill="1" applyAlignment="1">
      <alignment vertical="center" wrapText="1"/>
    </xf>
    <xf numFmtId="0" fontId="84" fillId="8" borderId="0" xfId="33" applyFont="1" applyFill="1" applyAlignment="1">
      <alignment horizontal="left" vertical="center"/>
    </xf>
    <xf numFmtId="0" fontId="84" fillId="8" borderId="0" xfId="33" applyFont="1" applyFill="1" applyAlignment="1">
      <alignment horizontal="left" vertical="center" wrapText="1" indent="1"/>
    </xf>
    <xf numFmtId="189" fontId="84" fillId="8" borderId="0" xfId="33" applyNumberFormat="1" applyFont="1" applyFill="1" applyAlignment="1">
      <alignment horizontal="left" vertical="center" wrapText="1" indent="1"/>
    </xf>
    <xf numFmtId="191" fontId="84" fillId="8" borderId="0" xfId="33" applyNumberFormat="1" applyFont="1" applyFill="1" applyAlignment="1">
      <alignment horizontal="right" vertical="center" wrapText="1" indent="1"/>
    </xf>
    <xf numFmtId="0" fontId="86" fillId="8" borderId="0" xfId="33" applyFont="1" applyFill="1" applyAlignment="1">
      <alignment horizontal="left" vertical="center" wrapText="1" indent="1"/>
    </xf>
    <xf numFmtId="191" fontId="35" fillId="8" borderId="0" xfId="33" applyNumberFormat="1" applyFont="1" applyFill="1" applyAlignment="1">
      <alignment horizontal="right"/>
    </xf>
    <xf numFmtId="189" fontId="35" fillId="8" borderId="0" xfId="33" applyNumberFormat="1" applyFont="1" applyFill="1" applyAlignment="1">
      <alignment horizontal="right"/>
    </xf>
    <xf numFmtId="0" fontId="35" fillId="8" borderId="0" xfId="33" applyFont="1" applyFill="1" applyAlignment="1">
      <alignment horizontal="right"/>
    </xf>
    <xf numFmtId="191" fontId="35" fillId="8" borderId="0" xfId="33" applyNumberFormat="1" applyFont="1" applyFill="1"/>
    <xf numFmtId="0" fontId="85" fillId="8" borderId="0" xfId="33" applyFont="1" applyFill="1"/>
    <xf numFmtId="0" fontId="85" fillId="8" borderId="0" xfId="33" applyFont="1" applyFill="1" applyAlignment="1">
      <alignment horizontal="right"/>
    </xf>
    <xf numFmtId="189" fontId="85" fillId="8" borderId="0" xfId="33" applyNumberFormat="1" applyFont="1" applyFill="1" applyAlignment="1">
      <alignment horizontal="right"/>
    </xf>
    <xf numFmtId="191" fontId="85" fillId="8" borderId="0" xfId="33" applyNumberFormat="1" applyFont="1" applyFill="1"/>
    <xf numFmtId="0" fontId="86" fillId="54" borderId="0" xfId="33" applyFont="1" applyFill="1" applyAlignment="1">
      <alignment horizontal="left" vertical="center"/>
    </xf>
    <xf numFmtId="191" fontId="86" fillId="54" borderId="0" xfId="33" applyNumberFormat="1" applyFont="1" applyFill="1" applyAlignment="1">
      <alignment horizontal="right" vertical="center" wrapText="1"/>
    </xf>
    <xf numFmtId="189" fontId="86" fillId="54" borderId="0" xfId="33" applyNumberFormat="1" applyFont="1" applyFill="1" applyAlignment="1">
      <alignment horizontal="right" vertical="center" wrapText="1"/>
    </xf>
    <xf numFmtId="15" fontId="86" fillId="54" borderId="0" xfId="33" applyNumberFormat="1" applyFont="1" applyFill="1" applyAlignment="1">
      <alignment horizontal="right" vertical="center" wrapText="1"/>
    </xf>
    <xf numFmtId="0" fontId="86" fillId="54" borderId="0" xfId="33" applyFont="1" applyFill="1" applyAlignment="1">
      <alignment horizontal="right" vertical="center" wrapText="1"/>
    </xf>
    <xf numFmtId="9" fontId="0" fillId="23" borderId="98" xfId="16" applyFont="1" applyFill="1" applyBorder="1" applyAlignment="1">
      <alignment horizontal="center"/>
    </xf>
    <xf numFmtId="9" fontId="0" fillId="12" borderId="96" xfId="16" applyFont="1" applyFill="1" applyBorder="1" applyAlignment="1">
      <alignment horizontal="center"/>
    </xf>
    <xf numFmtId="9" fontId="7" fillId="23" borderId="97" xfId="16" applyFont="1" applyFill="1" applyBorder="1" applyAlignment="1">
      <alignment horizontal="center"/>
    </xf>
    <xf numFmtId="0" fontId="7" fillId="28" borderId="113" xfId="10" applyFont="1" applyFill="1" applyBorder="1" applyAlignment="1">
      <alignment horizontal="right" vertical="center"/>
    </xf>
    <xf numFmtId="0" fontId="1" fillId="0" borderId="46" xfId="0" applyFont="1" applyBorder="1"/>
    <xf numFmtId="178" fontId="1" fillId="0" borderId="46" xfId="0" applyNumberFormat="1" applyFont="1" applyBorder="1" applyAlignment="1">
      <alignment horizontal="center"/>
    </xf>
    <xf numFmtId="178" fontId="1" fillId="0" borderId="0" xfId="0" applyNumberFormat="1" applyFont="1" applyAlignment="1">
      <alignment horizontal="center"/>
    </xf>
    <xf numFmtId="0" fontId="24" fillId="28" borderId="19" xfId="0" applyFont="1" applyFill="1" applyBorder="1" applyAlignment="1">
      <alignment horizontal="center"/>
    </xf>
    <xf numFmtId="0" fontId="7" fillId="0" borderId="50" xfId="0" applyFont="1" applyBorder="1"/>
    <xf numFmtId="0" fontId="12" fillId="0" borderId="50" xfId="0" applyFont="1" applyBorder="1"/>
    <xf numFmtId="176" fontId="0" fillId="0" borderId="0" xfId="34" applyFont="1"/>
    <xf numFmtId="176" fontId="12" fillId="0" borderId="0" xfId="34" applyFont="1"/>
    <xf numFmtId="9" fontId="0" fillId="0" borderId="0" xfId="16" applyFont="1"/>
    <xf numFmtId="0" fontId="7" fillId="0" borderId="62" xfId="0" applyFont="1" applyBorder="1" applyAlignment="1">
      <alignment horizontal="left" indent="1"/>
    </xf>
    <xf numFmtId="0" fontId="7" fillId="0" borderId="63" xfId="0" applyFont="1" applyBorder="1" applyAlignment="1">
      <alignment horizontal="left" indent="1"/>
    </xf>
    <xf numFmtId="0" fontId="7" fillId="0" borderId="62" xfId="0" applyFont="1" applyBorder="1" applyAlignment="1">
      <alignment horizontal="left"/>
    </xf>
    <xf numFmtId="0" fontId="7" fillId="0" borderId="63" xfId="0" applyFont="1" applyBorder="1" applyAlignment="1">
      <alignment horizontal="left"/>
    </xf>
    <xf numFmtId="0" fontId="7" fillId="8" borderId="178" xfId="0" applyFont="1" applyFill="1" applyBorder="1" applyAlignment="1">
      <alignment horizontal="center" vertical="center" wrapText="1"/>
    </xf>
    <xf numFmtId="0" fontId="0" fillId="8" borderId="179" xfId="0" applyFill="1" applyBorder="1" applyAlignment="1">
      <alignment horizontal="center" vertical="center" wrapText="1"/>
    </xf>
    <xf numFmtId="0" fontId="0" fillId="8" borderId="180" xfId="0" applyFill="1" applyBorder="1" applyAlignment="1">
      <alignment horizontal="center" vertical="center" wrapText="1"/>
    </xf>
    <xf numFmtId="0" fontId="0" fillId="8" borderId="181" xfId="0" applyFill="1" applyBorder="1" applyAlignment="1">
      <alignment horizontal="center" wrapText="1"/>
    </xf>
    <xf numFmtId="0" fontId="0" fillId="8" borderId="182" xfId="0" applyFill="1" applyBorder="1" applyAlignment="1">
      <alignment horizontal="center" wrapText="1"/>
    </xf>
    <xf numFmtId="0" fontId="0" fillId="8" borderId="183" xfId="0" applyFill="1" applyBorder="1" applyAlignment="1">
      <alignment horizontal="center" wrapText="1"/>
    </xf>
    <xf numFmtId="0" fontId="7" fillId="0" borderId="10" xfId="0" applyFont="1" applyBorder="1" applyAlignment="1">
      <alignment horizontal="left" vertical="top" wrapText="1"/>
    </xf>
    <xf numFmtId="0" fontId="7" fillId="0" borderId="2" xfId="0" applyFont="1" applyBorder="1" applyAlignment="1">
      <alignment horizontal="left" vertical="top" wrapText="1"/>
    </xf>
    <xf numFmtId="0" fontId="7" fillId="0" borderId="60" xfId="0" applyFont="1" applyBorder="1" applyAlignment="1">
      <alignment horizontal="left" vertical="top" wrapText="1"/>
    </xf>
    <xf numFmtId="0" fontId="0" fillId="0" borderId="206" xfId="0" applyBorder="1" applyAlignment="1">
      <alignment horizontal="left" vertical="top" wrapText="1"/>
    </xf>
    <xf numFmtId="0" fontId="7" fillId="0" borderId="46" xfId="0" applyFont="1" applyBorder="1" applyAlignment="1">
      <alignment horizontal="left" vertical="top" wrapText="1"/>
    </xf>
    <xf numFmtId="0" fontId="7" fillId="0" borderId="59" xfId="0" applyFont="1" applyBorder="1" applyAlignment="1">
      <alignment horizontal="left" vertical="top" wrapText="1"/>
    </xf>
    <xf numFmtId="0" fontId="0" fillId="0" borderId="207" xfId="0" applyBorder="1" applyAlignment="1">
      <alignment horizontal="left" vertical="top" wrapText="1"/>
    </xf>
    <xf numFmtId="0" fontId="0" fillId="0" borderId="208" xfId="0" applyBorder="1" applyAlignment="1">
      <alignment horizontal="left" vertical="top" wrapText="1"/>
    </xf>
    <xf numFmtId="0" fontId="0" fillId="0" borderId="209" xfId="0" applyBorder="1" applyAlignment="1">
      <alignment horizontal="left" vertical="top" wrapText="1"/>
    </xf>
    <xf numFmtId="0" fontId="26" fillId="32" borderId="52" xfId="0" applyFont="1" applyFill="1" applyBorder="1" applyAlignment="1">
      <alignment horizontal="center"/>
    </xf>
    <xf numFmtId="0" fontId="26" fillId="32" borderId="61" xfId="0" applyFont="1" applyFill="1" applyBorder="1" applyAlignment="1">
      <alignment horizontal="center"/>
    </xf>
    <xf numFmtId="0" fontId="45" fillId="18" borderId="10" xfId="0" applyFont="1" applyFill="1" applyBorder="1" applyAlignment="1">
      <alignment horizontal="center"/>
    </xf>
    <xf numFmtId="0" fontId="45" fillId="18" borderId="0" xfId="0" applyFont="1" applyFill="1" applyAlignment="1">
      <alignment horizontal="center"/>
    </xf>
    <xf numFmtId="0" fontId="45" fillId="18" borderId="12" xfId="0" applyFont="1" applyFill="1" applyBorder="1" applyAlignment="1">
      <alignment horizontal="center"/>
    </xf>
    <xf numFmtId="0" fontId="46" fillId="5" borderId="52" xfId="0" applyFont="1" applyFill="1" applyBorder="1" applyAlignment="1">
      <alignment horizontal="center"/>
    </xf>
    <xf numFmtId="0" fontId="46" fillId="5" borderId="61" xfId="0" applyFont="1" applyFill="1" applyBorder="1" applyAlignment="1">
      <alignment horizontal="center"/>
    </xf>
    <xf numFmtId="0" fontId="34" fillId="0" borderId="151" xfId="0" applyFont="1" applyBorder="1" applyAlignment="1">
      <alignment horizontal="left" vertical="center" wrapText="1"/>
    </xf>
    <xf numFmtId="0" fontId="79" fillId="0" borderId="146" xfId="0" applyFont="1" applyBorder="1" applyAlignment="1">
      <alignment horizontal="left" vertical="center"/>
    </xf>
    <xf numFmtId="0" fontId="79" fillId="0" borderId="147" xfId="0" applyFont="1" applyBorder="1" applyAlignment="1">
      <alignment horizontal="left" vertical="center"/>
    </xf>
    <xf numFmtId="0" fontId="79" fillId="0" borderId="152" xfId="0" applyFont="1" applyBorder="1" applyAlignment="1">
      <alignment horizontal="left" vertical="center"/>
    </xf>
    <xf numFmtId="0" fontId="79" fillId="0" borderId="0" xfId="0" applyFont="1" applyAlignment="1">
      <alignment horizontal="left" vertical="center"/>
    </xf>
    <xf numFmtId="0" fontId="79" fillId="0" borderId="148" xfId="0" applyFont="1" applyBorder="1" applyAlignment="1">
      <alignment horizontal="left" vertical="center"/>
    </xf>
    <xf numFmtId="0" fontId="79" fillId="0" borderId="153" xfId="0" applyFont="1" applyBorder="1" applyAlignment="1">
      <alignment horizontal="left" vertical="center"/>
    </xf>
    <xf numFmtId="0" fontId="79" fillId="0" borderId="149" xfId="0" applyFont="1" applyBorder="1" applyAlignment="1">
      <alignment horizontal="left" vertical="center"/>
    </xf>
    <xf numFmtId="0" fontId="79" fillId="0" borderId="150" xfId="0" applyFont="1" applyBorder="1" applyAlignment="1">
      <alignment horizontal="left" vertical="center"/>
    </xf>
    <xf numFmtId="0" fontId="34" fillId="0" borderId="146" xfId="0" applyFont="1" applyBorder="1" applyAlignment="1">
      <alignment horizontal="left" vertical="center"/>
    </xf>
    <xf numFmtId="0" fontId="34" fillId="0" borderId="147" xfId="0" applyFont="1" applyBorder="1" applyAlignment="1">
      <alignment horizontal="left" vertical="center"/>
    </xf>
    <xf numFmtId="0" fontId="34" fillId="0" borderId="152" xfId="0" applyFont="1" applyBorder="1" applyAlignment="1">
      <alignment horizontal="left" vertical="center"/>
    </xf>
    <xf numFmtId="0" fontId="34" fillId="0" borderId="0" xfId="0" applyFont="1" applyAlignment="1">
      <alignment horizontal="left" vertical="center"/>
    </xf>
    <xf numFmtId="0" fontId="34" fillId="0" borderId="148" xfId="0" applyFont="1" applyBorder="1" applyAlignment="1">
      <alignment horizontal="left" vertical="center"/>
    </xf>
    <xf numFmtId="0" fontId="34" fillId="0" borderId="153" xfId="0" applyFont="1" applyBorder="1" applyAlignment="1">
      <alignment horizontal="left" vertical="center"/>
    </xf>
    <xf numFmtId="0" fontId="34" fillId="0" borderId="149" xfId="0" applyFont="1" applyBorder="1" applyAlignment="1">
      <alignment horizontal="left" vertical="center"/>
    </xf>
    <xf numFmtId="0" fontId="34" fillId="0" borderId="150" xfId="0" applyFont="1" applyBorder="1" applyAlignment="1">
      <alignment horizontal="left" vertical="center"/>
    </xf>
    <xf numFmtId="0" fontId="34" fillId="0" borderId="204" xfId="0" applyFont="1" applyBorder="1" applyAlignment="1">
      <alignment horizontal="left" vertical="center" wrapText="1"/>
    </xf>
    <xf numFmtId="0" fontId="79" fillId="0" borderId="10" xfId="0" applyFont="1" applyBorder="1" applyAlignment="1">
      <alignment horizontal="left" vertical="center"/>
    </xf>
    <xf numFmtId="0" fontId="79" fillId="0" borderId="205" xfId="0" applyFont="1" applyBorder="1" applyAlignment="1">
      <alignment horizontal="left" vertical="center"/>
    </xf>
    <xf numFmtId="0" fontId="48" fillId="16" borderId="71" xfId="0" applyFont="1" applyFill="1" applyBorder="1" applyAlignment="1">
      <alignment horizontal="center" vertical="center" wrapText="1"/>
    </xf>
    <xf numFmtId="0" fontId="48" fillId="16" borderId="73" xfId="0" applyFont="1" applyFill="1" applyBorder="1" applyAlignment="1">
      <alignment horizontal="center" vertical="center" wrapText="1"/>
    </xf>
    <xf numFmtId="0" fontId="46" fillId="31" borderId="203" xfId="0" applyFont="1" applyFill="1" applyBorder="1" applyAlignment="1">
      <alignment horizontal="center"/>
    </xf>
    <xf numFmtId="0" fontId="46" fillId="31" borderId="52" xfId="0" applyFont="1" applyFill="1" applyBorder="1" applyAlignment="1">
      <alignment horizontal="center"/>
    </xf>
    <xf numFmtId="179" fontId="8" fillId="12" borderId="138" xfId="0" applyNumberFormat="1" applyFont="1" applyFill="1" applyBorder="1" applyAlignment="1">
      <alignment horizontal="center" vertical="center"/>
    </xf>
    <xf numFmtId="179" fontId="8" fillId="12" borderId="121" xfId="0" applyNumberFormat="1" applyFont="1" applyFill="1" applyBorder="1" applyAlignment="1">
      <alignment horizontal="center" vertical="center"/>
    </xf>
    <xf numFmtId="179" fontId="8" fillId="12" borderId="139" xfId="0" applyNumberFormat="1" applyFont="1" applyFill="1" applyBorder="1" applyAlignment="1">
      <alignment horizontal="center" vertical="center"/>
    </xf>
    <xf numFmtId="0" fontId="44" fillId="8" borderId="0" xfId="0" applyFont="1" applyFill="1" applyAlignment="1">
      <alignment horizontal="center" vertical="center" wrapText="1"/>
    </xf>
    <xf numFmtId="0" fontId="44" fillId="8" borderId="27" xfId="0" applyFont="1" applyFill="1" applyBorder="1" applyAlignment="1">
      <alignment horizontal="center" vertical="center" wrapText="1"/>
    </xf>
    <xf numFmtId="180" fontId="44" fillId="12" borderId="174" xfId="16" applyNumberFormat="1" applyFont="1" applyFill="1" applyBorder="1" applyAlignment="1">
      <alignment horizontal="center" vertical="center"/>
    </xf>
    <xf numFmtId="180" fontId="44" fillId="12" borderId="175" xfId="16" applyNumberFormat="1" applyFont="1" applyFill="1" applyBorder="1" applyAlignment="1">
      <alignment horizontal="center" vertical="center"/>
    </xf>
    <xf numFmtId="180" fontId="44" fillId="12" borderId="184" xfId="16" applyNumberFormat="1" applyFont="1" applyFill="1" applyBorder="1" applyAlignment="1">
      <alignment horizontal="center" vertical="center"/>
    </xf>
    <xf numFmtId="180" fontId="44" fillId="12" borderId="185" xfId="16" applyNumberFormat="1" applyFont="1" applyFill="1" applyBorder="1" applyAlignment="1">
      <alignment horizontal="center" vertical="center"/>
    </xf>
    <xf numFmtId="180" fontId="44" fillId="0" borderId="176" xfId="16" applyNumberFormat="1" applyFont="1" applyBorder="1" applyAlignment="1">
      <alignment horizontal="center" vertical="center"/>
    </xf>
    <xf numFmtId="180" fontId="44" fillId="0" borderId="28" xfId="16" applyNumberFormat="1" applyFont="1" applyBorder="1" applyAlignment="1">
      <alignment horizontal="center" vertical="center"/>
    </xf>
    <xf numFmtId="9" fontId="44" fillId="12" borderId="177" xfId="16" applyFont="1" applyFill="1" applyBorder="1" applyAlignment="1">
      <alignment horizontal="center" vertical="center"/>
    </xf>
    <xf numFmtId="9" fontId="44" fillId="12" borderId="186" xfId="16" applyFont="1" applyFill="1" applyBorder="1" applyAlignment="1">
      <alignment horizontal="center" vertical="center"/>
    </xf>
    <xf numFmtId="0" fontId="46" fillId="5" borderId="10" xfId="0" applyFont="1" applyFill="1" applyBorder="1" applyAlignment="1">
      <alignment horizontal="center"/>
    </xf>
    <xf numFmtId="0" fontId="46" fillId="5" borderId="0" xfId="0" applyFont="1" applyFill="1" applyAlignment="1">
      <alignment horizontal="center"/>
    </xf>
    <xf numFmtId="0" fontId="46" fillId="5" borderId="121" xfId="0" applyFont="1" applyFill="1" applyBorder="1" applyAlignment="1">
      <alignment horizontal="center"/>
    </xf>
    <xf numFmtId="0" fontId="26" fillId="32" borderId="132" xfId="0" applyFont="1" applyFill="1" applyBorder="1" applyAlignment="1">
      <alignment horizontal="center"/>
    </xf>
    <xf numFmtId="0" fontId="26" fillId="32" borderId="120" xfId="0" applyFont="1" applyFill="1" applyBorder="1" applyAlignment="1">
      <alignment horizontal="center"/>
    </xf>
    <xf numFmtId="0" fontId="26" fillId="32" borderId="173" xfId="0" applyFont="1" applyFill="1" applyBorder="1" applyAlignment="1">
      <alignment horizontal="center"/>
    </xf>
    <xf numFmtId="0" fontId="26" fillId="32" borderId="123" xfId="0" applyFont="1" applyFill="1" applyBorder="1" applyAlignment="1">
      <alignment horizontal="center"/>
    </xf>
    <xf numFmtId="0" fontId="26" fillId="32" borderId="133" xfId="0" applyFont="1" applyFill="1" applyBorder="1" applyAlignment="1">
      <alignment horizontal="center"/>
    </xf>
    <xf numFmtId="0" fontId="26" fillId="32" borderId="139" xfId="0" applyFont="1" applyFill="1" applyBorder="1" applyAlignment="1">
      <alignment horizontal="center"/>
    </xf>
    <xf numFmtId="0" fontId="33" fillId="8" borderId="169" xfId="0" applyFont="1" applyFill="1" applyBorder="1" applyAlignment="1">
      <alignment horizontal="center" vertical="center" wrapText="1"/>
    </xf>
    <xf numFmtId="0" fontId="0" fillId="8" borderId="170" xfId="0" applyFill="1" applyBorder="1" applyAlignment="1">
      <alignment horizontal="center" vertical="center" wrapText="1"/>
    </xf>
    <xf numFmtId="0" fontId="0" fillId="8" borderId="171" xfId="0" applyFill="1" applyBorder="1" applyAlignment="1">
      <alignment horizontal="center" vertical="center" wrapText="1"/>
    </xf>
    <xf numFmtId="0" fontId="7" fillId="8" borderId="26" xfId="0" applyFont="1" applyFill="1" applyBorder="1" applyAlignment="1">
      <alignment horizontal="left" vertical="center"/>
    </xf>
    <xf numFmtId="0" fontId="7" fillId="8" borderId="25" xfId="0" applyFont="1" applyFill="1" applyBorder="1" applyAlignment="1">
      <alignment horizontal="left" vertical="center"/>
    </xf>
    <xf numFmtId="9" fontId="12" fillId="8" borderId="26" xfId="16" applyFont="1" applyFill="1" applyBorder="1" applyAlignment="1">
      <alignment horizontal="left"/>
    </xf>
    <xf numFmtId="9" fontId="12" fillId="8" borderId="25" xfId="16" applyFont="1" applyFill="1" applyBorder="1" applyAlignment="1">
      <alignment horizontal="left"/>
    </xf>
    <xf numFmtId="0" fontId="8" fillId="23" borderId="0" xfId="0" applyFont="1" applyFill="1" applyAlignment="1">
      <alignment horizontal="center" vertical="center" wrapText="1"/>
    </xf>
    <xf numFmtId="0" fontId="8" fillId="23" borderId="133" xfId="0" applyFont="1" applyFill="1" applyBorder="1" applyAlignment="1">
      <alignment horizontal="center" vertical="center" wrapText="1"/>
    </xf>
    <xf numFmtId="0" fontId="33" fillId="8" borderId="123" xfId="0" applyFont="1" applyFill="1" applyBorder="1" applyAlignment="1">
      <alignment horizontal="center" vertical="center" wrapText="1"/>
    </xf>
    <xf numFmtId="0" fontId="33" fillId="8" borderId="133" xfId="0" applyFont="1" applyFill="1" applyBorder="1" applyAlignment="1">
      <alignment horizontal="center" vertical="center" wrapText="1"/>
    </xf>
    <xf numFmtId="0" fontId="33" fillId="8" borderId="139" xfId="0" applyFont="1" applyFill="1" applyBorder="1" applyAlignment="1">
      <alignment horizontal="center" vertical="center" wrapText="1"/>
    </xf>
    <xf numFmtId="0" fontId="46" fillId="5" borderId="165" xfId="0" applyFont="1" applyFill="1" applyBorder="1" applyAlignment="1">
      <alignment horizontal="center"/>
    </xf>
    <xf numFmtId="0" fontId="46" fillId="5" borderId="120" xfId="0" applyFont="1" applyFill="1" applyBorder="1" applyAlignment="1">
      <alignment horizontal="center"/>
    </xf>
    <xf numFmtId="0" fontId="7" fillId="0" borderId="19" xfId="0" applyFont="1" applyBorder="1" applyAlignment="1">
      <alignment horizontal="left"/>
    </xf>
    <xf numFmtId="0" fontId="46" fillId="5" borderId="126" xfId="0" applyFont="1" applyFill="1" applyBorder="1" applyAlignment="1">
      <alignment horizontal="center"/>
    </xf>
    <xf numFmtId="0" fontId="46" fillId="5" borderId="166" xfId="0" applyFont="1" applyFill="1" applyBorder="1" applyAlignment="1">
      <alignment horizontal="center"/>
    </xf>
    <xf numFmtId="0" fontId="46" fillId="5" borderId="167" xfId="0" applyFont="1" applyFill="1" applyBorder="1" applyAlignment="1">
      <alignment horizontal="center"/>
    </xf>
    <xf numFmtId="0" fontId="46" fillId="5" borderId="33" xfId="0" applyFont="1" applyFill="1" applyBorder="1" applyAlignment="1">
      <alignment horizontal="center"/>
    </xf>
    <xf numFmtId="0" fontId="46" fillId="5" borderId="42" xfId="0" applyFont="1" applyFill="1" applyBorder="1" applyAlignment="1">
      <alignment horizontal="center"/>
    </xf>
    <xf numFmtId="0" fontId="46" fillId="5" borderId="22" xfId="0" applyFont="1" applyFill="1" applyBorder="1" applyAlignment="1">
      <alignment horizontal="center"/>
    </xf>
    <xf numFmtId="0" fontId="46" fillId="5" borderId="19" xfId="0" applyFont="1" applyFill="1" applyBorder="1" applyAlignment="1">
      <alignment horizontal="center"/>
    </xf>
    <xf numFmtId="0" fontId="46" fillId="5" borderId="28" xfId="0" applyFont="1" applyFill="1" applyBorder="1" applyAlignment="1">
      <alignment horizontal="center"/>
    </xf>
    <xf numFmtId="0" fontId="12" fillId="0" borderId="24" xfId="0" applyFont="1" applyBorder="1" applyAlignment="1">
      <alignment horizontal="center"/>
    </xf>
    <xf numFmtId="0" fontId="12" fillId="0" borderId="25" xfId="0" applyFont="1" applyBorder="1" applyAlignment="1">
      <alignment horizontal="center"/>
    </xf>
    <xf numFmtId="0" fontId="46" fillId="5" borderId="27" xfId="0" applyFont="1" applyFill="1" applyBorder="1" applyAlignment="1">
      <alignment horizontal="center"/>
    </xf>
    <xf numFmtId="0" fontId="46" fillId="5" borderId="47" xfId="0" applyFont="1" applyFill="1" applyBorder="1" applyAlignment="1">
      <alignment horizontal="center"/>
    </xf>
    <xf numFmtId="0" fontId="46" fillId="5" borderId="48" xfId="0" applyFont="1" applyFill="1" applyBorder="1" applyAlignment="1">
      <alignment horizontal="center"/>
    </xf>
    <xf numFmtId="0" fontId="46" fillId="5" borderId="49" xfId="0" applyFont="1" applyFill="1" applyBorder="1" applyAlignment="1">
      <alignment horizontal="center"/>
    </xf>
    <xf numFmtId="0" fontId="7" fillId="0" borderId="26" xfId="0" applyFont="1" applyBorder="1" applyAlignment="1">
      <alignment horizontal="left" vertical="center"/>
    </xf>
    <xf numFmtId="0" fontId="7" fillId="0" borderId="25" xfId="0" applyFont="1" applyBorder="1" applyAlignment="1">
      <alignment horizontal="left" vertical="center"/>
    </xf>
    <xf numFmtId="0" fontId="8" fillId="0" borderId="55" xfId="0" applyFont="1" applyBorder="1" applyAlignment="1">
      <alignment horizontal="center" vertical="center"/>
    </xf>
    <xf numFmtId="0" fontId="8" fillId="0" borderId="18" xfId="0" applyFont="1" applyBorder="1" applyAlignment="1">
      <alignment horizontal="center" vertical="center"/>
    </xf>
    <xf numFmtId="0" fontId="8" fillId="0" borderId="56" xfId="0" applyFont="1" applyBorder="1" applyAlignment="1">
      <alignment horizontal="center" vertical="center"/>
    </xf>
    <xf numFmtId="0" fontId="26" fillId="32" borderId="33" xfId="0" applyFont="1" applyFill="1" applyBorder="1" applyAlignment="1">
      <alignment horizontal="center"/>
    </xf>
    <xf numFmtId="0" fontId="26" fillId="32" borderId="27" xfId="0" applyFont="1" applyFill="1" applyBorder="1" applyAlignment="1">
      <alignment horizontal="center"/>
    </xf>
    <xf numFmtId="0" fontId="26" fillId="32" borderId="26" xfId="0" applyFont="1" applyFill="1" applyBorder="1" applyAlignment="1">
      <alignment horizontal="center"/>
    </xf>
    <xf numFmtId="0" fontId="26" fillId="32" borderId="24" xfId="0" applyFont="1" applyFill="1" applyBorder="1" applyAlignment="1">
      <alignment horizontal="center"/>
    </xf>
    <xf numFmtId="14" fontId="12" fillId="0" borderId="26" xfId="0" applyNumberFormat="1" applyFont="1" applyBorder="1" applyAlignment="1">
      <alignment horizontal="center"/>
    </xf>
    <xf numFmtId="14" fontId="12" fillId="0" borderId="25" xfId="0" applyNumberFormat="1" applyFont="1" applyBorder="1" applyAlignment="1">
      <alignment horizontal="center"/>
    </xf>
    <xf numFmtId="0" fontId="7" fillId="0" borderId="19" xfId="0" quotePrefix="1" applyFont="1" applyBorder="1" applyAlignment="1">
      <alignment horizontal="left"/>
    </xf>
    <xf numFmtId="0" fontId="66" fillId="8" borderId="19" xfId="0" applyFont="1" applyFill="1" applyBorder="1" applyAlignment="1">
      <alignment horizontal="center" vertical="center" wrapText="1"/>
    </xf>
    <xf numFmtId="0" fontId="46" fillId="31" borderId="29" xfId="0" applyFont="1" applyFill="1" applyBorder="1" applyAlignment="1">
      <alignment horizontal="center" vertical="center" wrapText="1"/>
    </xf>
    <xf numFmtId="0" fontId="26" fillId="32" borderId="203" xfId="0" applyFont="1" applyFill="1" applyBorder="1" applyAlignment="1">
      <alignment horizontal="center"/>
    </xf>
    <xf numFmtId="0" fontId="34" fillId="0" borderId="204" xfId="0" applyFont="1" applyBorder="1" applyAlignment="1">
      <alignment vertical="center" wrapText="1"/>
    </xf>
    <xf numFmtId="0" fontId="34" fillId="0" borderId="146" xfId="0" applyFont="1" applyBorder="1" applyAlignment="1">
      <alignment vertical="center" wrapText="1"/>
    </xf>
    <xf numFmtId="0" fontId="34" fillId="0" borderId="147" xfId="0" applyFont="1" applyBorder="1" applyAlignment="1">
      <alignment vertical="center" wrapText="1"/>
    </xf>
    <xf numFmtId="0" fontId="34" fillId="0" borderId="10" xfId="0" applyFont="1" applyBorder="1" applyAlignment="1">
      <alignment vertical="center" wrapText="1"/>
    </xf>
    <xf numFmtId="0" fontId="34" fillId="0" borderId="0" xfId="0" applyFont="1" applyAlignment="1">
      <alignment vertical="center" wrapText="1"/>
    </xf>
    <xf numFmtId="0" fontId="34" fillId="0" borderId="148" xfId="0" applyFont="1" applyBorder="1" applyAlignment="1">
      <alignment vertical="center" wrapText="1"/>
    </xf>
    <xf numFmtId="0" fontId="34" fillId="0" borderId="205" xfId="0" applyFont="1" applyBorder="1" applyAlignment="1">
      <alignment vertical="center" wrapText="1"/>
    </xf>
    <xf numFmtId="0" fontId="34" fillId="0" borderId="149" xfId="0" applyFont="1" applyBorder="1" applyAlignment="1">
      <alignment vertical="center" wrapText="1"/>
    </xf>
    <xf numFmtId="0" fontId="34" fillId="0" borderId="150" xfId="0" applyFont="1" applyBorder="1" applyAlignment="1">
      <alignment vertical="center" wrapText="1"/>
    </xf>
    <xf numFmtId="0" fontId="46" fillId="5" borderId="203" xfId="0" applyFont="1" applyFill="1" applyBorder="1" applyAlignment="1">
      <alignment horizontal="center"/>
    </xf>
    <xf numFmtId="0" fontId="60" fillId="8" borderId="151" xfId="0" applyFont="1" applyFill="1" applyBorder="1" applyAlignment="1">
      <alignment horizontal="center"/>
    </xf>
    <xf numFmtId="0" fontId="60" fillId="8" borderId="146" xfId="0" applyFont="1" applyFill="1" applyBorder="1" applyAlignment="1">
      <alignment horizontal="center"/>
    </xf>
    <xf numFmtId="0" fontId="60" fillId="8" borderId="276" xfId="0" applyFont="1" applyFill="1" applyBorder="1" applyAlignment="1">
      <alignment horizontal="center"/>
    </xf>
    <xf numFmtId="0" fontId="60" fillId="8" borderId="152" xfId="0" applyFont="1" applyFill="1" applyBorder="1" applyAlignment="1">
      <alignment horizontal="center"/>
    </xf>
    <xf numFmtId="0" fontId="60" fillId="8" borderId="0" xfId="0" applyFont="1" applyFill="1" applyAlignment="1">
      <alignment horizontal="center"/>
    </xf>
    <xf numFmtId="0" fontId="60" fillId="8" borderId="12" xfId="0" applyFont="1" applyFill="1" applyBorder="1" applyAlignment="1">
      <alignment horizontal="center"/>
    </xf>
    <xf numFmtId="0" fontId="60" fillId="8" borderId="153" xfId="0" applyFont="1" applyFill="1" applyBorder="1" applyAlignment="1">
      <alignment horizontal="center"/>
    </xf>
    <xf numFmtId="0" fontId="60" fillId="8" borderId="149" xfId="0" applyFont="1" applyFill="1" applyBorder="1" applyAlignment="1">
      <alignment horizontal="center"/>
    </xf>
    <xf numFmtId="0" fontId="60" fillId="8" borderId="277" xfId="0" applyFont="1" applyFill="1" applyBorder="1" applyAlignment="1">
      <alignment horizontal="center"/>
    </xf>
    <xf numFmtId="0" fontId="12" fillId="0" borderId="62" xfId="0" applyFont="1" applyBorder="1" applyAlignment="1">
      <alignment horizontal="left"/>
    </xf>
    <xf numFmtId="0" fontId="12" fillId="0" borderId="63" xfId="0" applyFont="1" applyBorder="1" applyAlignment="1">
      <alignment horizontal="left"/>
    </xf>
    <xf numFmtId="0" fontId="0" fillId="0" borderId="62" xfId="0" applyBorder="1" applyAlignment="1">
      <alignment horizontal="left"/>
    </xf>
    <xf numFmtId="0" fontId="0" fillId="0" borderId="63" xfId="0" applyBorder="1" applyAlignment="1">
      <alignment horizontal="left"/>
    </xf>
    <xf numFmtId="0" fontId="46" fillId="31" borderId="53" xfId="0" applyFont="1" applyFill="1" applyBorder="1" applyAlignment="1">
      <alignment horizontal="center" vertical="center" wrapText="1"/>
    </xf>
    <xf numFmtId="0" fontId="7" fillId="16" borderId="62" xfId="0" applyFont="1" applyFill="1" applyBorder="1" applyAlignment="1">
      <alignment horizontal="left"/>
    </xf>
    <xf numFmtId="0" fontId="7" fillId="16" borderId="63" xfId="0" applyFont="1" applyFill="1" applyBorder="1" applyAlignment="1">
      <alignment horizontal="left"/>
    </xf>
    <xf numFmtId="0" fontId="12" fillId="0" borderId="126" xfId="0" applyFont="1" applyBorder="1" applyAlignment="1">
      <alignment horizontal="center" vertical="center" wrapText="1"/>
    </xf>
    <xf numFmtId="0" fontId="12" fillId="0" borderId="166" xfId="0" applyFont="1" applyBorder="1" applyAlignment="1">
      <alignment horizontal="center" vertical="center" wrapText="1"/>
    </xf>
    <xf numFmtId="0" fontId="12" fillId="0" borderId="167" xfId="0" applyFont="1" applyBorder="1" applyAlignment="1">
      <alignment horizontal="center" vertical="center" wrapText="1"/>
    </xf>
    <xf numFmtId="0" fontId="12" fillId="0" borderId="124" xfId="0" applyFont="1" applyBorder="1" applyAlignment="1">
      <alignment horizontal="center" vertical="center" wrapText="1"/>
    </xf>
    <xf numFmtId="0" fontId="12" fillId="0" borderId="0" xfId="0" applyFont="1" applyAlignment="1">
      <alignment horizontal="center" vertical="center" wrapText="1"/>
    </xf>
    <xf numFmtId="0" fontId="12" fillId="0" borderId="12" xfId="0" applyFont="1" applyBorder="1" applyAlignment="1">
      <alignment horizontal="center" vertical="center" wrapText="1"/>
    </xf>
    <xf numFmtId="0" fontId="12" fillId="0" borderId="123" xfId="0" applyFont="1" applyBorder="1" applyAlignment="1">
      <alignment horizontal="center" vertical="center" wrapText="1"/>
    </xf>
    <xf numFmtId="0" fontId="12" fillId="0" borderId="133" xfId="0" applyFont="1" applyBorder="1" applyAlignment="1">
      <alignment horizontal="center" vertical="center" wrapText="1"/>
    </xf>
    <xf numFmtId="0" fontId="12" fillId="0" borderId="172" xfId="0" applyFont="1" applyBorder="1" applyAlignment="1">
      <alignment horizontal="center" vertical="center" wrapText="1"/>
    </xf>
    <xf numFmtId="0" fontId="46" fillId="5" borderId="133" xfId="0" applyFont="1" applyFill="1" applyBorder="1" applyAlignment="1">
      <alignment horizontal="center"/>
    </xf>
    <xf numFmtId="0" fontId="46" fillId="5" borderId="172" xfId="0" applyFont="1" applyFill="1" applyBorder="1" applyAlignment="1">
      <alignment horizontal="center"/>
    </xf>
    <xf numFmtId="0" fontId="7" fillId="8" borderId="181" xfId="0" applyFont="1" applyFill="1" applyBorder="1" applyAlignment="1">
      <alignment horizontal="center" wrapText="1"/>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64" fillId="0" borderId="50" xfId="0" applyFont="1" applyBorder="1" applyAlignment="1">
      <alignment horizontal="center" vertical="center" wrapText="1"/>
    </xf>
    <xf numFmtId="0" fontId="64" fillId="0" borderId="0" xfId="0" applyFont="1" applyAlignment="1">
      <alignment horizontal="center" vertical="center" wrapText="1"/>
    </xf>
    <xf numFmtId="0" fontId="64" fillId="0" borderId="51" xfId="0" applyFont="1" applyBorder="1" applyAlignment="1">
      <alignment horizontal="center" vertical="center" wrapText="1"/>
    </xf>
    <xf numFmtId="0" fontId="12" fillId="0" borderId="84" xfId="0" applyFont="1" applyBorder="1" applyAlignment="1">
      <alignment horizontal="center"/>
    </xf>
    <xf numFmtId="0" fontId="12" fillId="0" borderId="86" xfId="0" applyFont="1" applyBorder="1" applyAlignment="1">
      <alignment horizontal="center"/>
    </xf>
    <xf numFmtId="0" fontId="12" fillId="0" borderId="85" xfId="0" applyFont="1" applyBorder="1" applyAlignment="1">
      <alignment horizontal="center"/>
    </xf>
    <xf numFmtId="0" fontId="30" fillId="5" borderId="71" xfId="0" applyFont="1" applyFill="1" applyBorder="1" applyAlignment="1">
      <alignment horizontal="center" vertical="center"/>
    </xf>
    <xf numFmtId="0" fontId="30" fillId="5" borderId="72" xfId="0" applyFont="1" applyFill="1" applyBorder="1" applyAlignment="1">
      <alignment horizontal="center" vertical="center"/>
    </xf>
    <xf numFmtId="0" fontId="30" fillId="5" borderId="75" xfId="0" applyFont="1" applyFill="1" applyBorder="1" applyAlignment="1">
      <alignment horizontal="center" vertical="center"/>
    </xf>
    <xf numFmtId="0" fontId="12" fillId="0" borderId="81" xfId="0" applyFont="1" applyBorder="1" applyAlignment="1">
      <alignment horizontal="center"/>
    </xf>
    <xf numFmtId="0" fontId="12" fillId="0" borderId="83" xfId="0" applyFont="1" applyBorder="1" applyAlignment="1">
      <alignment horizontal="center"/>
    </xf>
    <xf numFmtId="0" fontId="12" fillId="0" borderId="82" xfId="0" applyFont="1" applyBorder="1" applyAlignment="1">
      <alignment horizontal="center"/>
    </xf>
    <xf numFmtId="10" fontId="12" fillId="0" borderId="81" xfId="16" applyNumberFormat="1" applyFont="1" applyBorder="1" applyAlignment="1">
      <alignment horizontal="center"/>
    </xf>
    <xf numFmtId="10" fontId="12" fillId="0" borderId="83" xfId="16" applyNumberFormat="1" applyFont="1" applyBorder="1" applyAlignment="1">
      <alignment horizontal="center"/>
    </xf>
    <xf numFmtId="10" fontId="12" fillId="0" borderId="82" xfId="16" applyNumberFormat="1" applyFont="1" applyBorder="1" applyAlignment="1">
      <alignment horizontal="center"/>
    </xf>
    <xf numFmtId="0" fontId="12" fillId="14" borderId="71" xfId="0" applyFont="1" applyFill="1" applyBorder="1" applyAlignment="1">
      <alignment horizontal="center"/>
    </xf>
    <xf numFmtId="0" fontId="12" fillId="14" borderId="72" xfId="0" applyFont="1" applyFill="1" applyBorder="1" applyAlignment="1">
      <alignment horizontal="center"/>
    </xf>
    <xf numFmtId="0" fontId="12" fillId="14" borderId="73" xfId="0" applyFont="1" applyFill="1" applyBorder="1" applyAlignment="1">
      <alignment horizontal="center"/>
    </xf>
    <xf numFmtId="0" fontId="12" fillId="24" borderId="76" xfId="0" applyFont="1" applyFill="1" applyBorder="1" applyAlignment="1">
      <alignment horizontal="center"/>
    </xf>
    <xf numFmtId="0" fontId="12" fillId="24" borderId="77" xfId="0" applyFont="1" applyFill="1" applyBorder="1" applyAlignment="1">
      <alignment horizontal="center"/>
    </xf>
    <xf numFmtId="0" fontId="9" fillId="0" borderId="81" xfId="11" applyBorder="1" applyAlignment="1" applyProtection="1">
      <alignment horizontal="center"/>
    </xf>
    <xf numFmtId="0" fontId="9" fillId="0" borderId="82" xfId="11" applyBorder="1" applyAlignment="1" applyProtection="1">
      <alignment horizontal="center"/>
    </xf>
    <xf numFmtId="0" fontId="30" fillId="5" borderId="71" xfId="0" applyFont="1" applyFill="1" applyBorder="1" applyAlignment="1">
      <alignment horizontal="center"/>
    </xf>
    <xf numFmtId="0" fontId="30" fillId="5" borderId="72" xfId="0" applyFont="1" applyFill="1" applyBorder="1" applyAlignment="1">
      <alignment horizontal="center"/>
    </xf>
    <xf numFmtId="0" fontId="30" fillId="5" borderId="73" xfId="0" applyFont="1" applyFill="1" applyBorder="1" applyAlignment="1">
      <alignment horizontal="center"/>
    </xf>
    <xf numFmtId="0" fontId="0" fillId="0" borderId="81" xfId="0" applyBorder="1" applyAlignment="1">
      <alignment horizontal="center"/>
    </xf>
    <xf numFmtId="0" fontId="0" fillId="0" borderId="82" xfId="0" applyBorder="1" applyAlignment="1">
      <alignment horizontal="center"/>
    </xf>
    <xf numFmtId="10" fontId="12" fillId="0" borderId="84" xfId="16" applyNumberFormat="1" applyFont="1" applyBorder="1" applyAlignment="1">
      <alignment horizontal="center"/>
    </xf>
    <xf numFmtId="10" fontId="12" fillId="0" borderId="86" xfId="16" applyNumberFormat="1" applyFont="1" applyBorder="1" applyAlignment="1">
      <alignment horizontal="center"/>
    </xf>
    <xf numFmtId="10" fontId="12" fillId="0" borderId="85" xfId="16" applyNumberFormat="1" applyFont="1" applyBorder="1" applyAlignment="1">
      <alignment horizontal="center"/>
    </xf>
    <xf numFmtId="0" fontId="8" fillId="0" borderId="71" xfId="0" applyFont="1" applyBorder="1" applyAlignment="1">
      <alignment horizontal="center" vertical="center"/>
    </xf>
    <xf numFmtId="0" fontId="8" fillId="0" borderId="73" xfId="0" applyFont="1"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xf>
    <xf numFmtId="0" fontId="7" fillId="0" borderId="81" xfId="0" applyFont="1" applyBorder="1" applyAlignment="1">
      <alignment horizontal="center"/>
    </xf>
    <xf numFmtId="0" fontId="7" fillId="0" borderId="83" xfId="0" applyFont="1" applyBorder="1" applyAlignment="1">
      <alignment horizontal="center"/>
    </xf>
    <xf numFmtId="0" fontId="7" fillId="0" borderId="82" xfId="0" applyFont="1" applyBorder="1" applyAlignment="1">
      <alignment horizontal="center"/>
    </xf>
    <xf numFmtId="0" fontId="7" fillId="0" borderId="81" xfId="0" applyFont="1" applyBorder="1" applyAlignment="1">
      <alignment horizontal="center" wrapText="1"/>
    </xf>
    <xf numFmtId="0" fontId="7" fillId="0" borderId="83" xfId="0" applyFont="1" applyBorder="1" applyAlignment="1">
      <alignment horizontal="center" wrapText="1"/>
    </xf>
    <xf numFmtId="0" fontId="7" fillId="0" borderId="82" xfId="0" applyFont="1" applyBorder="1" applyAlignment="1">
      <alignment horizontal="center" wrapText="1"/>
    </xf>
    <xf numFmtId="0" fontId="0" fillId="0" borderId="81" xfId="0" applyBorder="1" applyAlignment="1">
      <alignment horizontal="center" vertical="center"/>
    </xf>
    <xf numFmtId="0" fontId="0" fillId="0" borderId="82" xfId="0" applyBorder="1" applyAlignment="1">
      <alignment horizontal="center" vertical="center"/>
    </xf>
    <xf numFmtId="0" fontId="12" fillId="24" borderId="78" xfId="0" applyFont="1" applyFill="1" applyBorder="1" applyAlignment="1">
      <alignment horizontal="center"/>
    </xf>
    <xf numFmtId="0" fontId="12" fillId="24" borderId="79" xfId="0" applyFont="1" applyFill="1" applyBorder="1" applyAlignment="1">
      <alignment horizontal="center"/>
    </xf>
    <xf numFmtId="0" fontId="12" fillId="24" borderId="80" xfId="0" applyFont="1" applyFill="1" applyBorder="1" applyAlignment="1">
      <alignment horizontal="center"/>
    </xf>
    <xf numFmtId="0" fontId="7" fillId="0" borderId="210" xfId="0" applyFont="1" applyBorder="1" applyAlignment="1">
      <alignment horizontal="center" vertical="center" wrapText="1"/>
    </xf>
    <xf numFmtId="0" fontId="0" fillId="0" borderId="211" xfId="0" applyBorder="1" applyAlignment="1">
      <alignment horizontal="center" vertical="center" wrapText="1"/>
    </xf>
    <xf numFmtId="0" fontId="0" fillId="0" borderId="212" xfId="0" applyBorder="1" applyAlignment="1">
      <alignment horizontal="center" vertical="center" wrapText="1"/>
    </xf>
    <xf numFmtId="0" fontId="0" fillId="0" borderId="95" xfId="0" applyBorder="1" applyAlignment="1">
      <alignment horizontal="center" vertical="center" wrapText="1"/>
    </xf>
    <xf numFmtId="0" fontId="0" fillId="0" borderId="40" xfId="0" applyBorder="1" applyAlignment="1">
      <alignment horizontal="center" vertical="center" wrapText="1"/>
    </xf>
    <xf numFmtId="0" fontId="33" fillId="0" borderId="95" xfId="0" applyFont="1" applyBorder="1" applyAlignment="1">
      <alignment horizontal="center" vertical="center" wrapText="1"/>
    </xf>
    <xf numFmtId="0" fontId="30" fillId="5" borderId="67" xfId="0" applyFont="1" applyFill="1" applyBorder="1" applyAlignment="1">
      <alignment horizontal="center"/>
    </xf>
    <xf numFmtId="0" fontId="30" fillId="5" borderId="68" xfId="0" applyFont="1" applyFill="1" applyBorder="1" applyAlignment="1">
      <alignment horizontal="center"/>
    </xf>
    <xf numFmtId="0" fontId="30" fillId="5" borderId="50" xfId="0" applyFont="1" applyFill="1" applyBorder="1" applyAlignment="1">
      <alignment horizontal="center"/>
    </xf>
    <xf numFmtId="0" fontId="30" fillId="5" borderId="0" xfId="0" applyFont="1" applyFill="1" applyAlignment="1">
      <alignment horizontal="center"/>
    </xf>
    <xf numFmtId="0" fontId="30" fillId="5" borderId="51" xfId="0" applyFont="1" applyFill="1" applyBorder="1" applyAlignment="1">
      <alignment horizontal="center"/>
    </xf>
    <xf numFmtId="0" fontId="45" fillId="5" borderId="0" xfId="0" applyFont="1" applyFill="1" applyAlignment="1">
      <alignment horizontal="center"/>
    </xf>
    <xf numFmtId="0" fontId="30" fillId="18" borderId="50" xfId="0" applyFont="1" applyFill="1" applyBorder="1" applyAlignment="1">
      <alignment horizontal="center"/>
    </xf>
    <xf numFmtId="0" fontId="30" fillId="18" borderId="0" xfId="0" applyFont="1" applyFill="1" applyAlignment="1">
      <alignment horizontal="center"/>
    </xf>
    <xf numFmtId="0" fontId="45" fillId="5" borderId="67" xfId="0" applyFont="1" applyFill="1" applyBorder="1" applyAlignment="1">
      <alignment horizontal="center"/>
    </xf>
    <xf numFmtId="0" fontId="45" fillId="5" borderId="68" xfId="0" applyFont="1" applyFill="1" applyBorder="1" applyAlignment="1">
      <alignment horizontal="center"/>
    </xf>
    <xf numFmtId="0" fontId="45" fillId="5" borderId="72" xfId="0" applyFont="1" applyFill="1" applyBorder="1" applyAlignment="1">
      <alignment horizontal="center"/>
    </xf>
    <xf numFmtId="0" fontId="45" fillId="5" borderId="73" xfId="0" applyFont="1" applyFill="1" applyBorder="1" applyAlignment="1">
      <alignment horizontal="center"/>
    </xf>
    <xf numFmtId="0" fontId="7" fillId="39" borderId="198" xfId="0" applyFont="1" applyFill="1" applyBorder="1" applyAlignment="1">
      <alignment horizontal="center" vertical="center" wrapText="1"/>
    </xf>
    <xf numFmtId="0" fontId="68" fillId="0" borderId="64" xfId="0" applyFont="1" applyBorder="1" applyAlignment="1">
      <alignment horizontal="center" vertical="center" wrapText="1"/>
    </xf>
    <xf numFmtId="0" fontId="68" fillId="0" borderId="199" xfId="0" applyFont="1" applyBorder="1" applyAlignment="1">
      <alignment horizontal="center" vertical="center" wrapText="1"/>
    </xf>
    <xf numFmtId="0" fontId="26" fillId="5" borderId="195" xfId="26" applyFont="1" applyFill="1" applyBorder="1" applyAlignment="1">
      <alignment horizontal="center" vertical="center"/>
    </xf>
    <xf numFmtId="0" fontId="26" fillId="5" borderId="196" xfId="26" applyFont="1" applyFill="1" applyBorder="1" applyAlignment="1">
      <alignment horizontal="center" vertical="center"/>
    </xf>
    <xf numFmtId="0" fontId="26" fillId="5" borderId="197" xfId="26" applyFont="1" applyFill="1" applyBorder="1" applyAlignment="1">
      <alignment horizontal="center" vertical="center"/>
    </xf>
    <xf numFmtId="0" fontId="7" fillId="45" borderId="198" xfId="0" applyFont="1" applyFill="1" applyBorder="1" applyAlignment="1">
      <alignment horizontal="center" vertical="center" wrapText="1"/>
    </xf>
    <xf numFmtId="0" fontId="7" fillId="44" borderId="198" xfId="0" applyFont="1" applyFill="1" applyBorder="1" applyAlignment="1">
      <alignment horizontal="center" vertical="center" wrapText="1"/>
    </xf>
    <xf numFmtId="0" fontId="7" fillId="44" borderId="200" xfId="0" applyFont="1" applyFill="1" applyBorder="1" applyAlignment="1">
      <alignment horizontal="center" vertical="center" wrapText="1"/>
    </xf>
    <xf numFmtId="0" fontId="68" fillId="0" borderId="201" xfId="0" applyFont="1" applyBorder="1" applyAlignment="1">
      <alignment horizontal="center" vertical="center" wrapText="1"/>
    </xf>
    <xf numFmtId="0" fontId="68" fillId="0" borderId="202" xfId="0" applyFont="1" applyBorder="1" applyAlignment="1">
      <alignment horizontal="center" vertical="center" wrapText="1"/>
    </xf>
    <xf numFmtId="0" fontId="65" fillId="0" borderId="110" xfId="0" applyFont="1" applyBorder="1" applyAlignment="1">
      <alignment horizontal="center" vertical="center" wrapText="1"/>
    </xf>
    <xf numFmtId="0" fontId="65" fillId="0" borderId="111" xfId="0" applyFont="1" applyBorder="1" applyAlignment="1">
      <alignment horizontal="center" vertical="center" wrapText="1"/>
    </xf>
    <xf numFmtId="0" fontId="65" fillId="0" borderId="112" xfId="0" applyFont="1" applyBorder="1" applyAlignment="1">
      <alignment horizontal="center" vertical="center" wrapText="1"/>
    </xf>
    <xf numFmtId="0" fontId="49" fillId="5" borderId="64" xfId="0" applyFont="1" applyFill="1" applyBorder="1" applyAlignment="1">
      <alignment horizontal="center"/>
    </xf>
    <xf numFmtId="0" fontId="22" fillId="0" borderId="111" xfId="0" applyFont="1" applyBorder="1" applyAlignment="1">
      <alignment horizontal="center" vertical="center" wrapText="1"/>
    </xf>
    <xf numFmtId="0" fontId="22" fillId="0" borderId="112" xfId="0" applyFont="1" applyBorder="1" applyAlignment="1">
      <alignment horizontal="center" vertical="center" wrapText="1"/>
    </xf>
    <xf numFmtId="2" fontId="0" fillId="0" borderId="0" xfId="26" applyNumberFormat="1" applyFont="1" applyAlignment="1">
      <alignment horizontal="center"/>
    </xf>
    <xf numFmtId="0" fontId="15" fillId="18" borderId="113" xfId="1" applyFill="1" applyBorder="1" applyAlignment="1">
      <alignment horizontal="center" vertical="center" readingOrder="1"/>
    </xf>
    <xf numFmtId="0" fontId="52" fillId="18" borderId="113" xfId="26" applyFont="1" applyFill="1" applyBorder="1" applyAlignment="1">
      <alignment horizontal="center"/>
    </xf>
    <xf numFmtId="0" fontId="0" fillId="0" borderId="0" xfId="26" applyFont="1" applyAlignment="1">
      <alignment horizontal="center"/>
    </xf>
    <xf numFmtId="0" fontId="26" fillId="5" borderId="128" xfId="26" applyFont="1" applyFill="1" applyBorder="1" applyAlignment="1">
      <alignment horizontal="center" vertical="center"/>
    </xf>
    <xf numFmtId="0" fontId="26" fillId="5" borderId="30" xfId="26" applyFont="1" applyFill="1" applyBorder="1" applyAlignment="1">
      <alignment horizontal="center" vertical="center"/>
    </xf>
    <xf numFmtId="0" fontId="26" fillId="5" borderId="31" xfId="26" applyFont="1" applyFill="1" applyBorder="1" applyAlignment="1">
      <alignment horizontal="center" vertical="center"/>
    </xf>
    <xf numFmtId="0" fontId="28" fillId="0" borderId="129" xfId="26" applyFont="1" applyBorder="1" applyAlignment="1">
      <alignment horizontal="center" vertical="center" wrapText="1"/>
    </xf>
    <xf numFmtId="0" fontId="28" fillId="0" borderId="130" xfId="26" applyFont="1" applyBorder="1" applyAlignment="1">
      <alignment horizontal="center" vertical="center" wrapText="1"/>
    </xf>
    <xf numFmtId="0" fontId="28" fillId="0" borderId="131" xfId="26" applyFont="1" applyBorder="1" applyAlignment="1">
      <alignment horizontal="center" vertical="center" wrapText="1"/>
    </xf>
    <xf numFmtId="0" fontId="0" fillId="39" borderId="132" xfId="0" applyFill="1" applyBorder="1" applyAlignment="1">
      <alignment horizontal="center"/>
    </xf>
    <xf numFmtId="0" fontId="0" fillId="39" borderId="120" xfId="0" applyFill="1" applyBorder="1" applyAlignment="1">
      <alignment horizontal="center"/>
    </xf>
    <xf numFmtId="0" fontId="0" fillId="39" borderId="0" xfId="0" applyFill="1" applyAlignment="1">
      <alignment horizontal="center"/>
    </xf>
    <xf numFmtId="0" fontId="0" fillId="39" borderId="121" xfId="0" applyFill="1" applyBorder="1" applyAlignment="1">
      <alignment horizontal="center"/>
    </xf>
    <xf numFmtId="0" fontId="62" fillId="0" borderId="3" xfId="29" applyFont="1" applyBorder="1" applyAlignment="1">
      <alignment horizontal="center" vertical="center"/>
    </xf>
    <xf numFmtId="0" fontId="62" fillId="0" borderId="2" xfId="29" applyFont="1" applyBorder="1" applyAlignment="1">
      <alignment horizontal="center" vertical="center"/>
    </xf>
    <xf numFmtId="0" fontId="54" fillId="36" borderId="0" xfId="0" applyFont="1" applyFill="1" applyAlignment="1">
      <alignment horizontal="left" vertical="center"/>
    </xf>
    <xf numFmtId="0" fontId="54" fillId="36" borderId="133" xfId="0" applyFont="1" applyFill="1" applyBorder="1" applyAlignment="1">
      <alignment horizontal="left" vertical="center"/>
    </xf>
    <xf numFmtId="0" fontId="55" fillId="0" borderId="3" xfId="0" applyFont="1" applyBorder="1" applyAlignment="1">
      <alignment horizontal="center" vertical="center"/>
    </xf>
    <xf numFmtId="0" fontId="55" fillId="0" borderId="4" xfId="0" applyFont="1" applyBorder="1" applyAlignment="1">
      <alignment horizontal="center" vertical="center"/>
    </xf>
    <xf numFmtId="0" fontId="55" fillId="0" borderId="2" xfId="0" applyFont="1" applyBorder="1" applyAlignment="1">
      <alignment horizontal="center" vertical="center"/>
    </xf>
    <xf numFmtId="0" fontId="12" fillId="0" borderId="217" xfId="0" applyFont="1" applyBorder="1" applyAlignment="1">
      <alignment horizontal="center" vertical="center" wrapText="1"/>
    </xf>
    <xf numFmtId="0" fontId="12" fillId="0" borderId="219" xfId="0" applyFont="1" applyBorder="1" applyAlignment="1">
      <alignment horizontal="center" vertical="center" wrapText="1"/>
    </xf>
    <xf numFmtId="0" fontId="12" fillId="0" borderId="225" xfId="0" applyFont="1" applyBorder="1" applyAlignment="1">
      <alignment horizontal="center" vertical="center" wrapText="1"/>
    </xf>
    <xf numFmtId="0" fontId="61" fillId="0" borderId="125" xfId="0" applyFont="1" applyBorder="1" applyAlignment="1">
      <alignment horizontal="center" vertical="center" wrapText="1"/>
    </xf>
    <xf numFmtId="0" fontId="61" fillId="0" borderId="122" xfId="0" applyFont="1" applyBorder="1" applyAlignment="1">
      <alignment horizontal="center" vertical="center" wrapText="1"/>
    </xf>
    <xf numFmtId="0" fontId="61" fillId="0" borderId="249" xfId="0" applyFont="1" applyBorder="1" applyAlignment="1">
      <alignment horizontal="center" vertical="center" wrapText="1"/>
    </xf>
    <xf numFmtId="0" fontId="61" fillId="0" borderId="126" xfId="0" applyFont="1" applyBorder="1" applyAlignment="1">
      <alignment horizontal="center" vertical="center" wrapText="1"/>
    </xf>
    <xf numFmtId="0" fontId="61" fillId="0" borderId="124" xfId="0" applyFont="1" applyBorder="1" applyAlignment="1">
      <alignment horizontal="center" vertical="center" wrapText="1"/>
    </xf>
    <xf numFmtId="0" fontId="61" fillId="0" borderId="123" xfId="0" applyFont="1" applyBorder="1" applyAlignment="1">
      <alignment horizontal="center" vertical="center" wrapText="1"/>
    </xf>
    <xf numFmtId="0" fontId="59" fillId="28" borderId="124" xfId="0" applyFont="1" applyFill="1" applyBorder="1" applyAlignment="1">
      <alignment horizontal="center"/>
    </xf>
    <xf numFmtId="0" fontId="59" fillId="28" borderId="0" xfId="0" applyFont="1" applyFill="1" applyAlignment="1">
      <alignment horizontal="center"/>
    </xf>
    <xf numFmtId="0" fontId="59" fillId="28" borderId="132" xfId="0" applyFont="1" applyFill="1" applyBorder="1" applyAlignment="1">
      <alignment horizontal="center"/>
    </xf>
    <xf numFmtId="0" fontId="59" fillId="28" borderId="120" xfId="0" applyFont="1" applyFill="1" applyBorder="1" applyAlignment="1">
      <alignment horizontal="center"/>
    </xf>
    <xf numFmtId="0" fontId="59" fillId="28" borderId="173" xfId="0" applyFont="1" applyFill="1" applyBorder="1" applyAlignment="1">
      <alignment horizontal="center"/>
    </xf>
    <xf numFmtId="0" fontId="33" fillId="12" borderId="124" xfId="0" applyFont="1" applyFill="1" applyBorder="1" applyAlignment="1">
      <alignment horizontal="center"/>
    </xf>
    <xf numFmtId="0" fontId="33" fillId="12" borderId="0" xfId="0" applyFont="1" applyFill="1" applyAlignment="1">
      <alignment horizontal="center"/>
    </xf>
    <xf numFmtId="0" fontId="33" fillId="12" borderId="121" xfId="0" applyFont="1" applyFill="1" applyBorder="1" applyAlignment="1">
      <alignment horizontal="center"/>
    </xf>
    <xf numFmtId="0" fontId="33" fillId="39" borderId="124" xfId="0" applyFont="1" applyFill="1" applyBorder="1" applyAlignment="1">
      <alignment horizontal="center"/>
    </xf>
    <xf numFmtId="0" fontId="33" fillId="39" borderId="133" xfId="0" applyFont="1" applyFill="1" applyBorder="1" applyAlignment="1">
      <alignment horizontal="center"/>
    </xf>
    <xf numFmtId="0" fontId="33" fillId="39" borderId="0" xfId="0" applyFont="1" applyFill="1" applyAlignment="1">
      <alignment horizontal="center"/>
    </xf>
    <xf numFmtId="0" fontId="33" fillId="39" borderId="139" xfId="0" applyFont="1" applyFill="1" applyBorder="1" applyAlignment="1">
      <alignment horizontal="center"/>
    </xf>
    <xf numFmtId="0" fontId="61" fillId="0" borderId="122" xfId="0" applyFont="1" applyBorder="1" applyAlignment="1">
      <alignment horizontal="center" vertical="center"/>
    </xf>
    <xf numFmtId="0" fontId="61" fillId="0" borderId="125" xfId="0" applyFont="1" applyBorder="1" applyAlignment="1">
      <alignment horizontal="center" vertical="center"/>
    </xf>
    <xf numFmtId="0" fontId="61" fillId="0" borderId="249" xfId="0" applyFont="1" applyBorder="1" applyAlignment="1">
      <alignment horizontal="center" vertical="center"/>
    </xf>
    <xf numFmtId="0" fontId="55" fillId="0" borderId="275" xfId="0" applyFont="1" applyBorder="1" applyAlignment="1">
      <alignment horizontal="center" vertical="center"/>
    </xf>
    <xf numFmtId="0" fontId="55" fillId="0" borderId="154" xfId="0" applyFont="1" applyBorder="1" applyAlignment="1">
      <alignment horizontal="center" vertical="center"/>
    </xf>
    <xf numFmtId="0" fontId="35" fillId="8" borderId="0" xfId="33" applyFont="1" applyFill="1" applyAlignment="1">
      <alignment horizontal="left" vertical="top" wrapText="1"/>
    </xf>
    <xf numFmtId="0" fontId="56" fillId="0" borderId="278" xfId="0" applyFont="1" applyBorder="1" applyAlignment="1">
      <alignment horizontal="center"/>
    </xf>
    <xf numFmtId="0" fontId="0" fillId="0" borderId="44" xfId="0" applyBorder="1" applyAlignment="1">
      <alignment horizontal="left"/>
    </xf>
    <xf numFmtId="0" fontId="0" fillId="0" borderId="1" xfId="0" applyBorder="1" applyAlignment="1">
      <alignment horizontal="left"/>
    </xf>
    <xf numFmtId="0" fontId="12" fillId="17" borderId="44" xfId="0" applyFont="1" applyFill="1" applyBorder="1" applyAlignment="1">
      <alignment horizontal="left"/>
    </xf>
    <xf numFmtId="0" fontId="12" fillId="17" borderId="1" xfId="0" applyFont="1" applyFill="1" applyBorder="1" applyAlignment="1">
      <alignment horizontal="left"/>
    </xf>
    <xf numFmtId="0" fontId="73" fillId="7" borderId="0" xfId="0" applyFont="1" applyFill="1" applyAlignment="1">
      <alignment horizontal="center"/>
    </xf>
    <xf numFmtId="0" fontId="12" fillId="0" borderId="0" xfId="0" applyFont="1" applyAlignment="1">
      <alignment horizontal="center"/>
    </xf>
    <xf numFmtId="0" fontId="0" fillId="0" borderId="34" xfId="0" applyBorder="1" applyAlignment="1">
      <alignment horizontal="left"/>
    </xf>
    <xf numFmtId="0" fontId="0" fillId="0" borderId="5" xfId="0" applyBorder="1" applyAlignment="1">
      <alignment horizontal="left"/>
    </xf>
    <xf numFmtId="0" fontId="7" fillId="0" borderId="44" xfId="0" applyFont="1" applyBorder="1" applyAlignment="1">
      <alignment horizontal="left"/>
    </xf>
    <xf numFmtId="0" fontId="43" fillId="0" borderId="0" xfId="0" applyFont="1" applyAlignment="1">
      <alignment horizontal="center"/>
    </xf>
    <xf numFmtId="0" fontId="8" fillId="0" borderId="0" xfId="0" applyFont="1" applyAlignment="1">
      <alignment horizontal="center"/>
    </xf>
    <xf numFmtId="0" fontId="38" fillId="0" borderId="0" xfId="0" applyFont="1" applyAlignment="1">
      <alignment horizontal="center"/>
    </xf>
    <xf numFmtId="0" fontId="34" fillId="19" borderId="0" xfId="0" applyFont="1" applyFill="1" applyAlignment="1">
      <alignment horizontal="center"/>
    </xf>
    <xf numFmtId="4" fontId="34" fillId="19" borderId="0" xfId="0" applyNumberFormat="1" applyFont="1" applyFill="1" applyAlignment="1">
      <alignment horizontal="center"/>
    </xf>
    <xf numFmtId="0" fontId="34" fillId="0" borderId="0" xfId="0" applyFont="1" applyAlignment="1">
      <alignment horizontal="center"/>
    </xf>
    <xf numFmtId="0" fontId="22" fillId="0" borderId="0" xfId="0" applyFont="1" applyAlignment="1">
      <alignment horizontal="center"/>
    </xf>
    <xf numFmtId="0" fontId="12" fillId="0" borderId="3" xfId="0" applyFont="1" applyBorder="1" applyAlignment="1">
      <alignment horizontal="center"/>
    </xf>
    <xf numFmtId="0" fontId="12" fillId="0" borderId="2" xfId="0" applyFont="1" applyBorder="1" applyAlignment="1">
      <alignment horizontal="center"/>
    </xf>
    <xf numFmtId="0" fontId="12" fillId="0" borderId="34" xfId="0" applyFont="1" applyBorder="1" applyAlignment="1">
      <alignment horizontal="center"/>
    </xf>
    <xf numFmtId="0" fontId="12" fillId="0" borderId="5" xfId="0" applyFont="1" applyBorder="1" applyAlignment="1">
      <alignment horizontal="center"/>
    </xf>
    <xf numFmtId="0" fontId="12" fillId="0" borderId="35" xfId="0" applyFont="1" applyBorder="1" applyAlignment="1">
      <alignment horizontal="center"/>
    </xf>
  </cellXfs>
  <cellStyles count="35">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Moneda 2" xfId="12" xr:uid="{00000000-0005-0000-0000-00000B000000}"/>
    <cellStyle name="Moneda 2 2" xfId="13" xr:uid="{00000000-0005-0000-0000-00000C00000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3" xfId="24" xr:uid="{371B90F0-6B8E-40BF-8358-D28B574437C9}"/>
    <cellStyle name="Normal 3 2" xfId="26" xr:uid="{41BD78A2-6B23-4ADD-839D-9D86F14E11A2}"/>
    <cellStyle name="Normal 3 3" xfId="29" xr:uid="{4CBFF9A4-05AD-4A91-8AF0-FA0B5B39E2EC}"/>
    <cellStyle name="Normal 4" xfId="33" xr:uid="{DA0D6F44-E04E-48F9-88EB-77AA0BCC42C9}"/>
    <cellStyle name="Normal 5" xfId="30" xr:uid="{E3BE1569-E214-4855-8BF5-B868B88B5743}"/>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4 2" xfId="32" xr:uid="{C6A0E8B8-33DC-4334-89A4-99FF669E5EA8}"/>
    <cellStyle name="Porcentaje 5" xfId="31" xr:uid="{F07CEC0B-CE59-4BBC-A0C7-9B77A84167BF}"/>
    <cellStyle name="百分比" xfId="16" builtinId="5"/>
    <cellStyle name="常规" xfId="0" builtinId="0"/>
    <cellStyle name="超链接" xfId="11" builtinId="8"/>
    <cellStyle name="货币" xfId="34" builtinId="4"/>
  </cellStyles>
  <dxfs count="31">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1" defaultTableStyle="TableStyleMedium9" defaultPivotStyle="PivotStyleLight16">
    <tableStyle name="Invisible" pivot="0" table="0" count="0" xr9:uid="{14704252-B4EC-429F-A24C-09EAA7D0E707}"/>
  </tableStyles>
  <colors>
    <mruColors>
      <color rgb="FFE838D3"/>
      <color rgb="FF1F497D"/>
      <color rgb="FFC5D9F1"/>
      <color rgb="FF1B7087"/>
      <color rgb="FF3174C5"/>
      <color rgb="FF63CB97"/>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Segments!$C$11:$C$13</c:f>
              <c:strCache>
                <c:ptCount val="3"/>
                <c:pt idx="0">
                  <c:v>Verizon Consumer Group</c:v>
                </c:pt>
                <c:pt idx="1">
                  <c:v>Verizon Business Group</c:v>
                </c:pt>
                <c:pt idx="2">
                  <c:v>Corporate and other</c:v>
                </c:pt>
              </c:strCache>
            </c:strRef>
          </c:cat>
          <c:val>
            <c:numRef>
              <c:f>Segments!$D$11:$D$13</c:f>
              <c:numCache>
                <c:formatCode>"$"#,##0</c:formatCode>
                <c:ptCount val="3"/>
                <c:pt idx="0">
                  <c:v>103310</c:v>
                </c:pt>
                <c:pt idx="1">
                  <c:v>31062</c:v>
                </c:pt>
                <c:pt idx="2">
                  <c:v>2463</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Segments!$C$5:$C$5</c:f>
              <c:strCache>
                <c:ptCount val="1"/>
                <c:pt idx="0">
                  <c:v>United States (U.S.)</c:v>
                </c:pt>
              </c:strCache>
            </c:strRef>
          </c:cat>
          <c:val>
            <c:numRef>
              <c:f>Segments!$D$5:$D$5</c:f>
              <c:numCache>
                <c:formatCode>"$"#,##0</c:formatCode>
                <c:ptCount val="1"/>
                <c:pt idx="0">
                  <c:v>136835</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a:t>Verizon Consumer Group Products Revenue</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alpha val="70000"/>
                </a:schemeClr>
              </a:solidFill>
              <a:ln>
                <a:noFill/>
              </a:ln>
              <a:effectLst/>
            </c:spPr>
            <c:extLst>
              <c:ext xmlns:c16="http://schemas.microsoft.com/office/drawing/2014/chart" uri="{C3380CC4-5D6E-409C-BE32-E72D297353CC}">
                <c16:uniqueId val="{00000001-47FF-4254-B723-EA9894E9BDCC}"/>
              </c:ext>
            </c:extLst>
          </c:dPt>
          <c:dPt>
            <c:idx val="1"/>
            <c:bubble3D val="0"/>
            <c:spPr>
              <a:solidFill>
                <a:schemeClr val="accent2">
                  <a:alpha val="70000"/>
                </a:schemeClr>
              </a:solidFill>
              <a:ln>
                <a:noFill/>
              </a:ln>
              <a:effectLst/>
            </c:spPr>
            <c:extLst>
              <c:ext xmlns:c16="http://schemas.microsoft.com/office/drawing/2014/chart" uri="{C3380CC4-5D6E-409C-BE32-E72D297353CC}">
                <c16:uniqueId val="{00000002-47FF-4254-B723-EA9894E9BDCC}"/>
              </c:ext>
            </c:extLst>
          </c:dPt>
          <c:dPt>
            <c:idx val="2"/>
            <c:bubble3D val="0"/>
            <c:spPr>
              <a:solidFill>
                <a:schemeClr val="accent3">
                  <a:alpha val="70000"/>
                </a:schemeClr>
              </a:solidFill>
              <a:ln>
                <a:noFill/>
              </a:ln>
              <a:effectLst/>
            </c:spPr>
            <c:extLst>
              <c:ext xmlns:c16="http://schemas.microsoft.com/office/drawing/2014/chart" uri="{C3380CC4-5D6E-409C-BE32-E72D297353CC}">
                <c16:uniqueId val="{00000003-47FF-4254-B723-EA9894E9BDCC}"/>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1-47FF-4254-B723-EA9894E9BDCC}"/>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2-47FF-4254-B723-EA9894E9BDCC}"/>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3-47FF-4254-B723-EA9894E9BDCC}"/>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Segments!$Q$5:$Q$7</c:f>
              <c:strCache>
                <c:ptCount val="3"/>
                <c:pt idx="0">
                  <c:v>Services</c:v>
                </c:pt>
                <c:pt idx="1">
                  <c:v>Wireless equipment</c:v>
                </c:pt>
                <c:pt idx="2">
                  <c:v>Other</c:v>
                </c:pt>
              </c:strCache>
            </c:strRef>
          </c:cat>
          <c:val>
            <c:numRef>
              <c:f>Segments!$R$5:$R$7</c:f>
              <c:numCache>
                <c:formatCode>_-* #,##0.00\ "€"_-;\-* #,##0.00\ "€"_-;_-* "-"??\ "€"_-;_-@_-</c:formatCode>
                <c:ptCount val="3"/>
                <c:pt idx="0">
                  <c:v>73139</c:v>
                </c:pt>
                <c:pt idx="1">
                  <c:v>23168</c:v>
                </c:pt>
                <c:pt idx="2">
                  <c:v>7199</c:v>
                </c:pt>
              </c:numCache>
            </c:numRef>
          </c:val>
          <c:extLst>
            <c:ext xmlns:c16="http://schemas.microsoft.com/office/drawing/2014/chart" uri="{C3380CC4-5D6E-409C-BE32-E72D297353CC}">
              <c16:uniqueId val="{00000000-47FF-4254-B723-EA9894E9BDCC}"/>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a:t>Verizon Business Group Products Revenue</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alpha val="70000"/>
                </a:schemeClr>
              </a:solidFill>
              <a:ln>
                <a:noFill/>
              </a:ln>
              <a:effectLst/>
            </c:spPr>
            <c:extLst>
              <c:ext xmlns:c16="http://schemas.microsoft.com/office/drawing/2014/chart" uri="{C3380CC4-5D6E-409C-BE32-E72D297353CC}">
                <c16:uniqueId val="{00000001-5CA7-4A54-B9DC-05378A87BB5B}"/>
              </c:ext>
            </c:extLst>
          </c:dPt>
          <c:dPt>
            <c:idx val="1"/>
            <c:bubble3D val="0"/>
            <c:spPr>
              <a:solidFill>
                <a:schemeClr val="accent2">
                  <a:alpha val="70000"/>
                </a:schemeClr>
              </a:solidFill>
              <a:ln>
                <a:noFill/>
              </a:ln>
              <a:effectLst/>
            </c:spPr>
            <c:extLst>
              <c:ext xmlns:c16="http://schemas.microsoft.com/office/drawing/2014/chart" uri="{C3380CC4-5D6E-409C-BE32-E72D297353CC}">
                <c16:uniqueId val="{00000003-5CA7-4A54-B9DC-05378A87BB5B}"/>
              </c:ext>
            </c:extLst>
          </c:dPt>
          <c:dPt>
            <c:idx val="2"/>
            <c:bubble3D val="0"/>
            <c:spPr>
              <a:solidFill>
                <a:schemeClr val="accent3">
                  <a:alpha val="70000"/>
                </a:schemeClr>
              </a:solidFill>
              <a:ln>
                <a:noFill/>
              </a:ln>
              <a:effectLst/>
            </c:spPr>
            <c:extLst>
              <c:ext xmlns:c16="http://schemas.microsoft.com/office/drawing/2014/chart" uri="{C3380CC4-5D6E-409C-BE32-E72D297353CC}">
                <c16:uniqueId val="{00000005-5CA7-4A54-B9DC-05378A87BB5B}"/>
              </c:ext>
            </c:extLst>
          </c:dPt>
          <c:dPt>
            <c:idx val="3"/>
            <c:bubble3D val="0"/>
            <c:spPr>
              <a:solidFill>
                <a:schemeClr val="accent4">
                  <a:alpha val="70000"/>
                </a:schemeClr>
              </a:solidFill>
              <a:ln>
                <a:noFill/>
              </a:ln>
              <a:effectLst/>
            </c:spPr>
            <c:extLst>
              <c:ext xmlns:c16="http://schemas.microsoft.com/office/drawing/2014/chart" uri="{C3380CC4-5D6E-409C-BE32-E72D297353CC}">
                <c16:uniqueId val="{00000007-5CA7-4A54-B9DC-05378A87BB5B}"/>
              </c:ext>
            </c:extLst>
          </c:dPt>
          <c:dLbls>
            <c:dLbl>
              <c:idx val="0"/>
              <c:layout>
                <c:manualLayout>
                  <c:x val="-0.14114682184354568"/>
                  <c:y val="6.6221817500357924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A7-4A54-B9DC-05378A87BB5B}"/>
                </c:ext>
              </c:extLst>
            </c:dLbl>
            <c:dLbl>
              <c:idx val="1"/>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3-5CA7-4A54-B9DC-05378A87BB5B}"/>
                </c:ext>
              </c:extLst>
            </c:dLbl>
            <c:dLbl>
              <c:idx val="2"/>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5-5CA7-4A54-B9DC-05378A87BB5B}"/>
                </c:ext>
              </c:extLst>
            </c:dLbl>
            <c:dLbl>
              <c:idx val="3"/>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7-5CA7-4A54-B9DC-05378A87BB5B}"/>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Segments!$Q$12:$Q$15</c:f>
              <c:strCache>
                <c:ptCount val="4"/>
                <c:pt idx="0">
                  <c:v>Small and Medium Business</c:v>
                </c:pt>
                <c:pt idx="1">
                  <c:v>Global Enterprise</c:v>
                </c:pt>
                <c:pt idx="2">
                  <c:v>Public Sector and Other</c:v>
                </c:pt>
                <c:pt idx="3">
                  <c:v>Wholesale</c:v>
                </c:pt>
              </c:strCache>
            </c:strRef>
          </c:cat>
          <c:val>
            <c:numRef>
              <c:f>Segments!$R$12:$R$15</c:f>
              <c:numCache>
                <c:formatCode>_-* #,##0.00\ "€"_-;\-* #,##0.00\ "€"_-;_-* "-"??\ "€"_-;_-@_-</c:formatCode>
                <c:ptCount val="4"/>
                <c:pt idx="0">
                  <c:v>12595</c:v>
                </c:pt>
                <c:pt idx="1">
                  <c:v>9733</c:v>
                </c:pt>
                <c:pt idx="2">
                  <c:v>6117</c:v>
                </c:pt>
                <c:pt idx="3">
                  <c:v>2584</c:v>
                </c:pt>
              </c:numCache>
            </c:numRef>
          </c:val>
          <c:extLst>
            <c:ext xmlns:c16="http://schemas.microsoft.com/office/drawing/2014/chart" uri="{C3380CC4-5D6E-409C-BE32-E72D297353CC}">
              <c16:uniqueId val="{00000006-5CA7-4A54-B9DC-05378A87BB5B}"/>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VERIZON COMMUNICATIONS INC. (XNYS:VZ)</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3.2046846924858743</c:v>
                </c:pt>
              </c:numCache>
            </c:numRef>
          </c:xVal>
          <c:yVal>
            <c:numRef>
              <c:f>Peers!$C$37</c:f>
              <c:numCache>
                <c:formatCode>0.0</c:formatCode>
                <c:ptCount val="1"/>
                <c:pt idx="0">
                  <c:v>3.2046883635899621</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AT&amp;T INC. (XNYS:T PR C)</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7.1774661278821013</c:v>
                </c:pt>
              </c:numCache>
            </c:numRef>
          </c:xVal>
          <c:yVal>
            <c:numRef>
              <c:f>Peers!$D$37</c:f>
              <c:numCache>
                <c:formatCode>0.0</c:formatCode>
                <c:ptCount val="1"/>
                <c:pt idx="0">
                  <c:v>7.177471874599477</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T-MOBILE US, INC. (XNAS:TMUS)</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6.803977977282873</c:v>
                </c:pt>
              </c:numCache>
            </c:numRef>
          </c:xVal>
          <c:yVal>
            <c:numRef>
              <c:f>Peers!$E$37</c:f>
              <c:numCache>
                <c:formatCode>0.0</c:formatCode>
                <c:ptCount val="1"/>
                <c:pt idx="0">
                  <c:v>6.8039874552724564</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COMCAST CORPORATION (XNAS:CMCSA)</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3.4910350590119417</c:v>
                </c:pt>
              </c:numCache>
            </c:numRef>
          </c:xVal>
          <c:yVal>
            <c:numRef>
              <c:f>Peers!$F$37</c:f>
              <c:numCache>
                <c:formatCode>0.0</c:formatCode>
                <c:ptCount val="1"/>
                <c:pt idx="0">
                  <c:v>3.4910405529324446</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CHARTER COMMUNICATIONS, INC. (XNAS:CHTR)</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4.574056559160125</c:v>
                </c:pt>
              </c:numCache>
            </c:numRef>
          </c:xVal>
          <c:yVal>
            <c:numRef>
              <c:f>Peers!$G$37</c:f>
              <c:numCache>
                <c:formatCode>0.0</c:formatCode>
                <c:ptCount val="1"/>
                <c:pt idx="0">
                  <c:v>4.5740585644355223</c:v>
                </c:pt>
              </c:numCache>
            </c:numRef>
          </c:yVal>
          <c:smooth val="0"/>
          <c:extLst>
            <c:ext xmlns:c16="http://schemas.microsoft.com/office/drawing/2014/chart" uri="{C3380CC4-5D6E-409C-BE32-E72D297353CC}">
              <c16:uniqueId val="{00000005-B547-4DF9-892F-3129917FB3B3}"/>
            </c:ext>
          </c:extLst>
        </c:ser>
        <c:ser>
          <c:idx val="5"/>
          <c:order val="5"/>
          <c:tx>
            <c:strRef>
              <c:f>Peers!$H$8</c:f>
              <c:strCache>
                <c:ptCount val="1"/>
                <c:pt idx="0">
                  <c:v>LUMEN TECHNOLOGIES, INC. (XNYS:LUMN)</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Peers!$H$21</c:f>
              <c:numCache>
                <c:formatCode>0.00</c:formatCode>
                <c:ptCount val="1"/>
                <c:pt idx="0">
                  <c:v>9.4673184357541906</c:v>
                </c:pt>
              </c:numCache>
            </c:numRef>
          </c:xVal>
          <c:yVal>
            <c:numRef>
              <c:f>Peers!$H$37</c:f>
              <c:numCache>
                <c:formatCode>0.0</c:formatCode>
                <c:ptCount val="1"/>
                <c:pt idx="0">
                  <c:v>9.4673188235794701</c:v>
                </c:pt>
              </c:numCache>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VERIZON COMMUNICATIONS INC. (XNYS:VZ)</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0.00%</c:formatCode>
                <c:ptCount val="1"/>
                <c:pt idx="0">
                  <c:v>-0.43730000000000002</c:v>
                </c:pt>
              </c:numCache>
            </c:numRef>
          </c:xVal>
          <c:yVal>
            <c:numRef>
              <c:f>Peers!$C$49</c:f>
              <c:numCache>
                <c:formatCode>0%</c:formatCode>
                <c:ptCount val="1"/>
                <c:pt idx="0">
                  <c:v>3.9025345493202038E-2</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AT&amp;T INC. (XNYS:T PR C)</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0.00%</c:formatCode>
                <c:ptCount val="1"/>
                <c:pt idx="0">
                  <c:v>-0.2792</c:v>
                </c:pt>
              </c:numCache>
            </c:numRef>
          </c:xVal>
          <c:yVal>
            <c:numRef>
              <c:f>Peers!$D$49</c:f>
              <c:numCache>
                <c:formatCode>0.00%</c:formatCode>
                <c:ptCount val="1"/>
                <c:pt idx="0">
                  <c:v>-0.26</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T-MOBILE US, INC. (XNAS:TMUS)</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0.00%</c:formatCode>
                <c:ptCount val="1"/>
                <c:pt idx="0">
                  <c:v>0.28420000000000001</c:v>
                </c:pt>
              </c:numCache>
            </c:numRef>
          </c:xVal>
          <c:yVal>
            <c:numRef>
              <c:f>Peers!$E$49</c:f>
              <c:numCache>
                <c:formatCode>0.00%</c:formatCode>
                <c:ptCount val="1"/>
                <c:pt idx="0">
                  <c:v>1.46</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COMCAST CORPORATION (XNAS:CMCSA)</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0.00%</c:formatCode>
                <c:ptCount val="1"/>
                <c:pt idx="0">
                  <c:v>0.79969047092637635</c:v>
                </c:pt>
              </c:numCache>
            </c:numRef>
          </c:xVal>
          <c:yVal>
            <c:numRef>
              <c:f>Peers!$F$49</c:f>
              <c:numCache>
                <c:formatCode>0.00%</c:formatCode>
                <c:ptCount val="1"/>
                <c:pt idx="0">
                  <c:v>0.03</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CHARTER COMMUNICATIONS, INC. (XNAS:CHTR)</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0.00%</c:formatCode>
                <c:ptCount val="1"/>
                <c:pt idx="0">
                  <c:v>-0.26369999999999999</c:v>
                </c:pt>
              </c:numCache>
            </c:numRef>
          </c:xVal>
          <c:yVal>
            <c:numRef>
              <c:f>Peers!$G$49</c:f>
              <c:numCache>
                <c:formatCode>0.00%</c:formatCode>
                <c:ptCount val="1"/>
                <c:pt idx="0">
                  <c:v>0.27</c:v>
                </c:pt>
              </c:numCache>
            </c:numRef>
          </c:yVal>
          <c:smooth val="0"/>
          <c:extLst>
            <c:ext xmlns:c16="http://schemas.microsoft.com/office/drawing/2014/chart" uri="{C3380CC4-5D6E-409C-BE32-E72D297353CC}">
              <c16:uniqueId val="{00000005-A0AB-4E28-9E73-D8DF3D5B0514}"/>
            </c:ext>
          </c:extLst>
        </c:ser>
        <c:ser>
          <c:idx val="6"/>
          <c:order val="5"/>
          <c:tx>
            <c:strRef>
              <c:f>Peers!$H$8</c:f>
              <c:strCache>
                <c:ptCount val="1"/>
                <c:pt idx="0">
                  <c:v>LUMEN TECHNOLOGIES, INC. (XNYS:LUMN)</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Peers!$H$44</c:f>
              <c:numCache>
                <c:formatCode>0.00%</c:formatCode>
                <c:ptCount val="1"/>
                <c:pt idx="0">
                  <c:v>-0.84019999999999995</c:v>
                </c:pt>
              </c:numCache>
            </c:numRef>
          </c:xVal>
          <c:yVal>
            <c:numRef>
              <c:f>Peers!$H$49</c:f>
              <c:numCache>
                <c:formatCode>0.00%</c:formatCode>
                <c:ptCount val="1"/>
                <c:pt idx="0">
                  <c:v>-0.28999999999999998</c:v>
                </c:pt>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Emissions/$M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ESG!$L$4:$Q$4</c:f>
              <c:strCache>
                <c:ptCount val="6"/>
                <c:pt idx="0">
                  <c:v>VERIZON COMMUNICATIONS INC. (XNYS:VZ)</c:v>
                </c:pt>
                <c:pt idx="1">
                  <c:v>AT&amp;T INC. (XNYS:T PR C)</c:v>
                </c:pt>
                <c:pt idx="2">
                  <c:v>T-MOBILE US, INC. (XNAS:TMUS)</c:v>
                </c:pt>
                <c:pt idx="3">
                  <c:v>COMCAST CORPORATION (XNAS:CMCSA)</c:v>
                </c:pt>
                <c:pt idx="4">
                  <c:v>CHARTER COMMUNICATIONS, INC. (XNAS:CHTR)</c:v>
                </c:pt>
                <c:pt idx="5">
                  <c:v>LUMEN TECHNOLOGIES, INC. (XNYS:LUMN)</c:v>
                </c:pt>
              </c:strCache>
            </c:strRef>
          </c:cat>
          <c:val>
            <c:numRef>
              <c:f>ESG!$L$6:$Q$6</c:f>
              <c:numCache>
                <c:formatCode>0.00%</c:formatCode>
                <c:ptCount val="6"/>
                <c:pt idx="0" formatCode="0%">
                  <c:v>0.11157373479007564</c:v>
                </c:pt>
                <c:pt idx="1">
                  <c:v>0.16867154487705088</c:v>
                </c:pt>
                <c:pt idx="2">
                  <c:v>9.21704012768471E-2</c:v>
                </c:pt>
                <c:pt idx="3">
                  <c:v>0.1485641578891021</c:v>
                </c:pt>
                <c:pt idx="4">
                  <c:v>1.7211228758653881E-2</c:v>
                </c:pt>
                <c:pt idx="5">
                  <c:v>0.10190811305641378</c:v>
                </c:pt>
              </c:numCache>
            </c:numRef>
          </c:val>
          <c:smooth val="0"/>
          <c:extLst>
            <c:ext xmlns:c16="http://schemas.microsoft.com/office/drawing/2014/chart" uri="{C3380CC4-5D6E-409C-BE32-E72D297353CC}">
              <c16:uniqueId val="{00000000-3FB1-4256-9470-C69338C799C0}"/>
            </c:ext>
          </c:extLst>
        </c:ser>
        <c:dLbls>
          <c:dLblPos val="t"/>
          <c:showLegendKey val="0"/>
          <c:showVal val="1"/>
          <c:showCatName val="0"/>
          <c:showSerName val="0"/>
          <c:showPercent val="0"/>
          <c:showBubbleSize val="0"/>
        </c:dLbls>
        <c:smooth val="0"/>
        <c:axId val="802282800"/>
        <c:axId val="802283880"/>
      </c:lineChart>
      <c:catAx>
        <c:axId val="80228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283880"/>
        <c:crosses val="autoZero"/>
        <c:auto val="1"/>
        <c:lblAlgn val="ctr"/>
        <c:lblOffset val="100"/>
        <c:noMultiLvlLbl val="0"/>
      </c:catAx>
      <c:valAx>
        <c:axId val="802283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28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Consumption/$M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A2-4D46-B32E-56AFF46306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A2-4D46-B32E-56AFF46306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A2-4D46-B32E-56AFF46306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A2-4D46-B32E-56AFF46306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A2-4D46-B32E-56AFF46306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2A2-4D46-B32E-56AFF46306EA}"/>
              </c:ext>
            </c:extLst>
          </c:dPt>
          <c:cat>
            <c:strRef>
              <c:f>ESG!$L$4:$Q$4</c:f>
              <c:strCache>
                <c:ptCount val="6"/>
                <c:pt idx="0">
                  <c:v>VERIZON COMMUNICATIONS INC. (XNYS:VZ)</c:v>
                </c:pt>
                <c:pt idx="1">
                  <c:v>AT&amp;T INC. (XNYS:T PR C)</c:v>
                </c:pt>
                <c:pt idx="2">
                  <c:v>T-MOBILE US, INC. (XNAS:TMUS)</c:v>
                </c:pt>
                <c:pt idx="3">
                  <c:v>COMCAST CORPORATION (XNAS:CMCSA)</c:v>
                </c:pt>
                <c:pt idx="4">
                  <c:v>CHARTER COMMUNICATIONS, INC. (XNAS:CHTR)</c:v>
                </c:pt>
                <c:pt idx="5">
                  <c:v>LUMEN TECHNOLOGIES, INC. (XNYS:LUMN)</c:v>
                </c:pt>
              </c:strCache>
            </c:strRef>
          </c:cat>
          <c:val>
            <c:numRef>
              <c:f>ESG!$L$8:$Q$8</c:f>
              <c:numCache>
                <c:formatCode>0.00%</c:formatCode>
                <c:ptCount val="6"/>
                <c:pt idx="0">
                  <c:v>5.4401984412916909E-2</c:v>
                </c:pt>
                <c:pt idx="1">
                  <c:v>0.14079724368690005</c:v>
                </c:pt>
                <c:pt idx="2">
                  <c:v>0.10089600482587877</c:v>
                </c:pt>
                <c:pt idx="3">
                  <c:v>0.18079613265583436</c:v>
                </c:pt>
                <c:pt idx="4">
                  <c:v>0</c:v>
                </c:pt>
                <c:pt idx="5">
                  <c:v>0.29882864172102069</c:v>
                </c:pt>
              </c:numCache>
            </c:numRef>
          </c:val>
          <c:extLst>
            <c:ext xmlns:c16="http://schemas.microsoft.com/office/drawing/2014/chart" uri="{C3380CC4-5D6E-409C-BE32-E72D297353CC}">
              <c16:uniqueId val="{00000000-095E-4476-8286-92FDEC930FD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177650051951773"/>
          <c:y val="0.15297098338699688"/>
          <c:w val="0.34166666666666667"/>
          <c:h val="0.834285763619910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8.png"/><Relationship Id="rId11" Type="http://schemas.openxmlformats.org/officeDocument/2006/relationships/chart" Target="../charts/chart3.xml"/><Relationship Id="rId5" Type="http://schemas.openxmlformats.org/officeDocument/2006/relationships/image" Target="../media/image7.jpe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6.jpeg"/><Relationship Id="rId5" Type="http://schemas.openxmlformats.org/officeDocument/2006/relationships/image" Target="../media/image15.png"/><Relationship Id="rId4"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16</xdr:row>
      <xdr:rowOff>40355</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40355</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40355</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38832</xdr:colOff>
      <xdr:row>60</xdr:row>
      <xdr:rowOff>104775</xdr:rowOff>
    </xdr:from>
    <xdr:to>
      <xdr:col>12</xdr:col>
      <xdr:colOff>2018885</xdr:colOff>
      <xdr:row>79</xdr:row>
      <xdr:rowOff>114300</xdr:rowOff>
    </xdr:to>
    <xdr:pic>
      <xdr:nvPicPr>
        <xdr:cNvPr id="4" name="Picture 1">
          <a:extLst>
            <a:ext uri="{FF2B5EF4-FFF2-40B4-BE49-F238E27FC236}">
              <a16:creationId xmlns:a16="http://schemas.microsoft.com/office/drawing/2014/main" id="{83663061-AE2E-BBF5-EA35-9A0C39D92255}"/>
            </a:ext>
          </a:extLst>
        </xdr:cNvPr>
        <xdr:cNvPicPr>
          <a:picLocks noChangeAspect="1"/>
        </xdr:cNvPicPr>
      </xdr:nvPicPr>
      <xdr:blipFill>
        <a:blip xmlns:r="http://schemas.openxmlformats.org/officeDocument/2006/relationships" r:embed="rId1"/>
        <a:stretch>
          <a:fillRect/>
        </a:stretch>
      </xdr:blipFill>
      <xdr:spPr>
        <a:xfrm>
          <a:off x="11364057" y="14963775"/>
          <a:ext cx="4980428" cy="3314700"/>
        </a:xfrm>
        <a:prstGeom prst="rect">
          <a:avLst/>
        </a:prstGeom>
      </xdr:spPr>
    </xdr:pic>
    <xdr:clientData/>
  </xdr:twoCellAnchor>
  <xdr:twoCellAnchor editAs="oneCell">
    <xdr:from>
      <xdr:col>1</xdr:col>
      <xdr:colOff>114383</xdr:colOff>
      <xdr:row>7</xdr:row>
      <xdr:rowOff>27214</xdr:rowOff>
    </xdr:from>
    <xdr:to>
      <xdr:col>2</xdr:col>
      <xdr:colOff>1490383</xdr:colOff>
      <xdr:row>10</xdr:row>
      <xdr:rowOff>122465</xdr:rowOff>
    </xdr:to>
    <xdr:pic>
      <xdr:nvPicPr>
        <xdr:cNvPr id="2" name="Picture 1" descr="Verizon brand logos | Verizon Media Resources">
          <a:extLst>
            <a:ext uri="{FF2B5EF4-FFF2-40B4-BE49-F238E27FC236}">
              <a16:creationId xmlns:a16="http://schemas.microsoft.com/office/drawing/2014/main" id="{D4336443-5AC6-F73D-ACD1-FCE503FD85DA}"/>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617" t="21650" r="8208" b="18556"/>
        <a:stretch/>
      </xdr:blipFill>
      <xdr:spPr bwMode="auto">
        <a:xfrm>
          <a:off x="141597" y="2149928"/>
          <a:ext cx="2791143" cy="1524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24846</xdr:colOff>
      <xdr:row>81</xdr:row>
      <xdr:rowOff>16567</xdr:rowOff>
    </xdr:from>
    <xdr:to>
      <xdr:col>12</xdr:col>
      <xdr:colOff>2038350</xdr:colOff>
      <xdr:row>104</xdr:row>
      <xdr:rowOff>132523</xdr:rowOff>
    </xdr:to>
    <xdr:pic>
      <xdr:nvPicPr>
        <xdr:cNvPr id="5" name="Picture 2">
          <a:extLst>
            <a:ext uri="{FF2B5EF4-FFF2-40B4-BE49-F238E27FC236}">
              <a16:creationId xmlns:a16="http://schemas.microsoft.com/office/drawing/2014/main" id="{42CEB7D4-C0A3-8066-C954-F2C8F05273BE}"/>
            </a:ext>
          </a:extLst>
        </xdr:cNvPr>
        <xdr:cNvPicPr>
          <a:picLocks noChangeAspect="1"/>
        </xdr:cNvPicPr>
      </xdr:nvPicPr>
      <xdr:blipFill>
        <a:blip xmlns:r="http://schemas.openxmlformats.org/officeDocument/2006/relationships" r:embed="rId3"/>
        <a:stretch>
          <a:fillRect/>
        </a:stretch>
      </xdr:blipFill>
      <xdr:spPr>
        <a:xfrm>
          <a:off x="7654371" y="18542692"/>
          <a:ext cx="8709579" cy="3840231"/>
        </a:xfrm>
        <a:prstGeom prst="rect">
          <a:avLst/>
        </a:prstGeom>
      </xdr:spPr>
    </xdr:pic>
    <xdr:clientData/>
  </xdr:twoCellAnchor>
  <xdr:twoCellAnchor editAs="oneCell">
    <xdr:from>
      <xdr:col>13</xdr:col>
      <xdr:colOff>38100</xdr:colOff>
      <xdr:row>42</xdr:row>
      <xdr:rowOff>219075</xdr:rowOff>
    </xdr:from>
    <xdr:to>
      <xdr:col>25</xdr:col>
      <xdr:colOff>485775</xdr:colOff>
      <xdr:row>56</xdr:row>
      <xdr:rowOff>104775</xdr:rowOff>
    </xdr:to>
    <xdr:pic>
      <xdr:nvPicPr>
        <xdr:cNvPr id="41" name="Picture 2">
          <a:extLst>
            <a:ext uri="{FF2B5EF4-FFF2-40B4-BE49-F238E27FC236}">
              <a16:creationId xmlns:a16="http://schemas.microsoft.com/office/drawing/2014/main" id="{534F211B-024D-E6B1-88BE-747CBFEE4EE1}"/>
            </a:ext>
            <a:ext uri="{147F2762-F138-4A5C-976F-8EAC2B608ADB}">
              <a16:predDERef xmlns:a16="http://schemas.microsoft.com/office/drawing/2014/main" pred="{42CEB7D4-C0A3-8066-C954-F2C8F05273BE}"/>
            </a:ext>
          </a:extLst>
        </xdr:cNvPr>
        <xdr:cNvPicPr>
          <a:picLocks noChangeAspect="1"/>
        </xdr:cNvPicPr>
      </xdr:nvPicPr>
      <xdr:blipFill>
        <a:blip xmlns:r="http://schemas.openxmlformats.org/officeDocument/2006/relationships" r:embed="rId4"/>
        <a:stretch>
          <a:fillRect/>
        </a:stretch>
      </xdr:blipFill>
      <xdr:spPr>
        <a:xfrm>
          <a:off x="16430625" y="11991975"/>
          <a:ext cx="9591675" cy="2219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16</xdr:row>
      <xdr:rowOff>0</xdr:rowOff>
    </xdr:from>
    <xdr:to>
      <xdr:col>11</xdr:col>
      <xdr:colOff>657225</xdr:colOff>
      <xdr:row>19</xdr:row>
      <xdr:rowOff>340178</xdr:rowOff>
    </xdr:to>
    <xdr:graphicFrame macro="">
      <xdr:nvGraphicFramePr>
        <xdr:cNvPr id="5"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638175</xdr:colOff>
      <xdr:row>16</xdr:row>
      <xdr:rowOff>1</xdr:rowOff>
    </xdr:from>
    <xdr:to>
      <xdr:col>15</xdr:col>
      <xdr:colOff>752475</xdr:colOff>
      <xdr:row>19</xdr:row>
      <xdr:rowOff>353786</xdr:rowOff>
    </xdr:to>
    <xdr:graphicFrame macro="">
      <xdr:nvGraphicFramePr>
        <xdr:cNvPr id="6"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638175</xdr:colOff>
      <xdr:row>15</xdr:row>
      <xdr:rowOff>247650</xdr:rowOff>
    </xdr:from>
    <xdr:to>
      <xdr:col>11</xdr:col>
      <xdr:colOff>647700</xdr:colOff>
      <xdr:row>20</xdr:row>
      <xdr:rowOff>0</xdr:rowOff>
    </xdr:to>
    <xdr:cxnSp macro="">
      <xdr:nvCxnSpPr>
        <xdr:cNvPr id="2"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077700" y="350520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9</xdr:col>
      <xdr:colOff>304800</xdr:colOff>
      <xdr:row>23</xdr:row>
      <xdr:rowOff>38100</xdr:rowOff>
    </xdr:from>
    <xdr:to>
      <xdr:col>16</xdr:col>
      <xdr:colOff>1362967</xdr:colOff>
      <xdr:row>39</xdr:row>
      <xdr:rowOff>58736</xdr:rowOff>
    </xdr:to>
    <xdr:pic>
      <xdr:nvPicPr>
        <xdr:cNvPr id="7" name="Picture 6">
          <a:extLst>
            <a:ext uri="{FF2B5EF4-FFF2-40B4-BE49-F238E27FC236}">
              <a16:creationId xmlns:a16="http://schemas.microsoft.com/office/drawing/2014/main" id="{637F3E74-F00C-F206-0F8B-45E51D4746E8}"/>
            </a:ext>
          </a:extLst>
        </xdr:cNvPr>
        <xdr:cNvPicPr>
          <a:picLocks noChangeAspect="1"/>
        </xdr:cNvPicPr>
      </xdr:nvPicPr>
      <xdr:blipFill>
        <a:blip xmlns:r="http://schemas.openxmlformats.org/officeDocument/2006/relationships" r:embed="rId3"/>
        <a:stretch>
          <a:fillRect/>
        </a:stretch>
      </xdr:blipFill>
      <xdr:spPr>
        <a:xfrm>
          <a:off x="10220325" y="5667375"/>
          <a:ext cx="6392167" cy="3334215"/>
        </a:xfrm>
        <a:prstGeom prst="rect">
          <a:avLst/>
        </a:prstGeom>
      </xdr:spPr>
    </xdr:pic>
    <xdr:clientData/>
  </xdr:twoCellAnchor>
  <xdr:twoCellAnchor editAs="oneCell">
    <xdr:from>
      <xdr:col>25</xdr:col>
      <xdr:colOff>255894</xdr:colOff>
      <xdr:row>6</xdr:row>
      <xdr:rowOff>41864</xdr:rowOff>
    </xdr:from>
    <xdr:to>
      <xdr:col>28</xdr:col>
      <xdr:colOff>744778</xdr:colOff>
      <xdr:row>19</xdr:row>
      <xdr:rowOff>112449</xdr:rowOff>
    </xdr:to>
    <xdr:pic>
      <xdr:nvPicPr>
        <xdr:cNvPr id="23" name="Picture 22">
          <a:extLst>
            <a:ext uri="{FF2B5EF4-FFF2-40B4-BE49-F238E27FC236}">
              <a16:creationId xmlns:a16="http://schemas.microsoft.com/office/drawing/2014/main" id="{3525E617-B897-3C25-F96E-A0C64966AAD1}"/>
            </a:ext>
          </a:extLst>
        </xdr:cNvPr>
        <xdr:cNvPicPr>
          <a:picLocks noChangeAspect="1"/>
        </xdr:cNvPicPr>
      </xdr:nvPicPr>
      <xdr:blipFill>
        <a:blip xmlns:r="http://schemas.openxmlformats.org/officeDocument/2006/relationships" r:embed="rId4"/>
        <a:stretch>
          <a:fillRect/>
        </a:stretch>
      </xdr:blipFill>
      <xdr:spPr>
        <a:xfrm>
          <a:off x="23283982" y="1151246"/>
          <a:ext cx="2774884" cy="4463291"/>
        </a:xfrm>
        <a:prstGeom prst="rect">
          <a:avLst/>
        </a:prstGeom>
      </xdr:spPr>
    </xdr:pic>
    <xdr:clientData/>
  </xdr:twoCellAnchor>
  <xdr:twoCellAnchor editAs="oneCell">
    <xdr:from>
      <xdr:col>16</xdr:col>
      <xdr:colOff>608320</xdr:colOff>
      <xdr:row>17</xdr:row>
      <xdr:rowOff>739589</xdr:rowOff>
    </xdr:from>
    <xdr:to>
      <xdr:col>18</xdr:col>
      <xdr:colOff>239757</xdr:colOff>
      <xdr:row>19</xdr:row>
      <xdr:rowOff>261739</xdr:rowOff>
    </xdr:to>
    <xdr:pic>
      <xdr:nvPicPr>
        <xdr:cNvPr id="4" name="Picture 3" descr="Verizon Business expands 5G Business Internet to 21 more U.S. cities | News  Release | Verizon">
          <a:extLst>
            <a:ext uri="{FF2B5EF4-FFF2-40B4-BE49-F238E27FC236}">
              <a16:creationId xmlns:a16="http://schemas.microsoft.com/office/drawing/2014/main" id="{8A4AD7C8-AF09-57AA-B026-93C8CE6BA6B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870732" y="4616824"/>
          <a:ext cx="2063113" cy="1147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264938</xdr:colOff>
      <xdr:row>16</xdr:row>
      <xdr:rowOff>390250</xdr:rowOff>
    </xdr:from>
    <xdr:to>
      <xdr:col>17</xdr:col>
      <xdr:colOff>544836</xdr:colOff>
      <xdr:row>17</xdr:row>
      <xdr:rowOff>673157</xdr:rowOff>
    </xdr:to>
    <xdr:pic>
      <xdr:nvPicPr>
        <xdr:cNvPr id="8" name="Picture 7" descr="Verizon Fios - Wikipedia">
          <a:extLst>
            <a:ext uri="{FF2B5EF4-FFF2-40B4-BE49-F238E27FC236}">
              <a16:creationId xmlns:a16="http://schemas.microsoft.com/office/drawing/2014/main" id="{487ECCF4-ED55-90DA-1FF3-D5512ADD9E6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527350" y="3460662"/>
          <a:ext cx="1837515" cy="1089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705971</xdr:colOff>
      <xdr:row>3</xdr:row>
      <xdr:rowOff>67234</xdr:rowOff>
    </xdr:from>
    <xdr:to>
      <xdr:col>41</xdr:col>
      <xdr:colOff>392559</xdr:colOff>
      <xdr:row>12</xdr:row>
      <xdr:rowOff>4148</xdr:rowOff>
    </xdr:to>
    <xdr:pic>
      <xdr:nvPicPr>
        <xdr:cNvPr id="14" name="Picture 13">
          <a:extLst>
            <a:ext uri="{FF2B5EF4-FFF2-40B4-BE49-F238E27FC236}">
              <a16:creationId xmlns:a16="http://schemas.microsoft.com/office/drawing/2014/main" id="{C9829D3D-7B7D-240A-E59B-B662D2769A80}"/>
            </a:ext>
          </a:extLst>
        </xdr:cNvPr>
        <xdr:cNvPicPr>
          <a:picLocks noChangeAspect="1"/>
        </xdr:cNvPicPr>
      </xdr:nvPicPr>
      <xdr:blipFill>
        <a:blip xmlns:r="http://schemas.openxmlformats.org/officeDocument/2006/relationships" r:embed="rId7"/>
        <a:stretch>
          <a:fillRect/>
        </a:stretch>
      </xdr:blipFill>
      <xdr:spPr>
        <a:xfrm>
          <a:off x="28989618" y="672352"/>
          <a:ext cx="6544588" cy="1629002"/>
        </a:xfrm>
        <a:prstGeom prst="rect">
          <a:avLst/>
        </a:prstGeom>
      </xdr:spPr>
    </xdr:pic>
    <xdr:clientData/>
  </xdr:twoCellAnchor>
  <xdr:twoCellAnchor editAs="oneCell">
    <xdr:from>
      <xdr:col>32</xdr:col>
      <xdr:colOff>694767</xdr:colOff>
      <xdr:row>14</xdr:row>
      <xdr:rowOff>145675</xdr:rowOff>
    </xdr:from>
    <xdr:to>
      <xdr:col>41</xdr:col>
      <xdr:colOff>514724</xdr:colOff>
      <xdr:row>17</xdr:row>
      <xdr:rowOff>607035</xdr:rowOff>
    </xdr:to>
    <xdr:pic>
      <xdr:nvPicPr>
        <xdr:cNvPr id="16" name="Picture 15">
          <a:extLst>
            <a:ext uri="{FF2B5EF4-FFF2-40B4-BE49-F238E27FC236}">
              <a16:creationId xmlns:a16="http://schemas.microsoft.com/office/drawing/2014/main" id="{C4F2CD90-A730-A69C-6752-74973AE3DE07}"/>
            </a:ext>
          </a:extLst>
        </xdr:cNvPr>
        <xdr:cNvPicPr>
          <a:picLocks noChangeAspect="1"/>
        </xdr:cNvPicPr>
      </xdr:nvPicPr>
      <xdr:blipFill>
        <a:blip xmlns:r="http://schemas.openxmlformats.org/officeDocument/2006/relationships" r:embed="rId8"/>
        <a:stretch>
          <a:fillRect/>
        </a:stretch>
      </xdr:blipFill>
      <xdr:spPr>
        <a:xfrm>
          <a:off x="28978414" y="2779057"/>
          <a:ext cx="6677957" cy="1705213"/>
        </a:xfrm>
        <a:prstGeom prst="rect">
          <a:avLst/>
        </a:prstGeom>
      </xdr:spPr>
    </xdr:pic>
    <xdr:clientData/>
  </xdr:twoCellAnchor>
  <xdr:twoCellAnchor editAs="oneCell">
    <xdr:from>
      <xdr:col>33</xdr:col>
      <xdr:colOff>134471</xdr:colOff>
      <xdr:row>18</xdr:row>
      <xdr:rowOff>313766</xdr:rowOff>
    </xdr:from>
    <xdr:to>
      <xdr:col>41</xdr:col>
      <xdr:colOff>687849</xdr:colOff>
      <xdr:row>31</xdr:row>
      <xdr:rowOff>93459</xdr:rowOff>
    </xdr:to>
    <xdr:pic>
      <xdr:nvPicPr>
        <xdr:cNvPr id="17" name="Picture 16">
          <a:extLst>
            <a:ext uri="{FF2B5EF4-FFF2-40B4-BE49-F238E27FC236}">
              <a16:creationId xmlns:a16="http://schemas.microsoft.com/office/drawing/2014/main" id="{36D5DF2C-751D-6658-05AB-628F01967019}"/>
            </a:ext>
          </a:extLst>
        </xdr:cNvPr>
        <xdr:cNvPicPr>
          <a:picLocks noChangeAspect="1"/>
        </xdr:cNvPicPr>
      </xdr:nvPicPr>
      <xdr:blipFill>
        <a:blip xmlns:r="http://schemas.openxmlformats.org/officeDocument/2006/relationships" r:embed="rId9"/>
        <a:stretch>
          <a:fillRect/>
        </a:stretch>
      </xdr:blipFill>
      <xdr:spPr>
        <a:xfrm>
          <a:off x="29180118" y="5188325"/>
          <a:ext cx="6649378" cy="3219899"/>
        </a:xfrm>
        <a:prstGeom prst="rect">
          <a:avLst/>
        </a:prstGeom>
      </xdr:spPr>
    </xdr:pic>
    <xdr:clientData/>
  </xdr:twoCellAnchor>
  <xdr:twoCellAnchor editAs="oneCell">
    <xdr:from>
      <xdr:col>42</xdr:col>
      <xdr:colOff>268940</xdr:colOff>
      <xdr:row>20</xdr:row>
      <xdr:rowOff>100853</xdr:rowOff>
    </xdr:from>
    <xdr:to>
      <xdr:col>51</xdr:col>
      <xdr:colOff>50792</xdr:colOff>
      <xdr:row>30</xdr:row>
      <xdr:rowOff>56900</xdr:rowOff>
    </xdr:to>
    <xdr:pic>
      <xdr:nvPicPr>
        <xdr:cNvPr id="18" name="Picture 17">
          <a:extLst>
            <a:ext uri="{FF2B5EF4-FFF2-40B4-BE49-F238E27FC236}">
              <a16:creationId xmlns:a16="http://schemas.microsoft.com/office/drawing/2014/main" id="{D2934832-8638-0B0F-E60B-FE6D1B1D0A7C}"/>
            </a:ext>
          </a:extLst>
        </xdr:cNvPr>
        <xdr:cNvPicPr>
          <a:picLocks noChangeAspect="1"/>
        </xdr:cNvPicPr>
      </xdr:nvPicPr>
      <xdr:blipFill>
        <a:blip xmlns:r="http://schemas.openxmlformats.org/officeDocument/2006/relationships" r:embed="rId10"/>
        <a:stretch>
          <a:fillRect/>
        </a:stretch>
      </xdr:blipFill>
      <xdr:spPr>
        <a:xfrm>
          <a:off x="36172587" y="5995147"/>
          <a:ext cx="6639852" cy="2219635"/>
        </a:xfrm>
        <a:prstGeom prst="rect">
          <a:avLst/>
        </a:prstGeom>
      </xdr:spPr>
    </xdr:pic>
    <xdr:clientData/>
  </xdr:twoCellAnchor>
  <xdr:twoCellAnchor>
    <xdr:from>
      <xdr:col>19</xdr:col>
      <xdr:colOff>212913</xdr:colOff>
      <xdr:row>2</xdr:row>
      <xdr:rowOff>174811</xdr:rowOff>
    </xdr:from>
    <xdr:to>
      <xdr:col>24</xdr:col>
      <xdr:colOff>610719</xdr:colOff>
      <xdr:row>13</xdr:row>
      <xdr:rowOff>134470</xdr:rowOff>
    </xdr:to>
    <xdr:graphicFrame macro="">
      <xdr:nvGraphicFramePr>
        <xdr:cNvPr id="19" name="Chart 18">
          <a:extLst>
            <a:ext uri="{FF2B5EF4-FFF2-40B4-BE49-F238E27FC236}">
              <a16:creationId xmlns:a16="http://schemas.microsoft.com/office/drawing/2014/main" id="{BA4C566B-B22C-9621-165C-BF08D3B22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22412</xdr:colOff>
      <xdr:row>13</xdr:row>
      <xdr:rowOff>89647</xdr:rowOff>
    </xdr:from>
    <xdr:to>
      <xdr:col>24</xdr:col>
      <xdr:colOff>638734</xdr:colOff>
      <xdr:row>17</xdr:row>
      <xdr:rowOff>818030</xdr:rowOff>
    </xdr:to>
    <xdr:graphicFrame macro="">
      <xdr:nvGraphicFramePr>
        <xdr:cNvPr id="22" name="Chart 21">
          <a:extLst>
            <a:ext uri="{FF2B5EF4-FFF2-40B4-BE49-F238E27FC236}">
              <a16:creationId xmlns:a16="http://schemas.microsoft.com/office/drawing/2014/main" id="{9A3A4A29-9309-4F92-96AF-AC0C834B9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2" name="Chart 1">
          <a:extLst>
            <a:ext uri="{FF2B5EF4-FFF2-40B4-BE49-F238E27FC236}">
              <a16:creationId xmlns:a16="http://schemas.microsoft.com/office/drawing/2014/main" i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49</xdr:row>
      <xdr:rowOff>142875</xdr:rowOff>
    </xdr:to>
    <xdr:graphicFrame macro="">
      <xdr:nvGraphicFramePr>
        <xdr:cNvPr id="3" name="Chart 2">
          <a:extLst>
            <a:ext uri="{FF2B5EF4-FFF2-40B4-BE49-F238E27FC236}">
              <a16:creationId xmlns:a16="http://schemas.microsoft.com/office/drawing/2014/main" id="{06EE3DBE-321E-4EF6-A0A4-D90C4883E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571500</xdr:colOff>
      <xdr:row>1</xdr:row>
      <xdr:rowOff>35719</xdr:rowOff>
    </xdr:from>
    <xdr:to>
      <xdr:col>1</xdr:col>
      <xdr:colOff>1533525</xdr:colOff>
      <xdr:row>1</xdr:row>
      <xdr:rowOff>997744</xdr:rowOff>
    </xdr:to>
    <xdr:pic>
      <xdr:nvPicPr>
        <xdr:cNvPr id="4" name="Picture 3">
          <a:extLst>
            <a:ext uri="{FF2B5EF4-FFF2-40B4-BE49-F238E27FC236}">
              <a16:creationId xmlns:a16="http://schemas.microsoft.com/office/drawing/2014/main" id="{8A067926-13E2-4FD1-8F21-823BDE780813}"/>
            </a:ext>
            <a:ext uri="{147F2762-F138-4A5C-976F-8EAC2B608ADB}">
              <a16:predDERef xmlns:a16="http://schemas.microsoft.com/office/drawing/2014/main" pred="{71A499F7-7BCB-43D8-AAAA-8629B391E887}"/>
            </a:ext>
          </a:extLst>
        </xdr:cNvPr>
        <xdr:cNvPicPr>
          <a:picLocks noChangeAspect="1"/>
        </xdr:cNvPicPr>
      </xdr:nvPicPr>
      <xdr:blipFill>
        <a:blip xmlns:r="http://schemas.openxmlformats.org/officeDocument/2006/relationships" r:embed="rId3"/>
        <a:stretch>
          <a:fillRect/>
        </a:stretch>
      </xdr:blipFill>
      <xdr:spPr>
        <a:xfrm>
          <a:off x="607219" y="226219"/>
          <a:ext cx="962025" cy="962025"/>
        </a:xfrm>
        <a:prstGeom prst="rect">
          <a:avLst/>
        </a:prstGeom>
      </xdr:spPr>
    </xdr:pic>
    <xdr:clientData/>
  </xdr:twoCellAnchor>
  <xdr:twoCellAnchor editAs="oneCell">
    <xdr:from>
      <xdr:col>1</xdr:col>
      <xdr:colOff>176893</xdr:colOff>
      <xdr:row>2</xdr:row>
      <xdr:rowOff>136072</xdr:rowOff>
    </xdr:from>
    <xdr:to>
      <xdr:col>1</xdr:col>
      <xdr:colOff>1918608</xdr:colOff>
      <xdr:row>2</xdr:row>
      <xdr:rowOff>907113</xdr:rowOff>
    </xdr:to>
    <xdr:pic>
      <xdr:nvPicPr>
        <xdr:cNvPr id="5" name="Picture 4">
          <a:extLst>
            <a:ext uri="{FF2B5EF4-FFF2-40B4-BE49-F238E27FC236}">
              <a16:creationId xmlns:a16="http://schemas.microsoft.com/office/drawing/2014/main" id="{3ABB35EB-8B48-4CA0-B168-91950178832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7714" y="1673679"/>
          <a:ext cx="1741715" cy="771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258537</xdr:colOff>
      <xdr:row>3</xdr:row>
      <xdr:rowOff>96297</xdr:rowOff>
    </xdr:from>
    <xdr:to>
      <xdr:col>1</xdr:col>
      <xdr:colOff>1836964</xdr:colOff>
      <xdr:row>3</xdr:row>
      <xdr:rowOff>1006928</xdr:rowOff>
    </xdr:to>
    <xdr:pic>
      <xdr:nvPicPr>
        <xdr:cNvPr id="6" name="Picture 5" descr="Comcast's Innovative Response to COVID-19 — BUSINESS FOR 2030">
          <a:extLst>
            <a:ext uri="{FF2B5EF4-FFF2-40B4-BE49-F238E27FC236}">
              <a16:creationId xmlns:a16="http://schemas.microsoft.com/office/drawing/2014/main" id="{283422A1-D903-4943-9671-F849D0EEE333}"/>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6186" t="20301" r="-1031" b="18798"/>
        <a:stretch/>
      </xdr:blipFill>
      <xdr:spPr bwMode="auto">
        <a:xfrm>
          <a:off x="299358" y="2668047"/>
          <a:ext cx="1578427" cy="910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67235</xdr:colOff>
      <xdr:row>5</xdr:row>
      <xdr:rowOff>112059</xdr:rowOff>
    </xdr:from>
    <xdr:to>
      <xdr:col>1</xdr:col>
      <xdr:colOff>2034987</xdr:colOff>
      <xdr:row>5</xdr:row>
      <xdr:rowOff>922616</xdr:rowOff>
    </xdr:to>
    <xdr:pic>
      <xdr:nvPicPr>
        <xdr:cNvPr id="7" name="Picture 5">
          <a:extLst>
            <a:ext uri="{FF2B5EF4-FFF2-40B4-BE49-F238E27FC236}">
              <a16:creationId xmlns:a16="http://schemas.microsoft.com/office/drawing/2014/main" id="{20184D66-3B59-418C-9D18-9CE6AD017C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0853" y="5165912"/>
          <a:ext cx="1967752" cy="810557"/>
        </a:xfrm>
        <a:prstGeom prst="rect">
          <a:avLst/>
        </a:prstGeom>
      </xdr:spPr>
    </xdr:pic>
    <xdr:clientData/>
  </xdr:twoCellAnchor>
  <xdr:twoCellAnchor editAs="oneCell">
    <xdr:from>
      <xdr:col>1</xdr:col>
      <xdr:colOff>88377</xdr:colOff>
      <xdr:row>4</xdr:row>
      <xdr:rowOff>259330</xdr:rowOff>
    </xdr:from>
    <xdr:to>
      <xdr:col>1</xdr:col>
      <xdr:colOff>2028265</xdr:colOff>
      <xdr:row>4</xdr:row>
      <xdr:rowOff>869576</xdr:rowOff>
    </xdr:to>
    <xdr:pic>
      <xdr:nvPicPr>
        <xdr:cNvPr id="8" name="Picture 7">
          <a:extLst>
            <a:ext uri="{FF2B5EF4-FFF2-40B4-BE49-F238E27FC236}">
              <a16:creationId xmlns:a16="http://schemas.microsoft.com/office/drawing/2014/main" id="{E9A6BD3A-81D1-C0C1-59E2-0C21363ED79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1995" y="4271036"/>
          <a:ext cx="1939888" cy="610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0</xdr:colOff>
      <xdr:row>35</xdr:row>
      <xdr:rowOff>0</xdr:rowOff>
    </xdr:from>
    <xdr:ext cx="304800" cy="306171"/>
    <xdr:sp macro="" textlink="">
      <xdr:nvSpPr>
        <xdr:cNvPr id="11" name="AutoShape 233" descr="Resultado de imagen para beer consumption trend">
          <a:extLst>
            <a:ext uri="{FF2B5EF4-FFF2-40B4-BE49-F238E27FC236}">
              <a16:creationId xmlns:a16="http://schemas.microsoft.com/office/drawing/2014/main" id="{1B49942F-301C-4604-8547-34A451CCD9AE}"/>
            </a:ext>
          </a:extLst>
        </xdr:cNvPr>
        <xdr:cNvSpPr>
          <a:spLocks noChangeAspect="1" noChangeArrowheads="1"/>
        </xdr:cNvSpPr>
      </xdr:nvSpPr>
      <xdr:spPr bwMode="auto">
        <a:xfrm>
          <a:off x="10915650" y="1086802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2" name="AutoShape 233" descr="Resultado de imagen para beer consumption trend">
          <a:extLst>
            <a:ext uri="{FF2B5EF4-FFF2-40B4-BE49-F238E27FC236}">
              <a16:creationId xmlns:a16="http://schemas.microsoft.com/office/drawing/2014/main" id="{D660CD92-A24B-4BFE-AEBB-24EAFE70C937}"/>
            </a:ext>
          </a:extLst>
        </xdr:cNvPr>
        <xdr:cNvSpPr>
          <a:spLocks noChangeAspect="1" noChangeArrowheads="1"/>
        </xdr:cNvSpPr>
      </xdr:nvSpPr>
      <xdr:spPr bwMode="auto">
        <a:xfrm>
          <a:off x="10915650" y="1086802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17</xdr:col>
      <xdr:colOff>717177</xdr:colOff>
      <xdr:row>3</xdr:row>
      <xdr:rowOff>96370</xdr:rowOff>
    </xdr:from>
    <xdr:to>
      <xdr:col>22</xdr:col>
      <xdr:colOff>425824</xdr:colOff>
      <xdr:row>12</xdr:row>
      <xdr:rowOff>425823</xdr:rowOff>
    </xdr:to>
    <xdr:graphicFrame macro="">
      <xdr:nvGraphicFramePr>
        <xdr:cNvPr id="42" name="Chart 3">
          <a:extLst>
            <a:ext uri="{FF2B5EF4-FFF2-40B4-BE49-F238E27FC236}">
              <a16:creationId xmlns:a16="http://schemas.microsoft.com/office/drawing/2014/main" id="{D2BA7D7C-EAED-65EE-1C12-49B8BA654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733985</xdr:colOff>
      <xdr:row>15</xdr:row>
      <xdr:rowOff>96371</xdr:rowOff>
    </xdr:from>
    <xdr:to>
      <xdr:col>22</xdr:col>
      <xdr:colOff>392207</xdr:colOff>
      <xdr:row>23</xdr:row>
      <xdr:rowOff>403412</xdr:rowOff>
    </xdr:to>
    <xdr:graphicFrame macro="">
      <xdr:nvGraphicFramePr>
        <xdr:cNvPr id="39" name="Chart 4">
          <a:extLst>
            <a:ext uri="{FF2B5EF4-FFF2-40B4-BE49-F238E27FC236}">
              <a16:creationId xmlns:a16="http://schemas.microsoft.com/office/drawing/2014/main" id="{3EDF13A5-F9C1-F31E-42E3-AAE58CCB2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57</xdr:row>
      <xdr:rowOff>133350</xdr:rowOff>
    </xdr:from>
    <xdr:to>
      <xdr:col>9</xdr:col>
      <xdr:colOff>557866</xdr:colOff>
      <xdr:row>76</xdr:row>
      <xdr:rowOff>38100</xdr:rowOff>
    </xdr:to>
    <xdr:pic>
      <xdr:nvPicPr>
        <xdr:cNvPr id="4" name="Picture 1" descr="A screenshot of a computer&#10;&#10;Description automatically generated">
          <a:extLst>
            <a:ext uri="{FF2B5EF4-FFF2-40B4-BE49-F238E27FC236}">
              <a16:creationId xmlns:a16="http://schemas.microsoft.com/office/drawing/2014/main" id="{59F7F03B-6CE5-B474-EE64-3D6E28F88EED}"/>
            </a:ext>
          </a:extLst>
        </xdr:cNvPr>
        <xdr:cNvPicPr>
          <a:picLocks noChangeAspect="1"/>
        </xdr:cNvPicPr>
      </xdr:nvPicPr>
      <xdr:blipFill>
        <a:blip xmlns:r="http://schemas.openxmlformats.org/officeDocument/2006/relationships" r:embed="rId1"/>
        <a:stretch>
          <a:fillRect/>
        </a:stretch>
      </xdr:blipFill>
      <xdr:spPr>
        <a:xfrm>
          <a:off x="0" y="9372600"/>
          <a:ext cx="7272991" cy="2981325"/>
        </a:xfrm>
        <a:prstGeom prst="rect">
          <a:avLst/>
        </a:prstGeom>
      </xdr:spPr>
    </xdr:pic>
    <xdr:clientData/>
  </xdr:twoCellAnchor>
  <xdr:twoCellAnchor editAs="oneCell">
    <xdr:from>
      <xdr:col>9</xdr:col>
      <xdr:colOff>845845</xdr:colOff>
      <xdr:row>58</xdr:row>
      <xdr:rowOff>57150</xdr:rowOff>
    </xdr:from>
    <xdr:to>
      <xdr:col>18</xdr:col>
      <xdr:colOff>198621</xdr:colOff>
      <xdr:row>78</xdr:row>
      <xdr:rowOff>47625</xdr:rowOff>
    </xdr:to>
    <xdr:pic>
      <xdr:nvPicPr>
        <xdr:cNvPr id="2" name="Picture 1" descr="A screenshot of a cash flow report&#10;&#10;Description automatically generated">
          <a:extLst>
            <a:ext uri="{FF2B5EF4-FFF2-40B4-BE49-F238E27FC236}">
              <a16:creationId xmlns:a16="http://schemas.microsoft.com/office/drawing/2014/main" id="{066542BC-542C-BD04-4CD2-C28E57D33C5A}"/>
            </a:ext>
          </a:extLst>
        </xdr:cNvPr>
        <xdr:cNvPicPr>
          <a:picLocks noChangeAspect="1"/>
        </xdr:cNvPicPr>
      </xdr:nvPicPr>
      <xdr:blipFill rotWithShape="1">
        <a:blip xmlns:r="http://schemas.openxmlformats.org/officeDocument/2006/relationships" r:embed="rId2"/>
        <a:srcRect b="14808"/>
        <a:stretch/>
      </xdr:blipFill>
      <xdr:spPr>
        <a:xfrm>
          <a:off x="8170570" y="11249025"/>
          <a:ext cx="7172801" cy="3228975"/>
        </a:xfrm>
        <a:prstGeom prst="rect">
          <a:avLst/>
        </a:prstGeom>
      </xdr:spPr>
    </xdr:pic>
    <xdr:clientData/>
  </xdr:twoCellAnchor>
  <xdr:twoCellAnchor editAs="oneCell">
    <xdr:from>
      <xdr:col>0</xdr:col>
      <xdr:colOff>476249</xdr:colOff>
      <xdr:row>48</xdr:row>
      <xdr:rowOff>142875</xdr:rowOff>
    </xdr:from>
    <xdr:to>
      <xdr:col>20</xdr:col>
      <xdr:colOff>359690</xdr:colOff>
      <xdr:row>55</xdr:row>
      <xdr:rowOff>57150</xdr:rowOff>
    </xdr:to>
    <xdr:pic>
      <xdr:nvPicPr>
        <xdr:cNvPr id="3" name="Picture 2">
          <a:extLst>
            <a:ext uri="{FF2B5EF4-FFF2-40B4-BE49-F238E27FC236}">
              <a16:creationId xmlns:a16="http://schemas.microsoft.com/office/drawing/2014/main" id="{05335D2E-D8A5-8060-D613-3F41820A2B1D}"/>
            </a:ext>
          </a:extLst>
        </xdr:cNvPr>
        <xdr:cNvPicPr>
          <a:picLocks noChangeAspect="1"/>
        </xdr:cNvPicPr>
      </xdr:nvPicPr>
      <xdr:blipFill rotWithShape="1">
        <a:blip xmlns:r="http://schemas.openxmlformats.org/officeDocument/2006/relationships" r:embed="rId3"/>
        <a:srcRect t="8434" b="35910"/>
        <a:stretch/>
      </xdr:blipFill>
      <xdr:spPr>
        <a:xfrm>
          <a:off x="476249" y="8582025"/>
          <a:ext cx="16533141" cy="1047750"/>
        </a:xfrm>
        <a:prstGeom prst="rect">
          <a:avLst/>
        </a:prstGeom>
      </xdr:spPr>
    </xdr:pic>
    <xdr:clientData/>
  </xdr:twoCellAnchor>
  <xdr:twoCellAnchor editAs="oneCell">
    <xdr:from>
      <xdr:col>1</xdr:col>
      <xdr:colOff>0</xdr:colOff>
      <xdr:row>79</xdr:row>
      <xdr:rowOff>0</xdr:rowOff>
    </xdr:from>
    <xdr:to>
      <xdr:col>7</xdr:col>
      <xdr:colOff>857250</xdr:colOff>
      <xdr:row>96</xdr:row>
      <xdr:rowOff>0</xdr:rowOff>
    </xdr:to>
    <xdr:pic>
      <xdr:nvPicPr>
        <xdr:cNvPr id="6" name="Picture 5">
          <a:extLst>
            <a:ext uri="{FF2B5EF4-FFF2-40B4-BE49-F238E27FC236}">
              <a16:creationId xmlns:a16="http://schemas.microsoft.com/office/drawing/2014/main" id="{A36653FC-4E9A-5210-1317-1EB0DDE96F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13458825"/>
          <a:ext cx="6096000" cy="2752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ana\Downloads\COMCAST%20CORPORATION%20(1).xlsx" TargetMode="External"/><Relationship Id="rId1" Type="http://schemas.openxmlformats.org/officeDocument/2006/relationships/externalLinkPath" Target="file:///C:\Users\Diana\Downloads\COMCAST%20CORPORATION%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João"/>
      <sheetName val="Segments- LR"/>
      <sheetName val="Acuerdo"/>
      <sheetName val="Peers- LD"/>
      <sheetName val="ESG- Ana"/>
      <sheetName val="DCF-Diana "/>
      <sheetName val="Assum."/>
      <sheetName val="Fin. Data"/>
      <sheetName val="Fin. Data (Common Size)"/>
      <sheetName val="Inputs"/>
      <sheetName val="Sector Impac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DAVID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0">
  <rv s="0">
    <v>https://www.bing.com/financeapi/forcetrigger?t=a25obh&amp;q=XNYS%3aVZ&amp;form=skydnc</v>
    <v>Learn more on Bing</v>
  </rv>
  <rv s="1">
    <v>en-US</v>
    <v>a25obh</v>
    <v>268435456</v>
    <v>1</v>
    <v>Powered by Refinitiv</v>
    <v>0</v>
    <v>1</v>
    <v>VERIZON COMMUNICATIONS INC. (XNYS:VZ)</v>
    <v>3</v>
    <v>4</v>
    <v>Finance</v>
    <v>5</v>
    <v>43.42</v>
    <v>30.135000000000002</v>
    <v>0.39579999999999999</v>
    <v>-0.505</v>
    <v>-1.2364999999999999E-2</v>
    <v>USD</v>
    <v>Verizon Communications Inc. is a holding company. The Company, through its subsidiaries, provides communications, information and entertainment products and services to consumers, businesses and governmental agencies. Its reportable segments are Verizon Consumer Group and Verizon Business Group. Its Consumer segment provides wireless and wireline communications services. Its wireless services are provided across wireless networks in the United States (U.S.) under the Verizon brands. Its wireline services are provided in nine states in the Mid-Atlantic and Northeastern U.S., as well as Washington D.C., over its fiber-optic network under the Fios brand and over a traditional copper-based network. Its Business segment provides wireless and wireline communications services and products, including data, video and conferencing services, security and managed network services, local and long-distance voice services and network access to deliver various Internet of Things services and products.</v>
    <v>105400</v>
    <v>New York Stock Exchange</v>
    <v>XNYS</v>
    <v>XNYS</v>
    <v>1095 Avenue Of The Americas, NEW YORK, NY, 10036 US</v>
    <v>40.61</v>
    <v>Telecommunications Services</v>
    <v>Stock</v>
    <v>45392.585989779691</v>
    <v>0</v>
    <v>39.96</v>
    <v>169579311120</v>
    <v>VERIZON COMMUNICATIONS INC.</v>
    <v>VERIZON COMMUNICATIONS INC.</v>
    <v>40.61</v>
    <v>14.812799999999999</v>
    <v>40.840000000000003</v>
    <v>40.335000000000001</v>
    <v>4204272000</v>
    <v>VZ</v>
    <v>VERIZON COMMUNICATIONS INC. (XNYS:VZ)</v>
    <v>2486848</v>
    <v>18142842</v>
    <v>1983</v>
  </rv>
  <rv s="2">
    <v>1</v>
  </rv>
  <rv s="3">
    <v>pt-BR</v>
    <v>a25obh</v>
    <v>268435456</v>
    <v>1</v>
    <v>Da plataforma Refinitiv</v>
    <v>6</v>
    <v>7</v>
    <v>VERIZON COMMUNICATIONS INC. (XNYS:VZ)</v>
    <v>3</v>
    <v>8</v>
    <v>Finance</v>
    <v>9</v>
    <v>43.42</v>
    <v>30.135000000000002</v>
    <v>XNYS</v>
    <v>4204272000</v>
    <v>40.61</v>
    <v>1983</v>
    <v>39.96</v>
    <v>0.39579999999999999</v>
    <v>New York Stock Exchange</v>
    <v>169579311120</v>
    <v>A Verizon Communications Inc. é uma holding. A Companhia, por meio de suas subsidiárias, fornece produtos e serviços de comunicação, informação e entretenimento a consumidores, empresas e agências governamentais. Seus segmentos reportáveis são Verizon Consumer Group e Verizon Business Group. Seu segmento de consumidor fornece serviços de comunicação sem fio e com fio. Seus serviços sem fio são fornecidos em redes sem fio nos Estados Unidos (EUA) sob a marca Verizon. Seus serviços de telefonia fixa são fornecidos em nove estados no Meio Atlântico e no Nordeste dos EUA, bem como em Washington D.C., por meio de sua rede de fibra óptica sob a marca Fios e por uma rede tradicional baseada em cobre. Seu segmento de negócios fornece serviços e produtos de comunicação sem fio e com fio, incluindo serviços de dados, vídeo e conferência, segurança e serviços de rede gerenciada, serviços de voz locais e de longa distância e acesso à rede para fornecer vários serviços e produtos da Internet das Coisas.</v>
    <v>XNYS</v>
    <v>40.840000000000003</v>
    <v>105400</v>
    <v>45392.585989779691</v>
    <v>0</v>
    <v>18142842</v>
    <v>USD</v>
    <v>VERIZON COMMUNICATIONS INC.</v>
    <v>VERIZON COMMUNICATIONS INC.</v>
    <v>14.812799999999999</v>
    <v>40.61</v>
    <v>40.335000000000001</v>
    <v>1095 Avenue Of The Americas, NEW YORK, NY, 10036 US</v>
    <v>Telecommunications Services</v>
    <v>VZ</v>
    <v>Ações</v>
    <v>VERIZON COMMUNICATIONS INC. (XNYS:VZ)</v>
    <v>-0.505</v>
    <v>-1.2364999999999999E-2</v>
    <v>2486848</v>
  </rv>
  <rv s="2">
    <v>3</v>
  </rv>
  <rv s="0">
    <v>https://www.bing.com/financeapi/forcetrigger?t=btro5r&amp;q=XNYS%3aT+PR+C&amp;form=skydnc</v>
    <v>Learn more on Bing</v>
  </rv>
  <rv s="4">
    <v>pt-BR</v>
    <v>btro5r</v>
    <v>268435456</v>
    <v>1</v>
    <v>Da plataforma Refinitiv</v>
    <v>10</v>
    <v>11</v>
    <v>AT&amp;T INC. (XNYS:T PR C)</v>
    <v>3</v>
    <v>12</v>
    <v>Finance</v>
    <v>9</v>
    <v>21.3</v>
    <v>17.02</v>
    <v>XNYS</v>
    <v>7152792000</v>
    <v>20.05</v>
    <v>1983</v>
    <v>19.950099999999999</v>
    <v>0.54869999999999997</v>
    <v>New York Stock Exchange</v>
    <v>120882200000</v>
    <v>A AT&amp;T Inc. é uma empresa holding. A empresa é fornecedora de serviços de telecomunicações, mídia e tecnologia globalmente. A Companhia opera através de quatro segmentos: segmento de comunicação, segmento WarnerMedia, segmento América Latina e segmento Xandr. O segmento de comunicações fornece serviços de telecomunicações, vídeo e banda larga com e sem fio para os consumidores. As unidades de negócios do segmento de comunicação incluem Mobility, Entertainment Group e Business Wireline. O segmento WarnerMedia desenvolve, produz e distribui filmes, televisão, jogos e outros conteúdos em vários formatos físicos e digitais. As unidades de negócios do segmento WarnerMedia incluem Turner, Home Box Office e o segmento da Warner Bros. O segmento Latin America oferece serviços de entretenimento na América Latina e serviços sem fio no México. Viro e México são as unidades de negócios do segmento da América Latina. O segmento Xandr fornece serviços de publicidade.</v>
    <v>XNYS</v>
    <v>20.149999999999999</v>
    <v>149900</v>
    <v>45392.584882870309</v>
    <v>5</v>
    <v>142481</v>
    <v>USD</v>
    <v>AT&amp;T INC.</v>
    <v>AT&amp;T INC.</v>
    <v>20.05</v>
    <v>19.97</v>
    <v>208 S. Akard St, DALLAS, TX, 75202 US</v>
    <v>Telecommunications Services</v>
    <v>T PR C</v>
    <v>Ações</v>
    <v>AT&amp;T INC. (XNYS:T PR C)</v>
    <v>-0.18</v>
    <v>-8.933E-3</v>
    <v>5771</v>
  </rv>
  <rv s="2">
    <v>6</v>
  </rv>
  <rv s="0">
    <v>https://www.bing.com/financeapi/forcetrigger?t=a24c52&amp;q=XNAS%3aTMUS&amp;form=skydnc</v>
    <v>Learn more on Bing</v>
  </rv>
  <rv s="5">
    <v>pt-BR</v>
    <v>a24c52</v>
    <v>268435456</v>
    <v>1</v>
    <v>Da plataforma Refinitiv</v>
    <v>13</v>
    <v>14</v>
    <v>T-MOBILE US, INC. (XNAS:TMUS)</v>
    <v>3</v>
    <v>15</v>
    <v>Finance</v>
    <v>16</v>
    <v>168.64</v>
    <v>124.9199</v>
    <v>XNAS</v>
    <v>1186868000</v>
    <v>161.58000000000001</v>
    <v>2004</v>
    <v>160.07</v>
    <v>0.4844</v>
    <v>Nasdaq Stock Market</v>
    <v>191085748000</v>
    <v>A T-Mobile US, Inc. é uma empresa de rede sem fio. A empresa fornece serviços sem fio para clientes pós-pagos, pré-pagos e atacado e gera receita ao fornecer serviços de comunicações sem fio acessíveis a esses clientes, bem como uma ampla seleção de dispositivos e acessórios sem fio. Ela fornece serviços, dispositivos e acessórios em suas marcas principais, T-Mobile, Metro by T-Mobile e Sprint, por meio de suas lojas de varejo próprias e operadas, bem como por meio de seus sites, aplicativo T-Mobile e canais de atendimento ao cliente. Além disso, a empresa vende dispositivos a revendedores e outros distribuidores terceirizados para revenda por meio de pontos de venda independentes terceirizados e uma variedade de sites de terceiros.</v>
    <v>XNAS</v>
    <v>160.9</v>
    <v>67000</v>
    <v>45391.98850614531</v>
    <v>8</v>
    <v>4470487</v>
    <v>USD</v>
    <v>T-MOBILE US, INC.</v>
    <v>T-MOBILE US, INC.</v>
    <v>23.214099999999998</v>
    <v>161.08500000000001</v>
    <v>161</v>
    <v>159.97</v>
    <v>12920 SE 38th St, BELLEVUE, WA, 98006 US</v>
    <v>Telecommunications Services</v>
    <v>TMUS</v>
    <v>Ações</v>
    <v>T-MOBILE US, INC. (XNAS:TMUS)</v>
    <v>0.1</v>
    <v>6.2149999999999998E-4</v>
    <v>1585</v>
  </rv>
  <rv s="2">
    <v>9</v>
  </rv>
  <rv s="0">
    <v>https://www.bing.com/financeapi/forcetrigger?t=a1pwqh&amp;q=XNAS%3aCMCSA&amp;form=skydnc</v>
    <v>Learn more on Bing</v>
  </rv>
  <rv s="3">
    <v>pt-BR</v>
    <v>a1pwqh</v>
    <v>268435456</v>
    <v>1</v>
    <v>Da plataforma Refinitiv</v>
    <v>6</v>
    <v>7</v>
    <v>COMCAST CORPORATION (XNAS:CMCSA)</v>
    <v>3</v>
    <v>8</v>
    <v>Finance</v>
    <v>9</v>
    <v>47.454999999999998</v>
    <v>36.384999999999998</v>
    <v>XNAS</v>
    <v>3971857000</v>
    <v>40.15</v>
    <v>2001</v>
    <v>39.380000000000003</v>
    <v>0.97419999999999995</v>
    <v>Nasdaq Stock Market</v>
    <v>157801878610</v>
    <v>A COMCAST CORPORATION é uma empresa de mídia e tecnologia. Os principais negócios da Empresa incluem a Comcast Cable e a NBCUniversal. Seu negócio de Comcast Cable opera no segmento de Comunicações por Cabo. Seu negócio NBCUniversal consiste em quatro segmentos, que incluem Redes por Cabo, Transmissão Televisiva, Entretenimento Audiovisual e Parque Temáticos. O segmento Redes por Cabo é constituído pelas operações da Comcast Cable, que fornece serviços de vídeo, Internet e voz a clientes residenciais sob a marca XFINITY. Seu segmento de Redes por Cabo consiste em redes a cabo nacionais, redes de notícias e esportes regionais, redes a cabo internacionais e operações de produção de estúdio de televisão a cabo. Seu segmento de Transmissão Televisiva é composto pelas redes de transmissão NBC e Telemundo. Seu segmento de Entretenimento Audiovisual consiste nas operações da Universal Pictures. O segmento de Parque Temáticos da Empresa consiste em parques temáticos da Universal em Orlando, Flórida, e Hollywood, Califórnia.</v>
    <v>XNAS</v>
    <v>40.15</v>
    <v>186000</v>
    <v>45392.58602141172</v>
    <v>11</v>
    <v>21939234</v>
    <v>USD</v>
    <v>COMCAST CORPORATION</v>
    <v>COMCAST CORPORATION</v>
    <v>10.823499999999999</v>
    <v>40.15</v>
    <v>39.729999999999997</v>
    <v>1 Comcast Ctr, PHILADELPHIA, PA, 19103-2838 US</v>
    <v>Telecommunications Services</v>
    <v>CMCSA</v>
    <v>Ações</v>
    <v>COMCAST CORPORATION (XNAS:CMCSA)</v>
    <v>-0.42</v>
    <v>-1.0461E-2</v>
    <v>2888867</v>
  </rv>
  <rv s="2">
    <v>12</v>
  </rv>
  <rv s="0">
    <v>https://www.bing.com/financeapi/forcetrigger?t=a1pokr&amp;q=XNAS%3aCHTR&amp;form=skydnc</v>
    <v>Learn more on Bing</v>
  </rv>
  <rv s="3">
    <v>pt-BR</v>
    <v>a1pokr</v>
    <v>268435456</v>
    <v>1</v>
    <v>Da plataforma Refinitiv</v>
    <v>6</v>
    <v>7</v>
    <v>CHARTER COMMUNICATIONS, INC. (XNAS:CHTR)</v>
    <v>3</v>
    <v>8</v>
    <v>Finance</v>
    <v>9</v>
    <v>458.3</v>
    <v>261.26</v>
    <v>XNAS</v>
    <v>161279300</v>
    <v>268.02999999999997</v>
    <v>2003</v>
    <v>261.26</v>
    <v>0.95660000000000001</v>
    <v>Nasdaq Stock Market</v>
    <v>42403553556</v>
    <v>A Charter Communications, Inc. é uma holding. A empresa é uma operadora de cabo nos Estados Unidos e uma empresa de serviços de comunicações de banda larga. A Companhia atua no segmento de serviços de cabo. Em 31 de dezembro de 2016, a Companhia estava envolvida no fornecimento de serviços de vídeo, Internet e voz para aproximadamente 26,2 milhões de clientes residenciais e comerciais. Além disso, ela vende estoque de publicidade on-line e de vídeo para clientes de publicidade locais, regionais e nacionais, além de soluções de comunicações por fibra e de tecnologia da informação gerenciada (TI) para clientes corporativos. A Empresa também possui e opera redes esportivas regionais e canais locais de esportes, notícias e estilo de vida e vende serviços de segurança e gerenciamento residencial para o mercado residencial. A Companhia oferece aos seus clientes serviços de vídeo baseados em assinatura, incluindo vídeo sob demanda (VOD), televisão de alta definição (HD) e serviço de gravador de vídeo digital (DVR), serviços de Internet e serviços de voz.</v>
    <v>XNAS</v>
    <v>271.45999999999998</v>
    <v>101100</v>
    <v>45392.585949930472</v>
    <v>14</v>
    <v>1460931</v>
    <v>USD</v>
    <v>CHARTER COMMUNICATIONS, INC.</v>
    <v>CHARTER COMMUNICATIONS, INC.</v>
    <v>9.0521999999999991</v>
    <v>266.04000000000002</v>
    <v>262.92</v>
    <v>12405 Powerscourt Drive, ST. LOUIS, MO, 63131 US</v>
    <v>Telecommunications Services</v>
    <v>CHTR</v>
    <v>Ações</v>
    <v>CHARTER COMMUNICATIONS, INC. (XNAS:CHTR)</v>
    <v>-8.5399999999999991</v>
    <v>-3.1460000000000002E-2</v>
    <v>180629</v>
  </rv>
  <rv s="2">
    <v>15</v>
  </rv>
  <rv s="0">
    <v>https://www.bing.com/financeapi/forcetrigger?t=a1qgzr&amp;q=XNYS%3aLUMN&amp;form=skydnc</v>
    <v>Learn more on Bing</v>
  </rv>
  <rv s="4">
    <v>pt-BR</v>
    <v>a1qgzr</v>
    <v>268435456</v>
    <v>1</v>
    <v>Da plataforma Refinitiv</v>
    <v>10</v>
    <v>11</v>
    <v>LUMEN TECHNOLOGIES, INC. (XNYS:LUMN)</v>
    <v>3</v>
    <v>12</v>
    <v>Finance</v>
    <v>9</v>
    <v>2.7</v>
    <v>0.78010000000000002</v>
    <v>XNYS</v>
    <v>1009756000</v>
    <v>1.4</v>
    <v>1968</v>
    <v>1.35</v>
    <v>1.1171</v>
    <v>New York Stock Exchange</v>
    <v>1388414500</v>
    <v>A CenturyLink, Inc., constituída em 7 de maio de 1968, é uma empresa de comunicações integradas. A Companhia está empenhada em fornecer uma variedade de serviços de comunicação para seus clientes residenciais e empresariais. Os segmentos da Companhia incluem Empresa e Consumidor. Seus serviços de comunicação incluem voz local e de longa distância, banda larga, MPLS (Multi-Protocol Label Switching), linha privada (incluindo acesso especial), Ethernet, colocation, hospedagem (incluindo hospedagem na nuvem e hospedagem gerenciada), integração de dados, vídeo, rede, acesso público, Voice over Internet Protocol (VoIP), tecnologia da informação e outros serviços auxiliares.</v>
    <v>XNYS</v>
    <v>1.46</v>
    <v>28000</v>
    <v>45392.585932441405</v>
    <v>17</v>
    <v>11902424</v>
    <v>USD</v>
    <v>LUMEN TECHNOLOGIES, INC.</v>
    <v>LUMEN TECHNOLOGIES, INC.</v>
    <v>1.39</v>
    <v>1.375</v>
    <v>P O BOX 4065, 100 CENTURYLINK DR, MONROE, LA, 71203 US</v>
    <v>Telecommunications Services</v>
    <v>LUMN</v>
    <v>Ações</v>
    <v>LUMEN TECHNOLOGIES, INC. (XNYS:LUMN)</v>
    <v>-8.5000000000000006E-2</v>
    <v>-5.8219E-2</v>
    <v>2725673</v>
  </rv>
  <rv s="2">
    <v>18</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4">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4">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spbArrays>
  <spbData count="17">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0</v>
      <v>Name</v>
      <v>LearnMoreOnLink</v>
    </spb>
    <spb s="2">
      <v>0</v>
      <v>0</v>
      <v>0</v>
    </spb>
    <spb s="3">
      <v>2</v>
      <v>2</v>
      <v>2</v>
      <v>2</v>
    </spb>
    <spb s="4">
      <v>1</v>
      <v>2</v>
      <v>2</v>
      <v>1</v>
      <v>3</v>
      <v>1</v>
      <v>1</v>
      <v>1</v>
      <v>4</v>
      <v>4</v>
      <v>5</v>
      <v>6</v>
      <v>1</v>
      <v>1</v>
      <v>1</v>
      <v>4</v>
      <v>7</v>
      <v>8</v>
      <v>9</v>
      <v>4</v>
    </spb>
    <spb s="5">
      <v>Real-Time Nasdaq Last Sale</v>
      <v>from previous close</v>
      <v>from previous close</v>
      <v>Source: Nasdaq Last Sale</v>
      <v>GMT</v>
    </spb>
    <spb s="6">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2</v>
      <v>1</v>
      <v>2</v>
      <v>3</v>
      <v>1</v>
      <v>1</v>
      <v>4</v>
      <v>1</v>
      <v>1</v>
      <v>4</v>
      <v>5</v>
      <v>4</v>
      <v>9</v>
      <v>1</v>
      <v>1</v>
      <v>8</v>
      <v>4</v>
      <v>1</v>
      <v>6</v>
      <v>7</v>
    </spb>
    <spb s="8">
      <v>Tempo Real Nasdaq Última venda</v>
      <v xml:space="preserve">do fechamento anterior </v>
      <v>Origem : Nasdaq Última venda</v>
      <v xml:space="preserve">do fechamento anterior </v>
      <v>GMT</v>
    </spb>
    <spb s="9">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0">
      <v>1</v>
      <v>2</v>
      <v>3</v>
      <v>1</v>
      <v>1</v>
      <v>4</v>
      <v>1</v>
      <v>1</v>
      <v>4</v>
      <v>5</v>
      <v>4</v>
      <v>9</v>
      <v>1</v>
      <v>1</v>
      <v>8</v>
      <v>4</v>
      <v>1</v>
      <v>6</v>
      <v>7</v>
    </spb>
    <spb s="11">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spb>
    <spb s="1">
      <v>3</v>
      <v>Name</v>
      <v>LearnMoreOnLink</v>
    </spb>
    <spb s="12">
      <v>2</v>
      <v>1</v>
      <v>2</v>
      <v>3</v>
      <v>1</v>
      <v>1</v>
      <v>4</v>
      <v>1</v>
      <v>1</v>
      <v>4</v>
      <v>5</v>
      <v>4</v>
      <v>9</v>
      <v>1</v>
      <v>1</v>
      <v>8</v>
      <v>4</v>
      <v>1</v>
      <v>6</v>
      <v>7</v>
      <v>1</v>
    </spb>
    <spb s="13">
      <v xml:space="preserve">no fechamento </v>
      <v xml:space="preserve">do fechamento anterior </v>
      <v>Origem : Nasdaq</v>
      <v xml:space="preserve">do fechamento anterior </v>
      <v>GMT</v>
      <v>Atraso de 15 minutos</v>
    </spb>
  </spbData>
</supportingPropertyBags>
</file>

<file path=xl/richData/rdsupportingpropertybagstructure.xml><?xml version="1.0" encoding="utf-8"?>
<spbStructures xmlns="http://schemas.microsoft.com/office/spreadsheetml/2017/richdata2" count="14">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s>
  <s>
    <k n="Preço" t="s"/>
    <k n="Variação" t="s"/>
    <k n="ExchangeID" t="s"/>
    <k n="Variação (%)" t="s"/>
    <k n="Hora da última transação" t="s"/>
    <k n="Preço (Horário prolongad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yyyy/m/d\ h:mm"/>
    </x:dxf>
    <x:dxf>
      <x:numFmt numFmtId="0" formatCode="General"/>
    </x:dxf>
  </dxfs>
  <richProperties>
    <rPr n="NumberFormat" t="s"/>
    <rPr n="IsTitleField" t="b"/>
  </richProperties>
  <richStyles>
    <rSty dxfid="6">
      <rpv i="0">_([$$-en-US]* #,##0.00_);_([$$-en-US]* (#,##0.00);_([$$-en-US]* "-"??_);_(@_)</rpv>
    </rSty>
    <rSty dxfid="0">
      <rpv i="0">#,##0.00</rpv>
    </rSty>
    <rSty>
      <rpv i="1">1</rpv>
    </rSty>
    <rSty dxfid="1">
      <rpv i="0">#,##0</rpv>
    </rSty>
    <rSty dxfid="2"/>
    <rSty dxfid="6">
      <rpv i="0">_([$$-en-US]* #,##0_);_([$$-en-US]* (#,##0);_([$$-en-US]* "-"_);_(@_)</rpv>
    </rSty>
    <rSty dxfid="5"/>
    <rSty dxfid="4">
      <rpv i="0">0</rpv>
    </rSty>
    <rSty dxfid="3">
      <rpv i="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statista.com/outlook/tmo/communication-services/worldwide" TargetMode="External"/><Relationship Id="rId7" Type="http://schemas.openxmlformats.org/officeDocument/2006/relationships/hyperlink" Target="https://www.transparencymarketresearch.com/telecommunication-market.html" TargetMode="External"/><Relationship Id="rId2" Type="http://schemas.openxmlformats.org/officeDocument/2006/relationships/hyperlink" Target="https://www.statista.com/outlook/tmo/communication-services/worldwide" TargetMode="External"/><Relationship Id="rId1" Type="http://schemas.openxmlformats.org/officeDocument/2006/relationships/hyperlink" Target="https://www.grandviewresearch.com/industry-analysis/global-telecom-services-market" TargetMode="External"/><Relationship Id="rId6" Type="http://schemas.openxmlformats.org/officeDocument/2006/relationships/hyperlink" Target="https://www.transparencymarketresearch.com/telecommunication-market.html" TargetMode="External"/><Relationship Id="rId11" Type="http://schemas.openxmlformats.org/officeDocument/2006/relationships/comments" Target="../comments2.xml"/><Relationship Id="rId5" Type="http://schemas.openxmlformats.org/officeDocument/2006/relationships/hyperlink" Target="https://www.analysysmason.com/research/content/regional-forecasts-/global-telecoms-forecast-rddg0/" TargetMode="External"/><Relationship Id="rId10" Type="http://schemas.openxmlformats.org/officeDocument/2006/relationships/vmlDrawing" Target="../drawings/vmlDrawing2.vml"/><Relationship Id="rId4" Type="http://schemas.openxmlformats.org/officeDocument/2006/relationships/hyperlink" Target="https://www.analysysmason.com/research/content/regional-forecasts-/global-telecoms-forecast-rddg0/"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6"/>
  <sheetViews>
    <sheetView showGridLines="0" topLeftCell="A44" zoomScale="55" zoomScaleNormal="55" workbookViewId="0">
      <selection activeCell="L55" sqref="L55"/>
    </sheetView>
  </sheetViews>
  <sheetFormatPr defaultColWidth="11.42578125" defaultRowHeight="12.75"/>
  <cols>
    <col min="1" max="1" width="0.42578125" customWidth="1"/>
    <col min="2" max="2" width="21.140625" bestFit="1" customWidth="1"/>
    <col min="3" max="3" width="23.42578125" customWidth="1"/>
    <col min="4" max="4" width="32" customWidth="1"/>
    <col min="5" max="5" width="20.42578125" bestFit="1" customWidth="1"/>
    <col min="6" max="6" width="17" bestFit="1" customWidth="1"/>
    <col min="7" max="7" width="13.42578125" bestFit="1" customWidth="1"/>
    <col min="8" max="8" width="24.85546875" customWidth="1"/>
    <col min="9" max="9" width="17.140625" customWidth="1"/>
    <col min="10" max="10" width="10.42578125" customWidth="1"/>
    <col min="11" max="11" width="13.7109375" customWidth="1"/>
    <col min="12" max="12" width="20.85546875" bestFit="1" customWidth="1"/>
    <col min="13" max="13" width="31" customWidth="1"/>
  </cols>
  <sheetData>
    <row r="1" spans="2:17" ht="3.75" customHeight="1" thickBot="1"/>
    <row r="2" spans="2:17" ht="22.5" customHeight="1">
      <c r="B2" s="339">
        <v>45252</v>
      </c>
      <c r="C2" s="275" t="s">
        <v>0</v>
      </c>
      <c r="D2" s="340">
        <v>44949</v>
      </c>
      <c r="E2" s="935" t="e" vm="1">
        <f>Inputs!H3</f>
        <v>#VALUE!</v>
      </c>
      <c r="F2" s="936"/>
      <c r="G2" s="936"/>
      <c r="H2" s="936"/>
      <c r="I2" s="936"/>
      <c r="J2" s="936"/>
      <c r="K2" s="937"/>
      <c r="L2" s="276" t="s">
        <v>1</v>
      </c>
      <c r="M2" s="380" t="s">
        <v>2</v>
      </c>
    </row>
    <row r="3" spans="2:17" ht="26.25" customHeight="1">
      <c r="B3" s="986"/>
      <c r="C3" s="987"/>
      <c r="D3" s="946" t="s">
        <v>3</v>
      </c>
      <c r="E3" s="946"/>
      <c r="F3" s="946"/>
      <c r="G3" s="946"/>
      <c r="H3" s="946" t="s">
        <v>4</v>
      </c>
      <c r="I3" s="946"/>
      <c r="J3" s="946"/>
      <c r="K3" s="946"/>
      <c r="L3" s="946"/>
      <c r="M3" s="971"/>
    </row>
    <row r="4" spans="2:17" ht="13.15">
      <c r="B4" s="986"/>
      <c r="C4" s="987"/>
      <c r="D4" s="945" t="str" cm="1">
        <f t="array" ref="D4">_FV(Inputs!H3,"Description")</f>
        <v>Verizon Communications Inc. is a holding company. The Company, through its subsidiaries, provides communications, information and entertainment products and services to consumers, businesses and governmental agencies. Its reportable segments are Verizon Consumer Group and Verizon Business Group. Its Consumer segment provides wireless and wireline communications services. Its wireless services are provided across wireless networks in the United States (U.S.) under the Verizon brands. Its wireline services are provided in nine states in the Mid-Atlantic and Northeastern U.S., as well as Washington D.C., over its fiber-optic network under the Fios brand and over a traditional copper-based network. Its Business segment provides wireless and wireline communications services and products, including data, video and conferencing services, security and managed network services, local and long-distance voice services and network access to deliver various Internet of Things services and products.</v>
      </c>
      <c r="E4" s="945"/>
      <c r="F4" s="945"/>
      <c r="G4" s="945"/>
      <c r="H4" s="130" t="s">
        <v>5</v>
      </c>
      <c r="I4" s="131" t="s">
        <v>6</v>
      </c>
      <c r="J4" s="131" t="s">
        <v>7</v>
      </c>
      <c r="K4" s="131" t="s">
        <v>8</v>
      </c>
      <c r="L4" s="131" t="s">
        <v>9</v>
      </c>
      <c r="M4" s="132" t="s">
        <v>10</v>
      </c>
    </row>
    <row r="5" spans="2:17" ht="38.25">
      <c r="B5" s="986"/>
      <c r="C5" s="987"/>
      <c r="D5" s="945"/>
      <c r="E5" s="945"/>
      <c r="F5" s="945"/>
      <c r="G5" s="945"/>
      <c r="H5" s="133" t="s">
        <v>11</v>
      </c>
      <c r="I5" s="324" t="s">
        <v>12</v>
      </c>
      <c r="J5" s="324">
        <v>57</v>
      </c>
      <c r="K5" s="324">
        <v>5</v>
      </c>
      <c r="L5" s="324" t="s">
        <v>13</v>
      </c>
      <c r="M5" s="379" t="s">
        <v>14</v>
      </c>
    </row>
    <row r="6" spans="2:17" ht="25.5">
      <c r="B6" s="986"/>
      <c r="C6" s="987"/>
      <c r="D6" s="945"/>
      <c r="E6" s="945"/>
      <c r="F6" s="945"/>
      <c r="G6" s="945"/>
      <c r="H6" s="133" t="s">
        <v>15</v>
      </c>
      <c r="I6" s="324" t="s">
        <v>12</v>
      </c>
      <c r="J6" s="324">
        <v>67</v>
      </c>
      <c r="K6" s="324">
        <v>17</v>
      </c>
      <c r="L6" s="324" t="s">
        <v>16</v>
      </c>
      <c r="M6" s="379" t="s">
        <v>17</v>
      </c>
    </row>
    <row r="7" spans="2:17" ht="23.25">
      <c r="B7" s="986"/>
      <c r="C7" s="987"/>
      <c r="D7" s="945"/>
      <c r="E7" s="945"/>
      <c r="F7" s="945"/>
      <c r="G7" s="945"/>
      <c r="H7" s="133" t="s">
        <v>18</v>
      </c>
      <c r="I7" s="324" t="s">
        <v>19</v>
      </c>
      <c r="J7" s="324">
        <v>61</v>
      </c>
      <c r="K7" s="324">
        <v>10</v>
      </c>
      <c r="L7" s="324" t="s">
        <v>16</v>
      </c>
      <c r="M7" s="277" t="s">
        <v>20</v>
      </c>
    </row>
    <row r="8" spans="2:17" ht="25.5">
      <c r="B8" s="986"/>
      <c r="C8" s="987"/>
      <c r="D8" s="945"/>
      <c r="E8" s="945"/>
      <c r="F8" s="945"/>
      <c r="G8" s="945"/>
      <c r="H8" s="133" t="s">
        <v>21</v>
      </c>
      <c r="I8" s="324" t="s">
        <v>19</v>
      </c>
      <c r="J8" s="324">
        <v>61</v>
      </c>
      <c r="K8" s="324">
        <v>3</v>
      </c>
      <c r="L8" s="324" t="s">
        <v>16</v>
      </c>
      <c r="M8" s="379" t="s">
        <v>22</v>
      </c>
    </row>
    <row r="9" spans="2:17" ht="25.5">
      <c r="B9" s="986"/>
      <c r="C9" s="987"/>
      <c r="D9" s="945"/>
      <c r="E9" s="945"/>
      <c r="F9" s="945"/>
      <c r="G9" s="945"/>
      <c r="H9" s="133" t="s">
        <v>23</v>
      </c>
      <c r="I9" s="324" t="s">
        <v>12</v>
      </c>
      <c r="J9" s="324">
        <v>67</v>
      </c>
      <c r="K9" s="324">
        <v>8</v>
      </c>
      <c r="L9" s="324" t="s">
        <v>16</v>
      </c>
      <c r="M9" s="379" t="s">
        <v>24</v>
      </c>
    </row>
    <row r="10" spans="2:17" ht="34.9">
      <c r="B10" s="986"/>
      <c r="C10" s="987"/>
      <c r="D10" s="945"/>
      <c r="E10" s="945"/>
      <c r="F10" s="945"/>
      <c r="G10" s="945"/>
      <c r="H10" s="133" t="s">
        <v>25</v>
      </c>
      <c r="I10" s="324" t="s">
        <v>12</v>
      </c>
      <c r="J10" s="324">
        <v>61</v>
      </c>
      <c r="K10" s="324">
        <v>1</v>
      </c>
      <c r="L10" s="324" t="s">
        <v>16</v>
      </c>
      <c r="M10" s="277" t="s">
        <v>26</v>
      </c>
    </row>
    <row r="11" spans="2:17" ht="23.25">
      <c r="B11" s="986"/>
      <c r="C11" s="987"/>
      <c r="D11" s="945"/>
      <c r="E11" s="945"/>
      <c r="F11" s="945"/>
      <c r="G11" s="945"/>
      <c r="H11" s="133" t="s">
        <v>27</v>
      </c>
      <c r="I11" s="324" t="s">
        <v>19</v>
      </c>
      <c r="J11" s="324">
        <v>62</v>
      </c>
      <c r="K11" s="324">
        <v>12</v>
      </c>
      <c r="L11" s="324" t="s">
        <v>16</v>
      </c>
      <c r="M11" s="277" t="s">
        <v>28</v>
      </c>
    </row>
    <row r="12" spans="2:17" ht="23.25">
      <c r="B12" s="986"/>
      <c r="C12" s="987"/>
      <c r="D12" s="945"/>
      <c r="E12" s="945"/>
      <c r="F12" s="945"/>
      <c r="G12" s="945"/>
      <c r="H12" s="133" t="s">
        <v>29</v>
      </c>
      <c r="I12" s="324" t="s">
        <v>12</v>
      </c>
      <c r="J12" s="324">
        <v>56</v>
      </c>
      <c r="K12" s="324">
        <v>2</v>
      </c>
      <c r="L12" s="324" t="s">
        <v>16</v>
      </c>
      <c r="M12" s="277" t="s">
        <v>30</v>
      </c>
      <c r="P12" s="341"/>
    </row>
    <row r="13" spans="2:17" ht="25.5">
      <c r="B13" s="986"/>
      <c r="C13" s="987"/>
      <c r="D13" s="945"/>
      <c r="E13" s="945"/>
      <c r="F13" s="945"/>
      <c r="G13" s="945"/>
      <c r="H13" s="133" t="s">
        <v>31</v>
      </c>
      <c r="I13" s="324" t="s">
        <v>12</v>
      </c>
      <c r="J13" s="324">
        <v>65</v>
      </c>
      <c r="K13" s="324">
        <v>5</v>
      </c>
      <c r="L13" s="324" t="s">
        <v>16</v>
      </c>
      <c r="M13" s="379" t="s">
        <v>32</v>
      </c>
    </row>
    <row r="14" spans="2:17" ht="24" customHeight="1">
      <c r="B14" s="986"/>
      <c r="C14" s="987"/>
      <c r="D14" s="945"/>
      <c r="E14" s="945"/>
      <c r="F14" s="945"/>
      <c r="G14" s="945"/>
      <c r="H14" s="133" t="s">
        <v>33</v>
      </c>
      <c r="I14" s="324" t="s">
        <v>12</v>
      </c>
      <c r="J14" s="324">
        <v>68</v>
      </c>
      <c r="K14" s="324">
        <v>13</v>
      </c>
      <c r="L14" s="324" t="s">
        <v>16</v>
      </c>
      <c r="M14" s="277" t="s">
        <v>34</v>
      </c>
      <c r="Q14" s="278"/>
    </row>
    <row r="15" spans="2:17" ht="25.5" customHeight="1">
      <c r="B15" s="986"/>
      <c r="C15" s="987"/>
      <c r="D15" s="945"/>
      <c r="E15" s="945"/>
      <c r="F15" s="945"/>
      <c r="G15" s="945"/>
      <c r="H15" s="133" t="s">
        <v>35</v>
      </c>
      <c r="I15" s="324" t="s">
        <v>19</v>
      </c>
      <c r="J15" s="324">
        <v>66</v>
      </c>
      <c r="K15" s="324">
        <v>2</v>
      </c>
      <c r="L15" s="324" t="s">
        <v>16</v>
      </c>
      <c r="M15" s="277" t="s">
        <v>36</v>
      </c>
    </row>
    <row r="16" spans="2:17" ht="23.25">
      <c r="B16" s="986" t="s">
        <v>37</v>
      </c>
      <c r="C16" s="987"/>
      <c r="D16" s="945"/>
      <c r="E16" s="945"/>
      <c r="F16" s="945"/>
      <c r="G16" s="945"/>
      <c r="H16" s="133" t="s">
        <v>38</v>
      </c>
      <c r="I16" s="325" t="s">
        <v>12</v>
      </c>
      <c r="J16" s="324">
        <v>70</v>
      </c>
      <c r="K16" s="324">
        <v>8</v>
      </c>
      <c r="L16" s="324" t="s">
        <v>16</v>
      </c>
      <c r="M16" s="277" t="s">
        <v>39</v>
      </c>
    </row>
    <row r="17" spans="2:13" ht="17.649999999999999">
      <c r="B17" s="853" t="s">
        <v>40</v>
      </c>
      <c r="C17" s="854"/>
      <c r="D17" s="854"/>
      <c r="E17" s="854"/>
      <c r="F17" s="854"/>
      <c r="G17" s="854"/>
      <c r="H17" s="854"/>
      <c r="I17" s="854"/>
      <c r="J17" s="854"/>
      <c r="K17" s="854"/>
      <c r="L17" s="854"/>
      <c r="M17" s="855"/>
    </row>
    <row r="18" spans="2:13" ht="15">
      <c r="B18" s="924" t="s">
        <v>41</v>
      </c>
      <c r="C18" s="925"/>
      <c r="D18" s="922" t="s">
        <v>42</v>
      </c>
      <c r="E18" s="926"/>
      <c r="F18" s="930" t="s">
        <v>43</v>
      </c>
      <c r="G18" s="931"/>
      <c r="H18" s="932"/>
      <c r="I18" s="922" t="s">
        <v>44</v>
      </c>
      <c r="J18" s="929"/>
      <c r="K18" s="926"/>
      <c r="L18" s="922" t="s">
        <v>45</v>
      </c>
      <c r="M18" s="923"/>
    </row>
    <row r="19" spans="2:13" ht="13.15">
      <c r="B19" s="378" t="s">
        <v>46</v>
      </c>
      <c r="C19" s="145" cm="1">
        <f t="array" ref="C19">_FV(E2,"Price")</f>
        <v>40.335000000000001</v>
      </c>
      <c r="D19" s="13" t="s">
        <v>47</v>
      </c>
      <c r="E19" s="143">
        <f>_xlfn.XLOOKUP(D19,'Fin. Data'!A:A,'Fin. Data'!B:B,,0)</f>
        <v>379680</v>
      </c>
      <c r="F19" s="938" t="s">
        <v>48</v>
      </c>
      <c r="G19" s="939"/>
      <c r="H19" s="124" t="s">
        <v>49</v>
      </c>
      <c r="I19" t="s">
        <v>50</v>
      </c>
      <c r="J19" s="927">
        <v>2022</v>
      </c>
      <c r="K19" s="928"/>
      <c r="L19" s="12" t="s">
        <v>51</v>
      </c>
      <c r="M19" s="399">
        <f>100%-M20</f>
        <v>0.99970000000000003</v>
      </c>
    </row>
    <row r="20" spans="2:13" ht="12.75" customHeight="1">
      <c r="B20" s="378" t="s">
        <v>52</v>
      </c>
      <c r="C20" s="302" cm="1">
        <f t="array" ref="C20">_FV(E2,"Shares outstanding",TRUE)</f>
        <v>4204272000</v>
      </c>
      <c r="D20" s="12" t="s">
        <v>53</v>
      </c>
      <c r="E20" s="143">
        <f>_xlfn.XLOOKUP(D20,'Fin. Data'!A:A,'Fin. Data'!B:B,,0)</f>
        <v>288536</v>
      </c>
      <c r="F20" s="909" t="str">
        <f>Segments!C5</f>
        <v>United States (U.S.)</v>
      </c>
      <c r="G20" s="910"/>
      <c r="H20" s="18">
        <f>Segments!B5</f>
        <v>1</v>
      </c>
      <c r="I20" s="12" t="s">
        <v>54</v>
      </c>
      <c r="J20" s="942" t="s">
        <v>55</v>
      </c>
      <c r="K20" s="943"/>
      <c r="L20" s="12" t="s">
        <v>56</v>
      </c>
      <c r="M20" s="376">
        <v>2.9999999999999997E-4</v>
      </c>
    </row>
    <row r="21" spans="2:13" ht="12.75" customHeight="1">
      <c r="B21" s="378" t="s">
        <v>57</v>
      </c>
      <c r="C21" s="57">
        <f>C19*C20/1000000</f>
        <v>169579.31112</v>
      </c>
      <c r="D21" s="12" t="s">
        <v>58</v>
      </c>
      <c r="E21" s="403">
        <f>_xlfn.XLOOKUP("Cash &amp; Eq.",'Fin. Data'!A:A,'Fin. Data'!B:B,,0)*1000000/C20</f>
        <v>0.61960786552344849</v>
      </c>
      <c r="F21" s="909"/>
      <c r="G21" s="910"/>
      <c r="H21" s="18"/>
      <c r="I21" s="918" t="s">
        <v>59</v>
      </c>
      <c r="J21" s="918"/>
      <c r="K21" s="143">
        <f>_xlfn.XLOOKUP(I21,'Fin. Data'!A:A,'Fin. Data'!B:B,,0)</f>
        <v>46193</v>
      </c>
      <c r="L21" s="8" t="s">
        <v>60</v>
      </c>
      <c r="M21" s="377">
        <v>0.33</v>
      </c>
    </row>
    <row r="22" spans="2:13" ht="12.75" customHeight="1">
      <c r="B22" s="375" t="s">
        <v>61</v>
      </c>
      <c r="C22" s="57">
        <f>'Fin. Data'!B58</f>
        <v>150639</v>
      </c>
      <c r="D22" s="12" t="s">
        <v>62</v>
      </c>
      <c r="E22" s="312">
        <f>'Fin. Data (Common Size)'!B19/(-'Fin. Data (Common Size)'!B14)</f>
        <v>12.94284113196974</v>
      </c>
      <c r="F22" s="909"/>
      <c r="G22" s="910"/>
      <c r="H22" s="18"/>
      <c r="I22" s="944" t="s">
        <v>63</v>
      </c>
      <c r="J22" s="944"/>
      <c r="K22" s="143">
        <f>_xlfn.XLOOKUP(I22,'Fin. Data'!A:A,'Fin. Data'!B:B,,0)</f>
        <v>17099</v>
      </c>
      <c r="L22" s="12" t="s">
        <v>64</v>
      </c>
      <c r="M22" s="377" t="s">
        <v>65</v>
      </c>
    </row>
    <row r="23" spans="2:13" ht="12.75" customHeight="1">
      <c r="B23" s="375" t="s">
        <v>66</v>
      </c>
      <c r="C23" s="57">
        <f>'Fin. Data'!B39</f>
        <v>2605</v>
      </c>
      <c r="D23" s="12" t="s">
        <v>67</v>
      </c>
      <c r="E23" s="312">
        <f>_xlfn.XLOOKUP("Total Debt",'Fin. Data'!A:A,'Fin. Data'!B:B,,0)/_xlfn.XLOOKUP("EBITDA",'Fin. Data'!A:A,'Fin. Data'!B:B,,0)</f>
        <v>3.2610785183902324</v>
      </c>
      <c r="F23" s="909"/>
      <c r="G23" s="910"/>
      <c r="H23" s="44"/>
      <c r="I23" s="944" t="s">
        <v>68</v>
      </c>
      <c r="J23" s="944"/>
      <c r="K23" s="143">
        <f>_xlfn.XLOOKUP(I23,'Fin. Data'!A:A,'Fin. Data'!B:B,,0)</f>
        <v>29094</v>
      </c>
      <c r="L23" s="12" t="s">
        <v>69</v>
      </c>
      <c r="M23" s="374">
        <f>IFERROR((C19*C20/(E19-E20))/1000000,"")</f>
        <v>1.8605647230755726</v>
      </c>
    </row>
    <row r="24" spans="2:13" ht="12.75" customHeight="1">
      <c r="B24" s="375" t="s">
        <v>70</v>
      </c>
      <c r="C24" s="57">
        <f>C21+C22-C23</f>
        <v>317613.31111999997</v>
      </c>
      <c r="D24" s="12" t="s">
        <v>71</v>
      </c>
      <c r="E24" s="312">
        <f>_xlfn.XLOOKUP("Other Assets",'Fin. Data'!A:A,'Fin. Data'!B:B,,0)/_xlfn.XLOOKUP("Total Assets",'Fin. Data'!A:A,'Fin. Data'!B:B,,0)</f>
        <v>0.49888327012220818</v>
      </c>
      <c r="F24" s="933"/>
      <c r="G24" s="934"/>
      <c r="H24" s="17"/>
      <c r="I24" s="918" t="s">
        <v>72</v>
      </c>
      <c r="J24" s="918"/>
      <c r="K24" s="143">
        <f>_xlfn.XLOOKUP(I24,'Fin. Data'!A:A,'Fin. Data'!B:B,,0)</f>
        <v>21748</v>
      </c>
      <c r="L24" s="12" t="s">
        <v>73</v>
      </c>
      <c r="M24" s="373">
        <f>IFERROR(K30/E19,"")</f>
        <v>5.5058645877229952E-2</v>
      </c>
    </row>
    <row r="25" spans="2:13" ht="12.75" customHeight="1">
      <c r="B25" s="375" t="s">
        <v>74</v>
      </c>
      <c r="C25" s="146" t="s">
        <v>75</v>
      </c>
      <c r="D25" s="12" t="s">
        <v>76</v>
      </c>
      <c r="E25" s="312">
        <f>_xlfn.XLOOKUP(D25,'Fin. Data'!A:A,'Fin. Data'!B:B,,0)</f>
        <v>0.3967525284450063</v>
      </c>
      <c r="F25" s="940" t="s">
        <v>77</v>
      </c>
      <c r="G25" s="941"/>
      <c r="H25" s="125" t="s">
        <v>49</v>
      </c>
      <c r="I25" s="918" t="s">
        <v>78</v>
      </c>
      <c r="J25" s="918"/>
      <c r="K25" s="88">
        <f>1000000*K24/C20</f>
        <v>5.1728337272184106</v>
      </c>
      <c r="L25" s="12" t="s">
        <v>79</v>
      </c>
      <c r="M25" s="372">
        <f>IFERROR(C21/K29,"")</f>
        <v>8.1120313384571219</v>
      </c>
    </row>
    <row r="26" spans="2:13" ht="12.75" customHeight="1">
      <c r="B26" s="378" t="s">
        <v>80</v>
      </c>
      <c r="C26" s="147" t="s">
        <v>75</v>
      </c>
      <c r="D26" s="12" t="s">
        <v>81</v>
      </c>
      <c r="E26" s="144">
        <f>AVERAGE(_xlfn.XLOOKUP("EBITDA Margin",'Fin. Data'!A:A,'Fin. Data'!B:D,,0))</f>
        <v>0.3529133245828735</v>
      </c>
      <c r="F26" s="909" t="str">
        <f>Segments!C11</f>
        <v>Verizon Consumer Group</v>
      </c>
      <c r="G26" s="910"/>
      <c r="H26" s="18">
        <f>Segments!B11</f>
        <v>0.75499689406949977</v>
      </c>
      <c r="I26" s="918" t="s">
        <v>82</v>
      </c>
      <c r="J26" s="918"/>
      <c r="K26" s="89">
        <f>K24/E19</f>
        <v>5.7279814580699535E-2</v>
      </c>
      <c r="L26" s="12" t="s">
        <v>83</v>
      </c>
      <c r="M26" s="371">
        <f>IFERROR(C24/E19,"")</f>
        <v>0.83652894837758107</v>
      </c>
    </row>
    <row r="27" spans="2:13" ht="12.75" customHeight="1">
      <c r="B27" s="378" t="s">
        <v>84</v>
      </c>
      <c r="C27" s="19">
        <v>9.7999999999999997E-3</v>
      </c>
      <c r="D27" s="12" t="s">
        <v>85</v>
      </c>
      <c r="E27" s="144">
        <f>AVERAGE(_xlfn.XLOOKUP("Operating Margin",'Fin. Data'!A:A,'Fin. Data'!B:D,,0))</f>
        <v>0.22999264695543686</v>
      </c>
      <c r="F27" s="909" t="str">
        <f>Segments!C12</f>
        <v>Verizon Business Group</v>
      </c>
      <c r="G27" s="910"/>
      <c r="H27" s="18">
        <f>Segments!B12</f>
        <v>0.2270033251726532</v>
      </c>
      <c r="I27" s="918" t="s">
        <v>86</v>
      </c>
      <c r="J27" s="918"/>
      <c r="K27" s="89">
        <f>K24/(E19-(E20-C22))</f>
        <v>8.994842482722111E-2</v>
      </c>
      <c r="L27" s="12" t="s">
        <v>87</v>
      </c>
      <c r="M27" s="371">
        <f>IFERROR(C24/K28,"")</f>
        <v>6.7751724891742562</v>
      </c>
    </row>
    <row r="28" spans="2:13" ht="15">
      <c r="B28" s="924" t="s">
        <v>88</v>
      </c>
      <c r="C28" s="925"/>
      <c r="D28" s="12" t="s">
        <v>89</v>
      </c>
      <c r="E28" s="144">
        <f>AVERAGE(_xlfn.XLOOKUP("Net Income Margin",'Fin. Data'!A:A,'Fin. Data'!B:D,,0))</f>
        <v>0.15707779047815787</v>
      </c>
      <c r="F28" s="909" t="str">
        <f>Segments!C13</f>
        <v>Corporate and other</v>
      </c>
      <c r="G28" s="910"/>
      <c r="H28" s="18">
        <f>Segments!B13</f>
        <v>1.7999780757847042E-2</v>
      </c>
      <c r="I28" s="918" t="s">
        <v>90</v>
      </c>
      <c r="J28" s="918"/>
      <c r="K28" s="143">
        <f>AVERAGE(_xlfn.XLOOKUP("EBITDA",'Fin. Data'!A:A,'Fin. Data'!B:D,,0))</f>
        <v>46879</v>
      </c>
      <c r="L28" s="12" t="s">
        <v>91</v>
      </c>
      <c r="M28" s="372">
        <f>IFERROR(C21/K30,"")</f>
        <v>8.1120313384571219</v>
      </c>
    </row>
    <row r="29" spans="2:13" ht="12.75" customHeight="1">
      <c r="B29" s="9" t="s">
        <v>92</v>
      </c>
      <c r="C29" s="826"/>
      <c r="D29" s="518"/>
      <c r="E29" s="152"/>
      <c r="F29" s="909"/>
      <c r="G29" s="910"/>
      <c r="H29" s="18"/>
      <c r="I29" s="918" t="s">
        <v>93</v>
      </c>
      <c r="J29" s="918"/>
      <c r="K29" s="143">
        <f>AVERAGE(_xlfn.XLOOKUP("Net Income",'Fin. Data'!A:A,'Fin. Data'!B:D,,0))</f>
        <v>20904.666666666668</v>
      </c>
      <c r="L29" s="12" t="s">
        <v>94</v>
      </c>
      <c r="M29" s="370" t="s">
        <v>75</v>
      </c>
    </row>
    <row r="30" spans="2:13" ht="12.75" customHeight="1">
      <c r="B30" s="9" t="s">
        <v>95</v>
      </c>
      <c r="C30" s="766"/>
      <c r="D30" s="12" t="s">
        <v>96</v>
      </c>
      <c r="E30" s="410">
        <f>-_xlfn.XLOOKUP("Net Financial Cost",'Fin. Data'!A:A,'Fin. Data'!B:B,,0)/AVERAGE(_xlfn.XLOOKUP("Net Debt",'Fin. Data'!A:A,'Fin. Data'!B:D,,0))</f>
        <v>2.6576679441609248E-2</v>
      </c>
      <c r="F30" s="909"/>
      <c r="G30" s="910"/>
      <c r="H30" s="18"/>
      <c r="I30" s="918" t="s">
        <v>97</v>
      </c>
      <c r="J30" s="918"/>
      <c r="K30" s="143">
        <f>AVERAGE(_xlfn.XLOOKUP("Net Income",'Fin. Data'!A:A,'Fin. Data'!B:D,,0))</f>
        <v>20904.666666666668</v>
      </c>
      <c r="L30" s="12" t="s">
        <v>98</v>
      </c>
      <c r="M30" s="369">
        <f>-IFERROR(SUM(E51:E53)/(3*C21),"")</f>
        <v>6.1882548824450018E-2</v>
      </c>
    </row>
    <row r="31" spans="2:13" ht="12.6" customHeight="1">
      <c r="B31" s="9" t="s">
        <v>99</v>
      </c>
      <c r="C31" s="767"/>
      <c r="D31" s="149"/>
      <c r="E31" s="151"/>
      <c r="F31" s="907"/>
      <c r="G31" s="908"/>
      <c r="H31" s="20"/>
      <c r="I31" s="149"/>
      <c r="J31" s="150"/>
      <c r="K31" s="150"/>
      <c r="L31" s="12" t="s">
        <v>100</v>
      </c>
      <c r="M31" s="368">
        <f>IFERROR(L52/C21,"")</f>
        <v>6.3716498956373394E-2</v>
      </c>
    </row>
    <row r="32" spans="2:13" ht="18" thickBot="1">
      <c r="B32" s="853" t="s">
        <v>101</v>
      </c>
      <c r="C32" s="854"/>
      <c r="D32" s="854"/>
      <c r="E32" s="854"/>
      <c r="F32" s="854"/>
      <c r="G32" s="854"/>
      <c r="H32" s="854"/>
      <c r="I32" s="854"/>
      <c r="J32" s="854"/>
      <c r="K32" s="854"/>
      <c r="L32" s="854"/>
      <c r="M32" s="855"/>
    </row>
    <row r="33" spans="1:19" ht="15.4" thickBot="1">
      <c r="B33" s="916" t="s">
        <v>102</v>
      </c>
      <c r="C33" s="917"/>
      <c r="D33" s="917"/>
      <c r="E33" s="917"/>
      <c r="F33" s="917"/>
      <c r="G33" s="917"/>
      <c r="H33" s="414" t="s">
        <v>103</v>
      </c>
      <c r="I33" s="919" t="s">
        <v>104</v>
      </c>
      <c r="J33" s="920"/>
      <c r="K33" s="920"/>
      <c r="L33" s="920"/>
      <c r="M33" s="921"/>
      <c r="N33" s="11"/>
    </row>
    <row r="34" spans="1:19" ht="13.35" customHeight="1" thickBot="1">
      <c r="A34" s="11"/>
      <c r="B34" s="415" t="s">
        <v>105</v>
      </c>
      <c r="C34" s="901" t="s">
        <v>106</v>
      </c>
      <c r="D34" s="902"/>
      <c r="E34" s="902"/>
      <c r="F34" s="902"/>
      <c r="G34" s="903"/>
      <c r="H34" s="911" t="s">
        <v>107</v>
      </c>
      <c r="I34" s="974" t="s">
        <v>108</v>
      </c>
      <c r="J34" s="975"/>
      <c r="K34" s="975"/>
      <c r="L34" s="975"/>
      <c r="M34" s="976"/>
    </row>
    <row r="35" spans="1:19" ht="24.6" customHeight="1" thickBot="1">
      <c r="A35" s="11"/>
      <c r="B35" s="416" t="s">
        <v>109</v>
      </c>
      <c r="C35" s="904" t="s">
        <v>110</v>
      </c>
      <c r="D35" s="905"/>
      <c r="E35" s="905"/>
      <c r="F35" s="905"/>
      <c r="G35" s="906"/>
      <c r="H35" s="911"/>
      <c r="I35" s="977"/>
      <c r="J35" s="978"/>
      <c r="K35" s="978"/>
      <c r="L35" s="978"/>
      <c r="M35" s="979"/>
    </row>
    <row r="36" spans="1:19" ht="42" customHeight="1" thickBot="1">
      <c r="A36" s="11"/>
      <c r="B36" s="756" t="s">
        <v>111</v>
      </c>
      <c r="C36" s="913" t="s">
        <v>112</v>
      </c>
      <c r="D36" s="914"/>
      <c r="E36" s="914"/>
      <c r="F36" s="914"/>
      <c r="G36" s="915"/>
      <c r="H36" s="911"/>
      <c r="I36" s="977"/>
      <c r="J36" s="978"/>
      <c r="K36" s="978"/>
      <c r="L36" s="978"/>
      <c r="M36" s="979"/>
    </row>
    <row r="37" spans="1:19" ht="39.75" customHeight="1" thickBot="1">
      <c r="B37" s="756" t="s">
        <v>113</v>
      </c>
      <c r="C37" s="913" t="s">
        <v>114</v>
      </c>
      <c r="D37" s="914"/>
      <c r="E37" s="914"/>
      <c r="F37" s="914"/>
      <c r="G37" s="915"/>
      <c r="H37" s="912"/>
      <c r="I37" s="980"/>
      <c r="J37" s="981"/>
      <c r="K37" s="981"/>
      <c r="L37" s="981"/>
      <c r="M37" s="982"/>
    </row>
    <row r="38" spans="1:19" ht="15.4" thickBot="1">
      <c r="B38" s="895" t="s">
        <v>115</v>
      </c>
      <c r="C38" s="896"/>
      <c r="D38" s="896"/>
      <c r="E38" s="896"/>
      <c r="F38" s="896"/>
      <c r="G38" s="897"/>
      <c r="H38" s="417" t="s">
        <v>116</v>
      </c>
      <c r="I38" s="983" t="s">
        <v>117</v>
      </c>
      <c r="J38" s="983"/>
      <c r="K38" s="983"/>
      <c r="L38" s="983"/>
      <c r="M38" s="984"/>
    </row>
    <row r="39" spans="1:19" ht="13.35" customHeight="1" thickBot="1">
      <c r="B39" s="418" t="s">
        <v>118</v>
      </c>
      <c r="C39" s="898" t="s">
        <v>106</v>
      </c>
      <c r="D39" s="899"/>
      <c r="E39" s="899"/>
      <c r="F39" s="899"/>
      <c r="G39" s="900"/>
      <c r="H39" s="882">
        <f>DCF!D74</f>
        <v>46.729073016637244</v>
      </c>
      <c r="I39" s="885" t="s">
        <v>119</v>
      </c>
      <c r="J39" s="887">
        <f>DCF!F50</f>
        <v>0.1041</v>
      </c>
      <c r="K39" s="888"/>
      <c r="L39" s="891" t="s">
        <v>120</v>
      </c>
      <c r="M39" s="893">
        <f>DCF!D73</f>
        <v>0.15852418536351176</v>
      </c>
    </row>
    <row r="40" spans="1:19" ht="28.5" customHeight="1" thickBot="1">
      <c r="B40" s="543" t="s">
        <v>121</v>
      </c>
      <c r="C40" s="836" t="s">
        <v>122</v>
      </c>
      <c r="D40" s="837"/>
      <c r="E40" s="837"/>
      <c r="F40" s="837"/>
      <c r="G40" s="838"/>
      <c r="H40" s="883"/>
      <c r="I40" s="885"/>
      <c r="J40" s="887"/>
      <c r="K40" s="888"/>
      <c r="L40" s="891"/>
      <c r="M40" s="893"/>
    </row>
    <row r="41" spans="1:19" ht="39" customHeight="1" thickBot="1">
      <c r="B41" s="544" t="s">
        <v>123</v>
      </c>
      <c r="C41" s="985" t="s">
        <v>124</v>
      </c>
      <c r="D41" s="840"/>
      <c r="E41" s="840"/>
      <c r="F41" s="840"/>
      <c r="G41" s="841"/>
      <c r="H41" s="883"/>
      <c r="I41" s="885"/>
      <c r="J41" s="887"/>
      <c r="K41" s="888"/>
      <c r="L41" s="891"/>
      <c r="M41" s="893"/>
    </row>
    <row r="42" spans="1:19" ht="38.25" customHeight="1" thickBot="1">
      <c r="B42" s="756" t="s">
        <v>125</v>
      </c>
      <c r="C42" s="839" t="s">
        <v>126</v>
      </c>
      <c r="D42" s="840"/>
      <c r="E42" s="840"/>
      <c r="F42" s="840"/>
      <c r="G42" s="841"/>
      <c r="H42" s="884"/>
      <c r="I42" s="886"/>
      <c r="J42" s="889"/>
      <c r="K42" s="890"/>
      <c r="L42" s="892"/>
      <c r="M42" s="894"/>
    </row>
    <row r="43" spans="1:19" ht="17.649999999999999">
      <c r="B43" s="853" t="s">
        <v>127</v>
      </c>
      <c r="C43" s="854"/>
      <c r="D43" s="854"/>
      <c r="E43" s="854"/>
      <c r="F43" s="854"/>
      <c r="G43" s="854"/>
      <c r="H43" s="854"/>
      <c r="I43" s="854"/>
      <c r="J43" s="854"/>
      <c r="K43" s="854"/>
      <c r="L43" s="854"/>
      <c r="M43" s="855"/>
    </row>
    <row r="44" spans="1:19" ht="13.15">
      <c r="B44" s="519" t="s">
        <v>128</v>
      </c>
      <c r="C44" s="134" t="s">
        <v>129</v>
      </c>
      <c r="D44" s="134" t="s">
        <v>130</v>
      </c>
      <c r="E44" s="156" t="s">
        <v>131</v>
      </c>
      <c r="F44" s="134" t="s">
        <v>132</v>
      </c>
      <c r="G44" s="134" t="s">
        <v>76</v>
      </c>
      <c r="H44" s="155" t="s">
        <v>63</v>
      </c>
      <c r="I44" s="155" t="s">
        <v>133</v>
      </c>
      <c r="J44" s="851" t="s">
        <v>134</v>
      </c>
      <c r="K44" s="851"/>
      <c r="L44" s="851"/>
      <c r="M44" s="852"/>
    </row>
    <row r="45" spans="1:19" ht="13.15">
      <c r="B45" s="520">
        <f t="shared" ref="B45:B51" si="0">B46-1</f>
        <v>2014</v>
      </c>
      <c r="C45" s="154" cm="1">
        <f t="array" ref="C45:C53">_xlfn.SORTBY(TRANSPOSE(_xlfn.XLOOKUP(C$44,'Fin. Data'!$A:$A,'Fin. Data'!$B:$J,,0)),$B$45:$B$53,-1)</f>
        <v>127079</v>
      </c>
      <c r="D45" s="127" cm="1">
        <f t="array" ref="D45:D53">_xlfn.SORTBY(TRANSPOSE(_xlfn.XLOOKUP(D$44,'Fin. Data'!$A:$A,'Fin. Data'!$B:$J,,0)),$B$45:$B$53,-1)</f>
        <v>0.15422689822866092</v>
      </c>
      <c r="E45" s="154" cm="1">
        <f t="array" ref="E45:E53">_xlfn.SORTBY(TRANSPOSE(_xlfn.XLOOKUP(E$44,'Fin. Data'!$A:$A,'Fin. Data'!$B:$J,,0)),$B$45:$B$53,-1)</f>
        <v>-7803</v>
      </c>
      <c r="F45" s="153">
        <f>Inputs!J77</f>
        <v>-42930</v>
      </c>
      <c r="G45" s="127" cm="1">
        <f t="array" ref="G45:G53">_xlfn.SORTBY(TRANSPOSE(_xlfn.XLOOKUP(G$44,'Fin. Data'!$A:$A,'Fin. Data'!$B:$J,,0)),$B$45:$B$53,-1)</f>
        <v>0.48694414829590399</v>
      </c>
      <c r="H45" s="154" cm="1">
        <f t="array" ref="H45:H53">_xlfn.SORTBY(TRANSPOSE(_xlfn.XLOOKUP(H$44,'Fin. Data'!$A:$A,'Fin. Data'!$B:$J,,0)),$B$45:$B$53,-1)</f>
        <v>16533</v>
      </c>
      <c r="I45" s="154" cm="1">
        <f t="array" ref="I45:I53">_xlfn.SORTBY(TRANSPOSE(_xlfn.XLOOKUP(I$44,'Fin. Data'!$A:$A,'Fin. Data'!$B:$J,,0)),$B$45:$B$53,-1)</f>
        <v>-17730</v>
      </c>
      <c r="J45" s="344"/>
      <c r="K45" s="149"/>
      <c r="L45" s="128">
        <f>J19</f>
        <v>2022</v>
      </c>
      <c r="M45" s="346">
        <f>L45-1</f>
        <v>2021</v>
      </c>
    </row>
    <row r="46" spans="1:19" ht="13.15">
      <c r="B46" s="520">
        <f t="shared" si="0"/>
        <v>2015</v>
      </c>
      <c r="C46" s="154">
        <v>131620</v>
      </c>
      <c r="D46" s="126">
        <v>0.25117763257863546</v>
      </c>
      <c r="E46" s="154">
        <v>-13672</v>
      </c>
      <c r="F46" s="153">
        <f>Inputs!I77</f>
        <v>-6128</v>
      </c>
      <c r="G46" s="127">
        <v>0.44938671035118255</v>
      </c>
      <c r="H46" s="154">
        <v>16017</v>
      </c>
      <c r="I46" s="154">
        <v>-31262</v>
      </c>
      <c r="J46" s="834" t="s">
        <v>72</v>
      </c>
      <c r="K46" s="835"/>
      <c r="L46" s="57">
        <f>_xlfn.XLOOKUP($J46,'Fin. Data'!$A:$A,'Fin. Data'!B:B,,0)</f>
        <v>21748</v>
      </c>
      <c r="M46" s="367">
        <f>_xlfn.XLOOKUP($J46,'Fin. Data'!$A:$A,'Fin. Data'!C:C,,0)</f>
        <v>22618</v>
      </c>
      <c r="N46" s="23">
        <f t="shared" ref="N46:N54" si="1">(C46/C45)-1</f>
        <v>3.5733677476215586E-2</v>
      </c>
      <c r="O46" s="23">
        <f t="shared" ref="O46:O54" si="2">(D46/D45)-1</f>
        <v>0.62862403033116032</v>
      </c>
      <c r="P46" s="22"/>
      <c r="Q46" s="21"/>
      <c r="R46" s="21"/>
      <c r="S46" s="21"/>
    </row>
    <row r="47" spans="1:19" ht="13.15">
      <c r="B47" s="520">
        <f t="shared" si="0"/>
        <v>2016</v>
      </c>
      <c r="C47" s="154">
        <v>125980</v>
      </c>
      <c r="D47" s="126">
        <v>0.21478806159707889</v>
      </c>
      <c r="E47" s="154">
        <v>-9262</v>
      </c>
      <c r="F47" s="153">
        <f>Inputs!H77</f>
        <v>-1561</v>
      </c>
      <c r="G47" s="127">
        <v>0.44261610287492831</v>
      </c>
      <c r="H47" s="154">
        <v>15928</v>
      </c>
      <c r="I47" s="154">
        <v>-21358</v>
      </c>
      <c r="J47" s="834" t="s">
        <v>135</v>
      </c>
      <c r="K47" s="835"/>
      <c r="L47" s="57">
        <f>_xlfn.XLOOKUP($J47,'Fin. Data'!$A:$A,'Fin. Data'!B:B,,0)</f>
        <v>37141</v>
      </c>
      <c r="M47" s="367">
        <f>_xlfn.XLOOKUP($J47,'Fin. Data'!$A:$A,'Fin. Data'!C:C,,0)</f>
        <v>39539</v>
      </c>
      <c r="N47" s="23">
        <f t="shared" si="1"/>
        <v>-4.2850630603251783E-2</v>
      </c>
      <c r="O47" s="23">
        <f t="shared" si="2"/>
        <v>-0.14487584188120006</v>
      </c>
      <c r="P47" s="22"/>
      <c r="Q47" s="21">
        <f t="shared" ref="Q47:Q53" si="3">F47/F46-1</f>
        <v>-0.74526762402088775</v>
      </c>
      <c r="R47" s="21">
        <f t="shared" ref="R47:S53" si="4">H47/H46-1</f>
        <v>-5.5565961166260669E-3</v>
      </c>
      <c r="S47" s="21">
        <f t="shared" si="4"/>
        <v>-0.31680634636299665</v>
      </c>
    </row>
    <row r="48" spans="1:19" ht="13.15">
      <c r="B48" s="520">
        <f t="shared" si="0"/>
        <v>2017</v>
      </c>
      <c r="C48" s="154">
        <v>126034</v>
      </c>
      <c r="D48" s="126">
        <v>0.21760001269498708</v>
      </c>
      <c r="E48" s="154">
        <v>-9472</v>
      </c>
      <c r="F48" s="153">
        <f>Inputs!G77</f>
        <v>-289</v>
      </c>
      <c r="G48" s="127">
        <v>0.4553691914615603</v>
      </c>
      <c r="H48" s="154">
        <v>16954</v>
      </c>
      <c r="I48" s="154">
        <v>-23710</v>
      </c>
      <c r="J48" s="834" t="s">
        <v>136</v>
      </c>
      <c r="K48" s="835"/>
      <c r="L48" s="57">
        <f>-_xlfn.XLOOKUP($J48,'Fin. Data'!$A:$A,'Fin. Data'!B:B,,0)</f>
        <v>28662</v>
      </c>
      <c r="M48" s="367">
        <f>-_xlfn.XLOOKUP($J48,'Fin. Data'!$A:$A,'Fin. Data'!C:C,,0)</f>
        <v>67153</v>
      </c>
      <c r="N48" s="23">
        <f t="shared" si="1"/>
        <v>4.2863946658200369E-4</v>
      </c>
      <c r="O48" s="23">
        <f t="shared" si="2"/>
        <v>1.3091747637180795E-2</v>
      </c>
      <c r="P48" s="22"/>
      <c r="Q48" s="21">
        <f t="shared" si="3"/>
        <v>-0.81486226777706605</v>
      </c>
      <c r="R48" s="21">
        <f t="shared" si="4"/>
        <v>6.441486690105469E-2</v>
      </c>
      <c r="S48" s="21">
        <f t="shared" si="4"/>
        <v>0.11012267066204706</v>
      </c>
    </row>
    <row r="49" spans="2:19" ht="13.15">
      <c r="B49" s="520">
        <f t="shared" si="0"/>
        <v>2018</v>
      </c>
      <c r="C49" s="154">
        <v>130863</v>
      </c>
      <c r="D49" s="126">
        <v>0.17023910501822517</v>
      </c>
      <c r="E49" s="154">
        <v>-9772</v>
      </c>
      <c r="F49" s="153">
        <f>Inputs!F77</f>
        <v>1028</v>
      </c>
      <c r="G49" s="127">
        <v>0.42692831978370949</v>
      </c>
      <c r="H49" s="154">
        <v>17403</v>
      </c>
      <c r="I49" s="154">
        <v>-18317</v>
      </c>
      <c r="J49" s="832" t="s">
        <v>137</v>
      </c>
      <c r="K49" s="833"/>
      <c r="L49" s="57">
        <f>-_xlfn.XLOOKUP($J49,'Fin. Data'!$A:$A,'Fin. Data'!B:B,,0)</f>
        <v>26740</v>
      </c>
      <c r="M49" s="367">
        <f>_xlfn.XLOOKUP($J49,'Fin. Data'!$A:$A,'Fin. Data'!C:C,,0)</f>
        <v>-67882</v>
      </c>
      <c r="N49" s="23">
        <f t="shared" si="1"/>
        <v>3.8315057841534772E-2</v>
      </c>
      <c r="O49" s="23">
        <f t="shared" si="2"/>
        <v>-0.21765121743420268</v>
      </c>
      <c r="P49" s="22"/>
      <c r="Q49" s="21">
        <f t="shared" si="3"/>
        <v>-4.5570934256055367</v>
      </c>
      <c r="R49" s="21">
        <f t="shared" si="4"/>
        <v>2.6483425740238209E-2</v>
      </c>
      <c r="S49" s="21">
        <f t="shared" si="4"/>
        <v>-0.22745676929565584</v>
      </c>
    </row>
    <row r="50" spans="2:19" ht="13.15">
      <c r="B50" s="520">
        <f t="shared" si="0"/>
        <v>2019</v>
      </c>
      <c r="C50" s="154">
        <v>131868</v>
      </c>
      <c r="D50" s="126">
        <v>0.23036673036673036</v>
      </c>
      <c r="E50" s="154">
        <v>-10016</v>
      </c>
      <c r="F50" s="153">
        <f>Inputs!E77</f>
        <v>1</v>
      </c>
      <c r="G50" s="127">
        <v>0.38216894562381953</v>
      </c>
      <c r="H50" s="154">
        <v>16682</v>
      </c>
      <c r="I50" s="154">
        <v>-18866</v>
      </c>
      <c r="J50" s="832" t="s">
        <v>138</v>
      </c>
      <c r="K50" s="833"/>
      <c r="L50" s="57">
        <f>-_xlfn.XLOOKUP($J50,'Fin. Data'!$A:$A,'Fin. Data'!B:B,,0)</f>
        <v>-248</v>
      </c>
      <c r="M50" s="367">
        <f>_xlfn.XLOOKUP($J50,'Fin. Data'!$A:$A,'Fin. Data'!C:C,,0)</f>
        <v>-4065</v>
      </c>
      <c r="N50" s="23">
        <f t="shared" si="1"/>
        <v>7.6797872584306592E-3</v>
      </c>
      <c r="O50" s="23">
        <f t="shared" si="2"/>
        <v>0.35319514480570224</v>
      </c>
      <c r="P50" s="22"/>
      <c r="Q50" s="21">
        <f t="shared" si="3"/>
        <v>-0.99902723735408561</v>
      </c>
      <c r="R50" s="21">
        <f t="shared" si="4"/>
        <v>-4.1429638568063032E-2</v>
      </c>
      <c r="S50" s="21">
        <f t="shared" si="4"/>
        <v>2.9972157012611245E-2</v>
      </c>
    </row>
    <row r="51" spans="2:19" ht="13.15">
      <c r="B51" s="520">
        <f t="shared" si="0"/>
        <v>2020</v>
      </c>
      <c r="C51" s="154">
        <v>128292</v>
      </c>
      <c r="D51" s="126">
        <v>0.22447229757116577</v>
      </c>
      <c r="E51" s="154">
        <v>-10232</v>
      </c>
      <c r="F51" s="153">
        <f>Inputs!D77</f>
        <v>19581</v>
      </c>
      <c r="G51" s="127">
        <v>0.40780331204716869</v>
      </c>
      <c r="H51" s="154">
        <v>16720</v>
      </c>
      <c r="I51" s="154">
        <v>-20838</v>
      </c>
      <c r="J51" s="834" t="s">
        <v>139</v>
      </c>
      <c r="K51" s="835"/>
      <c r="L51" s="57">
        <f>_xlfn.XLOOKUP($J51,'Fin. Data'!$A:$A,'Fin. Data'!B:B,,0)</f>
        <v>-8529</v>
      </c>
      <c r="M51" s="367">
        <f>_xlfn.XLOOKUP($J51,'Fin. Data'!$A:$A,'Fin. Data'!C:C,,0)</f>
        <v>8277</v>
      </c>
      <c r="N51" s="23">
        <f t="shared" si="1"/>
        <v>-2.7118027118027133E-2</v>
      </c>
      <c r="O51" s="23">
        <f t="shared" si="2"/>
        <v>-2.5587170448532204E-2</v>
      </c>
      <c r="P51" s="22"/>
      <c r="Q51" s="21">
        <f t="shared" si="3"/>
        <v>19580</v>
      </c>
      <c r="R51" s="21">
        <f t="shared" si="4"/>
        <v>2.277904328018332E-3</v>
      </c>
      <c r="S51" s="21">
        <f t="shared" si="4"/>
        <v>0.10452666171949532</v>
      </c>
    </row>
    <row r="52" spans="2:19" ht="13.15">
      <c r="B52" s="520">
        <f>B53-1</f>
        <v>2021</v>
      </c>
      <c r="C52" s="154">
        <v>133613</v>
      </c>
      <c r="D52" s="126">
        <v>0.24285062082282413</v>
      </c>
      <c r="E52" s="154">
        <v>-10445</v>
      </c>
      <c r="F52" s="153">
        <f>Inputs!C$77</f>
        <v>-19337</v>
      </c>
      <c r="G52" s="127">
        <v>0.41153749631747211</v>
      </c>
      <c r="H52" s="154">
        <v>16206</v>
      </c>
      <c r="I52" s="154">
        <v>-71947</v>
      </c>
      <c r="J52" s="832" t="s">
        <v>140</v>
      </c>
      <c r="K52" s="833"/>
      <c r="L52" s="57">
        <f>-_xlfn.XLOOKUP($J52,'Fin. Data'!$A:$A,'Fin. Data'!B:B,,0)</f>
        <v>10805</v>
      </c>
      <c r="M52" s="367">
        <f>_xlfn.XLOOKUP($J52,'Fin. Data'!$A:$A,'Fin. Data'!C:C,,0)</f>
        <v>-10445</v>
      </c>
      <c r="N52" s="23">
        <f>(C52/C51)-1</f>
        <v>4.1475696068344003E-2</v>
      </c>
      <c r="O52" s="23">
        <f t="shared" si="2"/>
        <v>8.1873458108262964E-2</v>
      </c>
      <c r="P52" s="22"/>
      <c r="Q52" s="21">
        <f t="shared" si="3"/>
        <v>-1.9875389408099688</v>
      </c>
      <c r="R52" s="21">
        <f t="shared" si="4"/>
        <v>-3.0741626794258403E-2</v>
      </c>
      <c r="S52" s="21">
        <f t="shared" si="4"/>
        <v>2.4526825990978023</v>
      </c>
    </row>
    <row r="53" spans="2:19" ht="13.15">
      <c r="B53" s="520">
        <f>J19</f>
        <v>2022</v>
      </c>
      <c r="C53" s="154">
        <v>136835</v>
      </c>
      <c r="D53" s="126">
        <v>0.22265502247232069</v>
      </c>
      <c r="E53" s="154">
        <v>-10805</v>
      </c>
      <c r="F53" s="153">
        <f>Inputs!B77</f>
        <v>-50</v>
      </c>
      <c r="G53" s="127">
        <v>0.3967525284450063</v>
      </c>
      <c r="H53" s="154">
        <v>17099</v>
      </c>
      <c r="I53" s="154">
        <v>-26492</v>
      </c>
      <c r="J53" s="832" t="s">
        <v>141</v>
      </c>
      <c r="K53" s="833"/>
      <c r="L53" s="57">
        <f>_xlfn.XLOOKUP($J53,'Fin. Data'!$A:$A,'Fin. Data'!B:B,,0)</f>
        <v>0</v>
      </c>
      <c r="M53" s="367">
        <f>_xlfn.XLOOKUP($J53,'Fin. Data'!$A:$A,'Fin. Data'!C:C,,0)</f>
        <v>0</v>
      </c>
      <c r="N53" s="23">
        <f t="shared" si="1"/>
        <v>2.4114420004041515E-2</v>
      </c>
      <c r="O53" s="23">
        <f t="shared" si="2"/>
        <v>-8.3160579462703943E-2</v>
      </c>
      <c r="P53" s="22"/>
      <c r="Q53" s="21">
        <f t="shared" si="3"/>
        <v>-0.99741428349795724</v>
      </c>
      <c r="R53" s="21">
        <f t="shared" si="4"/>
        <v>5.5103048253733133E-2</v>
      </c>
      <c r="S53" s="21">
        <f t="shared" si="4"/>
        <v>-0.63178450804064101</v>
      </c>
    </row>
    <row r="54" spans="2:19">
      <c r="B54" s="521" t="s">
        <v>142</v>
      </c>
      <c r="C54" s="129">
        <f>IFERROR((C53/C45)^(1/8)-1,"")</f>
        <v>9.2887350139034819E-3</v>
      </c>
      <c r="D54" s="129">
        <f>IFERROR((D53/D45)^(1/8)-1,"")</f>
        <v>4.6969539406030547E-2</v>
      </c>
      <c r="E54" s="148"/>
      <c r="F54" s="129">
        <f>IFERROR((F53/F45)^(1/8)-1,"")</f>
        <v>-0.57019037224326263</v>
      </c>
      <c r="G54" s="148"/>
      <c r="H54" s="129">
        <f>IFERROR((H53/H45)^(1/8)-1,"")</f>
        <v>4.2165646352245734E-3</v>
      </c>
      <c r="I54" s="148"/>
      <c r="J54" s="834" t="s">
        <v>143</v>
      </c>
      <c r="K54" s="835"/>
      <c r="L54" s="57">
        <f>_xlfn.XLOOKUP($J54,'Fin. Data'!$A:$A,'Fin. Data'!B:B,,0)</f>
        <v>0</v>
      </c>
      <c r="M54" s="367">
        <f>_xlfn.XLOOKUP($J54,'Fin. Data'!$A:$A,'Fin. Data'!C:C,,0)</f>
        <v>0</v>
      </c>
      <c r="N54" s="23">
        <f t="shared" si="1"/>
        <v>-0.99999993211725791</v>
      </c>
      <c r="O54" s="23">
        <f t="shared" si="2"/>
        <v>-0.78904792317510131</v>
      </c>
      <c r="P54" s="22"/>
      <c r="Q54" s="21"/>
      <c r="R54" s="21"/>
      <c r="S54" s="21"/>
    </row>
    <row r="55" spans="2:19" ht="13.15">
      <c r="B55" s="521" t="s">
        <v>144</v>
      </c>
      <c r="C55" s="129">
        <f>IFERROR(AVERAGE(N46:N53),"")</f>
        <v>9.722327549233703E-3</v>
      </c>
      <c r="D55" s="129">
        <f>IFERROR(AVERAGE(O46:O53),"")</f>
        <v>7.5688696456958429E-2</v>
      </c>
      <c r="E55" s="148"/>
      <c r="F55" s="129">
        <f>IFERROR(AVERAGE(Q46:Q53),"")</f>
        <v>2795.6998280315615</v>
      </c>
      <c r="G55" s="148"/>
      <c r="H55" s="129">
        <f>IFERROR(AVERAGE(S46:S53),"")</f>
        <v>0.2173223521132375</v>
      </c>
      <c r="I55" s="148"/>
      <c r="J55" s="967" t="s">
        <v>145</v>
      </c>
      <c r="K55" s="968"/>
      <c r="L55" s="157">
        <f>L47-L48+L51-L52-L53</f>
        <v>-10855</v>
      </c>
      <c r="M55" s="347">
        <f>M47-M48+M51-M52-M53</f>
        <v>-8892</v>
      </c>
    </row>
    <row r="56" spans="2:19" ht="13.15">
      <c r="B56" s="521" t="s">
        <v>146</v>
      </c>
      <c r="C56" s="129">
        <f>IFERROR(STDEV(C46:C53)/AVERAGE(C46:C53),"")</f>
        <v>2.8667502203177524E-2</v>
      </c>
      <c r="D56" s="129">
        <f>IFERROR(STDEV(D45:D53)/AVERAGE(D45:D53),"")</f>
        <v>0.14912746277525743</v>
      </c>
      <c r="E56" s="148"/>
      <c r="F56" s="129">
        <f>IFERROR(STDEV(F45:F53)/AVERAGE(F45:F53),"")</f>
        <v>-3.1159201265450891</v>
      </c>
      <c r="G56" s="148"/>
      <c r="H56" s="129">
        <f>IFERROR(STDEV(H45:H53)/AVERAGE(H45:H53),"")</f>
        <v>3.0010579476658663E-2</v>
      </c>
      <c r="I56" s="148"/>
      <c r="J56" s="969" t="s">
        <v>147</v>
      </c>
      <c r="K56" s="970"/>
      <c r="L56" s="342">
        <f>IFERROR(SUM(I50:I53)/(C53-C49),"")</f>
        <v>-23.131781647689216</v>
      </c>
      <c r="M56" s="366">
        <f>IFERROR((SUM(I50:I53)-SUM(H50:H53))/(C53-C49),"")</f>
        <v>-34.301741460147355</v>
      </c>
    </row>
    <row r="57" spans="2:19">
      <c r="B57" s="521" t="s">
        <v>148</v>
      </c>
      <c r="C57" s="129">
        <f>IFERROR(C53/C52-1,"")</f>
        <v>2.4114420004041515E-2</v>
      </c>
      <c r="D57" s="129">
        <f>IFERROR(1-(D53/D52),"")</f>
        <v>8.3160579462703943E-2</v>
      </c>
      <c r="E57" s="148"/>
      <c r="F57" s="129">
        <f>IFERROR(1-(F53/F52),"")</f>
        <v>0.99741428349795724</v>
      </c>
      <c r="G57" s="148"/>
      <c r="H57" s="129">
        <f>IFERROR(1-(H53/H52),"")</f>
        <v>-5.5103048253733133E-2</v>
      </c>
      <c r="I57" s="148"/>
      <c r="J57" s="972" t="s">
        <v>149</v>
      </c>
      <c r="K57" s="973"/>
      <c r="L57" s="343">
        <f>IFERROR(L56/E26,"")</f>
        <v>-65.545220416457397</v>
      </c>
      <c r="M57" s="348">
        <f>IFERROR(M56/E26,"")</f>
        <v>-97.195937559712021</v>
      </c>
    </row>
    <row r="58" spans="2:19" ht="17.649999999999999">
      <c r="B58" s="853" t="s">
        <v>150</v>
      </c>
      <c r="C58" s="854"/>
      <c r="D58" s="854"/>
      <c r="E58" s="854"/>
      <c r="F58" s="854"/>
      <c r="G58" s="854"/>
      <c r="H58" s="854"/>
      <c r="I58" s="854"/>
      <c r="J58" s="854"/>
      <c r="K58" s="854"/>
      <c r="L58" s="854"/>
      <c r="M58" s="855"/>
    </row>
    <row r="59" spans="2:19" ht="15">
      <c r="B59" s="957" t="s">
        <v>151</v>
      </c>
      <c r="C59" s="856"/>
      <c r="D59" s="856"/>
      <c r="E59" s="856"/>
      <c r="F59" s="856"/>
      <c r="G59" s="856"/>
      <c r="H59" s="856"/>
      <c r="I59" s="856"/>
      <c r="J59" s="856" t="s">
        <v>152</v>
      </c>
      <c r="K59" s="856"/>
      <c r="L59" s="856"/>
      <c r="M59" s="857"/>
    </row>
    <row r="60" spans="2:19" ht="13.15">
      <c r="B60" s="947" t="s">
        <v>153</v>
      </c>
      <c r="C60" s="851"/>
      <c r="D60" s="851"/>
      <c r="E60" s="851" t="s">
        <v>154</v>
      </c>
      <c r="F60" s="851"/>
      <c r="G60" s="851"/>
      <c r="H60" s="851"/>
      <c r="I60" s="851"/>
      <c r="J60" s="851" t="s">
        <v>5</v>
      </c>
      <c r="K60" s="851"/>
      <c r="L60" s="851"/>
      <c r="M60" s="345" t="s">
        <v>155</v>
      </c>
    </row>
    <row r="61" spans="2:19" ht="15" customHeight="1">
      <c r="B61" s="948" t="s">
        <v>156</v>
      </c>
      <c r="C61" s="949"/>
      <c r="D61" s="950"/>
      <c r="E61" s="858" t="s">
        <v>157</v>
      </c>
      <c r="F61" s="867"/>
      <c r="G61" s="867"/>
      <c r="H61" s="867"/>
      <c r="I61" s="868"/>
      <c r="J61" s="958"/>
      <c r="K61" s="959"/>
      <c r="L61" s="959"/>
      <c r="M61" s="960"/>
    </row>
    <row r="62" spans="2:19" ht="15" customHeight="1">
      <c r="B62" s="951"/>
      <c r="C62" s="952"/>
      <c r="D62" s="953"/>
      <c r="E62" s="869"/>
      <c r="F62" s="870"/>
      <c r="G62" s="870"/>
      <c r="H62" s="870"/>
      <c r="I62" s="871"/>
      <c r="J62" s="961"/>
      <c r="K62" s="962"/>
      <c r="L62" s="962"/>
      <c r="M62" s="963"/>
    </row>
    <row r="63" spans="2:19" ht="15" customHeight="1">
      <c r="B63" s="951"/>
      <c r="C63" s="952"/>
      <c r="D63" s="953"/>
      <c r="E63" s="869"/>
      <c r="F63" s="870"/>
      <c r="G63" s="870"/>
      <c r="H63" s="870"/>
      <c r="I63" s="871"/>
      <c r="J63" s="961"/>
      <c r="K63" s="962"/>
      <c r="L63" s="962"/>
      <c r="M63" s="963"/>
    </row>
    <row r="64" spans="2:19" ht="15" customHeight="1">
      <c r="B64" s="951"/>
      <c r="C64" s="952"/>
      <c r="D64" s="953"/>
      <c r="E64" s="869"/>
      <c r="F64" s="870"/>
      <c r="G64" s="870"/>
      <c r="H64" s="870"/>
      <c r="I64" s="871"/>
      <c r="J64" s="961"/>
      <c r="K64" s="962"/>
      <c r="L64" s="962"/>
      <c r="M64" s="963"/>
    </row>
    <row r="65" spans="2:13">
      <c r="B65" s="951"/>
      <c r="C65" s="952"/>
      <c r="D65" s="953"/>
      <c r="E65" s="869"/>
      <c r="F65" s="870"/>
      <c r="G65" s="870"/>
      <c r="H65" s="870"/>
      <c r="I65" s="871"/>
      <c r="J65" s="961"/>
      <c r="K65" s="962"/>
      <c r="L65" s="962"/>
      <c r="M65" s="963"/>
    </row>
    <row r="66" spans="2:13">
      <c r="B66" s="951"/>
      <c r="C66" s="952"/>
      <c r="D66" s="953"/>
      <c r="E66" s="869"/>
      <c r="F66" s="870"/>
      <c r="G66" s="870"/>
      <c r="H66" s="870"/>
      <c r="I66" s="871"/>
      <c r="J66" s="961"/>
      <c r="K66" s="962"/>
      <c r="L66" s="962"/>
      <c r="M66" s="963"/>
    </row>
    <row r="67" spans="2:13">
      <c r="B67" s="951"/>
      <c r="C67" s="952"/>
      <c r="D67" s="953"/>
      <c r="E67" s="869"/>
      <c r="F67" s="870"/>
      <c r="G67" s="870"/>
      <c r="H67" s="870"/>
      <c r="I67" s="871"/>
      <c r="J67" s="961"/>
      <c r="K67" s="962"/>
      <c r="L67" s="962"/>
      <c r="M67" s="963"/>
    </row>
    <row r="68" spans="2:13">
      <c r="B68" s="951"/>
      <c r="C68" s="952"/>
      <c r="D68" s="953"/>
      <c r="E68" s="869"/>
      <c r="F68" s="870"/>
      <c r="G68" s="870"/>
      <c r="H68" s="870"/>
      <c r="I68" s="871"/>
      <c r="J68" s="961"/>
      <c r="K68" s="962"/>
      <c r="L68" s="962"/>
      <c r="M68" s="963"/>
    </row>
    <row r="69" spans="2:13">
      <c r="B69" s="951"/>
      <c r="C69" s="952"/>
      <c r="D69" s="953"/>
      <c r="E69" s="869"/>
      <c r="F69" s="870"/>
      <c r="G69" s="870"/>
      <c r="H69" s="870"/>
      <c r="I69" s="871"/>
      <c r="J69" s="961"/>
      <c r="K69" s="962"/>
      <c r="L69" s="962"/>
      <c r="M69" s="963"/>
    </row>
    <row r="70" spans="2:13">
      <c r="B70" s="954"/>
      <c r="C70" s="955"/>
      <c r="D70" s="956"/>
      <c r="E70" s="872"/>
      <c r="F70" s="873"/>
      <c r="G70" s="873"/>
      <c r="H70" s="873"/>
      <c r="I70" s="874"/>
      <c r="J70" s="961"/>
      <c r="K70" s="962"/>
      <c r="L70" s="962"/>
      <c r="M70" s="963"/>
    </row>
    <row r="71" spans="2:13" ht="13.15">
      <c r="B71" s="947" t="s">
        <v>158</v>
      </c>
      <c r="C71" s="851"/>
      <c r="D71" s="851"/>
      <c r="E71" s="851" t="s">
        <v>159</v>
      </c>
      <c r="F71" s="851"/>
      <c r="G71" s="851"/>
      <c r="H71" s="851"/>
      <c r="I71" s="851"/>
      <c r="J71" s="961"/>
      <c r="K71" s="962"/>
      <c r="L71" s="962"/>
      <c r="M71" s="963"/>
    </row>
    <row r="72" spans="2:13" ht="15" customHeight="1">
      <c r="B72" s="875" t="s">
        <v>160</v>
      </c>
      <c r="C72" s="859"/>
      <c r="D72" s="860"/>
      <c r="E72" s="858" t="s">
        <v>161</v>
      </c>
      <c r="F72" s="859"/>
      <c r="G72" s="859"/>
      <c r="H72" s="859"/>
      <c r="I72" s="860"/>
      <c r="J72" s="961"/>
      <c r="K72" s="962"/>
      <c r="L72" s="962"/>
      <c r="M72" s="963"/>
    </row>
    <row r="73" spans="2:13" ht="15" customHeight="1">
      <c r="B73" s="876"/>
      <c r="C73" s="862"/>
      <c r="D73" s="863"/>
      <c r="E73" s="861"/>
      <c r="F73" s="862"/>
      <c r="G73" s="862"/>
      <c r="H73" s="862"/>
      <c r="I73" s="863"/>
      <c r="J73" s="961"/>
      <c r="K73" s="962"/>
      <c r="L73" s="962"/>
      <c r="M73" s="963"/>
    </row>
    <row r="74" spans="2:13" ht="15" customHeight="1">
      <c r="B74" s="876"/>
      <c r="C74" s="862"/>
      <c r="D74" s="863"/>
      <c r="E74" s="861"/>
      <c r="F74" s="862"/>
      <c r="G74" s="862"/>
      <c r="H74" s="862"/>
      <c r="I74" s="863"/>
      <c r="J74" s="961"/>
      <c r="K74" s="962"/>
      <c r="L74" s="962"/>
      <c r="M74" s="963"/>
    </row>
    <row r="75" spans="2:13" ht="15" customHeight="1">
      <c r="B75" s="876"/>
      <c r="C75" s="862"/>
      <c r="D75" s="863"/>
      <c r="E75" s="861"/>
      <c r="F75" s="862"/>
      <c r="G75" s="862"/>
      <c r="H75" s="862"/>
      <c r="I75" s="863"/>
      <c r="J75" s="961"/>
      <c r="K75" s="962"/>
      <c r="L75" s="962"/>
      <c r="M75" s="963"/>
    </row>
    <row r="76" spans="2:13">
      <c r="B76" s="876"/>
      <c r="C76" s="862"/>
      <c r="D76" s="863"/>
      <c r="E76" s="861"/>
      <c r="F76" s="862"/>
      <c r="G76" s="862"/>
      <c r="H76" s="862"/>
      <c r="I76" s="863"/>
      <c r="J76" s="961"/>
      <c r="K76" s="962"/>
      <c r="L76" s="962"/>
      <c r="M76" s="963"/>
    </row>
    <row r="77" spans="2:13">
      <c r="B77" s="876"/>
      <c r="C77" s="862"/>
      <c r="D77" s="863"/>
      <c r="E77" s="861"/>
      <c r="F77" s="862"/>
      <c r="G77" s="862"/>
      <c r="H77" s="862"/>
      <c r="I77" s="863"/>
      <c r="J77" s="961"/>
      <c r="K77" s="962"/>
      <c r="L77" s="962"/>
      <c r="M77" s="963"/>
    </row>
    <row r="78" spans="2:13">
      <c r="B78" s="876"/>
      <c r="C78" s="862"/>
      <c r="D78" s="863"/>
      <c r="E78" s="861"/>
      <c r="F78" s="862"/>
      <c r="G78" s="862"/>
      <c r="H78" s="862"/>
      <c r="I78" s="863"/>
      <c r="J78" s="961"/>
      <c r="K78" s="962"/>
      <c r="L78" s="962"/>
      <c r="M78" s="963"/>
    </row>
    <row r="79" spans="2:13">
      <c r="B79" s="876"/>
      <c r="C79" s="862"/>
      <c r="D79" s="863"/>
      <c r="E79" s="861"/>
      <c r="F79" s="862"/>
      <c r="G79" s="862"/>
      <c r="H79" s="862"/>
      <c r="I79" s="863"/>
      <c r="J79" s="961"/>
      <c r="K79" s="962"/>
      <c r="L79" s="962"/>
      <c r="M79" s="963"/>
    </row>
    <row r="80" spans="2:13">
      <c r="B80" s="877"/>
      <c r="C80" s="865"/>
      <c r="D80" s="866"/>
      <c r="E80" s="864"/>
      <c r="F80" s="865"/>
      <c r="G80" s="865"/>
      <c r="H80" s="865"/>
      <c r="I80" s="866"/>
      <c r="J80" s="964"/>
      <c r="K80" s="965"/>
      <c r="L80" s="965"/>
      <c r="M80" s="966"/>
    </row>
    <row r="81" spans="2:13" ht="15">
      <c r="B81" s="880" t="s">
        <v>162</v>
      </c>
      <c r="C81" s="881"/>
      <c r="D81" s="881"/>
      <c r="E81" s="881"/>
      <c r="F81" s="881"/>
      <c r="G81" s="856" t="s">
        <v>163</v>
      </c>
      <c r="H81" s="856"/>
      <c r="I81" s="856"/>
      <c r="J81" s="856"/>
      <c r="K81" s="856"/>
      <c r="L81" s="856"/>
      <c r="M81" s="857"/>
    </row>
    <row r="82" spans="2:13" s="11" customFormat="1">
      <c r="B82" s="842" t="s">
        <v>164</v>
      </c>
      <c r="C82" s="843"/>
      <c r="D82" s="843"/>
      <c r="E82" s="843"/>
      <c r="F82" s="844"/>
      <c r="G82"/>
      <c r="H82"/>
      <c r="I82"/>
      <c r="J82"/>
      <c r="K82"/>
      <c r="L82"/>
      <c r="M82" s="54"/>
    </row>
    <row r="83" spans="2:13">
      <c r="B83" s="845"/>
      <c r="C83" s="846"/>
      <c r="D83" s="846"/>
      <c r="E83" s="846"/>
      <c r="F83" s="847"/>
      <c r="M83" s="54"/>
    </row>
    <row r="84" spans="2:13">
      <c r="B84" s="845"/>
      <c r="C84" s="846"/>
      <c r="D84" s="846"/>
      <c r="E84" s="846"/>
      <c r="F84" s="847"/>
      <c r="M84" s="54"/>
    </row>
    <row r="85" spans="2:13">
      <c r="B85" s="845"/>
      <c r="C85" s="846"/>
      <c r="D85" s="846"/>
      <c r="E85" s="846"/>
      <c r="F85" s="847"/>
      <c r="M85" s="54"/>
    </row>
    <row r="86" spans="2:13">
      <c r="B86" s="845"/>
      <c r="C86" s="846"/>
      <c r="D86" s="846"/>
      <c r="E86" s="846"/>
      <c r="F86" s="847"/>
      <c r="M86" s="54"/>
    </row>
    <row r="87" spans="2:13">
      <c r="B87" s="845"/>
      <c r="C87" s="846"/>
      <c r="D87" s="846"/>
      <c r="E87" s="846"/>
      <c r="F87" s="847"/>
      <c r="M87" s="54"/>
    </row>
    <row r="88" spans="2:13">
      <c r="B88" s="845"/>
      <c r="C88" s="846"/>
      <c r="D88" s="846"/>
      <c r="E88" s="846"/>
      <c r="F88" s="847"/>
      <c r="M88" s="54"/>
    </row>
    <row r="89" spans="2:13">
      <c r="B89" s="845"/>
      <c r="C89" s="846"/>
      <c r="D89" s="846"/>
      <c r="E89" s="846"/>
      <c r="F89" s="847"/>
      <c r="M89" s="54"/>
    </row>
    <row r="90" spans="2:13">
      <c r="B90" s="845"/>
      <c r="C90" s="846"/>
      <c r="D90" s="846"/>
      <c r="E90" s="846"/>
      <c r="F90" s="847"/>
      <c r="M90" s="54"/>
    </row>
    <row r="91" spans="2:13">
      <c r="B91" s="845"/>
      <c r="C91" s="846"/>
      <c r="D91" s="846"/>
      <c r="E91" s="846"/>
      <c r="F91" s="847"/>
      <c r="M91" s="54"/>
    </row>
    <row r="92" spans="2:13">
      <c r="B92" s="845"/>
      <c r="C92" s="846"/>
      <c r="D92" s="846"/>
      <c r="E92" s="846"/>
      <c r="F92" s="847"/>
      <c r="M92" s="54"/>
    </row>
    <row r="93" spans="2:13">
      <c r="B93" s="845"/>
      <c r="C93" s="846"/>
      <c r="D93" s="846"/>
      <c r="E93" s="846"/>
      <c r="F93" s="847"/>
      <c r="M93" s="54"/>
    </row>
    <row r="94" spans="2:13">
      <c r="B94" s="845"/>
      <c r="C94" s="846"/>
      <c r="D94" s="846"/>
      <c r="E94" s="846"/>
      <c r="F94" s="847"/>
      <c r="M94" s="54"/>
    </row>
    <row r="95" spans="2:13">
      <c r="B95" s="845"/>
      <c r="C95" s="846"/>
      <c r="D95" s="846"/>
      <c r="E95" s="846"/>
      <c r="F95" s="847"/>
      <c r="M95" s="54"/>
    </row>
    <row r="96" spans="2:13">
      <c r="B96" s="845"/>
      <c r="C96" s="846"/>
      <c r="D96" s="846"/>
      <c r="E96" s="846"/>
      <c r="F96" s="847"/>
      <c r="M96" s="54"/>
    </row>
    <row r="97" spans="2:13">
      <c r="B97" s="845"/>
      <c r="C97" s="846"/>
      <c r="D97" s="846"/>
      <c r="E97" s="846"/>
      <c r="F97" s="847"/>
      <c r="M97" s="54"/>
    </row>
    <row r="98" spans="2:13">
      <c r="B98" s="845"/>
      <c r="C98" s="846"/>
      <c r="D98" s="846"/>
      <c r="E98" s="846"/>
      <c r="F98" s="847"/>
      <c r="M98" s="54"/>
    </row>
    <row r="99" spans="2:13">
      <c r="B99" s="845"/>
      <c r="C99" s="846"/>
      <c r="D99" s="846"/>
      <c r="E99" s="846"/>
      <c r="F99" s="847"/>
      <c r="M99" s="54"/>
    </row>
    <row r="100" spans="2:13">
      <c r="B100" s="845"/>
      <c r="C100" s="846"/>
      <c r="D100" s="846"/>
      <c r="E100" s="846"/>
      <c r="F100" s="847"/>
      <c r="M100" s="54"/>
    </row>
    <row r="101" spans="2:13">
      <c r="B101" s="845"/>
      <c r="C101" s="846"/>
      <c r="D101" s="846"/>
      <c r="E101" s="846"/>
      <c r="F101" s="847"/>
      <c r="M101" s="54"/>
    </row>
    <row r="102" spans="2:13">
      <c r="B102" s="845"/>
      <c r="C102" s="846"/>
      <c r="D102" s="846"/>
      <c r="E102" s="846"/>
      <c r="F102" s="847"/>
      <c r="M102" s="54"/>
    </row>
    <row r="103" spans="2:13">
      <c r="B103" s="845"/>
      <c r="C103" s="846"/>
      <c r="D103" s="846"/>
      <c r="E103" s="846"/>
      <c r="F103" s="847"/>
      <c r="M103" s="54"/>
    </row>
    <row r="104" spans="2:13">
      <c r="B104" s="845"/>
      <c r="C104" s="846"/>
      <c r="D104" s="846"/>
      <c r="E104" s="846"/>
      <c r="F104" s="847"/>
      <c r="M104" s="54"/>
    </row>
    <row r="105" spans="2:13" ht="13.15" thickBot="1">
      <c r="B105" s="845"/>
      <c r="C105" s="846"/>
      <c r="D105" s="846"/>
      <c r="E105" s="846"/>
      <c r="F105" s="847"/>
      <c r="M105" s="54"/>
    </row>
    <row r="106" spans="2:13" ht="40.5" customHeight="1" thickBot="1">
      <c r="B106" s="848"/>
      <c r="C106" s="849"/>
      <c r="D106" s="849"/>
      <c r="E106" s="849"/>
      <c r="F106" s="850"/>
      <c r="G106" s="769" t="e" vm="2">
        <f>Peers!C8</f>
        <v>#VALUE!</v>
      </c>
      <c r="H106" s="770" t="e" vm="3">
        <f>Peers!D8</f>
        <v>#VALUE!</v>
      </c>
      <c r="I106" s="772" t="e" vm="4">
        <f>Peers!E8</f>
        <v>#VALUE!</v>
      </c>
      <c r="J106" s="878" t="e" vm="5">
        <f>Peers!F8</f>
        <v>#VALUE!</v>
      </c>
      <c r="K106" s="879"/>
      <c r="L106" s="768" t="e" vm="6">
        <f>Peers!G8</f>
        <v>#VALUE!</v>
      </c>
      <c r="M106" s="771" t="e" vm="7">
        <f>Peers!H8</f>
        <v>#VALUE!</v>
      </c>
    </row>
  </sheetData>
  <mergeCells count="89">
    <mergeCell ref="J55:K55"/>
    <mergeCell ref="J56:K56"/>
    <mergeCell ref="H3:M3"/>
    <mergeCell ref="J57:K57"/>
    <mergeCell ref="B60:D60"/>
    <mergeCell ref="I34:M37"/>
    <mergeCell ref="I38:M38"/>
    <mergeCell ref="J46:K46"/>
    <mergeCell ref="J47:K47"/>
    <mergeCell ref="J48:K48"/>
    <mergeCell ref="J49:K49"/>
    <mergeCell ref="J50:K50"/>
    <mergeCell ref="F20:G20"/>
    <mergeCell ref="C41:G41"/>
    <mergeCell ref="B16:C16"/>
    <mergeCell ref="B3:C15"/>
    <mergeCell ref="B71:D71"/>
    <mergeCell ref="B61:D70"/>
    <mergeCell ref="J59:M59"/>
    <mergeCell ref="B59:I59"/>
    <mergeCell ref="B58:M58"/>
    <mergeCell ref="J61:M80"/>
    <mergeCell ref="E2:K2"/>
    <mergeCell ref="F19:G19"/>
    <mergeCell ref="F27:G27"/>
    <mergeCell ref="F25:G25"/>
    <mergeCell ref="J20:K20"/>
    <mergeCell ref="I21:J21"/>
    <mergeCell ref="I22:J22"/>
    <mergeCell ref="I23:J23"/>
    <mergeCell ref="I24:J24"/>
    <mergeCell ref="I25:J25"/>
    <mergeCell ref="I26:J26"/>
    <mergeCell ref="I27:J27"/>
    <mergeCell ref="F26:G26"/>
    <mergeCell ref="D4:G16"/>
    <mergeCell ref="D3:G3"/>
    <mergeCell ref="L18:M18"/>
    <mergeCell ref="B18:C18"/>
    <mergeCell ref="B28:C28"/>
    <mergeCell ref="D18:E18"/>
    <mergeCell ref="B17:M17"/>
    <mergeCell ref="J19:K19"/>
    <mergeCell ref="I18:K18"/>
    <mergeCell ref="I28:J28"/>
    <mergeCell ref="F18:H18"/>
    <mergeCell ref="F21:G21"/>
    <mergeCell ref="F22:G22"/>
    <mergeCell ref="F23:G23"/>
    <mergeCell ref="F24:G24"/>
    <mergeCell ref="F28:G28"/>
    <mergeCell ref="F31:G31"/>
    <mergeCell ref="F29:G29"/>
    <mergeCell ref="H34:H37"/>
    <mergeCell ref="C36:G36"/>
    <mergeCell ref="C37:G37"/>
    <mergeCell ref="B33:G33"/>
    <mergeCell ref="B32:M32"/>
    <mergeCell ref="I29:J29"/>
    <mergeCell ref="I30:J30"/>
    <mergeCell ref="I33:M33"/>
    <mergeCell ref="F30:G30"/>
    <mergeCell ref="L39:L42"/>
    <mergeCell ref="M39:M42"/>
    <mergeCell ref="B38:G38"/>
    <mergeCell ref="C39:G39"/>
    <mergeCell ref="C34:G34"/>
    <mergeCell ref="C35:G35"/>
    <mergeCell ref="J51:K51"/>
    <mergeCell ref="J52:K52"/>
    <mergeCell ref="H39:H42"/>
    <mergeCell ref="I39:I42"/>
    <mergeCell ref="J39:K42"/>
    <mergeCell ref="J53:K53"/>
    <mergeCell ref="J54:K54"/>
    <mergeCell ref="C40:G40"/>
    <mergeCell ref="C42:G42"/>
    <mergeCell ref="B82:F106"/>
    <mergeCell ref="J44:M44"/>
    <mergeCell ref="B43:M43"/>
    <mergeCell ref="G81:M81"/>
    <mergeCell ref="E72:I80"/>
    <mergeCell ref="E61:I70"/>
    <mergeCell ref="J60:L60"/>
    <mergeCell ref="E71:I71"/>
    <mergeCell ref="B72:D80"/>
    <mergeCell ref="E60:I60"/>
    <mergeCell ref="J106:K106"/>
    <mergeCell ref="B81:F81"/>
  </mergeCells>
  <phoneticPr fontId="0" type="noConversion"/>
  <conditionalFormatting sqref="C45:C53 D45:E45">
    <cfRule type="dataBar" priority="5">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5:D53">
    <cfRule type="dataBar" priority="4">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6:D53">
    <cfRule type="dataBar" priority="11">
      <dataBar>
        <cfvo type="min"/>
        <cfvo type="max"/>
        <color rgb="FF638EC6"/>
      </dataBar>
      <extLst>
        <ext xmlns:x14="http://schemas.microsoft.com/office/spreadsheetml/2009/9/main" uri="{B025F937-C7B1-47D3-B67F-A62EFF666E3E}">
          <x14:id>{8F05AC94-FB75-41DC-A030-BD50695363B2}</x14:id>
        </ext>
      </extLst>
    </cfRule>
    <cfRule type="dataBar" priority="13">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5:E53">
    <cfRule type="dataBar" priority="3">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6:E53">
    <cfRule type="dataBar" priority="6">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4:E57 G54:G57 I54:I57">
    <cfRule type="dataBar" priority="8">
      <dataBar>
        <cfvo type="min"/>
        <cfvo type="max"/>
        <color rgb="FF638EC6"/>
      </dataBar>
      <extLst>
        <ext xmlns:x14="http://schemas.microsoft.com/office/spreadsheetml/2009/9/main" uri="{B025F937-C7B1-47D3-B67F-A62EFF666E3E}">
          <x14:id>{4382A5A4-8938-4754-913D-04C8EB3E9944}</x14:id>
        </ext>
      </extLst>
    </cfRule>
    <cfRule type="dataBar" priority="9">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5:F53">
    <cfRule type="dataBar" priority="10">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5:G53">
    <cfRule type="dataBar" priority="12">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0:H21">
    <cfRule type="dataBar" priority="2">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6:H30">
    <cfRule type="dataBar" priority="1">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5:H53">
    <cfRule type="dataBar" priority="15">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5:I53">
    <cfRule type="dataBar" priority="7">
      <dataBar>
        <cfvo type="min"/>
        <cfvo type="max"/>
        <color rgb="FF63C384"/>
      </dataBar>
      <extLst>
        <ext xmlns:x14="http://schemas.microsoft.com/office/spreadsheetml/2009/9/main" uri="{B025F937-C7B1-47D3-B67F-A62EFF666E3E}">
          <x14:id>{60823727-C433-4BFE-A422-F2DB16A0B39B}</x14:id>
        </ext>
      </extLst>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6:S51 N53:S56 O52:S52"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C45:C53 D45:E45</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D45:D53</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D46:D53</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E45:E53</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E46:E53</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E54:E57 G54:G57 I54:I57</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F45:F53</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G45:G53</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H20:H21</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H26:H30</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H45:H53</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I45:I53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AQ63"/>
  <sheetViews>
    <sheetView showGridLines="0" zoomScale="85" zoomScaleNormal="85" workbookViewId="0">
      <selection activeCell="AN19" sqref="AN19"/>
    </sheetView>
  </sheetViews>
  <sheetFormatPr defaultColWidth="11.42578125" defaultRowHeight="12.75"/>
  <cols>
    <col min="1" max="1" width="2.140625" customWidth="1"/>
    <col min="2" max="2" width="11.140625" customWidth="1"/>
    <col min="3" max="3" width="42.85546875" customWidth="1"/>
    <col min="4" max="4" width="15.42578125" style="2" customWidth="1"/>
    <col min="5" max="9" width="15.42578125" customWidth="1"/>
    <col min="10" max="11" width="11.42578125" bestFit="1" customWidth="1"/>
    <col min="17" max="17" width="23.42578125" customWidth="1"/>
    <col min="18" max="18" width="13.140625" bestFit="1" customWidth="1"/>
  </cols>
  <sheetData>
    <row r="1" spans="2:34" ht="7.5" customHeight="1"/>
    <row r="2" spans="2:34" ht="21" thickBot="1">
      <c r="B2" s="1045" t="str">
        <f>"Regions "&amp;"("&amp;OP!$J$19&amp;")"</f>
        <v>Regions (2022)</v>
      </c>
      <c r="C2" s="1046"/>
      <c r="D2" s="1046"/>
      <c r="E2" s="1046"/>
      <c r="F2" s="1046"/>
      <c r="G2" s="1046"/>
      <c r="H2" s="1046"/>
      <c r="I2" s="1046"/>
      <c r="J2" s="1046"/>
      <c r="K2" s="1046"/>
      <c r="L2" s="1046"/>
      <c r="M2" s="1046"/>
      <c r="N2" s="1046"/>
      <c r="O2" s="1046"/>
      <c r="P2" s="1046"/>
      <c r="Q2" s="1041" t="s">
        <v>165</v>
      </c>
      <c r="R2" s="1042"/>
      <c r="S2" s="1042"/>
      <c r="T2" s="1042"/>
      <c r="U2" s="1042"/>
      <c r="V2" s="1042"/>
      <c r="W2" s="1042"/>
      <c r="X2" s="1042"/>
      <c r="Y2" s="1043"/>
    </row>
    <row r="3" spans="2:34" ht="18" thickBot="1">
      <c r="B3" s="188"/>
      <c r="C3" s="189"/>
      <c r="D3" s="1049" t="s">
        <v>166</v>
      </c>
      <c r="E3" s="1049"/>
      <c r="F3" s="1049"/>
      <c r="G3" s="1049"/>
      <c r="H3" s="1049"/>
      <c r="I3" s="1050"/>
      <c r="J3" s="165"/>
      <c r="K3" s="1044" t="s">
        <v>167</v>
      </c>
      <c r="L3" s="1044"/>
      <c r="M3" s="1044"/>
      <c r="N3" s="1044"/>
      <c r="O3" s="1044"/>
      <c r="P3" s="1044"/>
      <c r="Q3" s="159"/>
      <c r="Y3" s="182"/>
      <c r="AH3" s="11" t="s">
        <v>168</v>
      </c>
    </row>
    <row r="4" spans="2:34" ht="13.5" thickBot="1">
      <c r="B4" s="172" t="s">
        <v>169</v>
      </c>
      <c r="C4" s="173" t="s">
        <v>170</v>
      </c>
      <c r="D4" s="174">
        <f>OP!J19</f>
        <v>2022</v>
      </c>
      <c r="E4" s="174">
        <f>D4-1</f>
        <v>2021</v>
      </c>
      <c r="F4" s="174">
        <f>E4-1</f>
        <v>2020</v>
      </c>
      <c r="G4" s="174">
        <f>F4-1</f>
        <v>2019</v>
      </c>
      <c r="H4" s="174">
        <f>G4-1</f>
        <v>2018</v>
      </c>
      <c r="I4" s="174">
        <f>H4-1</f>
        <v>2017</v>
      </c>
      <c r="J4" s="166"/>
      <c r="K4" s="174">
        <f>OP!J19</f>
        <v>2022</v>
      </c>
      <c r="L4" s="174">
        <f t="shared" ref="L4:P4" si="0">K4-1</f>
        <v>2021</v>
      </c>
      <c r="M4" s="174">
        <f t="shared" si="0"/>
        <v>2020</v>
      </c>
      <c r="N4" s="174">
        <f t="shared" si="0"/>
        <v>2019</v>
      </c>
      <c r="O4" s="174">
        <f t="shared" si="0"/>
        <v>2018</v>
      </c>
      <c r="P4" s="190">
        <f t="shared" si="0"/>
        <v>2017</v>
      </c>
      <c r="Q4" s="828" t="s">
        <v>171</v>
      </c>
      <c r="Y4" s="182"/>
    </row>
    <row r="5" spans="2:34" ht="13.5" thickBot="1">
      <c r="B5" s="170">
        <f>IFERROR(D5/$D$6,"")</f>
        <v>1</v>
      </c>
      <c r="C5" s="171" t="s">
        <v>172</v>
      </c>
      <c r="D5" s="175">
        <v>136835</v>
      </c>
      <c r="E5" s="175">
        <v>133613</v>
      </c>
      <c r="F5" s="175">
        <v>128292</v>
      </c>
      <c r="G5" s="175">
        <v>131868</v>
      </c>
      <c r="H5" s="175">
        <v>130863</v>
      </c>
      <c r="I5" s="175">
        <v>126034</v>
      </c>
      <c r="J5" s="167"/>
      <c r="K5" s="284">
        <f t="shared" ref="K5:O5" si="1">(D5-E5)/E5</f>
        <v>2.4114420004041522E-2</v>
      </c>
      <c r="L5" s="284">
        <f t="shared" si="1"/>
        <v>4.1475696068344087E-2</v>
      </c>
      <c r="M5" s="284">
        <f t="shared" si="1"/>
        <v>-2.7118027118027119E-2</v>
      </c>
      <c r="N5" s="284">
        <f t="shared" si="1"/>
        <v>7.6797872584305725E-3</v>
      </c>
      <c r="O5" s="284">
        <f t="shared" si="1"/>
        <v>3.8315057841534821E-2</v>
      </c>
      <c r="P5" s="284"/>
      <c r="Q5" s="827" t="s">
        <v>173</v>
      </c>
      <c r="R5" s="829">
        <v>73139</v>
      </c>
      <c r="Y5" s="182"/>
    </row>
    <row r="6" spans="2:34" ht="13.5" thickBot="1">
      <c r="B6" s="164">
        <f>SUM(B5:B5)</f>
        <v>1</v>
      </c>
      <c r="C6" s="176" t="s">
        <v>174</v>
      </c>
      <c r="D6" s="162">
        <f t="shared" ref="D6:I6" si="2">SUM(D5:D5)</f>
        <v>136835</v>
      </c>
      <c r="E6" s="162">
        <f t="shared" si="2"/>
        <v>133613</v>
      </c>
      <c r="F6" s="162">
        <f t="shared" si="2"/>
        <v>128292</v>
      </c>
      <c r="G6" s="162">
        <f t="shared" si="2"/>
        <v>131868</v>
      </c>
      <c r="H6" s="162">
        <f t="shared" si="2"/>
        <v>130863</v>
      </c>
      <c r="I6" s="162">
        <f t="shared" si="2"/>
        <v>126034</v>
      </c>
      <c r="J6" s="168"/>
      <c r="K6" s="286">
        <f>(D6-E6)/E6</f>
        <v>2.4114420004041522E-2</v>
      </c>
      <c r="L6" s="286">
        <f>(E6-F6)/F6</f>
        <v>4.1475696068344087E-2</v>
      </c>
      <c r="M6" s="286">
        <f>(F6-G6)/G6</f>
        <v>-2.7118027118027119E-2</v>
      </c>
      <c r="N6" s="286">
        <f t="shared" ref="N6:O6" si="3">(G6-H6)/H6</f>
        <v>7.6797872584305725E-3</v>
      </c>
      <c r="O6" s="286">
        <f t="shared" si="3"/>
        <v>3.8315057841534821E-2</v>
      </c>
      <c r="P6" s="286">
        <v>3.6999999999999998E-2</v>
      </c>
      <c r="Q6" s="827" t="s">
        <v>175</v>
      </c>
      <c r="R6" s="829">
        <v>23168</v>
      </c>
      <c r="Y6" s="182"/>
      <c r="AH6" s="11"/>
    </row>
    <row r="7" spans="2:34" ht="13.15">
      <c r="B7" s="186"/>
      <c r="C7" s="6"/>
      <c r="D7" s="15"/>
      <c r="E7" s="15"/>
      <c r="F7" s="15"/>
      <c r="G7" s="15"/>
      <c r="H7" s="15"/>
      <c r="I7" s="15"/>
      <c r="J7" s="15"/>
      <c r="K7" s="15"/>
      <c r="L7" s="15"/>
      <c r="M7" s="15"/>
      <c r="N7" s="15"/>
      <c r="O7" s="15"/>
      <c r="P7" s="15"/>
      <c r="Q7" s="827" t="s">
        <v>176</v>
      </c>
      <c r="R7" s="829">
        <v>7199</v>
      </c>
      <c r="Y7" s="182"/>
    </row>
    <row r="8" spans="2:34" ht="21" thickBot="1">
      <c r="B8" s="1045" t="str">
        <f>"Categories "&amp;"("&amp;OP!$J$19&amp;")"</f>
        <v>Categories (2022)</v>
      </c>
      <c r="C8" s="1046"/>
      <c r="D8" s="1046"/>
      <c r="E8" s="1046"/>
      <c r="F8" s="1046"/>
      <c r="G8" s="1046"/>
      <c r="H8" s="1046"/>
      <c r="I8" s="1046"/>
      <c r="J8" s="1046"/>
      <c r="K8" s="1046"/>
      <c r="L8" s="1046"/>
      <c r="M8" s="1046"/>
      <c r="N8" s="1046"/>
      <c r="O8" s="1046"/>
      <c r="P8" s="1046"/>
      <c r="Q8" s="828" t="s">
        <v>177</v>
      </c>
      <c r="R8" s="830">
        <v>103506</v>
      </c>
      <c r="S8" s="289"/>
      <c r="Y8" s="182"/>
    </row>
    <row r="9" spans="2:34" ht="21" thickBot="1">
      <c r="B9" s="188"/>
      <c r="C9" s="189"/>
      <c r="D9" s="1010" t="s">
        <v>166</v>
      </c>
      <c r="E9" s="1011"/>
      <c r="F9" s="1011"/>
      <c r="G9" s="1011"/>
      <c r="H9" s="1011"/>
      <c r="I9" s="1012"/>
      <c r="J9" s="165"/>
      <c r="K9" s="1047" t="s">
        <v>167</v>
      </c>
      <c r="L9" s="1048"/>
      <c r="M9" s="1048"/>
      <c r="N9" s="1048"/>
      <c r="O9" s="1048"/>
      <c r="P9" s="1048"/>
      <c r="Q9" s="159"/>
      <c r="Y9" s="182"/>
    </row>
    <row r="10" spans="2:34" ht="13.5" thickBot="1">
      <c r="B10" s="187" t="s">
        <v>169</v>
      </c>
      <c r="C10" s="158" t="s">
        <v>178</v>
      </c>
      <c r="D10" s="163">
        <f>OP!J19</f>
        <v>2022</v>
      </c>
      <c r="E10" s="163">
        <f>D10-1</f>
        <v>2021</v>
      </c>
      <c r="F10" s="163">
        <f>E10-1</f>
        <v>2020</v>
      </c>
      <c r="G10" s="163">
        <f>F10-1</f>
        <v>2019</v>
      </c>
      <c r="H10" s="163">
        <f>G10-1</f>
        <v>2018</v>
      </c>
      <c r="I10" s="163">
        <f>H10-1</f>
        <v>2017</v>
      </c>
      <c r="J10" s="166"/>
      <c r="K10" s="169">
        <f>OP!J19</f>
        <v>2022</v>
      </c>
      <c r="L10" s="169">
        <f t="shared" ref="L10:P10" si="4">K10-1</f>
        <v>2021</v>
      </c>
      <c r="M10" s="169">
        <f t="shared" si="4"/>
        <v>2020</v>
      </c>
      <c r="N10" s="169">
        <f t="shared" si="4"/>
        <v>2019</v>
      </c>
      <c r="O10" s="169">
        <f t="shared" si="4"/>
        <v>2018</v>
      </c>
      <c r="P10" s="191">
        <f t="shared" si="4"/>
        <v>2017</v>
      </c>
      <c r="Q10" s="828" t="s">
        <v>179</v>
      </c>
      <c r="Y10" s="182"/>
    </row>
    <row r="11" spans="2:34" ht="13.5" thickBot="1">
      <c r="B11" s="170">
        <f>IFERROR(D11/$D$14,"")</f>
        <v>0.75499689406949977</v>
      </c>
      <c r="C11" s="161" t="s">
        <v>171</v>
      </c>
      <c r="D11" s="175">
        <f>103310</f>
        <v>103310</v>
      </c>
      <c r="E11" s="175">
        <v>94999</v>
      </c>
      <c r="F11" s="175">
        <v>88137</v>
      </c>
      <c r="G11" s="175">
        <v>90725</v>
      </c>
      <c r="H11" s="175">
        <v>89510</v>
      </c>
      <c r="I11" s="175"/>
      <c r="J11" s="167"/>
      <c r="K11" s="287">
        <f>(D11-E11)/E11</f>
        <v>8.7485131422436024E-2</v>
      </c>
      <c r="L11" s="287">
        <f t="shared" ref="L11:O14" si="5">(E11-F11)/F11</f>
        <v>7.7856064989731896E-2</v>
      </c>
      <c r="M11" s="287">
        <f t="shared" si="5"/>
        <v>-2.8525764673463763E-2</v>
      </c>
      <c r="N11" s="287">
        <f t="shared" si="5"/>
        <v>1.3573902357278516E-2</v>
      </c>
      <c r="O11" s="287" t="e">
        <f t="shared" si="5"/>
        <v>#DIV/0!</v>
      </c>
      <c r="P11" s="287"/>
      <c r="Q11" s="159"/>
      <c r="Y11" s="182"/>
    </row>
    <row r="12" spans="2:34" ht="13.15">
      <c r="B12" s="170">
        <f>IFERROR(D12/$D$14,"")</f>
        <v>0.2270033251726532</v>
      </c>
      <c r="C12" s="161" t="s">
        <v>179</v>
      </c>
      <c r="D12" s="175">
        <v>31062</v>
      </c>
      <c r="E12" s="175">
        <v>30998</v>
      </c>
      <c r="F12" s="175">
        <v>30790</v>
      </c>
      <c r="G12" s="175">
        <v>31385</v>
      </c>
      <c r="H12" s="175">
        <v>31407</v>
      </c>
      <c r="I12" s="175"/>
      <c r="J12" s="167"/>
      <c r="K12" s="287">
        <f>(D12-E12)/E12</f>
        <v>2.0646493322149817E-3</v>
      </c>
      <c r="L12" s="287">
        <f t="shared" ref="L12" si="6">(E12-F12)/F12</f>
        <v>6.7554400779473852E-3</v>
      </c>
      <c r="M12" s="287">
        <f t="shared" ref="M12" si="7">(F12-G12)/G12</f>
        <v>-1.8958101003664171E-2</v>
      </c>
      <c r="N12" s="287">
        <f t="shared" ref="N12" si="8">(G12-H12)/H12</f>
        <v>-7.0048078453847863E-4</v>
      </c>
      <c r="O12" s="287" t="e">
        <f t="shared" ref="O12" si="9">(H12-I12)/I12</f>
        <v>#DIV/0!</v>
      </c>
      <c r="P12" s="468"/>
      <c r="Q12" s="827" t="s">
        <v>180</v>
      </c>
      <c r="R12" s="829">
        <v>12595</v>
      </c>
      <c r="Y12" s="182"/>
    </row>
    <row r="13" spans="2:34" ht="13.5" thickBot="1">
      <c r="B13" s="170">
        <f>IFERROR(D13/$D$14,"")</f>
        <v>1.7999780757847042E-2</v>
      </c>
      <c r="C13" s="161" t="s">
        <v>181</v>
      </c>
      <c r="D13" s="175">
        <v>2463</v>
      </c>
      <c r="E13" s="175">
        <v>7616</v>
      </c>
      <c r="F13" s="175">
        <v>9365</v>
      </c>
      <c r="G13" s="175">
        <v>9758</v>
      </c>
      <c r="H13" s="175">
        <v>9946</v>
      </c>
      <c r="I13" s="175"/>
      <c r="J13" s="167"/>
      <c r="K13" s="288">
        <f t="shared" ref="K13" si="10">(D13-E13)/E13</f>
        <v>-0.6766018907563025</v>
      </c>
      <c r="L13" s="288">
        <f t="shared" si="5"/>
        <v>-0.18675920982381206</v>
      </c>
      <c r="M13" s="288">
        <f t="shared" si="5"/>
        <v>-4.0274646443943428E-2</v>
      </c>
      <c r="N13" s="288">
        <f t="shared" si="5"/>
        <v>-1.8902071184395738E-2</v>
      </c>
      <c r="O13" s="288" t="e">
        <f t="shared" si="5"/>
        <v>#DIV/0!</v>
      </c>
      <c r="P13" s="288"/>
      <c r="Q13" s="827" t="s">
        <v>182</v>
      </c>
      <c r="R13" s="829">
        <v>9733</v>
      </c>
      <c r="Y13" s="182"/>
    </row>
    <row r="14" spans="2:34" ht="13.5" thickBot="1">
      <c r="B14" s="164">
        <f>SUM(B11:B13)</f>
        <v>1</v>
      </c>
      <c r="C14" s="176" t="s">
        <v>174</v>
      </c>
      <c r="D14" s="162">
        <f t="shared" ref="D14:I14" si="11">SUM(D11:D13)</f>
        <v>136835</v>
      </c>
      <c r="E14" s="162">
        <f t="shared" si="11"/>
        <v>133613</v>
      </c>
      <c r="F14" s="162">
        <f t="shared" si="11"/>
        <v>128292</v>
      </c>
      <c r="G14" s="162">
        <f t="shared" si="11"/>
        <v>131868</v>
      </c>
      <c r="H14" s="162">
        <f t="shared" si="11"/>
        <v>130863</v>
      </c>
      <c r="I14" s="162">
        <f t="shared" si="11"/>
        <v>0</v>
      </c>
      <c r="J14" s="168"/>
      <c r="K14" s="285">
        <f>(D14-E14)/E14</f>
        <v>2.4114420004041522E-2</v>
      </c>
      <c r="L14" s="286">
        <f t="shared" si="5"/>
        <v>4.1475696068344087E-2</v>
      </c>
      <c r="M14" s="286">
        <f t="shared" ref="M14" si="12">(F14-G14)/G14</f>
        <v>-2.7118027118027119E-2</v>
      </c>
      <c r="N14" s="286">
        <f t="shared" ref="N14" si="13">(G14-H14)/H14</f>
        <v>7.6797872584305725E-3</v>
      </c>
      <c r="O14" s="286" t="e">
        <f t="shared" ref="O14" si="14">(H14-I14)/I14</f>
        <v>#DIV/0!</v>
      </c>
      <c r="P14" s="286">
        <v>3.6999999999999998E-2</v>
      </c>
      <c r="Q14" s="827" t="s">
        <v>183</v>
      </c>
      <c r="R14" s="829">
        <v>6117</v>
      </c>
      <c r="Y14" s="182"/>
      <c r="AH14" s="11" t="s">
        <v>184</v>
      </c>
    </row>
    <row r="15" spans="2:34" ht="13.5" thickBot="1">
      <c r="C15" s="14"/>
      <c r="D15" s="15"/>
      <c r="E15" s="16"/>
      <c r="F15" s="15"/>
      <c r="G15" s="16"/>
      <c r="H15" s="15"/>
      <c r="I15" s="16"/>
      <c r="J15" s="45"/>
      <c r="Q15" s="827" t="s">
        <v>185</v>
      </c>
      <c r="R15" s="829">
        <v>2584</v>
      </c>
      <c r="Y15" s="182"/>
    </row>
    <row r="16" spans="2:34" ht="21" thickBot="1">
      <c r="B16" s="1010" t="s">
        <v>77</v>
      </c>
      <c r="C16" s="1012"/>
      <c r="D16" s="1010" t="s">
        <v>186</v>
      </c>
      <c r="E16" s="1011"/>
      <c r="F16" s="1011"/>
      <c r="G16" s="1011"/>
      <c r="H16" s="1011"/>
      <c r="I16" s="1039" t="s">
        <v>187</v>
      </c>
      <c r="J16" s="1040"/>
      <c r="K16" s="1040"/>
      <c r="L16" s="1040"/>
      <c r="M16" s="1040"/>
      <c r="N16" s="1040"/>
      <c r="O16" s="1040"/>
      <c r="P16" s="1040"/>
      <c r="Q16" s="828" t="s">
        <v>177</v>
      </c>
      <c r="R16" s="830">
        <v>31072</v>
      </c>
      <c r="Y16" s="182"/>
      <c r="AE16" s="11" t="s">
        <v>188</v>
      </c>
    </row>
    <row r="17" spans="2:43" ht="63.75" customHeight="1" thickBot="1">
      <c r="B17" s="1018" t="s">
        <v>171</v>
      </c>
      <c r="C17" s="1019"/>
      <c r="D17" s="1033" t="s">
        <v>189</v>
      </c>
      <c r="E17" s="1034"/>
      <c r="F17" s="1034"/>
      <c r="G17" s="1034"/>
      <c r="H17" s="1035"/>
      <c r="I17" s="159"/>
      <c r="Q17" s="159"/>
      <c r="Y17" s="182"/>
    </row>
    <row r="18" spans="2:43" ht="78.75" customHeight="1" thickBot="1">
      <c r="B18" s="1018" t="s">
        <v>179</v>
      </c>
      <c r="C18" s="1019"/>
      <c r="D18" s="1036" t="s">
        <v>190</v>
      </c>
      <c r="E18" s="1037"/>
      <c r="F18" s="1037"/>
      <c r="G18" s="1037"/>
      <c r="H18" s="1037"/>
      <c r="I18" s="159"/>
      <c r="Q18" s="159"/>
      <c r="Y18" s="182"/>
    </row>
    <row r="19" spans="2:43" ht="49.5" customHeight="1" thickBot="1">
      <c r="B19" s="1018" t="s">
        <v>181</v>
      </c>
      <c r="C19" s="1019"/>
      <c r="D19" s="1038" t="s">
        <v>191</v>
      </c>
      <c r="E19" s="1037"/>
      <c r="F19" s="1037"/>
      <c r="G19" s="1037"/>
      <c r="H19" s="1037"/>
      <c r="I19" s="159"/>
      <c r="Q19" s="159"/>
      <c r="Y19" s="182"/>
    </row>
    <row r="20" spans="2:43" ht="30.75" customHeight="1" thickBot="1">
      <c r="I20" s="160"/>
      <c r="J20" s="183"/>
      <c r="K20" s="183"/>
      <c r="L20" s="183"/>
      <c r="M20" s="183"/>
      <c r="N20" s="183"/>
      <c r="O20" s="183"/>
      <c r="P20" s="183"/>
      <c r="Q20" s="160"/>
      <c r="R20" s="183"/>
      <c r="S20" s="183"/>
      <c r="T20" s="183"/>
      <c r="U20" s="183"/>
      <c r="V20" s="183"/>
      <c r="W20" s="183"/>
      <c r="X20" s="183"/>
      <c r="Y20" s="185"/>
    </row>
    <row r="21" spans="2:43" ht="21" thickBot="1">
      <c r="B21" s="1010" t="s">
        <v>192</v>
      </c>
      <c r="C21" s="1011"/>
      <c r="D21" s="1011"/>
      <c r="E21" s="1011"/>
      <c r="F21" s="1011"/>
      <c r="G21" s="1011"/>
      <c r="H21" s="1011"/>
      <c r="I21" s="1012"/>
      <c r="J21" s="994" t="s">
        <v>193</v>
      </c>
      <c r="K21" s="995"/>
      <c r="L21" s="995"/>
      <c r="M21" s="995"/>
      <c r="N21" s="995"/>
      <c r="O21" s="995"/>
      <c r="P21" s="995"/>
      <c r="Q21" s="996"/>
    </row>
    <row r="22" spans="2:43" ht="13.15">
      <c r="B22" s="1003" t="s">
        <v>194</v>
      </c>
      <c r="C22" s="1005"/>
      <c r="D22" s="1003" t="s">
        <v>186</v>
      </c>
      <c r="E22" s="1004"/>
      <c r="F22" s="1004"/>
      <c r="G22" s="1004"/>
      <c r="H22" s="1004"/>
      <c r="I22" s="1005"/>
      <c r="J22" s="177"/>
      <c r="K22" s="180"/>
      <c r="L22" s="180"/>
      <c r="M22" s="180"/>
      <c r="N22" s="180"/>
      <c r="O22" s="180"/>
      <c r="P22" s="180"/>
      <c r="Q22" s="181"/>
    </row>
    <row r="23" spans="2:43">
      <c r="B23" s="1013" t="s">
        <v>195</v>
      </c>
      <c r="C23" s="1014"/>
      <c r="D23" s="1022" t="s">
        <v>196</v>
      </c>
      <c r="E23" s="1023"/>
      <c r="F23" s="1023"/>
      <c r="G23" s="1023"/>
      <c r="H23" s="1023"/>
      <c r="I23" s="1024"/>
      <c r="J23" s="159"/>
      <c r="Q23" s="182"/>
    </row>
    <row r="24" spans="2:43" ht="39.75" customHeight="1">
      <c r="B24" s="1028" t="s">
        <v>197</v>
      </c>
      <c r="C24" s="1029"/>
      <c r="D24" s="1025" t="s">
        <v>198</v>
      </c>
      <c r="E24" s="1023"/>
      <c r="F24" s="1023"/>
      <c r="G24" s="1023"/>
      <c r="H24" s="1023"/>
      <c r="I24" s="1024"/>
      <c r="J24" s="159"/>
      <c r="Q24" s="182"/>
    </row>
    <row r="25" spans="2:43" ht="30" customHeight="1" thickBot="1">
      <c r="B25" s="1020" t="s">
        <v>199</v>
      </c>
      <c r="C25" s="1021"/>
      <c r="D25" s="1025" t="s">
        <v>200</v>
      </c>
      <c r="E25" s="1026"/>
      <c r="F25" s="1026"/>
      <c r="G25" s="1026"/>
      <c r="H25" s="1026"/>
      <c r="I25" s="1027"/>
      <c r="J25" s="159"/>
      <c r="Q25" s="182"/>
    </row>
    <row r="26" spans="2:43" ht="13.15">
      <c r="B26" s="1003" t="s">
        <v>201</v>
      </c>
      <c r="C26" s="1004"/>
      <c r="D26" s="1004"/>
      <c r="E26" s="1004"/>
      <c r="F26" s="1004"/>
      <c r="G26" s="1004"/>
      <c r="H26" s="1004"/>
      <c r="I26" s="1005"/>
      <c r="J26" s="159"/>
      <c r="Q26" s="182"/>
    </row>
    <row r="27" spans="2:43" ht="13.5" customHeight="1">
      <c r="B27" s="1006" t="s">
        <v>202</v>
      </c>
      <c r="C27" s="1007"/>
      <c r="D27" s="1030" t="s">
        <v>203</v>
      </c>
      <c r="E27" s="1031"/>
      <c r="F27" s="1032"/>
      <c r="G27" s="1030" t="s">
        <v>204</v>
      </c>
      <c r="H27" s="1031"/>
      <c r="I27" s="1032"/>
      <c r="J27" s="159"/>
      <c r="Q27" s="182"/>
      <c r="T27" s="11"/>
      <c r="U27" s="11"/>
    </row>
    <row r="28" spans="2:43" ht="13.15">
      <c r="B28" s="1008" t="s">
        <v>205</v>
      </c>
      <c r="C28" s="1009"/>
      <c r="D28" s="1000">
        <v>6.2E-2</v>
      </c>
      <c r="E28" s="1001"/>
      <c r="F28" s="1002"/>
      <c r="G28" s="997" t="s">
        <v>206</v>
      </c>
      <c r="H28" s="998"/>
      <c r="I28" s="999"/>
      <c r="J28" s="159"/>
      <c r="Q28" s="182"/>
      <c r="T28" s="11"/>
      <c r="U28" s="11"/>
    </row>
    <row r="29" spans="2:43" ht="13.15">
      <c r="B29" s="1008" t="s">
        <v>207</v>
      </c>
      <c r="C29" s="1009"/>
      <c r="D29" s="1000">
        <v>2.0199999999999999E-2</v>
      </c>
      <c r="E29" s="1001"/>
      <c r="F29" s="1002"/>
      <c r="G29" s="997" t="s">
        <v>208</v>
      </c>
      <c r="H29" s="998"/>
      <c r="I29" s="999"/>
      <c r="J29" s="159"/>
      <c r="Q29" s="182"/>
      <c r="T29" s="11"/>
      <c r="U29" s="11"/>
    </row>
    <row r="30" spans="2:43" ht="13.15">
      <c r="B30" s="1008" t="s">
        <v>209</v>
      </c>
      <c r="C30" s="1009"/>
      <c r="D30" s="1000">
        <v>2.0400000000000001E-2</v>
      </c>
      <c r="E30" s="1001"/>
      <c r="F30" s="1002"/>
      <c r="G30" s="997" t="s">
        <v>210</v>
      </c>
      <c r="H30" s="998"/>
      <c r="I30" s="999"/>
      <c r="J30" s="159"/>
      <c r="Q30" s="182"/>
      <c r="T30" s="11"/>
      <c r="U30" s="11"/>
    </row>
    <row r="31" spans="2:43" ht="13.15">
      <c r="B31" s="1008" t="s">
        <v>211</v>
      </c>
      <c r="C31" s="1009"/>
      <c r="D31" s="1015">
        <v>0.05</v>
      </c>
      <c r="E31" s="1016"/>
      <c r="F31" s="1017"/>
      <c r="G31" s="991" t="s">
        <v>212</v>
      </c>
      <c r="H31" s="992"/>
      <c r="I31" s="993"/>
      <c r="J31" s="159"/>
      <c r="Q31" s="182"/>
      <c r="T31" s="11"/>
      <c r="U31" s="11"/>
    </row>
    <row r="32" spans="2:43" ht="21" thickBot="1">
      <c r="B32" s="1010" t="s">
        <v>213</v>
      </c>
      <c r="C32" s="1011"/>
      <c r="D32" s="1011"/>
      <c r="E32" s="1011"/>
      <c r="F32" s="1011"/>
      <c r="G32" s="1011"/>
      <c r="H32" s="1011"/>
      <c r="I32" s="1012"/>
      <c r="J32" s="159"/>
      <c r="Q32" s="182"/>
      <c r="T32" s="11"/>
      <c r="U32" s="11"/>
      <c r="AQ32" s="831"/>
    </row>
    <row r="33" spans="2:43" ht="15.75" customHeight="1">
      <c r="B33" s="290"/>
      <c r="C33" s="178"/>
      <c r="D33" s="179"/>
      <c r="E33" s="180"/>
      <c r="F33" s="180"/>
      <c r="G33" s="180"/>
      <c r="H33" s="180"/>
      <c r="I33" s="181"/>
      <c r="J33" s="159"/>
      <c r="Q33" s="182"/>
      <c r="T33" s="11"/>
      <c r="U33" s="11"/>
      <c r="AQ33" s="831"/>
    </row>
    <row r="34" spans="2:43" ht="12.75" customHeight="1">
      <c r="B34" s="159"/>
      <c r="I34" s="182"/>
      <c r="J34" s="159"/>
      <c r="Q34" s="182"/>
      <c r="T34" s="11"/>
      <c r="U34" s="11"/>
    </row>
    <row r="35" spans="2:43" ht="12.75" customHeight="1">
      <c r="B35" s="988" t="s">
        <v>214</v>
      </c>
      <c r="C35" s="989"/>
      <c r="D35" s="989"/>
      <c r="E35" s="989"/>
      <c r="F35" s="989"/>
      <c r="G35" s="989"/>
      <c r="H35" s="989"/>
      <c r="I35" s="990"/>
      <c r="J35" s="159"/>
      <c r="Q35" s="182"/>
      <c r="T35" s="11"/>
      <c r="U35" s="11"/>
    </row>
    <row r="36" spans="2:43" ht="12.75" customHeight="1">
      <c r="B36" s="988"/>
      <c r="C36" s="989"/>
      <c r="D36" s="989"/>
      <c r="E36" s="989"/>
      <c r="F36" s="989"/>
      <c r="G36" s="989"/>
      <c r="H36" s="989"/>
      <c r="I36" s="990"/>
      <c r="J36" s="159"/>
      <c r="Q36" s="182"/>
      <c r="T36" s="11"/>
      <c r="U36" s="11"/>
    </row>
    <row r="37" spans="2:43" ht="12.75" customHeight="1">
      <c r="B37" s="988"/>
      <c r="C37" s="989"/>
      <c r="D37" s="989"/>
      <c r="E37" s="989"/>
      <c r="F37" s="989"/>
      <c r="G37" s="989"/>
      <c r="H37" s="989"/>
      <c r="I37" s="990"/>
      <c r="J37" s="159"/>
      <c r="Q37" s="182"/>
      <c r="T37" s="11"/>
      <c r="U37" s="11"/>
    </row>
    <row r="38" spans="2:43" ht="12.75" customHeight="1">
      <c r="B38" s="988"/>
      <c r="C38" s="989"/>
      <c r="D38" s="989"/>
      <c r="E38" s="989"/>
      <c r="F38" s="989"/>
      <c r="G38" s="989"/>
      <c r="H38" s="989"/>
      <c r="I38" s="990"/>
      <c r="J38" s="159"/>
      <c r="Q38" s="182"/>
      <c r="T38" s="11"/>
      <c r="U38" s="11"/>
    </row>
    <row r="39" spans="2:43" ht="12.75" customHeight="1">
      <c r="B39" s="988"/>
      <c r="C39" s="989"/>
      <c r="D39" s="989"/>
      <c r="E39" s="989"/>
      <c r="F39" s="989"/>
      <c r="G39" s="989"/>
      <c r="H39" s="989"/>
      <c r="I39" s="990"/>
      <c r="J39" s="159"/>
      <c r="Q39" s="182"/>
      <c r="T39" s="11"/>
      <c r="U39" s="11"/>
    </row>
    <row r="40" spans="2:43" ht="12.75" customHeight="1">
      <c r="B40" s="988"/>
      <c r="C40" s="989"/>
      <c r="D40" s="989"/>
      <c r="E40" s="989"/>
      <c r="F40" s="989"/>
      <c r="G40" s="989"/>
      <c r="H40" s="989"/>
      <c r="I40" s="990"/>
      <c r="J40" s="159"/>
      <c r="Q40" s="182"/>
      <c r="T40" s="11"/>
      <c r="U40" s="11"/>
    </row>
    <row r="41" spans="2:43" ht="12.75" customHeight="1">
      <c r="B41" s="988"/>
      <c r="C41" s="989"/>
      <c r="D41" s="989"/>
      <c r="E41" s="989"/>
      <c r="F41" s="989"/>
      <c r="G41" s="989"/>
      <c r="H41" s="989"/>
      <c r="I41" s="990"/>
      <c r="J41" s="159"/>
      <c r="Q41" s="182"/>
      <c r="T41" s="11"/>
      <c r="U41" s="11"/>
    </row>
    <row r="42" spans="2:43" ht="12.75" customHeight="1">
      <c r="B42" s="988"/>
      <c r="C42" s="989"/>
      <c r="D42" s="989"/>
      <c r="E42" s="989"/>
      <c r="F42" s="989"/>
      <c r="G42" s="989"/>
      <c r="H42" s="989"/>
      <c r="I42" s="990"/>
      <c r="J42" s="159"/>
      <c r="Q42" s="182"/>
      <c r="T42" s="11"/>
      <c r="U42" s="11"/>
    </row>
    <row r="43" spans="2:43" ht="12.75" customHeight="1">
      <c r="B43" s="988"/>
      <c r="C43" s="989"/>
      <c r="D43" s="989"/>
      <c r="E43" s="989"/>
      <c r="F43" s="989"/>
      <c r="G43" s="989"/>
      <c r="H43" s="989"/>
      <c r="I43" s="990"/>
      <c r="J43" s="159"/>
      <c r="Q43" s="182"/>
      <c r="T43" s="11"/>
      <c r="U43" s="11"/>
    </row>
    <row r="44" spans="2:43" ht="12.75" customHeight="1">
      <c r="B44" s="159"/>
      <c r="I44" s="182"/>
      <c r="J44" s="159"/>
      <c r="Q44" s="182"/>
      <c r="T44" s="11"/>
      <c r="U44" s="11"/>
    </row>
    <row r="45" spans="2:43" ht="12.75" customHeight="1">
      <c r="B45" s="159"/>
      <c r="I45" s="182"/>
      <c r="J45" s="159"/>
      <c r="Q45" s="182"/>
      <c r="T45" s="11"/>
      <c r="U45" s="11"/>
    </row>
    <row r="46" spans="2:43" ht="12.75" customHeight="1">
      <c r="B46" s="159"/>
      <c r="I46" s="182"/>
      <c r="J46" s="159"/>
      <c r="Q46" s="182"/>
      <c r="T46" s="11"/>
      <c r="U46" s="11"/>
    </row>
    <row r="47" spans="2:43" ht="12.75" customHeight="1">
      <c r="B47" s="159"/>
      <c r="I47" s="182"/>
      <c r="J47" s="159"/>
      <c r="Q47" s="182"/>
      <c r="T47" s="11"/>
      <c r="U47" s="11"/>
    </row>
    <row r="48" spans="2:43" ht="12.75" customHeight="1">
      <c r="B48" s="159"/>
      <c r="I48" s="182"/>
      <c r="J48" s="159"/>
      <c r="Q48" s="182"/>
      <c r="T48" s="11"/>
      <c r="U48" s="11"/>
    </row>
    <row r="49" spans="2:21" ht="13.5" customHeight="1" thickBot="1">
      <c r="B49" s="160"/>
      <c r="C49" s="183"/>
      <c r="D49" s="184"/>
      <c r="E49" s="183"/>
      <c r="F49" s="183"/>
      <c r="G49" s="183"/>
      <c r="H49" s="183"/>
      <c r="I49" s="185"/>
      <c r="J49" s="160"/>
      <c r="K49" s="183"/>
      <c r="L49" s="183"/>
      <c r="M49" s="183"/>
      <c r="N49" s="183"/>
      <c r="O49" s="183"/>
      <c r="P49" s="183"/>
      <c r="Q49" s="185"/>
      <c r="T49" s="11"/>
      <c r="U49" s="11"/>
    </row>
    <row r="50" spans="2:21">
      <c r="T50" s="11"/>
      <c r="U50" s="11"/>
    </row>
    <row r="51" spans="2:21">
      <c r="T51" s="11"/>
      <c r="U51" s="11"/>
    </row>
    <row r="52" spans="2:21">
      <c r="T52" s="11"/>
      <c r="U52" s="11"/>
    </row>
    <row r="53" spans="2:21">
      <c r="T53" s="11"/>
      <c r="U53" s="11"/>
    </row>
    <row r="54" spans="2:21">
      <c r="O54" s="291"/>
      <c r="T54" s="11"/>
      <c r="U54" s="11"/>
    </row>
    <row r="55" spans="2:21">
      <c r="O55" s="291"/>
      <c r="T55" s="11"/>
      <c r="U55" s="11"/>
    </row>
    <row r="56" spans="2:21">
      <c r="O56" s="291"/>
      <c r="T56" s="11"/>
      <c r="U56" s="11"/>
    </row>
    <row r="57" spans="2:21">
      <c r="T57" s="11"/>
      <c r="U57" s="11"/>
    </row>
    <row r="58" spans="2:21">
      <c r="T58" s="11"/>
      <c r="U58" s="11"/>
    </row>
    <row r="59" spans="2:21">
      <c r="T59" s="11"/>
      <c r="U59" s="11"/>
    </row>
    <row r="60" spans="2:21">
      <c r="T60" s="11"/>
      <c r="U60" s="11"/>
    </row>
    <row r="61" spans="2:21">
      <c r="T61" s="11"/>
      <c r="U61" s="11"/>
    </row>
    <row r="62" spans="2:21">
      <c r="T62" s="11"/>
      <c r="U62" s="11"/>
    </row>
    <row r="63" spans="2:21">
      <c r="T63" s="11"/>
      <c r="U63" s="11"/>
    </row>
  </sheetData>
  <mergeCells count="44">
    <mergeCell ref="Q2:Y2"/>
    <mergeCell ref="K3:P3"/>
    <mergeCell ref="B2:P2"/>
    <mergeCell ref="K9:P9"/>
    <mergeCell ref="B8:P8"/>
    <mergeCell ref="D9:I9"/>
    <mergeCell ref="D3:I3"/>
    <mergeCell ref="B17:C17"/>
    <mergeCell ref="B16:C16"/>
    <mergeCell ref="B19:C19"/>
    <mergeCell ref="D22:I22"/>
    <mergeCell ref="D27:F27"/>
    <mergeCell ref="G27:I27"/>
    <mergeCell ref="D16:H16"/>
    <mergeCell ref="D17:H17"/>
    <mergeCell ref="D18:H18"/>
    <mergeCell ref="D19:H19"/>
    <mergeCell ref="I16:P16"/>
    <mergeCell ref="D31:F31"/>
    <mergeCell ref="B18:C18"/>
    <mergeCell ref="B25:C25"/>
    <mergeCell ref="B29:C29"/>
    <mergeCell ref="B30:C30"/>
    <mergeCell ref="B31:C31"/>
    <mergeCell ref="D23:I23"/>
    <mergeCell ref="D25:I25"/>
    <mergeCell ref="B24:C24"/>
    <mergeCell ref="D24:I24"/>
    <mergeCell ref="B35:I43"/>
    <mergeCell ref="G31:I31"/>
    <mergeCell ref="J21:Q21"/>
    <mergeCell ref="G29:I29"/>
    <mergeCell ref="G30:I30"/>
    <mergeCell ref="D28:F28"/>
    <mergeCell ref="D29:F29"/>
    <mergeCell ref="D30:F30"/>
    <mergeCell ref="B26:I26"/>
    <mergeCell ref="B27:C27"/>
    <mergeCell ref="B28:C28"/>
    <mergeCell ref="G28:I28"/>
    <mergeCell ref="B21:I21"/>
    <mergeCell ref="B32:I32"/>
    <mergeCell ref="B22:C22"/>
    <mergeCell ref="B23:C23"/>
  </mergeCells>
  <phoneticPr fontId="0" type="noConversion"/>
  <conditionalFormatting sqref="B5">
    <cfRule type="dataBar" priority="67">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1:B13">
    <cfRule type="dataBar" priority="80">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
    <cfRule type="dataBar" priority="68">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1:D13">
    <cfRule type="dataBar" priority="81">
      <dataBar>
        <cfvo type="min"/>
        <cfvo type="max"/>
        <color rgb="FF63C384"/>
      </dataBar>
      <extLst>
        <ext xmlns:x14="http://schemas.microsoft.com/office/spreadsheetml/2009/9/main" uri="{B025F937-C7B1-47D3-B67F-A62EFF666E3E}">
          <x14:id>{3F107DCC-63A1-497B-B919-528218A545C1}</x14:id>
        </ext>
      </extLst>
    </cfRule>
  </conditionalFormatting>
  <conditionalFormatting sqref="D5:I5">
    <cfRule type="dataBar" priority="69">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1:I13">
    <cfRule type="dataBar" priority="82">
      <dataBar>
        <cfvo type="min"/>
        <cfvo type="max"/>
        <color rgb="FF63C384"/>
      </dataBar>
      <extLst>
        <ext xmlns:x14="http://schemas.microsoft.com/office/spreadsheetml/2009/9/main" uri="{B025F937-C7B1-47D3-B67F-A62EFF666E3E}">
          <x14:id>{5BBC426E-7FA9-4F5C-AC78-B3996BA8F931}</x14:id>
        </ext>
      </extLst>
    </cfRule>
  </conditionalFormatting>
  <conditionalFormatting sqref="E5">
    <cfRule type="dataBar" priority="70">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1:E13">
    <cfRule type="dataBar" priority="83">
      <dataBar>
        <cfvo type="min"/>
        <cfvo type="max"/>
        <color rgb="FF63C384"/>
      </dataBar>
      <extLst>
        <ext xmlns:x14="http://schemas.microsoft.com/office/spreadsheetml/2009/9/main" uri="{B025F937-C7B1-47D3-B67F-A62EFF666E3E}">
          <x14:id>{5AA7A103-2149-42E1-9BBB-48A01258D43D}</x14:id>
        </ext>
      </extLst>
    </cfRule>
  </conditionalFormatting>
  <conditionalFormatting sqref="F5">
    <cfRule type="dataBar" priority="71">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1:F13">
    <cfRule type="dataBar" priority="84">
      <dataBar>
        <cfvo type="min"/>
        <cfvo type="max"/>
        <color rgb="FF63C384"/>
      </dataBar>
      <extLst>
        <ext xmlns:x14="http://schemas.microsoft.com/office/spreadsheetml/2009/9/main" uri="{B025F937-C7B1-47D3-B67F-A62EFF666E3E}">
          <x14:id>{5EE1521A-2483-44CA-9CCA-E5FC63E6246F}</x14:id>
        </ext>
      </extLst>
    </cfRule>
  </conditionalFormatting>
  <conditionalFormatting sqref="G5">
    <cfRule type="dataBar" priority="72">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1:G13">
    <cfRule type="dataBar" priority="85">
      <dataBar>
        <cfvo type="min"/>
        <cfvo type="max"/>
        <color rgb="FF63C384"/>
      </dataBar>
      <extLst>
        <ext xmlns:x14="http://schemas.microsoft.com/office/spreadsheetml/2009/9/main" uri="{B025F937-C7B1-47D3-B67F-A62EFF666E3E}">
          <x14:id>{00DC50B7-1706-4DFB-A90F-9F95CB19CA6D}</x14:id>
        </ext>
      </extLst>
    </cfRule>
  </conditionalFormatting>
  <conditionalFormatting sqref="H5">
    <cfRule type="dataBar" priority="73">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1:H13">
    <cfRule type="dataBar" priority="86">
      <dataBar>
        <cfvo type="min"/>
        <cfvo type="max"/>
        <color rgb="FF63C384"/>
      </dataBar>
      <extLst>
        <ext xmlns:x14="http://schemas.microsoft.com/office/spreadsheetml/2009/9/main" uri="{B025F937-C7B1-47D3-B67F-A62EFF666E3E}">
          <x14:id>{EED505F4-1AE5-4E85-A25F-1DAC1EADC97D}</x14:id>
        </ext>
      </extLst>
    </cfRule>
  </conditionalFormatting>
  <conditionalFormatting sqref="I5">
    <cfRule type="dataBar" priority="74">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1:I13">
    <cfRule type="dataBar" priority="87">
      <dataBar>
        <cfvo type="min"/>
        <cfvo type="max"/>
        <color rgb="FF63C384"/>
      </dataBar>
      <extLst>
        <ext xmlns:x14="http://schemas.microsoft.com/office/spreadsheetml/2009/9/main" uri="{B025F937-C7B1-47D3-B67F-A62EFF666E3E}">
          <x14:id>{A192D211-7CF8-4DE2-A7D7-7E84CEAE76AC}</x14:id>
        </ext>
      </extLst>
    </cfRule>
  </conditionalFormatting>
  <conditionalFormatting sqref="K5">
    <cfRule type="dataBar" priority="75">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1:K13">
    <cfRule type="dataBar" priority="88">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1:O13">
    <cfRule type="dataBar" priority="89">
      <dataBar>
        <cfvo type="min"/>
        <cfvo type="max"/>
        <color rgb="FF63C384"/>
      </dataBar>
      <extLst>
        <ext xmlns:x14="http://schemas.microsoft.com/office/spreadsheetml/2009/9/main" uri="{B025F937-C7B1-47D3-B67F-A62EFF666E3E}">
          <x14:id>{BE9D279A-ADD8-46F4-B26E-577DEFFA037B}</x14:id>
        </ext>
      </extLst>
    </cfRule>
    <cfRule type="dataBar" priority="90">
      <dataBar>
        <cfvo type="min"/>
        <cfvo type="max"/>
        <color rgb="FF63C384"/>
      </dataBar>
      <extLst>
        <ext xmlns:x14="http://schemas.microsoft.com/office/spreadsheetml/2009/9/main" uri="{B025F937-C7B1-47D3-B67F-A62EFF666E3E}">
          <x14:id>{CBC457F7-3DB8-46A0-988B-11CCF8FF31E5}</x14:id>
        </ext>
      </extLst>
    </cfRule>
    <cfRule type="dataBar" priority="91">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5">
    <cfRule type="dataBar" priority="76">
      <dataBar>
        <cfvo type="min"/>
        <cfvo type="max"/>
        <color rgb="FF63C384"/>
      </dataBar>
      <extLst>
        <ext xmlns:x14="http://schemas.microsoft.com/office/spreadsheetml/2009/9/main" uri="{B025F937-C7B1-47D3-B67F-A62EFF666E3E}">
          <x14:id>{1642E512-5328-4DB9-81F4-5A67EFFA2D7A}</x14:id>
        </ext>
      </extLst>
    </cfRule>
    <cfRule type="dataBar" priority="77">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1:P13">
    <cfRule type="dataBar" priority="92">
      <dataBar>
        <cfvo type="min"/>
        <cfvo type="max"/>
        <color rgb="FF63C384"/>
      </dataBar>
      <extLst>
        <ext xmlns:x14="http://schemas.microsoft.com/office/spreadsheetml/2009/9/main" uri="{B025F937-C7B1-47D3-B67F-A62EFF666E3E}">
          <x14:id>{A85696C3-3FD4-4347-BBC8-6CEF041D9BC2}</x14:id>
        </ext>
      </extLst>
    </cfRule>
    <cfRule type="dataBar" priority="93">
      <dataBar>
        <cfvo type="min"/>
        <cfvo type="max"/>
        <color rgb="FF63C384"/>
      </dataBar>
      <extLst>
        <ext xmlns:x14="http://schemas.microsoft.com/office/spreadsheetml/2009/9/main" uri="{B025F937-C7B1-47D3-B67F-A62EFF666E3E}">
          <x14:id>{4CBCF4A4-EFBB-41F0-984E-0C4EF2D8C81C}</x14:id>
        </ext>
      </extLst>
    </cfRule>
    <cfRule type="dataBar" priority="94">
      <dataBar>
        <cfvo type="min"/>
        <cfvo type="max"/>
        <color rgb="FF63C384"/>
      </dataBar>
      <extLst>
        <ext xmlns:x14="http://schemas.microsoft.com/office/spreadsheetml/2009/9/main" uri="{B025F937-C7B1-47D3-B67F-A62EFF666E3E}">
          <x14:id>{9095667E-69EE-4811-BEDE-AFA010708C3B}</x14:id>
        </ext>
      </extLst>
    </cfRule>
    <cfRule type="dataBar" priority="95">
      <dataBar>
        <cfvo type="min"/>
        <cfvo type="max"/>
        <color rgb="FF63C384"/>
      </dataBar>
      <extLst>
        <ext xmlns:x14="http://schemas.microsoft.com/office/spreadsheetml/2009/9/main" uri="{B025F937-C7B1-47D3-B67F-A62EFF666E3E}">
          <x14:id>{00030478-9DDE-4C48-B970-8BFEEA7887D7}</x14:id>
        </ext>
      </extLst>
    </cfRule>
    <cfRule type="dataBar" priority="96">
      <dataBar>
        <cfvo type="min"/>
        <cfvo type="max"/>
        <color rgb="FF63C384"/>
      </dataBar>
      <extLst>
        <ext xmlns:x14="http://schemas.microsoft.com/office/spreadsheetml/2009/9/main" uri="{B025F937-C7B1-47D3-B67F-A62EFF666E3E}">
          <x14:id>{EC7F1560-4E75-4756-AE37-09B82982D1AB}</x14:id>
        </ext>
      </extLst>
    </cfRule>
  </conditionalFormatting>
  <conditionalFormatting sqref="L5">
    <cfRule type="dataBar" priority="78">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1:L13">
    <cfRule type="dataBar" priority="97">
      <dataBar>
        <cfvo type="min"/>
        <cfvo type="max"/>
        <color rgb="FF63C384"/>
      </dataBar>
      <extLst>
        <ext xmlns:x14="http://schemas.microsoft.com/office/spreadsheetml/2009/9/main" uri="{B025F937-C7B1-47D3-B67F-A62EFF666E3E}">
          <x14:id>{4BEF7755-0998-42F9-BE2B-3DDE71DD6879}</x14:id>
        </ext>
      </extLst>
    </cfRule>
  </conditionalFormatting>
  <conditionalFormatting sqref="M13">
    <cfRule type="dataBar" priority="98">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5">
    <cfRule type="dataBar" priority="79">
      <dataBar>
        <cfvo type="min"/>
        <cfvo type="max"/>
        <color rgb="FF63C384"/>
      </dataBar>
      <extLst>
        <ext xmlns:x14="http://schemas.microsoft.com/office/spreadsheetml/2009/9/main" uri="{B025F937-C7B1-47D3-B67F-A62EFF666E3E}">
          <x14:id>{418255D3-2B96-41A9-9582-87939D7FAE81}</x14:id>
        </ext>
      </extLst>
    </cfRule>
  </conditionalFormatting>
  <conditionalFormatting sqref="N11:N13">
    <cfRule type="dataBar" priority="99">
      <dataBar>
        <cfvo type="min"/>
        <cfvo type="max"/>
        <color rgb="FF63C384"/>
      </dataBar>
      <extLst>
        <ext xmlns:x14="http://schemas.microsoft.com/office/spreadsheetml/2009/9/main" uri="{B025F937-C7B1-47D3-B67F-A62EFF666E3E}">
          <x14:id>{E359D2BF-B4C7-4D3A-9103-4CBEE70A31B4}</x14:id>
        </ext>
      </extLst>
    </cfRule>
  </conditionalFormatting>
  <conditionalFormatting sqref="O11:O13">
    <cfRule type="dataBar" priority="100">
      <dataBar>
        <cfvo type="min"/>
        <cfvo type="max"/>
        <color rgb="FF63C384"/>
      </dataBar>
      <extLst>
        <ext xmlns:x14="http://schemas.microsoft.com/office/spreadsheetml/2009/9/main" uri="{B025F937-C7B1-47D3-B67F-A62EFF666E3E}">
          <x14:id>{26AC0999-7FF4-4431-B91F-7A7C0E85B670}</x14:id>
        </ext>
      </extLst>
    </cfRule>
  </conditionalFormatting>
  <conditionalFormatting sqref="P11:P13">
    <cfRule type="dataBar" priority="101">
      <dataBar>
        <cfvo type="min"/>
        <cfvo type="max"/>
        <color rgb="FF63C384"/>
      </dataBar>
      <extLst>
        <ext xmlns:x14="http://schemas.microsoft.com/office/spreadsheetml/2009/9/main" uri="{B025F937-C7B1-47D3-B67F-A62EFF666E3E}">
          <x14:id>{00154FAC-2C70-4EF2-A308-BA8404420986}</x14:id>
        </ext>
      </extLst>
    </cfRule>
  </conditionalFormatting>
  <hyperlinks>
    <hyperlink ref="B28:C28" r:id="rId1" display="Grand View Research" xr:uid="{37D3A2AC-E003-43FD-9FEC-3C670E288B9E}"/>
    <hyperlink ref="B29" r:id="rId2" display="https://www.statista.com/outlook/tmo/communication-services/worldwide" xr:uid="{A594E485-489A-4D03-94DA-7E4EACF0554A}"/>
    <hyperlink ref="B29:C29" r:id="rId3" display="Statista" xr:uid="{DC16BC92-0003-40BA-B8D8-D08630243E80}"/>
    <hyperlink ref="B30" r:id="rId4" display="https://www.analysysmason.com/research/content/regional-forecasts-/global-telecoms-forecast-rddg0/" xr:uid="{8D21C2F9-9BEC-4A8D-843F-3453FD84E4B7}"/>
    <hyperlink ref="B30:C30" r:id="rId5" display="Analysys Mason" xr:uid="{6BDDD674-4A7E-43A9-9E54-3C2F30C1A4D6}"/>
    <hyperlink ref="B31" r:id="rId6" display="https://www.transparencymarketresearch.com/telecommunication-market.html" xr:uid="{A2BAB2C8-EBAF-4AFC-B707-1FAB962D90AB}"/>
    <hyperlink ref="B31:C31" r:id="rId7" display="Transparency Market Research" xr:uid="{1105C58F-D526-4CBF-981A-3A895704E470}"/>
  </hyperlinks>
  <pageMargins left="0.75" right="0.75" top="1" bottom="1" header="0" footer="0"/>
  <pageSetup orientation="landscape" r:id="rId8"/>
  <headerFooter alignWithMargins="0"/>
  <drawing r:id="rId9"/>
  <legacyDrawing r:id="rId10"/>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B11:B13</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D11:D13</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D5:I5</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D11:I13</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E11:E13</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F11:F13</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G11:G13</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H11:H13</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I11:I13</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K11:K13</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K11:O13</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K5:P5</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m:sqref>K11:P13</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L11:L13</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M13</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M5:P5</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N11:N13</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O11:O13</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P11:P13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215</v>
      </c>
    </row>
    <row r="2" spans="1:1">
      <c r="A2" t="s">
        <v>216</v>
      </c>
    </row>
    <row r="3" spans="1:1">
      <c r="A3" t="s">
        <v>217</v>
      </c>
    </row>
    <row r="4" spans="1:1">
      <c r="A4" t="s">
        <v>218</v>
      </c>
    </row>
    <row r="5" spans="1:1">
      <c r="A5" t="s">
        <v>219</v>
      </c>
    </row>
    <row r="6" spans="1:1">
      <c r="A6" s="11" t="s">
        <v>220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U72"/>
  <sheetViews>
    <sheetView showGridLines="0" zoomScale="85" zoomScaleNormal="85" workbookViewId="0">
      <selection activeCell="L4" sqref="L4"/>
    </sheetView>
  </sheetViews>
  <sheetFormatPr defaultColWidth="11.42578125" defaultRowHeight="12.75"/>
  <cols>
    <col min="1" max="1" width="0.42578125" customWidth="1"/>
    <col min="2" max="2" width="31.7109375" bestFit="1" customWidth="1"/>
    <col min="3" max="4" width="32.140625" customWidth="1"/>
    <col min="5" max="5" width="33.42578125" customWidth="1"/>
    <col min="6" max="6" width="33.85546875" customWidth="1"/>
    <col min="7" max="7" width="32.140625" customWidth="1"/>
    <col min="8" max="8" width="46.140625" customWidth="1"/>
    <col min="9" max="9" width="15.42578125" customWidth="1"/>
    <col min="10" max="10" width="14" customWidth="1"/>
  </cols>
  <sheetData>
    <row r="1" spans="2:14" ht="13.9">
      <c r="B1" s="217" t="s">
        <v>221</v>
      </c>
      <c r="C1" s="218" t="s">
        <v>222</v>
      </c>
      <c r="D1" s="1065" t="s">
        <v>186</v>
      </c>
      <c r="E1" s="1065"/>
      <c r="F1" s="1065"/>
      <c r="G1" s="1065"/>
      <c r="H1" s="1065"/>
    </row>
    <row r="2" spans="2:14" ht="105.75" customHeight="1">
      <c r="B2" s="219"/>
      <c r="C2" s="333" t="e" vm="3">
        <f>D8</f>
        <v>#VALUE!</v>
      </c>
      <c r="D2" s="1062" t="s">
        <v>223</v>
      </c>
      <c r="E2" s="1066"/>
      <c r="F2" s="1066"/>
      <c r="G2" s="1066"/>
      <c r="H2" s="1067"/>
    </row>
    <row r="3" spans="2:14" ht="113.25" customHeight="1">
      <c r="B3" s="219"/>
      <c r="C3" s="334" t="e" vm="4">
        <f>E8</f>
        <v>#VALUE!</v>
      </c>
      <c r="D3" s="1062" t="s">
        <v>224</v>
      </c>
      <c r="E3" s="1066"/>
      <c r="F3" s="1066"/>
      <c r="G3" s="1066"/>
      <c r="H3" s="1067"/>
    </row>
    <row r="4" spans="2:14" ht="90.75" customHeight="1">
      <c r="B4" s="219"/>
      <c r="C4" s="335" t="e" vm="5">
        <f>F8</f>
        <v>#VALUE!</v>
      </c>
      <c r="D4" s="1062" t="s">
        <v>225</v>
      </c>
      <c r="E4" s="1063"/>
      <c r="F4" s="1063"/>
      <c r="G4" s="1063"/>
      <c r="H4" s="1064"/>
    </row>
    <row r="5" spans="2:14" ht="108.75" customHeight="1">
      <c r="C5" s="336" t="e" vm="6">
        <f>G8</f>
        <v>#VALUE!</v>
      </c>
      <c r="D5" s="1062" t="s">
        <v>226</v>
      </c>
      <c r="E5" s="1063"/>
      <c r="F5" s="1063"/>
      <c r="G5" s="1063"/>
      <c r="H5" s="1064"/>
    </row>
    <row r="6" spans="2:14" ht="88.5" customHeight="1">
      <c r="B6" s="219"/>
      <c r="C6" s="337" t="e" vm="7">
        <f>H8</f>
        <v>#VALUE!</v>
      </c>
      <c r="D6" s="1062" t="s">
        <v>227</v>
      </c>
      <c r="E6" s="1063"/>
      <c r="F6" s="1063"/>
      <c r="G6" s="1063"/>
      <c r="H6" s="1064"/>
      <c r="L6" s="2"/>
    </row>
    <row r="7" spans="2:14" ht="13.5" customHeight="1" thickBot="1">
      <c r="B7" s="11"/>
    </row>
    <row r="8" spans="2:14" ht="36" customHeight="1" thickBot="1">
      <c r="B8" s="216" t="s">
        <v>228</v>
      </c>
      <c r="C8" s="327" t="e" vm="2">
        <v>#VALUE!</v>
      </c>
      <c r="D8" s="531" t="e" vm="3">
        <v>#VALUE!</v>
      </c>
      <c r="E8" s="329" t="e" vm="4">
        <v>#VALUE!</v>
      </c>
      <c r="F8" s="330" t="e" vm="5">
        <v>#VALUE!</v>
      </c>
      <c r="G8" s="331" t="e" vm="6">
        <v>#VALUE!</v>
      </c>
      <c r="H8" s="332" t="e" vm="7">
        <v>#VALUE!</v>
      </c>
      <c r="I8" s="212" t="s">
        <v>229</v>
      </c>
      <c r="J8" s="499" t="s">
        <v>230</v>
      </c>
    </row>
    <row r="9" spans="2:14" ht="16.5" customHeight="1" thickBot="1">
      <c r="B9" s="210" t="s">
        <v>231</v>
      </c>
      <c r="C9" s="194"/>
      <c r="D9" s="195"/>
      <c r="E9" s="195"/>
      <c r="F9" s="195"/>
      <c r="G9" s="195"/>
      <c r="H9" s="196"/>
      <c r="I9" s="197" t="str">
        <f>IFERROR(AVERAGE(C9:H9),"")</f>
        <v/>
      </c>
      <c r="J9" s="474"/>
      <c r="L9" s="1054" t="s">
        <v>232</v>
      </c>
      <c r="M9" s="1055"/>
      <c r="N9" s="1056"/>
    </row>
    <row r="10" spans="2:14" ht="13.5" customHeight="1" thickBot="1">
      <c r="B10" s="209" t="s">
        <v>233</v>
      </c>
      <c r="C10" s="192">
        <f>OP!C21</f>
        <v>169579.31112</v>
      </c>
      <c r="D10" s="192" cm="1">
        <f t="array" ref="D10">_FV(D8,"Capitalização de mercado",TRUE)/1000000</f>
        <v>120882.2</v>
      </c>
      <c r="E10" s="192" cm="1">
        <f t="array" ref="E10">_FV(E8,"Capitalização de mercado",TRUE)/1000000</f>
        <v>191085.74799999999</v>
      </c>
      <c r="F10" s="192" cm="1">
        <f t="array" ref="F10">_FV(F8,"Capitalização de mercado",TRUE)/1000000</f>
        <v>157801.87861000001</v>
      </c>
      <c r="G10" s="192" cm="1">
        <f t="array" ref="G10">_FV(G8,"Capitalização de mercado",TRUE)/1000000</f>
        <v>42403.553555999999</v>
      </c>
      <c r="H10" s="192" cm="1">
        <f t="array" ref="H10">_FV(H8,"Capitalização de mercado",TRUE)/1000000</f>
        <v>1388.4145000000001</v>
      </c>
      <c r="I10" s="452">
        <f>IFERROR(AVERAGE(C10:H10),"")</f>
        <v>113856.85096433332</v>
      </c>
      <c r="J10" s="475">
        <f>SQRT((C10-I10)^2)</f>
        <v>55722.460155666675</v>
      </c>
      <c r="L10" s="1057"/>
      <c r="M10" s="1052" t="s">
        <v>234</v>
      </c>
      <c r="N10" s="1053"/>
    </row>
    <row r="11" spans="2:14" ht="13.5" thickBot="1">
      <c r="B11" s="419" t="s">
        <v>235</v>
      </c>
      <c r="C11" s="420">
        <f>C55</f>
        <v>136835</v>
      </c>
      <c r="D11" s="420">
        <f t="shared" ref="D11:H11" si="0">D55</f>
        <v>120741</v>
      </c>
      <c r="E11" s="420">
        <f t="shared" si="0"/>
        <v>79571</v>
      </c>
      <c r="F11" s="420">
        <f t="shared" si="0"/>
        <v>121427</v>
      </c>
      <c r="G11" s="420">
        <f t="shared" si="0"/>
        <v>54022</v>
      </c>
      <c r="H11" s="420">
        <f t="shared" si="0"/>
        <v>17478</v>
      </c>
      <c r="I11" s="453">
        <f t="shared" ref="I11:I40" si="1">IFERROR(AVERAGE(C11:H11),"")</f>
        <v>88345.666666666672</v>
      </c>
      <c r="J11" s="476">
        <f t="shared" ref="J11:J49" si="2">SQRT((C11-I11)^2)</f>
        <v>48489.333333333328</v>
      </c>
      <c r="L11" s="1057"/>
      <c r="M11" s="1052"/>
      <c r="N11" s="1053"/>
    </row>
    <row r="12" spans="2:14" ht="16.5" customHeight="1" thickBot="1">
      <c r="B12" s="210" t="s">
        <v>236</v>
      </c>
      <c r="C12" s="215"/>
      <c r="D12" s="215"/>
      <c r="E12" s="215"/>
      <c r="F12" s="215"/>
      <c r="G12" s="215"/>
      <c r="H12" s="215"/>
      <c r="I12" s="454" t="str">
        <f t="shared" si="1"/>
        <v/>
      </c>
      <c r="J12" s="477"/>
      <c r="L12" s="1051"/>
      <c r="M12" s="1052" t="s">
        <v>237</v>
      </c>
      <c r="N12" s="1053"/>
    </row>
    <row r="13" spans="2:14" ht="13.5" thickBot="1">
      <c r="B13" s="209" t="s">
        <v>238</v>
      </c>
      <c r="C13" s="820">
        <f>C55/C54-1</f>
        <v>2.4114420004041515E-2</v>
      </c>
      <c r="D13" s="430">
        <f t="shared" ref="D13:H13" si="3">D55/D54-1</f>
        <v>-9.9203211029707972E-2</v>
      </c>
      <c r="E13" s="430">
        <f t="shared" si="3"/>
        <v>-6.8274295414263442E-3</v>
      </c>
      <c r="F13" s="430">
        <f t="shared" si="3"/>
        <v>4.3321733900416826E-2</v>
      </c>
      <c r="G13" s="430">
        <f t="shared" si="3"/>
        <v>4.527688556944387E-2</v>
      </c>
      <c r="H13" s="430">
        <f t="shared" si="3"/>
        <v>-0.11220602427998172</v>
      </c>
      <c r="I13" s="455">
        <f t="shared" si="1"/>
        <v>-1.7587270896202305E-2</v>
      </c>
      <c r="J13" s="478">
        <f t="shared" si="2"/>
        <v>4.1701690900243824E-2</v>
      </c>
      <c r="L13" s="1051"/>
      <c r="M13" s="1052"/>
      <c r="N13" s="1053"/>
    </row>
    <row r="14" spans="2:14" ht="13.5" thickBot="1">
      <c r="B14" s="421" t="s">
        <v>239</v>
      </c>
      <c r="C14" s="422">
        <f>C55/C53-1</f>
        <v>3.7666454333121102E-2</v>
      </c>
      <c r="D14" s="422">
        <f t="shared" ref="D14:H14" si="4">D55/D53-1</f>
        <v>-0.33363319775046496</v>
      </c>
      <c r="E14" s="422">
        <f t="shared" si="4"/>
        <v>0.7683230365794036</v>
      </c>
      <c r="F14" s="422">
        <f t="shared" si="4"/>
        <v>0.11460226542563934</v>
      </c>
      <c r="G14" s="422">
        <f t="shared" si="4"/>
        <v>0.12318855645882287</v>
      </c>
      <c r="H14" s="422">
        <f t="shared" si="4"/>
        <v>-0.21976697468862993</v>
      </c>
      <c r="I14" s="456">
        <f t="shared" si="1"/>
        <v>8.1730023392982007E-2</v>
      </c>
      <c r="J14" s="479">
        <f t="shared" si="2"/>
        <v>4.4063569059860905E-2</v>
      </c>
      <c r="L14" s="1058"/>
      <c r="M14" s="1052" t="s">
        <v>240</v>
      </c>
      <c r="N14" s="1053"/>
    </row>
    <row r="15" spans="2:14" ht="13.5" thickBot="1">
      <c r="B15" s="431" t="s">
        <v>130</v>
      </c>
      <c r="C15" s="819">
        <f>C58/C55</f>
        <v>0.22265502247232069</v>
      </c>
      <c r="D15" s="432">
        <f t="shared" ref="D15:H15" si="5">D58/D55</f>
        <v>0.18975327353591573</v>
      </c>
      <c r="E15" s="432">
        <f t="shared" si="5"/>
        <v>0.10188385215719295</v>
      </c>
      <c r="F15" s="432">
        <f t="shared" si="5"/>
        <v>0.11563326113632058</v>
      </c>
      <c r="G15" s="432">
        <f t="shared" si="5"/>
        <v>0.22662989152567473</v>
      </c>
      <c r="H15" s="432">
        <f t="shared" si="5"/>
        <v>0.18840828470076668</v>
      </c>
      <c r="I15" s="456">
        <f>IFERROR(AVERAGE(C15:H15),"")</f>
        <v>0.1741605975880319</v>
      </c>
      <c r="J15" s="480">
        <f t="shared" si="2"/>
        <v>4.8494424884288789E-2</v>
      </c>
      <c r="L15" s="1059"/>
      <c r="M15" s="1060"/>
      <c r="N15" s="1061"/>
    </row>
    <row r="16" spans="2:14" ht="13.5" thickBot="1">
      <c r="B16" s="421" t="s">
        <v>241</v>
      </c>
      <c r="C16" s="819">
        <f t="shared" ref="C16:H16" si="6">C61/C55</f>
        <v>0.15893594475097744</v>
      </c>
      <c r="D16" s="422">
        <f t="shared" si="6"/>
        <v>-5.8430856130063526E-2</v>
      </c>
      <c r="E16" s="422">
        <f t="shared" si="6"/>
        <v>3.2549546945495215E-2</v>
      </c>
      <c r="F16" s="422">
        <f t="shared" si="6"/>
        <v>4.0559348415097139E-2</v>
      </c>
      <c r="G16" s="422">
        <f t="shared" si="6"/>
        <v>9.3572988782347932E-2</v>
      </c>
      <c r="H16" s="422">
        <f t="shared" si="6"/>
        <v>-8.8568486096807411E-2</v>
      </c>
      <c r="I16" s="456">
        <f t="shared" si="1"/>
        <v>2.9769747777841138E-2</v>
      </c>
      <c r="J16" s="479">
        <f t="shared" si="2"/>
        <v>0.1291661969731363</v>
      </c>
    </row>
    <row r="17" spans="1:21" ht="13.5" thickBot="1">
      <c r="B17" s="431" t="s">
        <v>242</v>
      </c>
      <c r="C17" s="432">
        <f t="shared" ref="C17:H17" si="7">C61/C72</f>
        <v>0.24211522404675759</v>
      </c>
      <c r="D17" s="432">
        <f t="shared" si="7"/>
        <v>-6.6270888715631665E-2</v>
      </c>
      <c r="E17" s="432">
        <f t="shared" si="7"/>
        <v>3.7182726541862866E-2</v>
      </c>
      <c r="F17" s="432">
        <f t="shared" si="7"/>
        <v>6.1679691413686004E-2</v>
      </c>
      <c r="G17" s="432">
        <f t="shared" si="7"/>
        <v>0.40282094190772172</v>
      </c>
      <c r="H17" s="432">
        <f t="shared" si="7"/>
        <v>-0.14831848232250647</v>
      </c>
      <c r="I17" s="456">
        <f t="shared" si="1"/>
        <v>8.8201535478648341E-2</v>
      </c>
      <c r="J17" s="480">
        <f t="shared" si="2"/>
        <v>0.15391368856810925</v>
      </c>
    </row>
    <row r="18" spans="1:21" ht="13.5" thickBot="1">
      <c r="B18" s="419" t="s">
        <v>243</v>
      </c>
      <c r="C18" s="821">
        <f t="shared" ref="C18:H18" si="8">(C61+C60)/(C71+C72)</f>
        <v>6.3315090824406145E-2</v>
      </c>
      <c r="D18" s="423">
        <f t="shared" si="8"/>
        <v>-1.2541357759941181E-2</v>
      </c>
      <c r="E18" s="423">
        <f t="shared" si="8"/>
        <v>9.6243931522016872E-3</v>
      </c>
      <c r="F18" s="423">
        <f t="shared" si="8"/>
        <v>3.0616108616865908E-3</v>
      </c>
      <c r="G18" s="423">
        <f t="shared" si="8"/>
        <v>3.1314537332714686E-2</v>
      </c>
      <c r="H18" s="423">
        <f t="shared" si="8"/>
        <v>-4.618152300300564E-2</v>
      </c>
      <c r="I18" s="457">
        <f t="shared" si="1"/>
        <v>8.0987919013437142E-3</v>
      </c>
      <c r="J18" s="481">
        <f t="shared" si="2"/>
        <v>5.5216298923062429E-2</v>
      </c>
    </row>
    <row r="19" spans="1:21" ht="15.4" thickBot="1">
      <c r="B19" s="210" t="s">
        <v>244</v>
      </c>
      <c r="C19" s="215"/>
      <c r="D19" s="215"/>
      <c r="E19" s="215"/>
      <c r="F19" s="215"/>
      <c r="G19" s="215"/>
      <c r="H19" s="215"/>
      <c r="I19" s="458" t="str">
        <f t="shared" si="1"/>
        <v/>
      </c>
      <c r="J19" s="477"/>
    </row>
    <row r="20" spans="1:21" ht="13.5" thickBot="1">
      <c r="B20" s="209" t="s">
        <v>76</v>
      </c>
      <c r="C20" s="433">
        <f>C71/C68</f>
        <v>0.3967525284450063</v>
      </c>
      <c r="D20" s="433">
        <f>D71/D68</f>
        <v>0.38395891305265195</v>
      </c>
      <c r="E20" s="433">
        <f t="shared" ref="E20:H20" si="9">E71/E68</f>
        <v>0.67040475446914416</v>
      </c>
      <c r="F20" s="433">
        <f t="shared" si="9"/>
        <v>0.40820911476047034</v>
      </c>
      <c r="G20" s="433">
        <f t="shared" si="9"/>
        <v>0.67371975394919836</v>
      </c>
      <c r="H20" s="433">
        <f t="shared" si="9"/>
        <v>0.77102301397512119</v>
      </c>
      <c r="I20" s="459">
        <f>IFERROR(AVERAGE(C20:H20),"")</f>
        <v>0.55067801310859865</v>
      </c>
      <c r="J20" s="482">
        <f t="shared" si="2"/>
        <v>0.15392548466359235</v>
      </c>
    </row>
    <row r="21" spans="1:21" ht="13.5" thickBot="1">
      <c r="B21" s="421" t="s">
        <v>245</v>
      </c>
      <c r="C21" s="424">
        <f t="shared" ref="C21:H21" si="10">(C71-C63)/C57</f>
        <v>3.2046846924858743</v>
      </c>
      <c r="D21" s="425">
        <f t="shared" si="10"/>
        <v>7.1774661278821013</v>
      </c>
      <c r="E21" s="425">
        <f t="shared" si="10"/>
        <v>6.803977977282873</v>
      </c>
      <c r="F21" s="425">
        <f t="shared" si="10"/>
        <v>3.4910350590119417</v>
      </c>
      <c r="G21" s="425">
        <f t="shared" si="10"/>
        <v>4.574056559160125</v>
      </c>
      <c r="H21" s="425">
        <f t="shared" si="10"/>
        <v>9.4673184357541906</v>
      </c>
      <c r="I21" s="459">
        <f t="shared" si="1"/>
        <v>5.786423141929518</v>
      </c>
      <c r="J21" s="483">
        <f t="shared" si="2"/>
        <v>2.5817384494436437</v>
      </c>
    </row>
    <row r="22" spans="1:21" ht="13.5" thickBot="1">
      <c r="B22" s="434" t="s">
        <v>246</v>
      </c>
      <c r="C22" s="449">
        <f t="shared" ref="C22:H22" si="11">-C57/C59</f>
        <v>12.94284113196974</v>
      </c>
      <c r="D22" s="449">
        <f t="shared" si="11"/>
        <v>-3.4438441388343155</v>
      </c>
      <c r="E22" s="449">
        <f t="shared" si="11"/>
        <v>5.9931629013079668</v>
      </c>
      <c r="F22" s="449">
        <f t="shared" si="11"/>
        <v>7.3724332648870634</v>
      </c>
      <c r="G22" s="449">
        <f t="shared" si="11"/>
        <v>4.6413520632133451</v>
      </c>
      <c r="H22" s="449">
        <f t="shared" si="11"/>
        <v>2.6876876876876876</v>
      </c>
      <c r="I22" s="460">
        <f t="shared" si="1"/>
        <v>5.0322721517052482</v>
      </c>
      <c r="J22" s="484">
        <f t="shared" si="2"/>
        <v>7.9105689802644914</v>
      </c>
    </row>
    <row r="23" spans="1:21" ht="15.4" thickBot="1">
      <c r="B23" s="210" t="s">
        <v>247</v>
      </c>
      <c r="C23" s="215"/>
      <c r="D23" s="215"/>
      <c r="E23" s="215"/>
      <c r="F23" s="215"/>
      <c r="G23" s="215"/>
      <c r="H23" s="215"/>
      <c r="I23" s="461"/>
      <c r="J23" s="477"/>
    </row>
    <row r="24" spans="1:21" ht="13.5" thickBot="1">
      <c r="B24" s="426" t="s">
        <v>248</v>
      </c>
      <c r="C24" s="427">
        <f>C66/C70</f>
        <v>0.75455940682864608</v>
      </c>
      <c r="D24" s="427">
        <f>D66/D70</f>
        <v>0.58939348085379095</v>
      </c>
      <c r="E24" s="427">
        <f t="shared" ref="E24:H24" si="12">E66/E70</f>
        <v>0.77063293185676174</v>
      </c>
      <c r="F24" s="427">
        <f t="shared" si="12"/>
        <v>0.78265858643812525</v>
      </c>
      <c r="G24" s="427">
        <f t="shared" si="12"/>
        <v>0.3329465395772897</v>
      </c>
      <c r="H24" s="427">
        <f t="shared" si="12"/>
        <v>1.128461378305226</v>
      </c>
      <c r="I24" s="462">
        <f t="shared" si="1"/>
        <v>0.72644205397663997</v>
      </c>
      <c r="J24" s="485">
        <f t="shared" si="2"/>
        <v>2.8117352852006117E-2</v>
      </c>
    </row>
    <row r="25" spans="1:21" ht="13.5" thickBot="1">
      <c r="B25" s="434" t="s">
        <v>249</v>
      </c>
      <c r="C25" s="435">
        <f>(C63+C64)/C70</f>
        <v>0.54037192800621869</v>
      </c>
      <c r="D25" s="435">
        <f>(D63+D64)/D70</f>
        <v>0.27000516262261226</v>
      </c>
      <c r="E25" s="435">
        <f t="shared" ref="E25:H25" si="13">(E63+E64)/E70</f>
        <v>0.36181391965079623</v>
      </c>
      <c r="F25" s="435">
        <f t="shared" si="13"/>
        <v>0.62466382185247604</v>
      </c>
      <c r="G25" s="435">
        <f t="shared" si="13"/>
        <v>0.29556568586821386</v>
      </c>
      <c r="H25" s="435">
        <f t="shared" si="13"/>
        <v>0.56797834686654169</v>
      </c>
      <c r="I25" s="460">
        <f t="shared" si="1"/>
        <v>0.44339981081114316</v>
      </c>
      <c r="J25" s="486">
        <f t="shared" si="2"/>
        <v>9.6972117195075536E-2</v>
      </c>
    </row>
    <row r="26" spans="1:21" ht="15.4" thickBot="1">
      <c r="B26" s="210" t="s">
        <v>250</v>
      </c>
      <c r="C26" s="215"/>
      <c r="D26" s="215"/>
      <c r="E26" s="215"/>
      <c r="F26" s="215"/>
      <c r="G26" s="215"/>
      <c r="H26" s="215"/>
      <c r="I26" s="461" t="str">
        <f t="shared" si="1"/>
        <v/>
      </c>
      <c r="J26" s="477"/>
    </row>
    <row r="27" spans="1:21" ht="13.5" thickBot="1">
      <c r="B27" s="426" t="s">
        <v>251</v>
      </c>
      <c r="C27" s="436">
        <f>C56/C65</f>
        <v>24.762562814070353</v>
      </c>
      <c r="D27" s="427">
        <f>D56/D65</f>
        <v>34.385206532180597</v>
      </c>
      <c r="E27" s="427">
        <f>E56/E65</f>
        <v>19.217622080679405</v>
      </c>
      <c r="F27" s="436" t="s">
        <v>75</v>
      </c>
      <c r="G27" s="427" t="s">
        <v>75</v>
      </c>
      <c r="H27" s="427">
        <f>H56/H65</f>
        <v>46.381355932203391</v>
      </c>
      <c r="I27" s="462">
        <f t="shared" si="1"/>
        <v>31.186686839783437</v>
      </c>
      <c r="J27" s="485">
        <f t="shared" si="2"/>
        <v>6.4241240257130841</v>
      </c>
    </row>
    <row r="28" spans="1:21" ht="13.5" thickBot="1">
      <c r="B28" s="431" t="s">
        <v>252</v>
      </c>
      <c r="C28" s="435">
        <f t="shared" ref="C28:H28" si="14">C55/C64</f>
        <v>5.5837345956092381</v>
      </c>
      <c r="D28" s="435">
        <f t="shared" si="14"/>
        <v>10.530350601779173</v>
      </c>
      <c r="E28" s="435">
        <f t="shared" si="14"/>
        <v>17.901237345331833</v>
      </c>
      <c r="F28" s="435">
        <f t="shared" si="14"/>
        <v>9.5830636887380631</v>
      </c>
      <c r="G28" s="435">
        <f t="shared" si="14"/>
        <v>18.494351249572066</v>
      </c>
      <c r="H28" s="435">
        <f t="shared" si="14"/>
        <v>11.833446174678402</v>
      </c>
      <c r="I28" s="459">
        <f t="shared" si="1"/>
        <v>12.321030609284795</v>
      </c>
      <c r="J28" s="486">
        <f t="shared" si="2"/>
        <v>6.7372960136755573</v>
      </c>
    </row>
    <row r="29" spans="1:21" ht="13.5" thickBot="1">
      <c r="A29" s="11" t="s">
        <v>253</v>
      </c>
      <c r="B29" s="421" t="s">
        <v>254</v>
      </c>
      <c r="C29" s="428">
        <f t="shared" ref="C29:H29" si="15">C56/C69</f>
        <v>6.758057142857143</v>
      </c>
      <c r="D29" s="425">
        <f t="shared" si="15"/>
        <v>2.5181737172873091</v>
      </c>
      <c r="E29" s="425">
        <f t="shared" si="15"/>
        <v>5.0195480382642454</v>
      </c>
      <c r="F29" s="425">
        <f t="shared" si="15"/>
        <v>6.7747130102040813</v>
      </c>
      <c r="G29" s="425">
        <f t="shared" si="15"/>
        <v>3.1147323543344387</v>
      </c>
      <c r="H29" s="425">
        <f t="shared" si="15"/>
        <v>11.522105263157895</v>
      </c>
      <c r="I29" s="459">
        <f t="shared" si="1"/>
        <v>5.9512215876841852</v>
      </c>
      <c r="J29" s="483">
        <f t="shared" si="2"/>
        <v>0.8068355551729578</v>
      </c>
    </row>
    <row r="30" spans="1:21" ht="13.5" thickBot="1">
      <c r="B30" s="431" t="s">
        <v>255</v>
      </c>
      <c r="C30" s="435">
        <f t="shared" ref="C30:H30" si="16">C55/C67</f>
        <v>1.0244901320715163</v>
      </c>
      <c r="D30" s="435">
        <f t="shared" si="16"/>
        <v>0.94739691631684253</v>
      </c>
      <c r="E30" s="435">
        <f t="shared" si="16"/>
        <v>1.8906762343772276</v>
      </c>
      <c r="F30" s="435">
        <f t="shared" si="16"/>
        <v>2.1884653509957648</v>
      </c>
      <c r="G30" s="435">
        <f t="shared" si="16"/>
        <v>1.4989872083021172</v>
      </c>
      <c r="H30" s="435">
        <f t="shared" si="16"/>
        <v>0.91192737138683089</v>
      </c>
      <c r="I30" s="459">
        <f t="shared" si="1"/>
        <v>1.4103238689083832</v>
      </c>
      <c r="J30" s="486">
        <f t="shared" si="2"/>
        <v>0.38583373683686695</v>
      </c>
      <c r="U30">
        <v>1000000</v>
      </c>
    </row>
    <row r="31" spans="1:21" ht="13.5" thickBot="1">
      <c r="B31" s="419" t="s">
        <v>256</v>
      </c>
      <c r="C31" s="437">
        <f t="shared" ref="C31:H31" si="17">C55/C68</f>
        <v>0.360395596291614</v>
      </c>
      <c r="D31" s="437">
        <f t="shared" si="17"/>
        <v>0.29971478430097331</v>
      </c>
      <c r="E31" s="437">
        <f t="shared" si="17"/>
        <v>0.376510613330305</v>
      </c>
      <c r="F31" s="437">
        <f t="shared" si="17"/>
        <v>0.47197356913808181</v>
      </c>
      <c r="G31" s="437">
        <f t="shared" si="17"/>
        <v>0.37379517447049948</v>
      </c>
      <c r="H31" s="437">
        <f t="shared" si="17"/>
        <v>0.38344924420262827</v>
      </c>
      <c r="I31" s="459">
        <f t="shared" si="1"/>
        <v>0.37763983028901693</v>
      </c>
      <c r="J31" s="487">
        <f t="shared" si="2"/>
        <v>1.7244233997402936E-2</v>
      </c>
    </row>
    <row r="32" spans="1:21" ht="15.4" thickBot="1">
      <c r="B32" s="211" t="s">
        <v>117</v>
      </c>
      <c r="C32" s="215"/>
      <c r="D32" s="215"/>
      <c r="E32" s="215"/>
      <c r="F32" s="215"/>
      <c r="G32" s="215"/>
      <c r="H32" s="215"/>
      <c r="I32" s="463" t="str">
        <f t="shared" si="1"/>
        <v/>
      </c>
      <c r="J32" s="477"/>
    </row>
    <row r="33" spans="2:11" ht="13.5" thickBot="1">
      <c r="B33" s="209" t="s">
        <v>257</v>
      </c>
      <c r="C33" s="447">
        <f t="shared" ref="C33:H33" si="18">C10/C61</f>
        <v>7.7974669450064376</v>
      </c>
      <c r="D33" s="448">
        <f t="shared" si="18"/>
        <v>-17.134259390503189</v>
      </c>
      <c r="E33" s="448">
        <f t="shared" si="18"/>
        <v>73.778281081081076</v>
      </c>
      <c r="F33" s="448">
        <f t="shared" si="18"/>
        <v>32.040990580710663</v>
      </c>
      <c r="G33" s="448">
        <f t="shared" si="18"/>
        <v>8.388437894362017</v>
      </c>
      <c r="H33" s="448">
        <f t="shared" si="18"/>
        <v>-0.89690859173126625</v>
      </c>
      <c r="I33" s="462">
        <f t="shared" si="1"/>
        <v>17.329001419820958</v>
      </c>
      <c r="J33" s="488">
        <f t="shared" si="2"/>
        <v>9.5315344748145208</v>
      </c>
    </row>
    <row r="34" spans="2:11" ht="13.5" thickBot="1">
      <c r="B34" s="421" t="s">
        <v>253</v>
      </c>
      <c r="C34" s="429">
        <f t="shared" ref="C34:H34" si="19">C10/C55</f>
        <v>1.2392977755691161</v>
      </c>
      <c r="D34" s="429">
        <f t="shared" si="19"/>
        <v>1.0011694453416817</v>
      </c>
      <c r="E34" s="429">
        <f t="shared" si="19"/>
        <v>2.4014496236065903</v>
      </c>
      <c r="F34" s="429">
        <f t="shared" si="19"/>
        <v>1.2995617005278892</v>
      </c>
      <c r="G34" s="429">
        <f t="shared" si="19"/>
        <v>0.78493120499055935</v>
      </c>
      <c r="H34" s="429">
        <f t="shared" si="19"/>
        <v>7.9437836136857773E-2</v>
      </c>
      <c r="I34" s="459">
        <f t="shared" si="1"/>
        <v>1.1343079310287822</v>
      </c>
      <c r="J34" s="489">
        <f t="shared" si="2"/>
        <v>0.10498984454033389</v>
      </c>
    </row>
    <row r="35" spans="2:11" ht="13.5" thickBot="1">
      <c r="B35" s="431" t="s">
        <v>258</v>
      </c>
      <c r="C35" s="450">
        <f t="shared" ref="C35:H35" si="20">C10/C72</f>
        <v>1.8878854563874199</v>
      </c>
      <c r="D35" s="450">
        <f t="shared" si="20"/>
        <v>1.1355025972928037</v>
      </c>
      <c r="E35" s="450">
        <f t="shared" si="20"/>
        <v>2.7432776501665326</v>
      </c>
      <c r="F35" s="450">
        <f t="shared" si="20"/>
        <v>1.9762784116070535</v>
      </c>
      <c r="G35" s="450">
        <f t="shared" si="20"/>
        <v>3.3790384537413338</v>
      </c>
      <c r="H35" s="450">
        <f t="shared" si="20"/>
        <v>0.13302812110759799</v>
      </c>
      <c r="I35" s="459">
        <f t="shared" si="1"/>
        <v>1.8758351150504569</v>
      </c>
      <c r="J35" s="490">
        <f t="shared" si="2"/>
        <v>1.2050341336963033E-2</v>
      </c>
    </row>
    <row r="36" spans="2:11" ht="13.5" thickBot="1">
      <c r="B36" s="421" t="s">
        <v>259</v>
      </c>
      <c r="C36" s="429">
        <f t="shared" ref="C36:H36" si="21">(C71+(C10/1000000)-C63)/C55</f>
        <v>1.0818443349969753</v>
      </c>
      <c r="D36" s="429">
        <f t="shared" si="21"/>
        <v>1.2504296045436099</v>
      </c>
      <c r="E36" s="429">
        <f t="shared" si="21"/>
        <v>1.7239344872597806</v>
      </c>
      <c r="F36" s="429">
        <f t="shared" si="21"/>
        <v>0.8257896332930782</v>
      </c>
      <c r="G36" s="429">
        <f t="shared" si="21"/>
        <v>1.7904380142081662</v>
      </c>
      <c r="H36" s="429">
        <f t="shared" si="21"/>
        <v>1.9391807637266565</v>
      </c>
      <c r="I36" s="459">
        <f t="shared" si="1"/>
        <v>1.4352694730047109</v>
      </c>
      <c r="J36" s="489">
        <f t="shared" si="2"/>
        <v>0.35342513800773556</v>
      </c>
    </row>
    <row r="37" spans="2:11" ht="13.5" thickBot="1">
      <c r="B37" s="434" t="s">
        <v>260</v>
      </c>
      <c r="C37" s="446">
        <f t="shared" ref="C37:H37" si="22">(C71+(C10/1000000)-C63)/C57</f>
        <v>3.2046883635899621</v>
      </c>
      <c r="D37" s="446">
        <f t="shared" si="22"/>
        <v>7.177471874599477</v>
      </c>
      <c r="E37" s="446">
        <f t="shared" si="22"/>
        <v>6.8039874552724564</v>
      </c>
      <c r="F37" s="446">
        <f t="shared" si="22"/>
        <v>3.4910405529324446</v>
      </c>
      <c r="G37" s="446">
        <f t="shared" si="22"/>
        <v>4.5740585644355223</v>
      </c>
      <c r="H37" s="446">
        <f t="shared" si="22"/>
        <v>9.4673188235794701</v>
      </c>
      <c r="I37" s="460">
        <f t="shared" si="1"/>
        <v>5.7864276057348887</v>
      </c>
      <c r="J37" s="491">
        <f t="shared" si="2"/>
        <v>2.5817392421449266</v>
      </c>
    </row>
    <row r="38" spans="2:11" ht="15.4" thickBot="1">
      <c r="B38" s="211" t="s">
        <v>261</v>
      </c>
      <c r="C38" s="215"/>
      <c r="D38" s="215"/>
      <c r="E38" s="215"/>
      <c r="F38" s="215"/>
      <c r="G38" s="215"/>
      <c r="H38" s="215"/>
      <c r="I38" s="464" t="str">
        <f t="shared" si="1"/>
        <v/>
      </c>
      <c r="J38" s="477"/>
    </row>
    <row r="39" spans="2:11" ht="13.5" thickBot="1">
      <c r="B39" s="209" t="s">
        <v>51</v>
      </c>
      <c r="C39" s="451">
        <v>0.99</v>
      </c>
      <c r="D39" s="451">
        <v>0.99099999999999999</v>
      </c>
      <c r="E39" s="451">
        <v>0.99639999999999995</v>
      </c>
      <c r="F39" s="451">
        <v>0.99</v>
      </c>
      <c r="G39" s="451">
        <v>0.66</v>
      </c>
      <c r="H39" s="451">
        <v>0.99</v>
      </c>
      <c r="I39" s="455">
        <f t="shared" si="1"/>
        <v>0.93623333333333336</v>
      </c>
      <c r="J39" s="492">
        <f t="shared" si="2"/>
        <v>5.3766666666666629E-2</v>
      </c>
    </row>
    <row r="40" spans="2:11" ht="13.5" thickBot="1">
      <c r="B40" s="438" t="s">
        <v>262</v>
      </c>
      <c r="C40" s="439">
        <v>0.33</v>
      </c>
      <c r="D40" s="439">
        <v>0.66</v>
      </c>
      <c r="E40" s="439">
        <v>0.79</v>
      </c>
      <c r="F40" s="439">
        <v>0.99</v>
      </c>
      <c r="G40" s="439">
        <v>1.1200000000000001</v>
      </c>
      <c r="H40" s="439">
        <v>1.01</v>
      </c>
      <c r="I40" s="465">
        <f t="shared" si="1"/>
        <v>0.81666666666666676</v>
      </c>
      <c r="J40" s="493">
        <f t="shared" si="2"/>
        <v>0.48666666666666675</v>
      </c>
    </row>
    <row r="41" spans="2:11" ht="13.5" thickBot="1">
      <c r="B41" s="434" t="s">
        <v>263</v>
      </c>
      <c r="C41" s="444">
        <v>7.8E-2</v>
      </c>
      <c r="D41" s="445">
        <v>2.52E-2</v>
      </c>
      <c r="E41" s="445">
        <v>1.9699999999999999E-2</v>
      </c>
      <c r="F41" s="445">
        <v>2.5469169578619003E-2</v>
      </c>
      <c r="G41" s="445">
        <v>0</v>
      </c>
      <c r="H41" s="445">
        <v>0.15340000000000001</v>
      </c>
      <c r="I41" s="456">
        <f>IFERROR(AVERAGE(C41:H41),"")</f>
        <v>5.0294861596436501E-2</v>
      </c>
      <c r="J41" s="494">
        <f t="shared" si="2"/>
        <v>2.7705138403563499E-2</v>
      </c>
    </row>
    <row r="42" spans="2:11" ht="15.4" thickBot="1">
      <c r="B42" s="211" t="s">
        <v>264</v>
      </c>
      <c r="C42" s="215"/>
      <c r="D42" s="215"/>
      <c r="E42" s="215"/>
      <c r="F42" s="215"/>
      <c r="G42" s="215"/>
      <c r="H42" s="215"/>
      <c r="I42" s="466"/>
      <c r="J42" s="477"/>
    </row>
    <row r="43" spans="2:11" ht="13.5" thickBot="1">
      <c r="B43" s="213" t="s">
        <v>265</v>
      </c>
      <c r="C43" s="359">
        <v>-0.20630000000000001</v>
      </c>
      <c r="D43" s="359">
        <v>-0.16250000000000001</v>
      </c>
      <c r="E43" s="359">
        <v>-3.2599999999999997E-2</v>
      </c>
      <c r="F43" s="359">
        <v>0.87176652664160958</v>
      </c>
      <c r="G43" s="359">
        <v>0.24560000000000001</v>
      </c>
      <c r="H43" s="359">
        <v>-0.80840000000000001</v>
      </c>
      <c r="I43" s="455">
        <f>IFERROR(AVERAGE(C43:H43),"")</f>
        <v>-1.5405578893065078E-2</v>
      </c>
      <c r="J43" s="472">
        <f t="shared" si="2"/>
        <v>0.19089442110693494</v>
      </c>
    </row>
    <row r="44" spans="2:11" ht="13.5" thickBot="1">
      <c r="B44" s="421" t="s">
        <v>266</v>
      </c>
      <c r="C44" s="440">
        <v>-0.43730000000000002</v>
      </c>
      <c r="D44" s="440">
        <v>-0.2792</v>
      </c>
      <c r="E44" s="440">
        <v>0.28420000000000001</v>
      </c>
      <c r="F44" s="440">
        <v>0.79969047092637635</v>
      </c>
      <c r="G44" s="440">
        <v>-0.26369999999999999</v>
      </c>
      <c r="H44" s="440">
        <v>-0.84019999999999995</v>
      </c>
      <c r="I44" s="455">
        <f t="shared" ref="I44:I47" si="23">IFERROR(AVERAGE(C44:H44),"")</f>
        <v>-0.12275158817893728</v>
      </c>
      <c r="J44" s="495">
        <f t="shared" si="2"/>
        <v>0.31454841182106275</v>
      </c>
    </row>
    <row r="45" spans="2:11" ht="13.5" thickBot="1">
      <c r="B45" s="214" t="s">
        <v>267</v>
      </c>
      <c r="C45" s="404" cm="1">
        <f t="array" ref="C45">_FV(C8,"Preço")</f>
        <v>40.335000000000001</v>
      </c>
      <c r="D45" s="404" cm="1">
        <f t="array" ref="D45">_FV(D8,"Preço")</f>
        <v>19.97</v>
      </c>
      <c r="E45" s="404" cm="1">
        <f t="array" ref="E45">_FV(E8,"Preço")</f>
        <v>161</v>
      </c>
      <c r="F45" s="404" cm="1">
        <f t="array" ref="F45">_FV(F8,"Preço")</f>
        <v>39.729999999999997</v>
      </c>
      <c r="G45" s="404" cm="1">
        <f t="array" ref="G45">_FV(G8,"Preço")</f>
        <v>262.92</v>
      </c>
      <c r="H45" s="404" cm="1">
        <f t="array" ref="H45">_FV(H8,"Preço")</f>
        <v>1.375</v>
      </c>
      <c r="I45" s="455">
        <f t="shared" si="23"/>
        <v>87.555000000000007</v>
      </c>
      <c r="J45" s="496">
        <f t="shared" si="2"/>
        <v>47.220000000000006</v>
      </c>
    </row>
    <row r="46" spans="2:11" ht="13.5" thickBot="1">
      <c r="B46" s="421" t="s">
        <v>268</v>
      </c>
      <c r="C46" s="441">
        <v>40.19</v>
      </c>
      <c r="D46" s="441">
        <v>18.579999999999998</v>
      </c>
      <c r="E46" s="441">
        <v>177.13</v>
      </c>
      <c r="F46" s="441">
        <v>48.88</v>
      </c>
      <c r="G46" s="441">
        <v>478.1</v>
      </c>
      <c r="H46" s="441">
        <v>2.4500000000000002</v>
      </c>
      <c r="I46" s="455">
        <f t="shared" si="23"/>
        <v>127.55500000000001</v>
      </c>
      <c r="J46" s="497">
        <f t="shared" si="2"/>
        <v>87.365000000000009</v>
      </c>
    </row>
    <row r="47" spans="2:11" ht="13.5" thickBot="1">
      <c r="B47" s="442" t="s">
        <v>269</v>
      </c>
      <c r="C47" s="443">
        <f>C46/C45-1</f>
        <v>-3.5948927730259372E-3</v>
      </c>
      <c r="D47" s="443">
        <f t="shared" ref="D47:G47" si="24">D46/D45-1</f>
        <v>-6.9604406609914959E-2</v>
      </c>
      <c r="E47" s="443">
        <f t="shared" si="24"/>
        <v>0.10018633540372668</v>
      </c>
      <c r="F47" s="443">
        <f t="shared" si="24"/>
        <v>0.23030455575132147</v>
      </c>
      <c r="G47" s="443">
        <f t="shared" si="24"/>
        <v>0.8184238551650691</v>
      </c>
      <c r="H47" s="443">
        <f>H46/H45-1</f>
        <v>0.78181818181818197</v>
      </c>
      <c r="I47" s="467">
        <f t="shared" si="23"/>
        <v>0.30958893812589305</v>
      </c>
      <c r="J47" s="498">
        <f t="shared" si="2"/>
        <v>0.31318383089891899</v>
      </c>
    </row>
    <row r="48" spans="2:11" ht="15.4" thickBot="1">
      <c r="B48" s="211" t="s">
        <v>270</v>
      </c>
      <c r="C48" s="211"/>
      <c r="D48" s="211"/>
      <c r="E48" s="211"/>
      <c r="F48" s="211"/>
      <c r="G48" s="211"/>
      <c r="H48" s="211"/>
      <c r="I48" s="471"/>
      <c r="J48" s="471"/>
      <c r="K48" s="473"/>
    </row>
    <row r="49" spans="2:11" ht="13.5" thickBot="1">
      <c r="B49" s="213" t="s">
        <v>271</v>
      </c>
      <c r="C49" s="500">
        <f>(Inputs!B59-Inputs!E59)/Inputs!E59</f>
        <v>3.9025345493202038E-2</v>
      </c>
      <c r="D49" s="359">
        <v>-0.26</v>
      </c>
      <c r="E49" s="359">
        <v>1.46</v>
      </c>
      <c r="F49" s="359">
        <v>0.03</v>
      </c>
      <c r="G49" s="359">
        <v>0.27</v>
      </c>
      <c r="H49" s="359">
        <v>-0.28999999999999998</v>
      </c>
      <c r="I49" s="455"/>
      <c r="J49" s="472">
        <f t="shared" si="2"/>
        <v>3.9025345493202038E-2</v>
      </c>
      <c r="K49" s="359"/>
    </row>
    <row r="50" spans="2:11" ht="13.15" thickBot="1"/>
    <row r="51" spans="2:11" ht="45">
      <c r="B51" s="412" t="s">
        <v>272</v>
      </c>
      <c r="C51" s="327" t="e" vm="1">
        <f>OP!E2</f>
        <v>#VALUE!</v>
      </c>
      <c r="D51" s="328" t="e" vm="3">
        <f>D8</f>
        <v>#VALUE!</v>
      </c>
      <c r="E51" s="329" t="e" vm="4">
        <f>E8</f>
        <v>#VALUE!</v>
      </c>
      <c r="F51" s="330" t="e" vm="5">
        <f>F8</f>
        <v>#VALUE!</v>
      </c>
      <c r="G51" s="331" t="e" vm="6">
        <v>#VALUE!</v>
      </c>
      <c r="H51" s="332" t="e" vm="7">
        <v>#VALUE!</v>
      </c>
    </row>
    <row r="52" spans="2:11" ht="13.5" thickBot="1">
      <c r="B52" s="203" t="s">
        <v>273</v>
      </c>
      <c r="C52" s="204"/>
      <c r="D52" s="204"/>
      <c r="E52" s="204"/>
      <c r="F52" s="204"/>
      <c r="G52" s="204"/>
      <c r="H52" s="205"/>
    </row>
    <row r="53" spans="2:11" ht="13.5" thickBot="1">
      <c r="B53" s="198" t="s">
        <v>274</v>
      </c>
      <c r="C53" s="220">
        <f>'Fin. Data'!E5</f>
        <v>131868</v>
      </c>
      <c r="D53" s="193">
        <v>181193</v>
      </c>
      <c r="E53" s="193">
        <v>44998</v>
      </c>
      <c r="F53" s="193">
        <v>108942</v>
      </c>
      <c r="G53" s="193">
        <v>48097</v>
      </c>
      <c r="H53" s="201">
        <v>22401</v>
      </c>
    </row>
    <row r="54" spans="2:11" ht="13.5" thickBot="1">
      <c r="B54" s="198" t="s">
        <v>275</v>
      </c>
      <c r="C54" s="220">
        <f>'Fin. Data'!C5</f>
        <v>133613</v>
      </c>
      <c r="D54" s="193">
        <v>134038</v>
      </c>
      <c r="E54" s="193">
        <v>80118</v>
      </c>
      <c r="F54" s="193">
        <v>116385</v>
      </c>
      <c r="G54" s="193">
        <v>51682</v>
      </c>
      <c r="H54" s="201">
        <v>19687</v>
      </c>
    </row>
    <row r="55" spans="2:11" ht="13.5" thickBot="1">
      <c r="B55" s="198" t="s">
        <v>235</v>
      </c>
      <c r="C55" s="533">
        <f>'Fin. Data'!B5</f>
        <v>136835</v>
      </c>
      <c r="D55" s="193">
        <v>120741</v>
      </c>
      <c r="E55" s="193">
        <v>79571</v>
      </c>
      <c r="F55" s="193">
        <v>121427</v>
      </c>
      <c r="G55" s="193">
        <v>54022</v>
      </c>
      <c r="H55" s="201">
        <v>17478</v>
      </c>
    </row>
    <row r="56" spans="2:11" ht="13.5" thickBot="1">
      <c r="B56" s="198" t="s">
        <v>276</v>
      </c>
      <c r="C56" s="220">
        <f>'Fin. Data'!B5-'Fin. Data'!B7</f>
        <v>59133</v>
      </c>
      <c r="D56" s="193">
        <v>107385</v>
      </c>
      <c r="E56" s="193">
        <v>36206</v>
      </c>
      <c r="F56" s="193">
        <v>84982</v>
      </c>
      <c r="G56" s="193">
        <v>32876</v>
      </c>
      <c r="H56" s="201">
        <v>10946</v>
      </c>
    </row>
    <row r="57" spans="2:11" ht="13.5" thickBot="1">
      <c r="B57" s="198" t="s">
        <v>59</v>
      </c>
      <c r="C57" s="533">
        <f>'Fin. Data'!B19</f>
        <v>46193</v>
      </c>
      <c r="D57" s="193">
        <v>21035</v>
      </c>
      <c r="E57" s="193">
        <v>20161</v>
      </c>
      <c r="F57" s="193">
        <v>28723</v>
      </c>
      <c r="G57" s="193">
        <v>21146</v>
      </c>
      <c r="H57" s="201">
        <v>3580</v>
      </c>
    </row>
    <row r="58" spans="2:11" ht="13.5" thickBot="1">
      <c r="B58" s="198" t="s">
        <v>277</v>
      </c>
      <c r="C58" s="411">
        <f>'Fin. Data'!B11</f>
        <v>30467</v>
      </c>
      <c r="D58" s="193">
        <v>22911</v>
      </c>
      <c r="E58" s="193">
        <v>8107</v>
      </c>
      <c r="F58" s="193">
        <v>14041</v>
      </c>
      <c r="G58" s="193">
        <v>12243</v>
      </c>
      <c r="H58" s="201">
        <v>3293</v>
      </c>
    </row>
    <row r="59" spans="2:11" ht="13.5" thickBot="1">
      <c r="B59" s="198" t="s">
        <v>278</v>
      </c>
      <c r="C59" s="411">
        <f>'Fin. Data'!B14</f>
        <v>-3569</v>
      </c>
      <c r="D59" s="193">
        <v>6108</v>
      </c>
      <c r="E59" s="193">
        <v>-3364</v>
      </c>
      <c r="F59" s="326">
        <v>-3896</v>
      </c>
      <c r="G59" s="193">
        <v>-4556</v>
      </c>
      <c r="H59" s="201">
        <v>-1332</v>
      </c>
    </row>
    <row r="60" spans="2:11" ht="13.5" thickBot="1">
      <c r="B60" s="198" t="s">
        <v>279</v>
      </c>
      <c r="C60" s="411">
        <f>'Fin. Data'!B21</f>
        <v>-6523</v>
      </c>
      <c r="D60" s="193">
        <v>3780</v>
      </c>
      <c r="E60" s="193">
        <v>-556</v>
      </c>
      <c r="F60" s="193">
        <v>-4359</v>
      </c>
      <c r="G60" s="193">
        <v>-1613</v>
      </c>
      <c r="H60" s="201">
        <v>-557</v>
      </c>
    </row>
    <row r="61" spans="2:11" ht="13.5" thickBot="1">
      <c r="B61" s="198" t="s">
        <v>72</v>
      </c>
      <c r="C61" s="534">
        <f>'Fin. Data'!B23</f>
        <v>21748</v>
      </c>
      <c r="D61" s="193">
        <v>-7055</v>
      </c>
      <c r="E61" s="193">
        <v>2590</v>
      </c>
      <c r="F61" s="193">
        <v>4925</v>
      </c>
      <c r="G61" s="193">
        <v>5055</v>
      </c>
      <c r="H61" s="201">
        <v>-1548</v>
      </c>
    </row>
    <row r="62" spans="2:11" ht="13.5" thickBot="1">
      <c r="B62" s="206" t="s">
        <v>280</v>
      </c>
      <c r="C62" s="207"/>
      <c r="D62" s="207"/>
      <c r="E62" s="207"/>
      <c r="F62" s="207"/>
      <c r="G62" s="207"/>
      <c r="H62" s="208"/>
    </row>
    <row r="63" spans="2:11" ht="13.5" thickBot="1">
      <c r="B63" s="198" t="s">
        <v>281</v>
      </c>
      <c r="C63" s="220">
        <f>'Fin. Data'!B39</f>
        <v>2605</v>
      </c>
      <c r="D63" s="532">
        <v>3701</v>
      </c>
      <c r="E63" s="193">
        <v>4507</v>
      </c>
      <c r="F63" s="193">
        <v>4749</v>
      </c>
      <c r="G63" s="193">
        <v>645</v>
      </c>
      <c r="H63" s="201">
        <v>1251</v>
      </c>
    </row>
    <row r="64" spans="2:11" ht="13.5" thickBot="1">
      <c r="B64" s="198" t="s">
        <v>282</v>
      </c>
      <c r="C64" s="220">
        <f>'Fin. Data'!B40</f>
        <v>24506</v>
      </c>
      <c r="D64" s="193">
        <v>11466</v>
      </c>
      <c r="E64" s="193">
        <v>4445</v>
      </c>
      <c r="F64" s="193">
        <v>12671</v>
      </c>
      <c r="G64" s="193">
        <v>2921</v>
      </c>
      <c r="H64" s="201">
        <v>1477</v>
      </c>
    </row>
    <row r="65" spans="2:8" ht="13.5" thickBot="1">
      <c r="B65" s="198" t="s">
        <v>283</v>
      </c>
      <c r="C65" s="220">
        <f>'Fin. Data'!B41</f>
        <v>2388</v>
      </c>
      <c r="D65" s="193">
        <v>3123</v>
      </c>
      <c r="E65" s="193">
        <v>1884</v>
      </c>
      <c r="F65" s="193">
        <v>0</v>
      </c>
      <c r="G65" s="193">
        <v>0</v>
      </c>
      <c r="H65" s="201">
        <v>236</v>
      </c>
    </row>
    <row r="66" spans="2:8" ht="13.5" thickBot="1">
      <c r="B66" s="198" t="s">
        <v>284</v>
      </c>
      <c r="C66" s="220">
        <f>Inputs!B27</f>
        <v>37857</v>
      </c>
      <c r="D66" s="193">
        <v>33108</v>
      </c>
      <c r="E66" s="193">
        <v>19067</v>
      </c>
      <c r="F66" s="193">
        <v>21826</v>
      </c>
      <c r="G66" s="193">
        <v>4017</v>
      </c>
      <c r="H66" s="201">
        <v>5420</v>
      </c>
    </row>
    <row r="67" spans="2:8" ht="13.5" thickBot="1">
      <c r="B67" s="198" t="s">
        <v>285</v>
      </c>
      <c r="C67" s="220">
        <f>'Fin. Data'!B42</f>
        <v>133564</v>
      </c>
      <c r="D67" s="193">
        <v>127445</v>
      </c>
      <c r="E67" s="193">
        <v>42086</v>
      </c>
      <c r="F67" s="193">
        <v>55485</v>
      </c>
      <c r="G67" s="193">
        <v>36039</v>
      </c>
      <c r="H67" s="201">
        <v>19166</v>
      </c>
    </row>
    <row r="68" spans="2:8" ht="13.5" thickBot="1">
      <c r="B68" s="198" t="s">
        <v>47</v>
      </c>
      <c r="C68" s="220">
        <f>'Fin. Data'!B44</f>
        <v>379680</v>
      </c>
      <c r="D68" s="193">
        <v>402853</v>
      </c>
      <c r="E68" s="193">
        <v>211338</v>
      </c>
      <c r="F68" s="193">
        <v>257275</v>
      </c>
      <c r="G68" s="193">
        <v>144523</v>
      </c>
      <c r="H68" s="201">
        <v>45581</v>
      </c>
    </row>
    <row r="69" spans="2:8" ht="13.5" thickBot="1">
      <c r="B69" s="198" t="s">
        <v>286</v>
      </c>
      <c r="C69" s="220">
        <f>Inputs!B43</f>
        <v>8750</v>
      </c>
      <c r="D69" s="193">
        <v>42644</v>
      </c>
      <c r="E69" s="193">
        <v>7213</v>
      </c>
      <c r="F69" s="193">
        <v>12544</v>
      </c>
      <c r="G69" s="193">
        <v>10555</v>
      </c>
      <c r="H69" s="201">
        <v>950</v>
      </c>
    </row>
    <row r="70" spans="2:8" ht="13.5" thickBot="1">
      <c r="B70" s="198" t="s">
        <v>287</v>
      </c>
      <c r="C70" s="220">
        <f>Inputs!B42</f>
        <v>50171</v>
      </c>
      <c r="D70" s="193">
        <v>56173</v>
      </c>
      <c r="E70" s="193">
        <v>24742</v>
      </c>
      <c r="F70" s="193">
        <v>27887</v>
      </c>
      <c r="G70" s="193">
        <v>12065</v>
      </c>
      <c r="H70" s="201">
        <v>4803</v>
      </c>
    </row>
    <row r="71" spans="2:8" ht="13.5" thickBot="1">
      <c r="B71" s="198" t="s">
        <v>288</v>
      </c>
      <c r="C71" s="535">
        <f>'Fin. Data'!B58</f>
        <v>150639</v>
      </c>
      <c r="D71" s="193">
        <v>154679</v>
      </c>
      <c r="E71" s="193">
        <v>141682</v>
      </c>
      <c r="F71" s="193">
        <v>105022</v>
      </c>
      <c r="G71" s="193">
        <v>97368</v>
      </c>
      <c r="H71" s="201">
        <v>35144</v>
      </c>
    </row>
    <row r="72" spans="2:8" ht="13.5" thickBot="1">
      <c r="B72" s="199" t="s">
        <v>289</v>
      </c>
      <c r="C72" s="221">
        <f>'Fin. Data'!B64</f>
        <v>89825</v>
      </c>
      <c r="D72" s="200">
        <v>106457</v>
      </c>
      <c r="E72" s="200">
        <v>69656</v>
      </c>
      <c r="F72" s="200">
        <v>79848</v>
      </c>
      <c r="G72" s="200">
        <v>12549</v>
      </c>
      <c r="H72" s="202">
        <v>10437</v>
      </c>
    </row>
  </sheetData>
  <mergeCells count="13">
    <mergeCell ref="D6:H6"/>
    <mergeCell ref="D4:H4"/>
    <mergeCell ref="D1:H1"/>
    <mergeCell ref="D2:H2"/>
    <mergeCell ref="D3:H3"/>
    <mergeCell ref="D5:H5"/>
    <mergeCell ref="L12:L13"/>
    <mergeCell ref="M12:N13"/>
    <mergeCell ref="L9:N9"/>
    <mergeCell ref="L10:L11"/>
    <mergeCell ref="L14:L15"/>
    <mergeCell ref="M14:N15"/>
    <mergeCell ref="M10:N11"/>
  </mergeCells>
  <pageMargins left="0.7" right="0.7" top="0.75" bottom="0.75" header="0.3" footer="0.3"/>
  <pageSetup orientation="portrait" r:id="rId1"/>
  <ignoredErrors>
    <ignoredError sqref="J46"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topLeftCell="A15" zoomScale="60" zoomScaleNormal="60" workbookViewId="0">
      <selection activeCell="L44" sqref="L44"/>
    </sheetView>
  </sheetViews>
  <sheetFormatPr defaultColWidth="11.42578125" defaultRowHeight="12.75"/>
  <cols>
    <col min="1" max="1" width="1.140625" style="92" customWidth="1"/>
    <col min="2" max="2" width="59.42578125" style="92" customWidth="1"/>
    <col min="3" max="4" width="12.85546875" style="92" customWidth="1"/>
    <col min="5" max="5" width="11.42578125" style="92" bestFit="1" customWidth="1"/>
    <col min="6" max="6" width="11" style="92" customWidth="1"/>
    <col min="7" max="7" width="10.42578125" style="92" customWidth="1"/>
    <col min="8" max="8" width="20.28515625" style="397" customWidth="1"/>
    <col min="9" max="9" width="22.42578125" style="397" customWidth="1"/>
    <col min="10" max="10" width="64.140625" style="92" customWidth="1"/>
    <col min="11" max="11" width="34.7109375" style="92" bestFit="1" customWidth="1"/>
    <col min="12" max="12" width="22.28515625" style="92" customWidth="1"/>
    <col min="13" max="13" width="25.28515625" style="92" customWidth="1"/>
    <col min="14" max="14" width="23.28515625" style="92" customWidth="1"/>
    <col min="15" max="15" width="16.85546875" style="92" customWidth="1"/>
    <col min="16" max="16" width="20.28515625" style="92" customWidth="1"/>
    <col min="17" max="17" width="18" style="92" customWidth="1"/>
    <col min="18" max="18" width="14.85546875" style="92" bestFit="1" customWidth="1"/>
    <col min="19" max="19" width="10.42578125" style="92" customWidth="1"/>
    <col min="20" max="20" width="12.28515625" style="92" bestFit="1" customWidth="1"/>
    <col min="21" max="21" width="15.42578125" style="92" customWidth="1"/>
    <col min="22" max="22" width="18.140625" style="92" bestFit="1" customWidth="1"/>
    <col min="23" max="23" width="18.28515625" style="92" bestFit="1" customWidth="1"/>
    <col min="24" max="24" width="17.28515625" style="92" bestFit="1" customWidth="1"/>
    <col min="25" max="30" width="11.42578125" style="92"/>
    <col min="31" max="31" width="13" style="92" bestFit="1" customWidth="1"/>
    <col min="32" max="16384" width="11.42578125" style="92"/>
  </cols>
  <sheetData>
    <row r="1" spans="1:24" ht="13.15">
      <c r="B1" s="237" t="s">
        <v>290</v>
      </c>
      <c r="C1" s="96"/>
      <c r="D1" s="96"/>
      <c r="E1" s="96"/>
      <c r="F1" s="96"/>
      <c r="G1" s="96"/>
      <c r="H1" s="391"/>
      <c r="I1" s="391"/>
      <c r="J1" s="96"/>
      <c r="T1" s="106" t="s">
        <v>13</v>
      </c>
    </row>
    <row r="2" spans="1:24" ht="13.5" thickBot="1">
      <c r="B2" s="102" t="s">
        <v>291</v>
      </c>
      <c r="C2" s="238" t="s">
        <v>292</v>
      </c>
      <c r="D2" s="96"/>
      <c r="E2" s="96"/>
      <c r="F2" s="96"/>
      <c r="G2" s="96"/>
      <c r="H2" s="391"/>
      <c r="I2" s="391"/>
      <c r="J2" s="96"/>
      <c r="T2" s="106" t="s">
        <v>16</v>
      </c>
    </row>
    <row r="3" spans="1:24" ht="21" thickBot="1">
      <c r="B3" s="1069" t="s">
        <v>293</v>
      </c>
      <c r="C3" s="1069"/>
      <c r="D3" s="1069"/>
      <c r="E3" s="1069"/>
      <c r="F3" s="1069"/>
      <c r="G3" s="1069"/>
      <c r="H3" s="1069"/>
      <c r="I3" s="1069"/>
      <c r="J3" s="1069"/>
      <c r="K3" s="1070" t="s">
        <v>294</v>
      </c>
      <c r="L3" s="1070"/>
      <c r="M3" s="1070"/>
      <c r="N3" s="1070"/>
      <c r="O3" s="1070"/>
      <c r="P3" s="1070"/>
      <c r="Q3" s="1070"/>
    </row>
    <row r="4" spans="1:24" ht="30.4" thickBot="1">
      <c r="B4" s="228" t="s">
        <v>295</v>
      </c>
      <c r="C4" s="260" t="s">
        <v>296</v>
      </c>
      <c r="D4" s="260" t="s">
        <v>297</v>
      </c>
      <c r="E4" s="260" t="s">
        <v>298</v>
      </c>
      <c r="F4" s="260" t="s">
        <v>299</v>
      </c>
      <c r="G4" s="260" t="s">
        <v>300</v>
      </c>
      <c r="H4" s="229" t="s">
        <v>301</v>
      </c>
      <c r="I4" s="229" t="s">
        <v>302</v>
      </c>
      <c r="J4" s="230" t="s">
        <v>303</v>
      </c>
      <c r="K4" s="228" t="s">
        <v>295</v>
      </c>
      <c r="L4" s="263" t="e" vm="2">
        <f>Peers!C8</f>
        <v>#VALUE!</v>
      </c>
      <c r="M4" s="263" t="e" vm="3">
        <f>Peers!D8</f>
        <v>#VALUE!</v>
      </c>
      <c r="N4" s="263" t="e" vm="4">
        <f>Peers!E8</f>
        <v>#VALUE!</v>
      </c>
      <c r="O4" s="263" t="e" vm="5">
        <f>Peers!F8</f>
        <v>#VALUE!</v>
      </c>
      <c r="P4" s="263" t="e" vm="6">
        <f>Peers!G8</f>
        <v>#VALUE!</v>
      </c>
      <c r="Q4" s="263" t="e" vm="7">
        <f>Peers!H8</f>
        <v>#VALUE!</v>
      </c>
    </row>
    <row r="5" spans="1:24" ht="14.25" thickBot="1">
      <c r="B5" s="239" t="s">
        <v>304</v>
      </c>
      <c r="C5" s="240"/>
      <c r="D5" s="241"/>
      <c r="E5" s="241"/>
      <c r="F5" s="241"/>
      <c r="G5" s="241"/>
      <c r="H5" s="392"/>
      <c r="I5" s="392"/>
      <c r="J5" s="242"/>
      <c r="K5" s="239" t="s">
        <v>305</v>
      </c>
      <c r="L5" s="241"/>
      <c r="M5" s="241"/>
      <c r="N5" s="241"/>
      <c r="O5" s="241"/>
      <c r="P5" s="242"/>
      <c r="Q5" s="242"/>
    </row>
    <row r="6" spans="1:24" ht="17.649999999999999" thickBot="1">
      <c r="A6" s="92">
        <v>1</v>
      </c>
      <c r="B6" s="233" t="s">
        <v>306</v>
      </c>
      <c r="C6" s="231" t="str">
        <f>VLOOKUP($B$2,'Sector Impact'!$K$4:$AA$16,A6+1,FALSE)</f>
        <v>Low</v>
      </c>
      <c r="D6" s="231"/>
      <c r="E6" s="231"/>
      <c r="F6" s="243"/>
      <c r="G6" s="295"/>
      <c r="H6" s="232"/>
      <c r="I6" s="232"/>
      <c r="J6" s="232"/>
      <c r="K6" s="233" t="s">
        <v>307</v>
      </c>
      <c r="L6" s="554">
        <f t="shared" ref="L6:N7" si="0">L12/L$11</f>
        <v>0.11157373479007564</v>
      </c>
      <c r="M6" s="382">
        <f t="shared" si="0"/>
        <v>0.16867154487705088</v>
      </c>
      <c r="N6" s="382">
        <f t="shared" si="0"/>
        <v>9.21704012768471E-2</v>
      </c>
      <c r="O6" s="382">
        <f t="shared" ref="O6" si="1">O12/O$11</f>
        <v>0.1485641578891021</v>
      </c>
      <c r="P6" s="382">
        <f t="shared" ref="P6:Q9" si="2">P12/P$11</f>
        <v>1.7211228758653881E-2</v>
      </c>
      <c r="Q6" s="382">
        <f t="shared" si="2"/>
        <v>0.10190811305641378</v>
      </c>
    </row>
    <row r="7" spans="1:24" s="96" customFormat="1" ht="17.649999999999999" thickBot="1">
      <c r="A7" s="96">
        <v>2</v>
      </c>
      <c r="B7" s="233" t="s">
        <v>308</v>
      </c>
      <c r="C7" s="231" t="str">
        <f>VLOOKUP($B$2,'Sector Impact'!$K$4:$AA$16,A7+1,FALSE)</f>
        <v>Low</v>
      </c>
      <c r="D7" s="231"/>
      <c r="E7" s="231"/>
      <c r="F7" s="243"/>
      <c r="G7" s="295"/>
      <c r="H7" s="232"/>
      <c r="I7" s="232"/>
      <c r="J7" s="232"/>
      <c r="K7" s="233" t="s">
        <v>309</v>
      </c>
      <c r="L7" s="382">
        <f t="shared" si="0"/>
        <v>1.4762304965834765E-5</v>
      </c>
      <c r="M7" s="382">
        <f t="shared" si="0"/>
        <v>8.4064236671884456E-5</v>
      </c>
      <c r="N7" s="382">
        <f t="shared" si="0"/>
        <v>1.3253358635683856E-2</v>
      </c>
      <c r="O7" s="382">
        <f>O13/O$11</f>
        <v>0</v>
      </c>
      <c r="P7" s="382">
        <f>P13/P$11</f>
        <v>0</v>
      </c>
      <c r="Q7" s="382">
        <f>Q13/Q$11</f>
        <v>2.4660735667696533E-2</v>
      </c>
    </row>
    <row r="8" spans="1:24" ht="38.65" thickBot="1">
      <c r="A8" s="92">
        <v>3</v>
      </c>
      <c r="B8" s="233" t="s">
        <v>310</v>
      </c>
      <c r="C8" s="231" t="str">
        <f>VLOOKUP($B$2,'Sector Impact'!$K$4:$AA$16,A8+1,FALSE)</f>
        <v>Medium</v>
      </c>
      <c r="D8" s="231" t="s">
        <v>13</v>
      </c>
      <c r="E8" s="231" t="s">
        <v>311</v>
      </c>
      <c r="F8" s="243" t="s">
        <v>13</v>
      </c>
      <c r="G8" s="296"/>
      <c r="H8" s="232"/>
      <c r="I8" s="232"/>
      <c r="J8" s="232" t="s">
        <v>312</v>
      </c>
      <c r="K8" s="233" t="s">
        <v>313</v>
      </c>
      <c r="L8" s="382">
        <f>L14/M$11</f>
        <v>5.4401984412916909E-2</v>
      </c>
      <c r="M8" s="382">
        <f>M14/M$11</f>
        <v>0.14079724368690005</v>
      </c>
      <c r="N8" s="382">
        <f>N14/N$11</f>
        <v>0.10089600482587877</v>
      </c>
      <c r="O8" s="382">
        <f t="shared" ref="O8:O9" si="3">O14/O$11</f>
        <v>0.18079613265583436</v>
      </c>
      <c r="P8" s="382">
        <f t="shared" si="2"/>
        <v>0</v>
      </c>
      <c r="Q8" s="382">
        <f t="shared" si="2"/>
        <v>0.29882864172102069</v>
      </c>
    </row>
    <row r="9" spans="1:24" ht="17.25">
      <c r="A9" s="92">
        <v>4</v>
      </c>
      <c r="B9" s="233" t="s">
        <v>314</v>
      </c>
      <c r="C9" s="231" t="str">
        <f>VLOOKUP($B$2,'Sector Impact'!$K$4:$AA$16,A9+1,FALSE)</f>
        <v>Low</v>
      </c>
      <c r="D9" s="231"/>
      <c r="E9" s="231"/>
      <c r="F9" s="243"/>
      <c r="G9" s="292"/>
      <c r="H9" s="232"/>
      <c r="I9" s="232"/>
      <c r="J9" s="234"/>
      <c r="K9" s="233" t="s">
        <v>315</v>
      </c>
      <c r="L9" s="382">
        <f>L15/M$11</f>
        <v>3.594470809418507E-4</v>
      </c>
      <c r="M9" s="382">
        <f t="shared" ref="M9" si="4">M15/M$11</f>
        <v>1.5754631815207759E-3</v>
      </c>
      <c r="N9" s="382">
        <f>N15/N$11</f>
        <v>1.4578175465936082E-4</v>
      </c>
      <c r="O9" s="382">
        <f t="shared" si="3"/>
        <v>0</v>
      </c>
      <c r="P9" s="382">
        <f t="shared" si="2"/>
        <v>5.1493835844655883E-4</v>
      </c>
      <c r="Q9" s="382">
        <f t="shared" si="2"/>
        <v>2.2404165236297058E-3</v>
      </c>
    </row>
    <row r="10" spans="1:24" ht="14.25" thickBot="1">
      <c r="A10" s="92">
        <v>5</v>
      </c>
      <c r="B10" s="233" t="s">
        <v>316</v>
      </c>
      <c r="C10" s="231" t="str">
        <f>VLOOKUP($B$2,'Sector Impact'!$K$4:$AA$16,A10+1,FALSE)</f>
        <v>Low</v>
      </c>
      <c r="D10" s="231"/>
      <c r="E10" s="231"/>
      <c r="F10" s="243"/>
      <c r="G10" s="292"/>
      <c r="H10" s="232"/>
      <c r="I10" s="232"/>
      <c r="J10" s="234"/>
      <c r="K10" s="239" t="s">
        <v>317</v>
      </c>
      <c r="L10" s="241"/>
      <c r="M10" s="241"/>
      <c r="N10" s="241"/>
      <c r="O10" s="241"/>
      <c r="P10" s="241"/>
      <c r="Q10" s="242"/>
      <c r="S10"/>
      <c r="V10" s="96"/>
      <c r="W10" s="96"/>
      <c r="X10" s="96"/>
    </row>
    <row r="11" spans="1:24" ht="14.25" thickBot="1">
      <c r="B11" s="239" t="s">
        <v>318</v>
      </c>
      <c r="C11" s="236"/>
      <c r="D11" s="236"/>
      <c r="E11" s="245"/>
      <c r="F11" s="245"/>
      <c r="G11" s="246"/>
      <c r="H11" s="393"/>
      <c r="I11" s="393"/>
      <c r="J11" s="247"/>
      <c r="K11" s="233" t="s">
        <v>319</v>
      </c>
      <c r="L11" s="555">
        <f>Peers!C55</f>
        <v>136835</v>
      </c>
      <c r="M11" s="555">
        <f>Peers!D55</f>
        <v>120741</v>
      </c>
      <c r="N11" s="555">
        <f>Peers!E55</f>
        <v>79571</v>
      </c>
      <c r="O11" s="555">
        <f>Peers!F55</f>
        <v>121427</v>
      </c>
      <c r="P11" s="555">
        <f>Peers!G55</f>
        <v>54022</v>
      </c>
      <c r="Q11" s="555">
        <f>Peers!H55</f>
        <v>17478</v>
      </c>
      <c r="S11"/>
    </row>
    <row r="12" spans="1:24" ht="13.15" thickBot="1">
      <c r="A12" s="92">
        <v>6</v>
      </c>
      <c r="B12" s="233" t="s">
        <v>320</v>
      </c>
      <c r="C12" s="231" t="str">
        <f>VLOOKUP($B$2,'Sector Impact'!$K$4:$AA$16,A12+1,FALSE)</f>
        <v>Medium</v>
      </c>
      <c r="D12" s="231" t="s">
        <v>16</v>
      </c>
      <c r="E12" s="231" t="s">
        <v>311</v>
      </c>
      <c r="F12" s="243" t="s">
        <v>16</v>
      </c>
      <c r="G12" s="297"/>
      <c r="H12" s="232"/>
      <c r="I12" s="232"/>
      <c r="J12" s="248" t="s">
        <v>321</v>
      </c>
      <c r="K12" s="233" t="s">
        <v>322</v>
      </c>
      <c r="L12" s="553">
        <v>15267.191999999999</v>
      </c>
      <c r="M12" s="262">
        <v>20365.571</v>
      </c>
      <c r="N12" s="262">
        <v>7334.0910000000003</v>
      </c>
      <c r="O12" s="92">
        <v>18039.7</v>
      </c>
      <c r="P12" s="262">
        <v>929.78499999999997</v>
      </c>
      <c r="Q12" s="262">
        <v>1781.15</v>
      </c>
      <c r="S12"/>
    </row>
    <row r="13" spans="1:24" ht="36" customHeight="1" thickBot="1">
      <c r="A13" s="92">
        <v>7</v>
      </c>
      <c r="B13" s="233" t="s">
        <v>323</v>
      </c>
      <c r="C13" s="231" t="str">
        <f>VLOOKUP($B$2,'Sector Impact'!$K$4:$AA$16,A13+1,FALSE)</f>
        <v>Medium</v>
      </c>
      <c r="D13" s="231" t="s">
        <v>13</v>
      </c>
      <c r="E13" s="231" t="s">
        <v>324</v>
      </c>
      <c r="F13" s="249" t="s">
        <v>16</v>
      </c>
      <c r="G13" s="297"/>
      <c r="H13" s="232"/>
      <c r="I13" s="232"/>
      <c r="J13" s="250" t="s">
        <v>325</v>
      </c>
      <c r="K13" s="233" t="s">
        <v>326</v>
      </c>
      <c r="L13" s="262">
        <v>2.02</v>
      </c>
      <c r="M13" s="262">
        <v>10.15</v>
      </c>
      <c r="N13" s="262">
        <v>1054.5830000000001</v>
      </c>
      <c r="O13" s="262">
        <v>0</v>
      </c>
      <c r="P13" s="262"/>
      <c r="Q13" s="262">
        <v>431.02033799999998</v>
      </c>
      <c r="S13"/>
    </row>
    <row r="14" spans="1:24" ht="13.15" thickBot="1">
      <c r="A14" s="92">
        <v>8</v>
      </c>
      <c r="B14" s="251" t="s">
        <v>327</v>
      </c>
      <c r="C14" s="231" t="str">
        <f>VLOOKUP($B$2,'Sector Impact'!$K$4:$AA$16,A14+1,FALSE)</f>
        <v>Low</v>
      </c>
      <c r="D14" s="231"/>
      <c r="E14" s="231"/>
      <c r="F14" s="243"/>
      <c r="G14" s="413"/>
      <c r="H14" s="232"/>
      <c r="I14" s="232"/>
      <c r="J14" s="250"/>
      <c r="K14" s="233" t="s">
        <v>328</v>
      </c>
      <c r="L14" s="262">
        <v>6568.55</v>
      </c>
      <c r="M14" s="262">
        <v>17000</v>
      </c>
      <c r="N14" s="262">
        <v>8028.3959999999997</v>
      </c>
      <c r="O14" s="262">
        <v>21953.531999999999</v>
      </c>
      <c r="P14" s="262"/>
      <c r="Q14" s="262">
        <v>5222.9269999999997</v>
      </c>
      <c r="S14"/>
    </row>
    <row r="15" spans="1:24" ht="13.15" thickBot="1">
      <c r="A15" s="92">
        <v>9</v>
      </c>
      <c r="B15" s="251" t="s">
        <v>329</v>
      </c>
      <c r="C15" s="231" t="str">
        <f>VLOOKUP($B$2,'Sector Impact'!$K$4:$AA$16,A15+1,FALSE)</f>
        <v>Low</v>
      </c>
      <c r="E15" s="231"/>
      <c r="F15" s="243" t="s">
        <v>13</v>
      </c>
      <c r="G15" s="244"/>
      <c r="H15" s="394"/>
      <c r="I15" s="394"/>
      <c r="J15" s="250"/>
      <c r="K15" s="233" t="s">
        <v>330</v>
      </c>
      <c r="L15" s="262">
        <v>43.4</v>
      </c>
      <c r="M15" s="262">
        <v>190.22300000000001</v>
      </c>
      <c r="N15" s="262">
        <v>11.6</v>
      </c>
      <c r="O15" s="262">
        <v>0</v>
      </c>
      <c r="P15" s="262">
        <v>27.818000000000001</v>
      </c>
      <c r="Q15" s="262">
        <v>39.158000000000001</v>
      </c>
      <c r="S15"/>
    </row>
    <row r="16" spans="1:24" ht="42" customHeight="1" thickBot="1">
      <c r="A16" s="92">
        <v>10</v>
      </c>
      <c r="B16" s="233" t="s">
        <v>331</v>
      </c>
      <c r="C16" s="231" t="str">
        <f>VLOOKUP($B$2,'Sector Impact'!$K$4:$AA$16,A16+1,FALSE)</f>
        <v>High</v>
      </c>
      <c r="D16" s="231" t="s">
        <v>13</v>
      </c>
      <c r="E16" s="231" t="s">
        <v>311</v>
      </c>
      <c r="F16" s="243" t="s">
        <v>13</v>
      </c>
      <c r="G16" s="822"/>
      <c r="H16" s="232"/>
      <c r="I16" s="395" t="s">
        <v>332</v>
      </c>
      <c r="J16" s="250" t="s">
        <v>333</v>
      </c>
      <c r="K16" s="239" t="s">
        <v>334</v>
      </c>
      <c r="L16" s="241"/>
      <c r="M16" s="241"/>
      <c r="N16" s="241"/>
      <c r="O16" s="241"/>
      <c r="P16" s="242"/>
      <c r="Q16" s="242"/>
      <c r="S16"/>
    </row>
    <row r="17" spans="1:19" ht="13.15" thickBot="1">
      <c r="A17" s="92">
        <v>11</v>
      </c>
      <c r="B17" s="233" t="s">
        <v>335</v>
      </c>
      <c r="C17" s="231" t="str">
        <f>VLOOKUP($B$2,'Sector Impact'!$K$4:$AA$16,A17+1,FALSE)</f>
        <v>Low</v>
      </c>
      <c r="D17" s="252"/>
      <c r="E17" s="252"/>
      <c r="F17" s="252"/>
      <c r="G17" s="292"/>
      <c r="H17" s="232"/>
      <c r="I17" s="395" t="s">
        <v>332</v>
      </c>
      <c r="J17" s="250"/>
      <c r="K17" s="233" t="s">
        <v>336</v>
      </c>
      <c r="L17" s="541" t="s">
        <v>337</v>
      </c>
      <c r="M17" s="541" t="s">
        <v>338</v>
      </c>
      <c r="N17" s="541" t="s">
        <v>339</v>
      </c>
      <c r="O17" s="541" t="s">
        <v>340</v>
      </c>
      <c r="P17" s="261" t="s">
        <v>341</v>
      </c>
      <c r="Q17" t="s">
        <v>342</v>
      </c>
      <c r="S17"/>
    </row>
    <row r="18" spans="1:19" ht="13.15" thickBot="1">
      <c r="A18" s="92">
        <v>12</v>
      </c>
      <c r="B18" s="233" t="s">
        <v>343</v>
      </c>
      <c r="C18" s="231" t="str">
        <f>VLOOKUP($B$2,'Sector Impact'!$K$4:$AA$16,A18+1,FALSE)</f>
        <v>Low</v>
      </c>
      <c r="D18" s="231"/>
      <c r="E18" s="231"/>
      <c r="F18" s="243"/>
      <c r="G18" s="244"/>
      <c r="H18" s="394"/>
      <c r="I18" s="394"/>
      <c r="J18" s="253"/>
      <c r="K18" s="233" t="s">
        <v>344</v>
      </c>
      <c r="L18" s="541" t="s">
        <v>345</v>
      </c>
      <c r="M18" s="541" t="s">
        <v>346</v>
      </c>
      <c r="N18" s="541" t="s">
        <v>347</v>
      </c>
      <c r="O18" s="541" t="s">
        <v>348</v>
      </c>
      <c r="P18" s="261" t="s">
        <v>349</v>
      </c>
      <c r="Q18" s="541" t="s">
        <v>350</v>
      </c>
    </row>
    <row r="19" spans="1:19" ht="25.9" thickBot="1">
      <c r="A19" s="92">
        <v>13</v>
      </c>
      <c r="B19" s="233" t="s">
        <v>351</v>
      </c>
      <c r="C19" s="231" t="s">
        <v>352</v>
      </c>
      <c r="D19" s="231" t="s">
        <v>13</v>
      </c>
      <c r="E19" s="231" t="s">
        <v>324</v>
      </c>
      <c r="F19" s="243" t="s">
        <v>13</v>
      </c>
      <c r="G19" s="296"/>
      <c r="H19" s="232"/>
      <c r="I19" s="395" t="s">
        <v>353</v>
      </c>
      <c r="J19" s="250"/>
      <c r="K19" s="233" t="s">
        <v>354</v>
      </c>
      <c r="L19" s="542"/>
      <c r="M19" s="542"/>
      <c r="N19" s="542"/>
      <c r="O19" s="542"/>
      <c r="P19" s="262"/>
      <c r="Q19" s="542"/>
    </row>
    <row r="20" spans="1:19" ht="13.15" thickBot="1">
      <c r="A20" s="92">
        <v>14</v>
      </c>
      <c r="B20" s="233" t="s">
        <v>355</v>
      </c>
      <c r="C20" s="231" t="str">
        <f>VLOOKUP($B$2,'Sector Impact'!$K$4:$AA$16,A20+1,FALSE)</f>
        <v>Low</v>
      </c>
      <c r="D20" s="231"/>
      <c r="E20" s="231"/>
      <c r="F20" s="243"/>
      <c r="G20" s="244"/>
      <c r="H20" s="394"/>
      <c r="I20" s="394"/>
      <c r="J20" s="250"/>
      <c r="K20" s="233" t="s">
        <v>356</v>
      </c>
      <c r="L20" s="541" t="s">
        <v>357</v>
      </c>
      <c r="M20" s="541" t="s">
        <v>358</v>
      </c>
      <c r="N20" s="541" t="s">
        <v>359</v>
      </c>
      <c r="O20" s="541" t="s">
        <v>357</v>
      </c>
      <c r="P20" s="261" t="s">
        <v>360</v>
      </c>
      <c r="Q20" s="541" t="s">
        <v>357</v>
      </c>
    </row>
    <row r="21" spans="1:19" ht="13.15" thickBot="1">
      <c r="A21" s="92">
        <v>15</v>
      </c>
      <c r="B21" s="233" t="s">
        <v>361</v>
      </c>
      <c r="C21" s="231" t="str">
        <f>VLOOKUP($B$2,'Sector Impact'!$K$4:$AA$16,A21+1,FALSE)</f>
        <v>Low</v>
      </c>
      <c r="D21" s="231"/>
      <c r="E21" s="231"/>
      <c r="F21" s="243"/>
      <c r="G21" s="292"/>
      <c r="H21" s="232"/>
      <c r="I21" s="395" t="s">
        <v>332</v>
      </c>
      <c r="J21" s="250"/>
    </row>
    <row r="22" spans="1:19" ht="51.4" thickBot="1">
      <c r="A22" s="92">
        <v>16</v>
      </c>
      <c r="B22" s="233" t="s">
        <v>362</v>
      </c>
      <c r="C22" s="235" t="str">
        <f>VLOOKUP($B$2,'Sector Impact'!$K$4:$AA$16,A22+1,FALSE)</f>
        <v>Medium</v>
      </c>
      <c r="D22" s="231" t="s">
        <v>13</v>
      </c>
      <c r="E22" s="231" t="s">
        <v>352</v>
      </c>
      <c r="F22" s="243" t="s">
        <v>13</v>
      </c>
      <c r="G22" s="292"/>
      <c r="H22" s="257" t="s">
        <v>332</v>
      </c>
      <c r="I22" s="257" t="s">
        <v>332</v>
      </c>
      <c r="J22" s="234" t="s">
        <v>363</v>
      </c>
    </row>
    <row r="23" spans="1:19" ht="14.25" thickBot="1">
      <c r="B23" s="239" t="s">
        <v>364</v>
      </c>
      <c r="C23" s="254"/>
      <c r="D23" s="236"/>
      <c r="E23" s="245"/>
      <c r="F23" s="245"/>
      <c r="G23" s="246"/>
      <c r="H23" s="393"/>
      <c r="I23" s="393"/>
      <c r="J23" s="247"/>
      <c r="K23" s="1072" t="s">
        <v>365</v>
      </c>
      <c r="L23" s="1073"/>
      <c r="M23" s="1074"/>
    </row>
    <row r="24" spans="1:19" ht="38.65" thickBot="1">
      <c r="A24" s="92">
        <v>17</v>
      </c>
      <c r="B24" s="233" t="s">
        <v>366</v>
      </c>
      <c r="C24" s="255"/>
      <c r="D24" s="256"/>
      <c r="E24" s="249" t="s">
        <v>324</v>
      </c>
      <c r="F24" s="249" t="s">
        <v>13</v>
      </c>
      <c r="G24" s="296"/>
      <c r="H24" s="232"/>
      <c r="I24" s="395" t="s">
        <v>332</v>
      </c>
      <c r="J24" s="257" t="s">
        <v>367</v>
      </c>
      <c r="K24" s="268" t="s">
        <v>368</v>
      </c>
      <c r="L24" s="93" t="s">
        <v>369</v>
      </c>
      <c r="M24" s="94" t="s">
        <v>370</v>
      </c>
      <c r="O24" s="501" t="s">
        <v>232</v>
      </c>
    </row>
    <row r="25" spans="1:19" ht="15.75" customHeight="1" thickBot="1">
      <c r="A25" s="92">
        <v>18</v>
      </c>
      <c r="B25" s="233" t="s">
        <v>371</v>
      </c>
      <c r="C25" s="255"/>
      <c r="D25" s="256"/>
      <c r="E25" s="249" t="s">
        <v>324</v>
      </c>
      <c r="F25" s="249" t="s">
        <v>16</v>
      </c>
      <c r="G25" s="292"/>
      <c r="H25" s="232"/>
      <c r="I25" s="395" t="s">
        <v>332</v>
      </c>
      <c r="J25" s="250" t="s">
        <v>372</v>
      </c>
      <c r="K25" s="222" t="s">
        <v>373</v>
      </c>
      <c r="L25" s="223" t="s">
        <v>311</v>
      </c>
      <c r="M25" s="1075" t="s">
        <v>374</v>
      </c>
      <c r="O25" s="502"/>
    </row>
    <row r="26" spans="1:19" ht="15.75" customHeight="1" thickBot="1">
      <c r="A26" s="92">
        <v>19</v>
      </c>
      <c r="B26" s="233" t="s">
        <v>375</v>
      </c>
      <c r="C26" s="255"/>
      <c r="D26" s="256"/>
      <c r="E26" s="249" t="s">
        <v>311</v>
      </c>
      <c r="F26" s="249" t="s">
        <v>16</v>
      </c>
      <c r="G26" s="296"/>
      <c r="H26" s="232"/>
      <c r="I26" s="395" t="s">
        <v>332</v>
      </c>
      <c r="J26" s="257" t="s">
        <v>376</v>
      </c>
      <c r="K26" s="222" t="s">
        <v>352</v>
      </c>
      <c r="L26" s="223" t="s">
        <v>324</v>
      </c>
      <c r="M26" s="1076"/>
      <c r="O26" s="503"/>
    </row>
    <row r="27" spans="1:19" ht="25.9" thickBot="1">
      <c r="A27" s="92">
        <v>20</v>
      </c>
      <c r="B27" s="233" t="s">
        <v>377</v>
      </c>
      <c r="C27" s="255"/>
      <c r="D27" s="256"/>
      <c r="E27" s="249" t="s">
        <v>324</v>
      </c>
      <c r="F27" s="249" t="s">
        <v>16</v>
      </c>
      <c r="G27" s="292"/>
      <c r="H27" s="232"/>
      <c r="I27" s="395" t="s">
        <v>332</v>
      </c>
      <c r="J27" s="257" t="s">
        <v>378</v>
      </c>
      <c r="K27" s="224" t="s">
        <v>379</v>
      </c>
      <c r="L27" s="225" t="s">
        <v>352</v>
      </c>
      <c r="M27" s="1076"/>
      <c r="O27" s="504"/>
    </row>
    <row r="28" spans="1:19" ht="13.15" thickBot="1">
      <c r="A28" s="92">
        <v>21</v>
      </c>
      <c r="B28" s="233" t="s">
        <v>380</v>
      </c>
      <c r="C28" s="255"/>
      <c r="D28" s="256"/>
      <c r="E28" s="249" t="s">
        <v>381</v>
      </c>
      <c r="F28" s="249" t="s">
        <v>16</v>
      </c>
      <c r="G28" s="292"/>
      <c r="H28" s="232"/>
      <c r="I28" s="395" t="s">
        <v>332</v>
      </c>
      <c r="J28" s="250" t="s">
        <v>382</v>
      </c>
      <c r="K28" s="226" t="s">
        <v>383</v>
      </c>
      <c r="L28" s="227" t="s">
        <v>381</v>
      </c>
      <c r="M28" s="1077"/>
    </row>
    <row r="29" spans="1:19" ht="25.9" thickBot="1">
      <c r="A29" s="92">
        <v>22</v>
      </c>
      <c r="B29" s="233" t="s">
        <v>384</v>
      </c>
      <c r="C29" s="255"/>
      <c r="D29" s="256"/>
      <c r="E29" s="249" t="s">
        <v>311</v>
      </c>
      <c r="F29" s="249" t="s">
        <v>16</v>
      </c>
      <c r="G29" s="296"/>
      <c r="H29" s="232"/>
      <c r="I29" s="395" t="s">
        <v>332</v>
      </c>
      <c r="J29" s="250" t="s">
        <v>385</v>
      </c>
    </row>
    <row r="30" spans="1:19" ht="26.1" customHeight="1" thickBot="1">
      <c r="A30" s="92">
        <v>23</v>
      </c>
      <c r="B30" s="233" t="s">
        <v>386</v>
      </c>
      <c r="C30" s="255"/>
      <c r="D30" s="256"/>
      <c r="E30" s="249" t="s">
        <v>324</v>
      </c>
      <c r="F30" s="249" t="s">
        <v>16</v>
      </c>
      <c r="G30" s="296"/>
      <c r="H30" s="232"/>
      <c r="I30" s="395" t="s">
        <v>332</v>
      </c>
      <c r="J30" s="257" t="s">
        <v>387</v>
      </c>
    </row>
    <row r="31" spans="1:19" ht="20.25" customHeight="1" thickBot="1">
      <c r="A31" s="92">
        <v>24</v>
      </c>
      <c r="B31" s="258" t="s">
        <v>388</v>
      </c>
      <c r="C31" s="255"/>
      <c r="D31" s="256"/>
      <c r="E31" s="249" t="s">
        <v>324</v>
      </c>
      <c r="F31" s="249" t="s">
        <v>16</v>
      </c>
      <c r="G31" s="296"/>
      <c r="H31" s="232"/>
      <c r="I31" s="395" t="s">
        <v>332</v>
      </c>
      <c r="J31" s="248" t="s">
        <v>332</v>
      </c>
      <c r="L31" s="469"/>
    </row>
    <row r="32" spans="1:19" ht="13.5" customHeight="1" thickBot="1">
      <c r="A32" s="92">
        <v>25</v>
      </c>
      <c r="B32" s="233" t="s">
        <v>389</v>
      </c>
      <c r="C32" s="255"/>
      <c r="D32" s="249" t="s">
        <v>13</v>
      </c>
      <c r="E32" s="249" t="s">
        <v>324</v>
      </c>
      <c r="F32" s="249" t="s">
        <v>16</v>
      </c>
      <c r="G32" s="296"/>
      <c r="H32" s="232"/>
      <c r="I32" s="395" t="s">
        <v>332</v>
      </c>
      <c r="J32" s="250" t="s">
        <v>390</v>
      </c>
      <c r="L32" s="470"/>
    </row>
    <row r="33" spans="1:27" ht="30" customHeight="1" thickBot="1">
      <c r="A33" s="92">
        <v>26</v>
      </c>
      <c r="B33" s="233" t="s">
        <v>391</v>
      </c>
      <c r="C33" s="255"/>
      <c r="D33" s="249" t="s">
        <v>13</v>
      </c>
      <c r="E33" s="249" t="s">
        <v>324</v>
      </c>
      <c r="F33" s="249" t="s">
        <v>16</v>
      </c>
      <c r="G33" s="296"/>
      <c r="H33" s="232"/>
      <c r="I33" s="395" t="s">
        <v>332</v>
      </c>
      <c r="J33" s="250" t="s">
        <v>392</v>
      </c>
      <c r="L33" s="293"/>
      <c r="N33" s="293"/>
    </row>
    <row r="34" spans="1:27" ht="60.75" customHeight="1">
      <c r="A34" s="92">
        <v>27</v>
      </c>
      <c r="B34" s="233" t="s">
        <v>393</v>
      </c>
      <c r="C34" s="255"/>
      <c r="D34" s="259" t="s">
        <v>13</v>
      </c>
      <c r="E34" s="249" t="s">
        <v>311</v>
      </c>
      <c r="F34" s="249" t="s">
        <v>16</v>
      </c>
      <c r="G34" s="296"/>
      <c r="H34" s="232"/>
      <c r="I34" s="395" t="s">
        <v>332</v>
      </c>
      <c r="J34" s="250" t="s">
        <v>394</v>
      </c>
      <c r="L34" s="294"/>
      <c r="N34" s="294"/>
    </row>
    <row r="35" spans="1:27" ht="36.75" customHeight="1">
      <c r="B35" s="99"/>
      <c r="C35" s="99"/>
      <c r="D35" s="99"/>
      <c r="E35" s="99"/>
      <c r="F35" s="99"/>
      <c r="G35" s="99"/>
      <c r="H35" s="396"/>
      <c r="I35" s="396"/>
      <c r="J35" s="99"/>
      <c r="T35" s="100"/>
    </row>
    <row r="36" spans="1:27" ht="17.649999999999999">
      <c r="B36" s="101"/>
      <c r="T36" s="100"/>
    </row>
    <row r="37" spans="1:27">
      <c r="K37"/>
      <c r="T37" s="100"/>
    </row>
    <row r="38" spans="1:27">
      <c r="C38"/>
      <c r="D38"/>
      <c r="E38"/>
      <c r="F38"/>
      <c r="G38"/>
      <c r="H38" s="398"/>
      <c r="I38" s="398"/>
      <c r="J38"/>
      <c r="K38"/>
      <c r="L38"/>
      <c r="M38"/>
      <c r="N38"/>
      <c r="O38"/>
      <c r="P38"/>
      <c r="Q38"/>
      <c r="R38"/>
      <c r="S38"/>
      <c r="T38"/>
      <c r="U38"/>
      <c r="V38"/>
      <c r="W38"/>
      <c r="X38"/>
      <c r="Y38"/>
      <c r="Z38"/>
      <c r="AA38"/>
    </row>
    <row r="39" spans="1:27">
      <c r="C39"/>
      <c r="D39"/>
      <c r="E39"/>
      <c r="F39"/>
      <c r="G39"/>
      <c r="H39" s="398"/>
      <c r="I39" s="398"/>
      <c r="J39"/>
      <c r="M39"/>
      <c r="N39"/>
      <c r="O39"/>
      <c r="P39"/>
      <c r="Q39"/>
      <c r="R39"/>
      <c r="S39"/>
      <c r="T39"/>
      <c r="U39"/>
      <c r="V39"/>
      <c r="W39"/>
      <c r="X39"/>
      <c r="Y39"/>
      <c r="Z39"/>
      <c r="AA39"/>
    </row>
    <row r="54" spans="14:19">
      <c r="N54" s="1071"/>
      <c r="O54" s="1071"/>
      <c r="P54" s="1071"/>
      <c r="Q54" s="1071"/>
      <c r="R54" s="1071"/>
      <c r="S54" s="1071"/>
    </row>
    <row r="55" spans="14:19">
      <c r="O55" s="400"/>
      <c r="P55" s="400"/>
      <c r="Q55" s="400"/>
      <c r="R55" s="400"/>
      <c r="S55" s="400"/>
    </row>
    <row r="56" spans="14:19">
      <c r="N56" s="401"/>
      <c r="O56" s="401"/>
      <c r="P56" s="401"/>
      <c r="Q56" s="401"/>
      <c r="R56" s="401"/>
      <c r="S56" s="401"/>
    </row>
    <row r="57" spans="14:19">
      <c r="N57" s="401"/>
      <c r="O57" s="401"/>
      <c r="P57" s="401"/>
      <c r="Q57" s="401"/>
      <c r="R57" s="401"/>
      <c r="S57" s="401"/>
    </row>
    <row r="58" spans="14:19">
      <c r="N58" s="401"/>
      <c r="O58" s="401"/>
      <c r="P58" s="401"/>
      <c r="Q58" s="401"/>
      <c r="R58" s="401"/>
      <c r="S58" s="401"/>
    </row>
    <row r="59" spans="14:19">
      <c r="N59" s="401"/>
      <c r="O59" s="401"/>
      <c r="P59" s="401"/>
      <c r="Q59" s="401"/>
      <c r="R59" s="401"/>
      <c r="S59" s="401"/>
    </row>
    <row r="60" spans="14:19">
      <c r="N60" s="401"/>
      <c r="O60" s="401"/>
      <c r="P60" s="401"/>
      <c r="Q60" s="401"/>
      <c r="R60" s="401"/>
      <c r="S60" s="401"/>
    </row>
    <row r="61" spans="14:19">
      <c r="N61" s="401"/>
      <c r="O61" s="401"/>
      <c r="P61" s="401"/>
      <c r="Q61" s="401"/>
      <c r="R61" s="401"/>
      <c r="S61" s="401"/>
    </row>
    <row r="62" spans="14:19">
      <c r="N62" s="401"/>
      <c r="O62" s="401"/>
      <c r="P62" s="401"/>
      <c r="Q62" s="401"/>
      <c r="R62" s="401"/>
      <c r="S62" s="401"/>
    </row>
    <row r="63" spans="14:19">
      <c r="N63" s="401"/>
      <c r="O63" s="401"/>
      <c r="P63" s="401"/>
      <c r="Q63" s="401"/>
      <c r="R63" s="401"/>
      <c r="S63" s="401"/>
    </row>
    <row r="64" spans="14:19">
      <c r="N64" s="401"/>
      <c r="O64" s="401"/>
      <c r="P64" s="401"/>
      <c r="Q64" s="401"/>
      <c r="R64" s="401"/>
      <c r="S64" s="401"/>
    </row>
    <row r="65" spans="14:19">
      <c r="N65" s="401"/>
      <c r="O65" s="401"/>
      <c r="P65" s="401"/>
      <c r="Q65" s="401"/>
      <c r="R65" s="401"/>
      <c r="S65" s="401"/>
    </row>
    <row r="66" spans="14:19">
      <c r="N66" s="1068"/>
      <c r="O66" s="1068"/>
      <c r="P66" s="1068"/>
      <c r="Q66" s="1068"/>
      <c r="R66" s="1068"/>
      <c r="S66" s="1068"/>
    </row>
    <row r="67" spans="14:19">
      <c r="N67" s="401"/>
      <c r="O67" s="401"/>
      <c r="P67" s="401"/>
      <c r="Q67" s="401"/>
      <c r="R67" s="401"/>
      <c r="S67" s="401"/>
    </row>
    <row r="68" spans="14:19">
      <c r="N68" s="401"/>
      <c r="O68" s="401"/>
      <c r="P68" s="401"/>
      <c r="Q68" s="401"/>
      <c r="R68" s="401"/>
      <c r="S68" s="401"/>
    </row>
    <row r="69" spans="14:19">
      <c r="N69" s="401"/>
      <c r="O69" s="401"/>
      <c r="P69" s="401"/>
      <c r="Q69" s="401"/>
      <c r="R69" s="401"/>
      <c r="S69" s="401"/>
    </row>
    <row r="70" spans="14:19">
      <c r="N70" s="401"/>
      <c r="O70" s="401"/>
      <c r="P70" s="401"/>
      <c r="Q70" s="401"/>
      <c r="R70" s="401"/>
      <c r="S70" s="401"/>
    </row>
    <row r="71" spans="14:19">
      <c r="N71" s="401"/>
      <c r="O71" s="401"/>
      <c r="P71" s="401"/>
      <c r="Q71" s="401"/>
      <c r="R71" s="401"/>
      <c r="S71" s="401"/>
    </row>
    <row r="72" spans="14:19">
      <c r="N72" s="401"/>
      <c r="O72" s="401"/>
      <c r="P72" s="401"/>
      <c r="Q72" s="401"/>
      <c r="R72" s="401"/>
      <c r="S72" s="401"/>
    </row>
    <row r="73" spans="14:19">
      <c r="N73" s="401"/>
      <c r="O73" s="401"/>
      <c r="P73" s="401"/>
      <c r="Q73" s="401"/>
      <c r="R73" s="401"/>
      <c r="S73" s="401"/>
    </row>
    <row r="74" spans="14:19">
      <c r="N74" s="402"/>
      <c r="O74" s="401"/>
      <c r="P74" s="401"/>
      <c r="Q74" s="401"/>
      <c r="R74" s="401"/>
      <c r="S74" s="401"/>
    </row>
    <row r="75" spans="14:19">
      <c r="N75" s="402"/>
      <c r="O75" s="401"/>
      <c r="P75" s="401"/>
      <c r="Q75" s="401"/>
      <c r="R75" s="401"/>
      <c r="S75" s="401"/>
    </row>
    <row r="76" spans="14:19">
      <c r="N76" s="402"/>
      <c r="O76" s="401"/>
      <c r="P76" s="401"/>
      <c r="Q76" s="401"/>
      <c r="R76" s="401"/>
      <c r="S76" s="401"/>
    </row>
    <row r="77" spans="14:19">
      <c r="N77" s="401"/>
      <c r="O77" s="401"/>
      <c r="P77" s="401"/>
      <c r="Q77" s="401"/>
      <c r="R77" s="401"/>
      <c r="S77" s="401"/>
    </row>
    <row r="78" spans="14:19">
      <c r="N78" s="1068"/>
      <c r="O78" s="1068"/>
      <c r="P78" s="1068"/>
      <c r="Q78" s="1068"/>
      <c r="R78" s="1068"/>
      <c r="S78" s="1068"/>
    </row>
    <row r="79" spans="14:19">
      <c r="N79" s="401"/>
      <c r="O79" s="401"/>
      <c r="P79" s="401"/>
      <c r="Q79" s="401"/>
      <c r="R79" s="401"/>
      <c r="S79" s="401"/>
    </row>
    <row r="80" spans="14:19">
      <c r="N80" s="401"/>
      <c r="O80" s="401"/>
      <c r="P80" s="401"/>
      <c r="Q80" s="401"/>
      <c r="R80" s="401"/>
      <c r="S80" s="401"/>
    </row>
    <row r="81" spans="14:19">
      <c r="N81" s="401"/>
      <c r="O81" s="401"/>
      <c r="P81" s="401"/>
      <c r="Q81" s="401"/>
      <c r="R81" s="401"/>
      <c r="S81" s="401"/>
    </row>
    <row r="82" spans="14:19">
      <c r="N82" s="401"/>
      <c r="O82" s="401"/>
      <c r="P82" s="401"/>
      <c r="Q82" s="401"/>
      <c r="R82" s="401"/>
      <c r="S82" s="401"/>
    </row>
    <row r="83" spans="14:19">
      <c r="N83" s="401"/>
      <c r="O83" s="401"/>
      <c r="P83" s="401"/>
      <c r="Q83" s="401"/>
      <c r="R83" s="401"/>
      <c r="S83" s="401"/>
    </row>
    <row r="84" spans="14:19">
      <c r="N84" s="401"/>
      <c r="O84" s="401"/>
      <c r="P84" s="401"/>
      <c r="Q84" s="401"/>
      <c r="R84" s="401"/>
      <c r="S84" s="401"/>
    </row>
    <row r="85" spans="14:19">
      <c r="N85" s="401"/>
      <c r="O85" s="401"/>
      <c r="P85" s="401"/>
      <c r="Q85" s="401"/>
      <c r="R85" s="401"/>
      <c r="S85" s="401"/>
    </row>
    <row r="86" spans="14:19">
      <c r="N86" s="402"/>
      <c r="O86" s="401"/>
      <c r="P86" s="401"/>
      <c r="Q86" s="401"/>
      <c r="R86" s="401"/>
      <c r="S86" s="401"/>
    </row>
    <row r="87" spans="14:19">
      <c r="N87" s="402"/>
      <c r="O87" s="401"/>
      <c r="P87" s="401"/>
      <c r="Q87" s="401"/>
      <c r="R87" s="401"/>
      <c r="S87" s="401"/>
    </row>
    <row r="88" spans="14:19">
      <c r="N88" s="402"/>
      <c r="O88" s="401"/>
      <c r="P88" s="401"/>
      <c r="Q88" s="401"/>
      <c r="R88" s="401"/>
      <c r="S88" s="401"/>
    </row>
    <row r="89" spans="14:19">
      <c r="N89" s="401"/>
      <c r="O89" s="401"/>
      <c r="P89" s="401"/>
      <c r="Q89" s="401"/>
      <c r="R89" s="401"/>
      <c r="S89" s="401"/>
    </row>
    <row r="90" spans="14:19">
      <c r="N90" s="1068"/>
      <c r="O90" s="1068"/>
      <c r="P90" s="1068"/>
      <c r="Q90" s="1068"/>
      <c r="R90" s="1068"/>
      <c r="S90" s="1068"/>
    </row>
    <row r="91" spans="14:19">
      <c r="N91" s="401"/>
      <c r="O91" s="401"/>
      <c r="P91" s="401"/>
      <c r="Q91" s="401"/>
      <c r="R91" s="401"/>
      <c r="S91" s="401"/>
    </row>
    <row r="92" spans="14:19">
      <c r="N92" s="402"/>
      <c r="O92" s="401"/>
      <c r="P92" s="401"/>
      <c r="Q92" s="401"/>
      <c r="R92" s="401"/>
      <c r="S92" s="401"/>
    </row>
    <row r="93" spans="14:19">
      <c r="N93" s="402"/>
      <c r="O93" s="401"/>
      <c r="P93" s="401"/>
      <c r="Q93" s="401"/>
      <c r="R93" s="401"/>
      <c r="S93" s="401"/>
    </row>
    <row r="94" spans="14:19">
      <c r="N94" s="402"/>
      <c r="O94" s="401"/>
      <c r="P94" s="401"/>
      <c r="Q94" s="401"/>
      <c r="R94" s="401"/>
      <c r="S94" s="401"/>
    </row>
    <row r="95" spans="14:19">
      <c r="N95" s="402"/>
      <c r="O95" s="401"/>
      <c r="P95" s="401"/>
      <c r="Q95" s="401"/>
      <c r="R95" s="401"/>
      <c r="S95" s="401"/>
    </row>
    <row r="96" spans="14:19">
      <c r="N96" s="402"/>
      <c r="O96" s="401"/>
      <c r="P96" s="401"/>
      <c r="Q96" s="401"/>
      <c r="R96" s="401"/>
      <c r="S96" s="401"/>
    </row>
    <row r="97" spans="14:19">
      <c r="N97" s="402"/>
      <c r="O97" s="401"/>
      <c r="P97" s="401"/>
      <c r="Q97" s="401"/>
      <c r="R97" s="401"/>
      <c r="S97" s="401"/>
    </row>
    <row r="98" spans="14:19">
      <c r="N98" s="402"/>
      <c r="O98" s="401"/>
      <c r="P98" s="401"/>
      <c r="Q98" s="401"/>
      <c r="R98" s="401"/>
      <c r="S98" s="401"/>
    </row>
    <row r="99" spans="14:19">
      <c r="N99" s="402"/>
      <c r="O99" s="401"/>
      <c r="P99" s="401"/>
      <c r="Q99" s="401"/>
      <c r="R99" s="401"/>
      <c r="S99" s="401"/>
    </row>
    <row r="100" spans="14:19">
      <c r="N100" s="402"/>
      <c r="O100" s="401"/>
      <c r="P100" s="401"/>
      <c r="Q100" s="401"/>
      <c r="R100" s="401"/>
      <c r="S100" s="401"/>
    </row>
  </sheetData>
  <mergeCells count="8">
    <mergeCell ref="N90:S90"/>
    <mergeCell ref="B3:J3"/>
    <mergeCell ref="K3:Q3"/>
    <mergeCell ref="N54:S54"/>
    <mergeCell ref="N66:S66"/>
    <mergeCell ref="N78:S78"/>
    <mergeCell ref="K23:M23"/>
    <mergeCell ref="M25:M28"/>
  </mergeCells>
  <conditionalFormatting sqref="C10:G10">
    <cfRule type="expression" dxfId="30" priority="19">
      <formula>$C$10="Low"</formula>
    </cfRule>
  </conditionalFormatting>
  <conditionalFormatting sqref="D6:F6 H6:J6">
    <cfRule type="expression" dxfId="29" priority="36">
      <formula>$C$6="Low"</formula>
    </cfRule>
  </conditionalFormatting>
  <conditionalFormatting sqref="D7:G7 J7">
    <cfRule type="expression" dxfId="28" priority="35">
      <formula>$C$7="Low"</formula>
    </cfRule>
  </conditionalFormatting>
  <conditionalFormatting sqref="D8:G8 J8">
    <cfRule type="expression" dxfId="27" priority="34">
      <formula>$C$8="Low"</formula>
    </cfRule>
  </conditionalFormatting>
  <conditionalFormatting sqref="D9:G9 J9:J10">
    <cfRule type="expression" dxfId="26" priority="33">
      <formula>$C$9="Low"</formula>
    </cfRule>
  </conditionalFormatting>
  <conditionalFormatting sqref="D12:G12 J12">
    <cfRule type="expression" dxfId="25" priority="31">
      <formula>$C$12="Low"</formula>
    </cfRule>
  </conditionalFormatting>
  <conditionalFormatting sqref="D13:G13">
    <cfRule type="expression" dxfId="24" priority="30">
      <formula>$C$13="Low"</formula>
    </cfRule>
  </conditionalFormatting>
  <conditionalFormatting sqref="D14:G14 J14">
    <cfRule type="expression" dxfId="23" priority="29">
      <formula>$C$14="Low"</formula>
    </cfRule>
  </conditionalFormatting>
  <conditionalFormatting sqref="D16:G16 I16:J16">
    <cfRule type="expression" dxfId="22" priority="27">
      <formula>$C$16="Low"</formula>
    </cfRule>
  </conditionalFormatting>
  <conditionalFormatting sqref="D17:G17 J17">
    <cfRule type="expression" dxfId="21" priority="26">
      <formula>$C$17="Low"</formula>
    </cfRule>
  </conditionalFormatting>
  <conditionalFormatting sqref="D19:G19 J20">
    <cfRule type="expression" dxfId="20" priority="24">
      <formula>$C$19="Low"</formula>
    </cfRule>
  </conditionalFormatting>
  <conditionalFormatting sqref="D21:G21 J21">
    <cfRule type="expression" dxfId="19" priority="22">
      <formula>$C$21="Low"</formula>
    </cfRule>
  </conditionalFormatting>
  <conditionalFormatting sqref="D18:J18">
    <cfRule type="expression" dxfId="18" priority="25">
      <formula>$C$18="Low"</formula>
    </cfRule>
  </conditionalFormatting>
  <conditionalFormatting sqref="D20:J20">
    <cfRule type="expression" dxfId="17" priority="23">
      <formula>$C$20="Low"</formula>
    </cfRule>
  </conditionalFormatting>
  <conditionalFormatting sqref="D22:J22">
    <cfRule type="expression" dxfId="16" priority="21">
      <formula>$C$22="Low"</formula>
    </cfRule>
  </conditionalFormatting>
  <conditionalFormatting sqref="E7 E15:J15">
    <cfRule type="expression" dxfId="15" priority="28">
      <formula>$C$15="Low"</formula>
    </cfRule>
  </conditionalFormatting>
  <conditionalFormatting sqref="G6">
    <cfRule type="expression" dxfId="14" priority="17">
      <formula>$C$7="Low"</formula>
    </cfRule>
  </conditionalFormatting>
  <conditionalFormatting sqref="H16:H17">
    <cfRule type="expression" dxfId="13" priority="6">
      <formula>$C$6="Low"</formula>
    </cfRule>
  </conditionalFormatting>
  <conditionalFormatting sqref="H19">
    <cfRule type="expression" dxfId="12" priority="5">
      <formula>$C$6="Low"</formula>
    </cfRule>
  </conditionalFormatting>
  <conditionalFormatting sqref="H21">
    <cfRule type="expression" dxfId="11" priority="4">
      <formula>$C$6="Low"</formula>
    </cfRule>
  </conditionalFormatting>
  <conditionalFormatting sqref="H24:H34">
    <cfRule type="expression" dxfId="10" priority="3">
      <formula>$C$6="Low"</formula>
    </cfRule>
  </conditionalFormatting>
  <conditionalFormatting sqref="H7:I10">
    <cfRule type="expression" dxfId="9" priority="14">
      <formula>$C$6="Low"</formula>
    </cfRule>
  </conditionalFormatting>
  <conditionalFormatting sqref="H12:I14">
    <cfRule type="expression" dxfId="8" priority="7">
      <formula>$C$6="Low"</formula>
    </cfRule>
  </conditionalFormatting>
  <conditionalFormatting sqref="I17">
    <cfRule type="expression" dxfId="7" priority="11">
      <formula>$C$16="Low"</formula>
    </cfRule>
  </conditionalFormatting>
  <conditionalFormatting sqref="I19">
    <cfRule type="expression" dxfId="6" priority="10">
      <formula>$C$16="Low"</formula>
    </cfRule>
  </conditionalFormatting>
  <conditionalFormatting sqref="I21">
    <cfRule type="expression" dxfId="5" priority="9">
      <formula>$C$16="Low"</formula>
    </cfRule>
  </conditionalFormatting>
  <conditionalFormatting sqref="I24:I34">
    <cfRule type="expression" dxfId="4" priority="8">
      <formula>$C$16="Low"</formula>
    </cfRule>
  </conditionalFormatting>
  <conditionalFormatting sqref="J13">
    <cfRule type="expression" dxfId="3" priority="1">
      <formula>$C$16="Low"</formula>
    </cfRule>
  </conditionalFormatting>
  <conditionalFormatting sqref="J19">
    <cfRule type="expression" dxfId="2" priority="2">
      <formula>$C$17="Low"</formula>
    </cfRule>
  </conditionalFormatting>
  <dataValidations count="3">
    <dataValidation type="list" allowBlank="1" showInputMessage="1" showErrorMessage="1" sqref="D32:D34 F24:F34 F6:F10 F12:F22 C11 E7 D6:D14 D16:D22"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6"/>
  <sheetViews>
    <sheetView showGridLines="0" tabSelected="1" topLeftCell="A58" zoomScale="90" zoomScaleNormal="90" workbookViewId="0">
      <selection activeCell="AF5" sqref="AF5"/>
    </sheetView>
  </sheetViews>
  <sheetFormatPr defaultColWidth="11.42578125" defaultRowHeight="12.7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11" width="11.140625" style="2" customWidth="1"/>
    <col min="12" max="12" width="19" style="2" customWidth="1"/>
    <col min="13" max="14" width="24.28515625" style="2" bestFit="1" customWidth="1"/>
    <col min="15" max="15" width="23.140625" style="2" bestFit="1" customWidth="1"/>
    <col min="16" max="25" width="24.28515625" style="2" bestFit="1" customWidth="1"/>
    <col min="26" max="28" width="23.140625" style="2" bestFit="1" customWidth="1"/>
    <col min="29" max="30" width="24.28515625" style="2" bestFit="1" customWidth="1"/>
    <col min="31" max="32" width="23.140625" style="2" bestFit="1" customWidth="1"/>
    <col min="33" max="33" width="14.42578125" customWidth="1"/>
  </cols>
  <sheetData>
    <row r="1" spans="1:40" ht="21" customHeight="1">
      <c r="A1" s="1084" t="s">
        <v>395</v>
      </c>
      <c r="B1" s="1084"/>
      <c r="C1" s="1084"/>
      <c r="D1" s="1084"/>
      <c r="E1" s="1084"/>
      <c r="F1" s="1084"/>
      <c r="G1" s="1084"/>
      <c r="H1" s="1084"/>
      <c r="I1" s="1084"/>
      <c r="J1" s="1084"/>
      <c r="K1" s="1084"/>
      <c r="L1" s="1084"/>
      <c r="M1" s="1084"/>
      <c r="N1" s="1084"/>
      <c r="O1" s="1084"/>
      <c r="P1" s="1084"/>
      <c r="Q1" s="1084"/>
      <c r="R1" s="1084"/>
      <c r="S1" s="1084"/>
      <c r="T1" s="1084"/>
      <c r="U1" s="1084"/>
      <c r="V1" s="1084"/>
      <c r="W1" s="1084"/>
      <c r="X1" s="1084"/>
      <c r="Y1" s="1084"/>
      <c r="Z1" s="1084"/>
      <c r="AA1" s="1084"/>
      <c r="AB1" s="1084"/>
      <c r="AC1" s="1084"/>
      <c r="AD1" s="1084"/>
      <c r="AE1" s="1084"/>
      <c r="AF1" s="1084"/>
      <c r="AG1" s="11"/>
      <c r="AH1" s="11"/>
      <c r="AI1" s="11"/>
      <c r="AJ1" s="11"/>
      <c r="AK1" s="11"/>
      <c r="AL1" s="11"/>
      <c r="AM1" s="11"/>
      <c r="AN1" s="11"/>
    </row>
    <row r="2" spans="1:40" ht="3.75" customHeight="1" thickBot="1">
      <c r="A2" s="1085"/>
      <c r="B2" s="1085"/>
      <c r="C2" s="1085"/>
      <c r="D2" s="1085"/>
      <c r="E2" s="1085"/>
      <c r="F2" s="1085"/>
      <c r="G2" s="1085"/>
      <c r="H2" s="1085"/>
      <c r="I2" s="1085"/>
      <c r="J2" s="1085"/>
      <c r="K2" s="1085"/>
      <c r="L2" s="1085"/>
      <c r="M2" s="1085"/>
      <c r="N2" s="1085"/>
      <c r="O2" s="1085"/>
      <c r="P2" s="1085"/>
      <c r="Q2" s="1085"/>
      <c r="R2" s="1085"/>
      <c r="S2" s="1085"/>
      <c r="T2" s="1085"/>
      <c r="U2" s="1085"/>
      <c r="V2" s="1085"/>
      <c r="W2" s="1085"/>
      <c r="X2" s="1085"/>
      <c r="Y2" s="1085"/>
      <c r="Z2" s="1085"/>
      <c r="AA2" s="1085"/>
      <c r="AB2" s="1085"/>
      <c r="AC2" s="1085"/>
      <c r="AD2" s="1085"/>
      <c r="AE2" s="1085"/>
      <c r="AF2" s="1085"/>
      <c r="AG2" s="405"/>
      <c r="AH2" s="11"/>
      <c r="AI2" s="11"/>
      <c r="AJ2" s="11"/>
      <c r="AK2" s="11"/>
      <c r="AL2" s="11"/>
      <c r="AM2" s="11"/>
      <c r="AN2" s="11"/>
    </row>
    <row r="3" spans="1:40" ht="18.399999999999999" thickBot="1">
      <c r="A3" s="264"/>
      <c r="B3" s="264"/>
      <c r="C3" s="264"/>
      <c r="D3" s="264"/>
      <c r="E3" s="264"/>
      <c r="F3" s="264"/>
      <c r="G3" s="1098" t="s">
        <v>396</v>
      </c>
      <c r="H3" s="1099"/>
      <c r="I3" s="1099"/>
      <c r="J3" s="1099"/>
      <c r="K3" s="1100" t="s">
        <v>397</v>
      </c>
      <c r="L3" s="1101"/>
      <c r="M3" s="1101"/>
      <c r="N3" s="1101"/>
      <c r="O3" s="1101"/>
      <c r="P3" s="1101"/>
      <c r="Q3" s="1101"/>
      <c r="R3" s="1101"/>
      <c r="S3" s="1101"/>
      <c r="T3" s="1101"/>
      <c r="U3" s="1101"/>
      <c r="V3" s="1101"/>
      <c r="W3" s="1101"/>
      <c r="X3" s="1101"/>
      <c r="Y3" s="1101"/>
      <c r="Z3" s="1101"/>
      <c r="AA3" s="1101"/>
      <c r="AB3" s="1101"/>
      <c r="AC3" s="1101"/>
      <c r="AD3" s="1101"/>
      <c r="AE3" s="1101"/>
      <c r="AF3" s="1102"/>
      <c r="AG3" s="405"/>
      <c r="AH3" s="11"/>
      <c r="AI3" s="11"/>
      <c r="AJ3" s="11"/>
      <c r="AK3" s="11"/>
      <c r="AL3" s="11"/>
      <c r="AM3" s="11"/>
      <c r="AN3" s="11"/>
    </row>
    <row r="4" spans="1:40" ht="14.65" thickBot="1">
      <c r="A4" s="558" t="s">
        <v>398</v>
      </c>
      <c r="B4" s="559" t="s">
        <v>399</v>
      </c>
      <c r="C4" s="560" t="s">
        <v>400</v>
      </c>
      <c r="D4" s="272" t="s">
        <v>401</v>
      </c>
      <c r="E4" s="272" t="s">
        <v>402</v>
      </c>
      <c r="F4" s="273" t="s">
        <v>403</v>
      </c>
      <c r="G4" s="272">
        <v>2023</v>
      </c>
      <c r="H4" s="272">
        <f>G4+1</f>
        <v>2024</v>
      </c>
      <c r="I4" s="272">
        <f t="shared" ref="I4:AF4" si="0">H4+1</f>
        <v>2025</v>
      </c>
      <c r="J4" s="273">
        <f t="shared" si="0"/>
        <v>2026</v>
      </c>
      <c r="K4" s="266">
        <f t="shared" si="0"/>
        <v>2027</v>
      </c>
      <c r="L4" s="266">
        <f t="shared" si="0"/>
        <v>2028</v>
      </c>
      <c r="M4" s="266">
        <f t="shared" si="0"/>
        <v>2029</v>
      </c>
      <c r="N4" s="266">
        <f t="shared" si="0"/>
        <v>2030</v>
      </c>
      <c r="O4" s="266">
        <f t="shared" si="0"/>
        <v>2031</v>
      </c>
      <c r="P4" s="266">
        <f t="shared" si="0"/>
        <v>2032</v>
      </c>
      <c r="Q4" s="266">
        <f t="shared" si="0"/>
        <v>2033</v>
      </c>
      <c r="R4" s="266">
        <f t="shared" si="0"/>
        <v>2034</v>
      </c>
      <c r="S4" s="266">
        <f t="shared" si="0"/>
        <v>2035</v>
      </c>
      <c r="T4" s="266">
        <f t="shared" si="0"/>
        <v>2036</v>
      </c>
      <c r="U4" s="266">
        <f t="shared" si="0"/>
        <v>2037</v>
      </c>
      <c r="V4" s="266">
        <f t="shared" si="0"/>
        <v>2038</v>
      </c>
      <c r="W4" s="266">
        <f t="shared" si="0"/>
        <v>2039</v>
      </c>
      <c r="X4" s="266">
        <f t="shared" si="0"/>
        <v>2040</v>
      </c>
      <c r="Y4" s="266">
        <f t="shared" si="0"/>
        <v>2041</v>
      </c>
      <c r="Z4" s="266">
        <f t="shared" si="0"/>
        <v>2042</v>
      </c>
      <c r="AA4" s="266">
        <f t="shared" si="0"/>
        <v>2043</v>
      </c>
      <c r="AB4" s="266">
        <f t="shared" si="0"/>
        <v>2044</v>
      </c>
      <c r="AC4" s="266">
        <f t="shared" si="0"/>
        <v>2045</v>
      </c>
      <c r="AD4" s="266">
        <f t="shared" si="0"/>
        <v>2046</v>
      </c>
      <c r="AE4" s="266">
        <f t="shared" si="0"/>
        <v>2047</v>
      </c>
      <c r="AF4" s="561">
        <f t="shared" si="0"/>
        <v>2048</v>
      </c>
      <c r="AG4" s="405"/>
      <c r="AH4" s="11"/>
      <c r="AI4" s="11"/>
      <c r="AJ4" s="11"/>
      <c r="AK4" s="11"/>
      <c r="AL4" s="11"/>
      <c r="AM4" s="11"/>
      <c r="AN4" s="11"/>
    </row>
    <row r="5" spans="1:40" ht="13.15">
      <c r="A5" s="1089" t="s">
        <v>404</v>
      </c>
      <c r="B5" s="562">
        <v>1</v>
      </c>
      <c r="C5" s="563" t="s">
        <v>405</v>
      </c>
      <c r="D5" s="279">
        <f>'Fin. Data'!D6</f>
        <v>-2.7118027118027133E-2</v>
      </c>
      <c r="E5" s="282">
        <f>+E6/D6-1</f>
        <v>4.1475696068344003E-2</v>
      </c>
      <c r="F5" s="564">
        <f t="shared" ref="F5" si="1">+F6/E6-1</f>
        <v>2.4114420004041515E-2</v>
      </c>
      <c r="G5" s="565">
        <v>0.03</v>
      </c>
      <c r="H5" s="566">
        <f>+G5+($K$5-$G$5)/4</f>
        <v>2.5000000000000001E-2</v>
      </c>
      <c r="I5" s="566">
        <f>+H5+($K$5-$G$5)/4</f>
        <v>2.0000000000000004E-2</v>
      </c>
      <c r="J5" s="567">
        <f>+I5+($K$5-$G$5)/4</f>
        <v>1.5000000000000005E-2</v>
      </c>
      <c r="K5" s="565">
        <f>+Assumptions!$M$6</f>
        <v>0.01</v>
      </c>
      <c r="L5" s="566">
        <f>+Assumptions!$M$6</f>
        <v>0.01</v>
      </c>
      <c r="M5" s="566">
        <f>+Assumptions!$M$6</f>
        <v>0.01</v>
      </c>
      <c r="N5" s="566">
        <f>+Assumptions!$M$6</f>
        <v>0.01</v>
      </c>
      <c r="O5" s="566">
        <f>+Assumptions!$M$6</f>
        <v>0.01</v>
      </c>
      <c r="P5" s="566">
        <f>+Assumptions!$M$6</f>
        <v>0.01</v>
      </c>
      <c r="Q5" s="566">
        <f>+Assumptions!$M$6</f>
        <v>0.01</v>
      </c>
      <c r="R5" s="566">
        <f>+Assumptions!$M$6</f>
        <v>0.01</v>
      </c>
      <c r="S5" s="566">
        <f>+Assumptions!$M$6</f>
        <v>0.01</v>
      </c>
      <c r="T5" s="566">
        <f>+Assumptions!$M$6</f>
        <v>0.01</v>
      </c>
      <c r="U5" s="566">
        <f>+Assumptions!$M$6</f>
        <v>0.01</v>
      </c>
      <c r="V5" s="566">
        <f>+Assumptions!$M$6</f>
        <v>0.01</v>
      </c>
      <c r="W5" s="566">
        <f>+Assumptions!$M$6</f>
        <v>0.01</v>
      </c>
      <c r="X5" s="566">
        <f>+Assumptions!$M$6</f>
        <v>0.01</v>
      </c>
      <c r="Y5" s="566">
        <f>+Assumptions!$M$6</f>
        <v>0.01</v>
      </c>
      <c r="Z5" s="566">
        <f>+Assumptions!$M$6</f>
        <v>0.01</v>
      </c>
      <c r="AA5" s="566">
        <f>+Assumptions!$M$6</f>
        <v>0.01</v>
      </c>
      <c r="AB5" s="566">
        <f>+Assumptions!$M$6</f>
        <v>0.01</v>
      </c>
      <c r="AC5" s="566">
        <f>+Assumptions!$M$6</f>
        <v>0.01</v>
      </c>
      <c r="AD5" s="566">
        <f>+Assumptions!$M$6</f>
        <v>0.01</v>
      </c>
      <c r="AE5" s="566">
        <f>+Assumptions!$M$6</f>
        <v>0.01</v>
      </c>
      <c r="AF5" s="567">
        <f>+Assumptions!$M$6</f>
        <v>0.01</v>
      </c>
      <c r="AG5" s="349"/>
      <c r="AH5" s="11"/>
      <c r="AI5" s="11"/>
      <c r="AJ5" s="11"/>
      <c r="AK5" s="11"/>
      <c r="AL5" s="11"/>
      <c r="AM5" s="11"/>
      <c r="AN5" s="11"/>
    </row>
    <row r="6" spans="1:40" ht="14.25">
      <c r="A6" s="1090"/>
      <c r="B6" s="568">
        <v>2</v>
      </c>
      <c r="C6" s="569" t="s">
        <v>406</v>
      </c>
      <c r="D6" s="570">
        <v>128292</v>
      </c>
      <c r="E6" s="571">
        <v>133613</v>
      </c>
      <c r="F6" s="572">
        <v>136835</v>
      </c>
      <c r="G6" s="573">
        <f t="shared" ref="G6:AE6" si="2">F6*(1+G5)</f>
        <v>140940.05000000002</v>
      </c>
      <c r="H6" s="574">
        <f t="shared" si="2"/>
        <v>144463.55125000002</v>
      </c>
      <c r="I6" s="574">
        <f t="shared" si="2"/>
        <v>147352.82227500001</v>
      </c>
      <c r="J6" s="575">
        <f t="shared" si="2"/>
        <v>149563.11460912501</v>
      </c>
      <c r="K6" s="573">
        <f t="shared" si="2"/>
        <v>151058.74575521625</v>
      </c>
      <c r="L6" s="574">
        <f t="shared" si="2"/>
        <v>152569.33321276843</v>
      </c>
      <c r="M6" s="574">
        <f t="shared" si="2"/>
        <v>154095.0265448961</v>
      </c>
      <c r="N6" s="574">
        <f t="shared" si="2"/>
        <v>155635.97681034505</v>
      </c>
      <c r="O6" s="574">
        <f t="shared" si="2"/>
        <v>157192.33657844851</v>
      </c>
      <c r="P6" s="574">
        <f t="shared" si="2"/>
        <v>158764.259944233</v>
      </c>
      <c r="Q6" s="574">
        <f t="shared" si="2"/>
        <v>160351.90254367533</v>
      </c>
      <c r="R6" s="574">
        <f t="shared" si="2"/>
        <v>161955.42156911208</v>
      </c>
      <c r="S6" s="574">
        <f t="shared" si="2"/>
        <v>163574.97578480319</v>
      </c>
      <c r="T6" s="574">
        <f t="shared" si="2"/>
        <v>165210.72554265123</v>
      </c>
      <c r="U6" s="574">
        <f t="shared" si="2"/>
        <v>166862.83279807775</v>
      </c>
      <c r="V6" s="574">
        <f t="shared" si="2"/>
        <v>168531.46112605854</v>
      </c>
      <c r="W6" s="574">
        <f t="shared" si="2"/>
        <v>170216.77573731911</v>
      </c>
      <c r="X6" s="574">
        <f t="shared" si="2"/>
        <v>171918.9434946923</v>
      </c>
      <c r="Y6" s="574">
        <f t="shared" si="2"/>
        <v>173638.13292963922</v>
      </c>
      <c r="Z6" s="574">
        <f t="shared" si="2"/>
        <v>175374.51425893561</v>
      </c>
      <c r="AA6" s="574">
        <f t="shared" si="2"/>
        <v>177128.25940152496</v>
      </c>
      <c r="AB6" s="574">
        <f t="shared" si="2"/>
        <v>178899.5419955402</v>
      </c>
      <c r="AC6" s="574">
        <f t="shared" si="2"/>
        <v>180688.53741549561</v>
      </c>
      <c r="AD6" s="574">
        <f t="shared" si="2"/>
        <v>182495.42278965056</v>
      </c>
      <c r="AE6" s="574">
        <f t="shared" si="2"/>
        <v>184320.37701754706</v>
      </c>
      <c r="AF6" s="597">
        <f>AE6*(1+AF5)</f>
        <v>186163.58078772252</v>
      </c>
      <c r="AG6" s="406"/>
      <c r="AH6" s="11"/>
      <c r="AI6" s="11"/>
      <c r="AJ6" s="11"/>
      <c r="AK6" s="11"/>
      <c r="AL6" s="11"/>
      <c r="AM6" s="11"/>
      <c r="AN6" s="11"/>
    </row>
    <row r="7" spans="1:40" ht="13.5" thickBot="1">
      <c r="A7" s="1090"/>
      <c r="B7" s="576">
        <v>3</v>
      </c>
      <c r="C7" s="577" t="s">
        <v>407</v>
      </c>
      <c r="D7" s="304">
        <f>D8/D6</f>
        <v>0.22447229757116577</v>
      </c>
      <c r="E7" s="303">
        <f t="shared" ref="E7" si="3">E8/E6</f>
        <v>0.24285062082282413</v>
      </c>
      <c r="F7" s="578">
        <f>F8/F6</f>
        <v>0.22265502247232069</v>
      </c>
      <c r="G7" s="579">
        <v>0.23</v>
      </c>
      <c r="H7" s="579">
        <f>$G$7</f>
        <v>0.23</v>
      </c>
      <c r="I7" s="579">
        <f t="shared" ref="I7:J7" si="4">$G$7</f>
        <v>0.23</v>
      </c>
      <c r="J7" s="755">
        <f t="shared" si="4"/>
        <v>0.23</v>
      </c>
      <c r="K7" s="579">
        <v>0.22</v>
      </c>
      <c r="L7" s="579">
        <f t="shared" ref="L7:AE7" si="5">$K$7</f>
        <v>0.22</v>
      </c>
      <c r="M7" s="579">
        <f t="shared" si="5"/>
        <v>0.22</v>
      </c>
      <c r="N7" s="579">
        <f t="shared" si="5"/>
        <v>0.22</v>
      </c>
      <c r="O7" s="579">
        <f t="shared" si="5"/>
        <v>0.22</v>
      </c>
      <c r="P7" s="579">
        <f t="shared" si="5"/>
        <v>0.22</v>
      </c>
      <c r="Q7" s="579">
        <f t="shared" si="5"/>
        <v>0.22</v>
      </c>
      <c r="R7" s="579">
        <f t="shared" si="5"/>
        <v>0.22</v>
      </c>
      <c r="S7" s="579">
        <f t="shared" si="5"/>
        <v>0.22</v>
      </c>
      <c r="T7" s="579">
        <f t="shared" si="5"/>
        <v>0.22</v>
      </c>
      <c r="U7" s="579">
        <f t="shared" si="5"/>
        <v>0.22</v>
      </c>
      <c r="V7" s="579">
        <f t="shared" si="5"/>
        <v>0.22</v>
      </c>
      <c r="W7" s="579">
        <f t="shared" si="5"/>
        <v>0.22</v>
      </c>
      <c r="X7" s="579">
        <f t="shared" si="5"/>
        <v>0.22</v>
      </c>
      <c r="Y7" s="579">
        <f t="shared" si="5"/>
        <v>0.22</v>
      </c>
      <c r="Z7" s="579">
        <f t="shared" si="5"/>
        <v>0.22</v>
      </c>
      <c r="AA7" s="579">
        <f t="shared" si="5"/>
        <v>0.22</v>
      </c>
      <c r="AB7" s="579">
        <f t="shared" si="5"/>
        <v>0.22</v>
      </c>
      <c r="AC7" s="579">
        <f t="shared" si="5"/>
        <v>0.22</v>
      </c>
      <c r="AD7" s="579">
        <f t="shared" si="5"/>
        <v>0.22</v>
      </c>
      <c r="AE7" s="754">
        <f t="shared" si="5"/>
        <v>0.22</v>
      </c>
      <c r="AF7" s="755">
        <v>0.22</v>
      </c>
      <c r="AG7" s="349"/>
      <c r="AH7" s="11"/>
      <c r="AI7" s="11"/>
      <c r="AJ7" s="11"/>
      <c r="AK7" s="11"/>
      <c r="AL7" s="11"/>
      <c r="AM7" s="11"/>
      <c r="AN7" s="11"/>
    </row>
    <row r="8" spans="1:40" ht="14.65" thickBot="1">
      <c r="A8" s="1090"/>
      <c r="B8" s="568">
        <v>4</v>
      </c>
      <c r="C8" s="580" t="s">
        <v>68</v>
      </c>
      <c r="D8" s="581">
        <f>'Fin. Data'!D11</f>
        <v>28798</v>
      </c>
      <c r="E8" s="582">
        <f>'Fin. Data'!C11</f>
        <v>32448</v>
      </c>
      <c r="F8" s="583">
        <f>'Fin. Data'!B11</f>
        <v>30467</v>
      </c>
      <c r="G8" s="584">
        <f>G7*G6</f>
        <v>32416.211500000005</v>
      </c>
      <c r="H8" s="582">
        <f t="shared" ref="H8:AF8" si="6">H7*H6</f>
        <v>33226.616787500003</v>
      </c>
      <c r="I8" s="582">
        <f t="shared" si="6"/>
        <v>33891.149123250005</v>
      </c>
      <c r="J8" s="583">
        <f t="shared" si="6"/>
        <v>34399.516360098751</v>
      </c>
      <c r="K8" s="584">
        <f t="shared" si="6"/>
        <v>33232.924066147578</v>
      </c>
      <c r="L8" s="582">
        <f>L7*L6</f>
        <v>33565.253306809056</v>
      </c>
      <c r="M8" s="582">
        <f t="shared" si="6"/>
        <v>33900.905839877145</v>
      </c>
      <c r="N8" s="582">
        <f t="shared" si="6"/>
        <v>34239.914898275914</v>
      </c>
      <c r="O8" s="582">
        <f t="shared" si="6"/>
        <v>34582.314047258675</v>
      </c>
      <c r="P8" s="582">
        <f t="shared" si="6"/>
        <v>34928.137187731256</v>
      </c>
      <c r="Q8" s="582">
        <f t="shared" si="6"/>
        <v>35277.418559608574</v>
      </c>
      <c r="R8" s="582">
        <f t="shared" si="6"/>
        <v>35630.192745204658</v>
      </c>
      <c r="S8" s="582">
        <f t="shared" si="6"/>
        <v>35986.4946726567</v>
      </c>
      <c r="T8" s="582">
        <f t="shared" si="6"/>
        <v>36346.359619383271</v>
      </c>
      <c r="U8" s="582">
        <f t="shared" si="6"/>
        <v>36709.823215577104</v>
      </c>
      <c r="V8" s="582">
        <f t="shared" si="6"/>
        <v>37076.921447732879</v>
      </c>
      <c r="W8" s="582">
        <f t="shared" si="6"/>
        <v>37447.690662210203</v>
      </c>
      <c r="X8" s="582">
        <f t="shared" si="6"/>
        <v>37822.167568832308</v>
      </c>
      <c r="Y8" s="582">
        <f t="shared" si="6"/>
        <v>38200.389244520629</v>
      </c>
      <c r="Z8" s="582">
        <f t="shared" si="6"/>
        <v>38582.393136965831</v>
      </c>
      <c r="AA8" s="582">
        <f t="shared" si="6"/>
        <v>38968.217068335493</v>
      </c>
      <c r="AB8" s="582">
        <f t="shared" si="6"/>
        <v>39357.899239018843</v>
      </c>
      <c r="AC8" s="582">
        <f t="shared" si="6"/>
        <v>39751.478231409033</v>
      </c>
      <c r="AD8" s="582">
        <f t="shared" si="6"/>
        <v>40148.99301372312</v>
      </c>
      <c r="AE8" s="582">
        <f t="shared" si="6"/>
        <v>40550.482943860356</v>
      </c>
      <c r="AF8" s="753">
        <f t="shared" si="6"/>
        <v>40955.987773298955</v>
      </c>
      <c r="AG8" s="388"/>
      <c r="AH8" s="7"/>
      <c r="AI8" s="7"/>
      <c r="AJ8" s="7"/>
      <c r="AK8" s="11"/>
      <c r="AL8" s="11"/>
      <c r="AM8" s="11"/>
      <c r="AN8" s="11"/>
    </row>
    <row r="9" spans="1:40" ht="14.25">
      <c r="A9" s="1090"/>
      <c r="B9" s="585" t="s">
        <v>408</v>
      </c>
      <c r="C9" s="569" t="s">
        <v>409</v>
      </c>
      <c r="D9" s="586">
        <v>-14275</v>
      </c>
      <c r="E9" s="587">
        <v>-14119</v>
      </c>
      <c r="F9" s="588">
        <v>-14592</v>
      </c>
      <c r="G9" s="589">
        <f>$D$53*DCF!F40</f>
        <v>-15092.975136338509</v>
      </c>
      <c r="H9" s="386">
        <f>$D$53*DCF!G40</f>
        <v>-15975.923673511088</v>
      </c>
      <c r="I9" s="386">
        <f>$D$53*DCF!H40</f>
        <v>-16968.009416573979</v>
      </c>
      <c r="J9" s="387">
        <f>$D$53*DCF!I40</f>
        <v>-17979.936874498126</v>
      </c>
      <c r="K9" s="589">
        <f>$E$53*DCF!J40</f>
        <v>-17436.695775244985</v>
      </c>
      <c r="L9" s="386">
        <f>$E$53*DCF!K40</f>
        <v>-18252.413002323152</v>
      </c>
      <c r="M9" s="386">
        <f>$E$53*DCF!L40</f>
        <v>-19076.287401672103</v>
      </c>
      <c r="N9" s="386">
        <f>$E$53*DCF!M40</f>
        <v>-19908.400545014541</v>
      </c>
      <c r="O9" s="386">
        <f>$E$53*DCF!N40</f>
        <v>-20748.834819790405</v>
      </c>
      <c r="P9" s="386">
        <f>$E$53*DCF!O40</f>
        <v>-21597.673437314028</v>
      </c>
      <c r="Q9" s="386">
        <f>$E$53*DCF!P40</f>
        <v>-22455.000441012882</v>
      </c>
      <c r="R9" s="386">
        <f>$E$53*DCF!Q40</f>
        <v>-23320.900714748732</v>
      </c>
      <c r="S9" s="386">
        <f>$E$53*DCF!R40</f>
        <v>-24195.459991221935</v>
      </c>
      <c r="T9" s="386">
        <f>$E$53*DCF!S40</f>
        <v>-25078.764860459873</v>
      </c>
      <c r="U9" s="386">
        <f>$E$53*DCF!T40</f>
        <v>-25970.902778390191</v>
      </c>
      <c r="V9" s="386">
        <f>$E$53*DCF!U40</f>
        <v>-26871.962075499807</v>
      </c>
      <c r="W9" s="386">
        <f>$E$53*DCF!V40</f>
        <v>-27782.031965580525</v>
      </c>
      <c r="X9" s="386">
        <f>$E$53*DCF!W40</f>
        <v>-28701.202554562045</v>
      </c>
      <c r="Y9" s="386">
        <f>$E$53*DCF!X40</f>
        <v>-29629.564849433384</v>
      </c>
      <c r="Z9" s="386">
        <f>$E$53*DCF!Y40</f>
        <v>-30567.210767253433</v>
      </c>
      <c r="AA9" s="386">
        <f>$E$53*DCF!Z40</f>
        <v>-31514.233144251684</v>
      </c>
      <c r="AB9" s="386">
        <f>$E$53*DCF!AA40</f>
        <v>-32470.725745019918</v>
      </c>
      <c r="AC9" s="386">
        <f>$E$53*DCF!AB40</f>
        <v>-33436.783271795837</v>
      </c>
      <c r="AD9" s="386">
        <f>$E$53*DCF!AC40</f>
        <v>-34412.501373839514</v>
      </c>
      <c r="AE9" s="386">
        <f>$E$53*DCF!AD40</f>
        <v>-35397.976656903622</v>
      </c>
      <c r="AF9" s="387">
        <f>$E$53*DCF!AE40</f>
        <v>-36393.306692798375</v>
      </c>
      <c r="AG9" s="389">
        <f>SUM(D9:AF9)</f>
        <v>-694221.67796505278</v>
      </c>
      <c r="AH9" s="7"/>
      <c r="AI9" s="7"/>
      <c r="AJ9" s="7"/>
      <c r="AK9" s="11"/>
      <c r="AL9" s="11"/>
      <c r="AM9" s="11"/>
      <c r="AN9" s="11"/>
    </row>
    <row r="10" spans="1:40" ht="14.25">
      <c r="A10" s="1090"/>
      <c r="B10" s="568" t="s">
        <v>410</v>
      </c>
      <c r="C10" s="569" t="s">
        <v>411</v>
      </c>
      <c r="D10" s="586">
        <v>-2445</v>
      </c>
      <c r="E10" s="587">
        <v>-2087</v>
      </c>
      <c r="F10" s="588">
        <v>-2507</v>
      </c>
      <c r="G10" s="589">
        <f t="shared" ref="G10:J10" si="7">F38*$D$54</f>
        <v>-2444.96</v>
      </c>
      <c r="H10" s="386">
        <f t="shared" si="7"/>
        <v>-2640.5567999999998</v>
      </c>
      <c r="I10" s="386">
        <f t="shared" si="7"/>
        <v>-2851.801344</v>
      </c>
      <c r="J10" s="387">
        <f t="shared" si="7"/>
        <v>-3079.94545152</v>
      </c>
      <c r="K10" s="589">
        <f t="shared" ref="K10:AF10" si="8">J38*$E$54</f>
        <v>-2910.5484516863999</v>
      </c>
      <c r="L10" s="386">
        <f t="shared" si="8"/>
        <v>-3114.2868433044482</v>
      </c>
      <c r="M10" s="386">
        <f t="shared" si="8"/>
        <v>-3332.2869223357598</v>
      </c>
      <c r="N10" s="386">
        <f t="shared" si="8"/>
        <v>-3565.5470068992631</v>
      </c>
      <c r="O10" s="386">
        <f t="shared" si="8"/>
        <v>-3815.1352973822118</v>
      </c>
      <c r="P10" s="386">
        <f t="shared" si="8"/>
        <v>-4082.1947681989664</v>
      </c>
      <c r="Q10" s="386">
        <f t="shared" si="8"/>
        <v>-4367.9484019728943</v>
      </c>
      <c r="R10" s="386">
        <f t="shared" si="8"/>
        <v>-4673.7047901109972</v>
      </c>
      <c r="S10" s="386">
        <f t="shared" si="8"/>
        <v>-5000.8641254187669</v>
      </c>
      <c r="T10" s="386">
        <f t="shared" si="8"/>
        <v>-5350.9246141980802</v>
      </c>
      <c r="U10" s="386">
        <f t="shared" si="8"/>
        <v>-5725.4893371919461</v>
      </c>
      <c r="V10" s="386">
        <f t="shared" si="8"/>
        <v>-6126.2735907953829</v>
      </c>
      <c r="W10" s="386">
        <f t="shared" si="8"/>
        <v>-6555.11274215106</v>
      </c>
      <c r="X10" s="386">
        <f t="shared" si="8"/>
        <v>-7013.9706341016345</v>
      </c>
      <c r="Y10" s="386">
        <f t="shared" si="8"/>
        <v>-7504.9485784887484</v>
      </c>
      <c r="Z10" s="386">
        <f t="shared" si="8"/>
        <v>-8030.2949789829609</v>
      </c>
      <c r="AA10" s="386">
        <f t="shared" si="8"/>
        <v>-8592.4156275117675</v>
      </c>
      <c r="AB10" s="386">
        <f t="shared" si="8"/>
        <v>-9193.8847214375928</v>
      </c>
      <c r="AC10" s="386">
        <f t="shared" si="8"/>
        <v>-9837.4566519382224</v>
      </c>
      <c r="AD10" s="386">
        <f t="shared" si="8"/>
        <v>-10526.078617573899</v>
      </c>
      <c r="AE10" s="386">
        <f t="shared" si="8"/>
        <v>-11262.904120804073</v>
      </c>
      <c r="AF10" s="387">
        <f t="shared" si="8"/>
        <v>-12051.307409260357</v>
      </c>
      <c r="AG10" s="388"/>
      <c r="AH10" s="7"/>
      <c r="AI10" s="7"/>
      <c r="AJ10" s="7"/>
      <c r="AK10" s="11"/>
      <c r="AL10" s="11"/>
      <c r="AM10" s="11"/>
      <c r="AN10" s="11"/>
    </row>
    <row r="11" spans="1:40" ht="14.65" thickBot="1">
      <c r="A11" s="1090"/>
      <c r="B11" s="568" t="s">
        <v>412</v>
      </c>
      <c r="C11" s="569" t="s">
        <v>413</v>
      </c>
      <c r="D11" s="586">
        <v>-780</v>
      </c>
      <c r="E11" s="587">
        <v>-625</v>
      </c>
      <c r="F11" s="588">
        <v>-609</v>
      </c>
      <c r="G11" s="589">
        <f>G6*$D$55</f>
        <v>-714.48076252204157</v>
      </c>
      <c r="H11" s="386">
        <f t="shared" ref="H11:AF11" si="9">H6*$D$55</f>
        <v>-732.34278158509267</v>
      </c>
      <c r="I11" s="386">
        <f t="shared" si="9"/>
        <v>-746.98963721679445</v>
      </c>
      <c r="J11" s="387">
        <f t="shared" si="9"/>
        <v>-758.19448177504637</v>
      </c>
      <c r="K11" s="589">
        <f t="shared" si="9"/>
        <v>-765.77642659279684</v>
      </c>
      <c r="L11" s="386">
        <f t="shared" si="9"/>
        <v>-773.43419085872483</v>
      </c>
      <c r="M11" s="386">
        <f t="shared" si="9"/>
        <v>-781.16853276731206</v>
      </c>
      <c r="N11" s="386">
        <f t="shared" si="9"/>
        <v>-788.98021809498505</v>
      </c>
      <c r="O11" s="386">
        <f t="shared" si="9"/>
        <v>-796.87002027593496</v>
      </c>
      <c r="P11" s="386">
        <f t="shared" si="9"/>
        <v>-804.83872047869431</v>
      </c>
      <c r="Q11" s="386">
        <f t="shared" si="9"/>
        <v>-812.8871076834813</v>
      </c>
      <c r="R11" s="386">
        <f t="shared" si="9"/>
        <v>-821.0159787603161</v>
      </c>
      <c r="S11" s="386">
        <f t="shared" si="9"/>
        <v>-829.22613854791916</v>
      </c>
      <c r="T11" s="386">
        <f t="shared" si="9"/>
        <v>-837.51839993339843</v>
      </c>
      <c r="U11" s="386">
        <f t="shared" si="9"/>
        <v>-845.89358393273255</v>
      </c>
      <c r="V11" s="386">
        <f t="shared" si="9"/>
        <v>-854.35251977205985</v>
      </c>
      <c r="W11" s="386">
        <f t="shared" si="9"/>
        <v>-862.89604496978041</v>
      </c>
      <c r="X11" s="386">
        <f t="shared" si="9"/>
        <v>-871.52500541947813</v>
      </c>
      <c r="Y11" s="386">
        <f t="shared" si="9"/>
        <v>-880.24025547367296</v>
      </c>
      <c r="Z11" s="386">
        <f t="shared" si="9"/>
        <v>-889.04265802840973</v>
      </c>
      <c r="AA11" s="386">
        <f t="shared" si="9"/>
        <v>-897.93308460869378</v>
      </c>
      <c r="AB11" s="386">
        <f t="shared" si="9"/>
        <v>-906.91241545478067</v>
      </c>
      <c r="AC11" s="386">
        <f t="shared" si="9"/>
        <v>-915.98153960932848</v>
      </c>
      <c r="AD11" s="386">
        <f t="shared" si="9"/>
        <v>-925.1413550054217</v>
      </c>
      <c r="AE11" s="386">
        <f t="shared" si="9"/>
        <v>-934.39276855547587</v>
      </c>
      <c r="AF11" s="387">
        <f t="shared" si="9"/>
        <v>-943.73669624103059</v>
      </c>
      <c r="AG11" s="388"/>
      <c r="AH11" s="7"/>
      <c r="AI11" s="7"/>
      <c r="AJ11" s="7"/>
      <c r="AK11" s="11"/>
      <c r="AL11" s="11"/>
      <c r="AM11" s="11"/>
      <c r="AN11" s="11"/>
    </row>
    <row r="12" spans="1:40" ht="13.5" thickBot="1">
      <c r="A12" s="1090"/>
      <c r="B12" s="568">
        <v>6</v>
      </c>
      <c r="C12" s="580" t="s">
        <v>414</v>
      </c>
      <c r="D12" s="581">
        <f>D8-D9-D10</f>
        <v>45518</v>
      </c>
      <c r="E12" s="582">
        <f>E8-E9-E10</f>
        <v>48654</v>
      </c>
      <c r="F12" s="583">
        <f t="shared" ref="F12:AF12" si="10">F8-F9-F10</f>
        <v>47566</v>
      </c>
      <c r="G12" s="584">
        <f>G8-G9-G10</f>
        <v>49954.146636338512</v>
      </c>
      <c r="H12" s="582">
        <f t="shared" si="10"/>
        <v>51843.097261011091</v>
      </c>
      <c r="I12" s="582">
        <f t="shared" si="10"/>
        <v>53710.959883823984</v>
      </c>
      <c r="J12" s="583">
        <f t="shared" si="10"/>
        <v>55459.398686116874</v>
      </c>
      <c r="K12" s="584">
        <f t="shared" si="10"/>
        <v>53580.168293078961</v>
      </c>
      <c r="L12" s="582">
        <f t="shared" si="10"/>
        <v>54931.953152436661</v>
      </c>
      <c r="M12" s="582">
        <f t="shared" si="10"/>
        <v>56309.480163885011</v>
      </c>
      <c r="N12" s="582">
        <f t="shared" si="10"/>
        <v>57713.862450189721</v>
      </c>
      <c r="O12" s="582">
        <f t="shared" si="10"/>
        <v>59146.284164431294</v>
      </c>
      <c r="P12" s="582">
        <f t="shared" si="10"/>
        <v>60608.005393244253</v>
      </c>
      <c r="Q12" s="582">
        <f t="shared" si="10"/>
        <v>62100.367402594347</v>
      </c>
      <c r="R12" s="582">
        <f t="shared" si="10"/>
        <v>63624.798250064392</v>
      </c>
      <c r="S12" s="582">
        <f t="shared" si="10"/>
        <v>65182.818789297402</v>
      </c>
      <c r="T12" s="582">
        <f t="shared" si="10"/>
        <v>66776.049094041227</v>
      </c>
      <c r="U12" s="582">
        <f t="shared" si="10"/>
        <v>68406.215331159241</v>
      </c>
      <c r="V12" s="582">
        <f t="shared" si="10"/>
        <v>70075.157114028058</v>
      </c>
      <c r="W12" s="582">
        <f t="shared" si="10"/>
        <v>71784.835369941793</v>
      </c>
      <c r="X12" s="582">
        <f t="shared" si="10"/>
        <v>73537.340757495986</v>
      </c>
      <c r="Y12" s="582">
        <f t="shared" si="10"/>
        <v>75334.902672442768</v>
      </c>
      <c r="Z12" s="582">
        <f t="shared" si="10"/>
        <v>77179.898883202215</v>
      </c>
      <c r="AA12" s="582">
        <f t="shared" si="10"/>
        <v>79074.865840098952</v>
      </c>
      <c r="AB12" s="582">
        <f t="shared" si="10"/>
        <v>81022.509705476346</v>
      </c>
      <c r="AC12" s="582">
        <f t="shared" si="10"/>
        <v>83025.718155143099</v>
      </c>
      <c r="AD12" s="582">
        <f t="shared" si="10"/>
        <v>85087.573005136539</v>
      </c>
      <c r="AE12" s="582">
        <f t="shared" si="10"/>
        <v>87211.36372156805</v>
      </c>
      <c r="AF12" s="583">
        <f t="shared" si="10"/>
        <v>89400.601875357679</v>
      </c>
      <c r="AG12" s="298"/>
      <c r="AH12" s="7"/>
      <c r="AI12" s="7"/>
      <c r="AJ12" s="7"/>
      <c r="AK12" s="11"/>
      <c r="AL12" s="11"/>
      <c r="AM12" s="11"/>
      <c r="AN12" s="11"/>
    </row>
    <row r="13" spans="1:40" ht="14.25">
      <c r="A13" s="1090"/>
      <c r="B13" s="576">
        <v>7</v>
      </c>
      <c r="C13" s="569" t="s">
        <v>415</v>
      </c>
      <c r="D13" s="384">
        <f>'Fin. Data'!D14</f>
        <v>-4247</v>
      </c>
      <c r="E13" s="385">
        <f>'Fin. Data'!C14</f>
        <v>-3340</v>
      </c>
      <c r="F13" s="590">
        <f>'Fin. Data'!B14</f>
        <v>-3569</v>
      </c>
      <c r="G13" s="589">
        <f>F43*$D$58-F44*$D$57</f>
        <v>-8913.06</v>
      </c>
      <c r="H13" s="386">
        <f>G43*$D$58-G44*$D$57</f>
        <v>-8869.6825738360203</v>
      </c>
      <c r="I13" s="386">
        <f t="shared" ref="I13:J13" si="11">H43*$D$58-H44*$D$57</f>
        <v>-8870.5032857543774</v>
      </c>
      <c r="J13" s="387">
        <f t="shared" si="11"/>
        <v>-8896.6602779323421</v>
      </c>
      <c r="K13" s="589">
        <f>J43*$E$58-J44*$E$57</f>
        <v>-5251.5396659760727</v>
      </c>
      <c r="L13" s="386">
        <f t="shared" ref="L13:AF13" si="12">K43*$E$58-K44*$E$57</f>
        <v>-5134.5036520557505</v>
      </c>
      <c r="M13" s="386">
        <f t="shared" si="12"/>
        <v>-5142.5469856322252</v>
      </c>
      <c r="N13" s="386">
        <f t="shared" si="12"/>
        <v>-5131.6922106947641</v>
      </c>
      <c r="O13" s="386">
        <f t="shared" si="12"/>
        <v>-4759.0034336324934</v>
      </c>
      <c r="P13" s="386">
        <f t="shared" si="12"/>
        <v>-4705.9620343307624</v>
      </c>
      <c r="Q13" s="386">
        <f t="shared" si="12"/>
        <v>-4361.8886663628136</v>
      </c>
      <c r="R13" s="386">
        <f t="shared" si="12"/>
        <v>-4264.9652080704927</v>
      </c>
      <c r="S13" s="386">
        <f t="shared" si="12"/>
        <v>-4148.9706442560228</v>
      </c>
      <c r="T13" s="386">
        <f t="shared" si="12"/>
        <v>-4013.284790938219</v>
      </c>
      <c r="U13" s="386">
        <f t="shared" si="12"/>
        <v>-3857.4377248948363</v>
      </c>
      <c r="V13" s="386">
        <f t="shared" si="12"/>
        <v>-3680.725313289412</v>
      </c>
      <c r="W13" s="386">
        <f t="shared" si="12"/>
        <v>-3482.4846369067823</v>
      </c>
      <c r="X13" s="386">
        <f t="shared" si="12"/>
        <v>-3262.0343892931505</v>
      </c>
      <c r="Y13" s="386">
        <f t="shared" si="12"/>
        <v>-3018.617819790481</v>
      </c>
      <c r="Z13" s="386">
        <f t="shared" si="12"/>
        <v>-2751.4558862466347</v>
      </c>
      <c r="AA13" s="386">
        <f t="shared" si="12"/>
        <v>-2459.7255557785948</v>
      </c>
      <c r="AB13" s="386">
        <f t="shared" si="12"/>
        <v>-2142.5508434180215</v>
      </c>
      <c r="AC13" s="386">
        <f t="shared" si="12"/>
        <v>-1799.0100190520352</v>
      </c>
      <c r="AD13" s="386">
        <f t="shared" si="12"/>
        <v>-1428.1273203887031</v>
      </c>
      <c r="AE13" s="386">
        <f t="shared" si="12"/>
        <v>-1028.8691540081145</v>
      </c>
      <c r="AF13" s="387">
        <f t="shared" si="12"/>
        <v>-600.14200515272751</v>
      </c>
      <c r="AG13" s="388"/>
      <c r="AH13" s="7"/>
      <c r="AI13" s="7"/>
      <c r="AJ13" s="7"/>
      <c r="AK13" s="11"/>
      <c r="AL13" s="11"/>
      <c r="AM13" s="11"/>
      <c r="AN13" s="11"/>
    </row>
    <row r="14" spans="1:40" ht="14.65" thickBot="1">
      <c r="A14" s="1090"/>
      <c r="B14" s="568">
        <v>8</v>
      </c>
      <c r="C14" s="591" t="s">
        <v>416</v>
      </c>
      <c r="D14" s="592">
        <f>'Fin. Data'!D15</f>
        <v>-584</v>
      </c>
      <c r="E14" s="593">
        <f>'Fin. Data'!C15</f>
        <v>312</v>
      </c>
      <c r="F14" s="594">
        <f>'Fin. Data'!B15</f>
        <v>1373</v>
      </c>
      <c r="G14" s="595">
        <f>AVERAGE(D14:F14)*(1+G5)</f>
        <v>378.01</v>
      </c>
      <c r="H14" s="596">
        <f t="shared" ref="H14:AF14" si="13">AVERAGE(E14:G14)*(1+H5)</f>
        <v>704.86175000000003</v>
      </c>
      <c r="I14" s="596">
        <f t="shared" si="13"/>
        <v>834.99639500000012</v>
      </c>
      <c r="J14" s="597">
        <f t="shared" si="13"/>
        <v>648.87872239166666</v>
      </c>
      <c r="K14" s="595">
        <f t="shared" si="13"/>
        <v>736.87474535519448</v>
      </c>
      <c r="L14" s="596">
        <f t="shared" si="13"/>
        <v>747.65245379144324</v>
      </c>
      <c r="M14" s="596">
        <f t="shared" si="13"/>
        <v>718.24666025122917</v>
      </c>
      <c r="N14" s="596">
        <f t="shared" si="13"/>
        <v>741.60053266394857</v>
      </c>
      <c r="O14" s="596">
        <f t="shared" si="13"/>
        <v>743.1915477245625</v>
      </c>
      <c r="P14" s="596">
        <f t="shared" si="13"/>
        <v>741.68970934871254</v>
      </c>
      <c r="Q14" s="596">
        <f t="shared" si="13"/>
        <v>749.58220254486525</v>
      </c>
      <c r="R14" s="596">
        <f t="shared" si="13"/>
        <v>752.26936473810724</v>
      </c>
      <c r="S14" s="596">
        <f t="shared" si="13"/>
        <v>755.3255631326673</v>
      </c>
      <c r="T14" s="596">
        <f t="shared" si="13"/>
        <v>759.9163005732654</v>
      </c>
      <c r="U14" s="596">
        <f t="shared" si="13"/>
        <v>763.39544690949333</v>
      </c>
      <c r="V14" s="596">
        <f t="shared" si="13"/>
        <v>767.14122790719352</v>
      </c>
      <c r="W14" s="596">
        <f t="shared" si="13"/>
        <v>771.11916838128388</v>
      </c>
      <c r="X14" s="596">
        <f t="shared" si="13"/>
        <v>774.8908005433168</v>
      </c>
      <c r="Y14" s="596">
        <f t="shared" si="13"/>
        <v>778.76090293337063</v>
      </c>
      <c r="Z14" s="596">
        <f t="shared" si="13"/>
        <v>782.67286019218375</v>
      </c>
      <c r="AA14" s="596">
        <f t="shared" si="13"/>
        <v>786.56260310185326</v>
      </c>
      <c r="AB14" s="596">
        <f t="shared" si="13"/>
        <v>790.49210996322734</v>
      </c>
      <c r="AC14" s="596">
        <f t="shared" si="13"/>
        <v>794.44161632994576</v>
      </c>
      <c r="AD14" s="596">
        <f t="shared" si="13"/>
        <v>798.4037642296588</v>
      </c>
      <c r="AE14" s="596">
        <f t="shared" si="13"/>
        <v>802.39028847602015</v>
      </c>
      <c r="AF14" s="597">
        <f t="shared" si="13"/>
        <v>806.39600857532696</v>
      </c>
      <c r="AG14" s="388"/>
      <c r="AH14" s="7"/>
      <c r="AI14" s="7"/>
      <c r="AJ14" s="7"/>
      <c r="AK14" s="11"/>
      <c r="AL14" s="11"/>
      <c r="AM14" s="11"/>
      <c r="AN14" s="11"/>
    </row>
    <row r="15" spans="1:40" ht="14.65" thickBot="1">
      <c r="A15" s="1090"/>
      <c r="B15" s="568">
        <v>9</v>
      </c>
      <c r="C15" s="580" t="s">
        <v>417</v>
      </c>
      <c r="D15" s="581">
        <f>D8+D13+D14</f>
        <v>23967</v>
      </c>
      <c r="E15" s="582">
        <f t="shared" ref="E15:AF15" si="14">E8+E13+E14</f>
        <v>29420</v>
      </c>
      <c r="F15" s="583">
        <f t="shared" si="14"/>
        <v>28271</v>
      </c>
      <c r="G15" s="584">
        <f t="shared" si="14"/>
        <v>23881.161500000006</v>
      </c>
      <c r="H15" s="582">
        <f>H8+H13+H14</f>
        <v>25061.795963663983</v>
      </c>
      <c r="I15" s="582">
        <f t="shared" si="14"/>
        <v>25855.642232495629</v>
      </c>
      <c r="J15" s="583">
        <f t="shared" si="14"/>
        <v>26151.734804558073</v>
      </c>
      <c r="K15" s="584">
        <f t="shared" si="14"/>
        <v>28718.259145526699</v>
      </c>
      <c r="L15" s="582">
        <f t="shared" si="14"/>
        <v>29178.402108544749</v>
      </c>
      <c r="M15" s="582">
        <f t="shared" si="14"/>
        <v>29476.60551449615</v>
      </c>
      <c r="N15" s="582">
        <f t="shared" si="14"/>
        <v>29849.8232202451</v>
      </c>
      <c r="O15" s="582">
        <f t="shared" si="14"/>
        <v>30566.502161350745</v>
      </c>
      <c r="P15" s="582">
        <f t="shared" si="14"/>
        <v>30963.864862749208</v>
      </c>
      <c r="Q15" s="582">
        <f t="shared" si="14"/>
        <v>31665.112095790624</v>
      </c>
      <c r="R15" s="582">
        <f t="shared" si="14"/>
        <v>32117.496901872273</v>
      </c>
      <c r="S15" s="582">
        <f t="shared" si="14"/>
        <v>32592.849591533344</v>
      </c>
      <c r="T15" s="582">
        <f t="shared" si="14"/>
        <v>33092.991129018315</v>
      </c>
      <c r="U15" s="582">
        <f t="shared" si="14"/>
        <v>33615.780937591757</v>
      </c>
      <c r="V15" s="582">
        <f t="shared" si="14"/>
        <v>34163.337362350663</v>
      </c>
      <c r="W15" s="582">
        <f t="shared" si="14"/>
        <v>34736.325193684708</v>
      </c>
      <c r="X15" s="582">
        <f t="shared" si="14"/>
        <v>35335.023980082478</v>
      </c>
      <c r="Y15" s="582">
        <f t="shared" si="14"/>
        <v>35960.532327663517</v>
      </c>
      <c r="Z15" s="582">
        <f t="shared" si="14"/>
        <v>36613.610110911381</v>
      </c>
      <c r="AA15" s="582">
        <f t="shared" si="14"/>
        <v>37295.05411565875</v>
      </c>
      <c r="AB15" s="582">
        <f t="shared" si="14"/>
        <v>38005.840505564047</v>
      </c>
      <c r="AC15" s="582">
        <f t="shared" si="14"/>
        <v>38746.909828686941</v>
      </c>
      <c r="AD15" s="582">
        <f t="shared" si="14"/>
        <v>39519.269457564078</v>
      </c>
      <c r="AE15" s="582">
        <f t="shared" si="14"/>
        <v>40324.00407832826</v>
      </c>
      <c r="AF15" s="583">
        <f t="shared" si="14"/>
        <v>41162.241776721559</v>
      </c>
      <c r="AG15" s="388"/>
      <c r="AH15" s="7"/>
      <c r="AI15" s="7"/>
      <c r="AJ15" s="7"/>
      <c r="AK15" s="11"/>
      <c r="AL15" s="11"/>
      <c r="AM15" s="11"/>
      <c r="AN15" s="11"/>
    </row>
    <row r="16" spans="1:40" ht="14.65" thickBot="1">
      <c r="A16" s="1090"/>
      <c r="B16" s="568">
        <v>10</v>
      </c>
      <c r="C16" s="569" t="s">
        <v>418</v>
      </c>
      <c r="D16" s="735">
        <f>'Fin. Data'!D21</f>
        <v>-5619</v>
      </c>
      <c r="E16" s="736">
        <f>'Fin. Data'!C21</f>
        <v>-6802</v>
      </c>
      <c r="F16" s="737">
        <f>'Fin. Data'!B21</f>
        <v>-6523</v>
      </c>
      <c r="G16" s="598">
        <f>-(1*24%)*G15</f>
        <v>-5731.4787600000009</v>
      </c>
      <c r="H16" s="738">
        <f>-(1*$D$56)*H15</f>
        <v>-5817.5259118433432</v>
      </c>
      <c r="I16" s="738">
        <f>-(1*$D$56)*I15</f>
        <v>-6001.7992674178613</v>
      </c>
      <c r="J16" s="739">
        <f>-(1*$D$56)*J15</f>
        <v>-6070.5304235079921</v>
      </c>
      <c r="K16" s="598">
        <f t="shared" ref="K16:AF16" si="15">-(1*$E$56)*K15</f>
        <v>-7753.9299692922095</v>
      </c>
      <c r="L16" s="738">
        <f t="shared" si="15"/>
        <v>-7878.1685693070831</v>
      </c>
      <c r="M16" s="738">
        <f t="shared" si="15"/>
        <v>-7958.6834889139609</v>
      </c>
      <c r="N16" s="738">
        <f t="shared" si="15"/>
        <v>-8059.4522694661773</v>
      </c>
      <c r="O16" s="738">
        <f t="shared" si="15"/>
        <v>-8252.9555835647025</v>
      </c>
      <c r="P16" s="738">
        <f t="shared" si="15"/>
        <v>-8360.2435129422865</v>
      </c>
      <c r="Q16" s="738">
        <f t="shared" si="15"/>
        <v>-8549.5802658634693</v>
      </c>
      <c r="R16" s="738">
        <f t="shared" si="15"/>
        <v>-8671.7241635055143</v>
      </c>
      <c r="S16" s="738">
        <f t="shared" si="15"/>
        <v>-8800.0693897140027</v>
      </c>
      <c r="T16" s="738">
        <f t="shared" si="15"/>
        <v>-8935.107604834946</v>
      </c>
      <c r="U16" s="738">
        <f t="shared" si="15"/>
        <v>-9076.2608531497754</v>
      </c>
      <c r="V16" s="738">
        <f t="shared" si="15"/>
        <v>-9224.1010878346788</v>
      </c>
      <c r="W16" s="738">
        <f t="shared" si="15"/>
        <v>-9378.8078022948721</v>
      </c>
      <c r="X16" s="738">
        <f t="shared" si="15"/>
        <v>-9540.4564746222695</v>
      </c>
      <c r="Y16" s="738">
        <f t="shared" si="15"/>
        <v>-9709.3437284691499</v>
      </c>
      <c r="Z16" s="738">
        <f t="shared" si="15"/>
        <v>-9885.6747299460731</v>
      </c>
      <c r="AA16" s="738">
        <f t="shared" si="15"/>
        <v>-10069.664611227863</v>
      </c>
      <c r="AB16" s="738">
        <f t="shared" si="15"/>
        <v>-10261.576936502293</v>
      </c>
      <c r="AC16" s="738">
        <f t="shared" si="15"/>
        <v>-10461.665653745475</v>
      </c>
      <c r="AD16" s="738">
        <f t="shared" si="15"/>
        <v>-10670.202753542302</v>
      </c>
      <c r="AE16" s="738">
        <f t="shared" si="15"/>
        <v>-10887.481101148631</v>
      </c>
      <c r="AF16" s="739">
        <f t="shared" si="15"/>
        <v>-11113.805279714821</v>
      </c>
      <c r="AG16" s="388"/>
      <c r="AH16" s="7"/>
      <c r="AI16" s="7"/>
      <c r="AJ16" s="7"/>
      <c r="AK16" s="11"/>
      <c r="AL16" s="11"/>
      <c r="AM16" s="11"/>
      <c r="AN16" s="11"/>
    </row>
    <row r="17" spans="1:40" ht="14.65" thickBot="1">
      <c r="A17" s="1091"/>
      <c r="B17" s="599">
        <v>11</v>
      </c>
      <c r="C17" s="580" t="s">
        <v>419</v>
      </c>
      <c r="D17" s="581">
        <f>Inputs!D12</f>
        <v>18348</v>
      </c>
      <c r="E17" s="582">
        <f>Inputs!C12</f>
        <v>22618</v>
      </c>
      <c r="F17" s="583">
        <f>Inputs!B12</f>
        <v>21748</v>
      </c>
      <c r="G17" s="584">
        <f>G16+G15</f>
        <v>18149.682740000004</v>
      </c>
      <c r="H17" s="582">
        <f t="shared" ref="H17:AF17" si="16">H16+H15</f>
        <v>19244.27005182064</v>
      </c>
      <c r="I17" s="582">
        <f t="shared" si="16"/>
        <v>19853.842965077769</v>
      </c>
      <c r="J17" s="583">
        <f t="shared" si="16"/>
        <v>20081.20438105008</v>
      </c>
      <c r="K17" s="584">
        <f t="shared" si="16"/>
        <v>20964.329176234489</v>
      </c>
      <c r="L17" s="582">
        <f t="shared" si="16"/>
        <v>21300.233539237666</v>
      </c>
      <c r="M17" s="582">
        <f t="shared" si="16"/>
        <v>21517.922025582189</v>
      </c>
      <c r="N17" s="582">
        <f t="shared" si="16"/>
        <v>21790.370950778924</v>
      </c>
      <c r="O17" s="582">
        <f t="shared" si="16"/>
        <v>22313.546577786045</v>
      </c>
      <c r="P17" s="582">
        <f t="shared" si="16"/>
        <v>22603.621349806919</v>
      </c>
      <c r="Q17" s="582">
        <f t="shared" si="16"/>
        <v>23115.531829927153</v>
      </c>
      <c r="R17" s="582">
        <f t="shared" si="16"/>
        <v>23445.772738366759</v>
      </c>
      <c r="S17" s="582">
        <f t="shared" si="16"/>
        <v>23792.78020181934</v>
      </c>
      <c r="T17" s="582">
        <f t="shared" si="16"/>
        <v>24157.883524183369</v>
      </c>
      <c r="U17" s="582">
        <f t="shared" si="16"/>
        <v>24539.520084441981</v>
      </c>
      <c r="V17" s="582">
        <f t="shared" si="16"/>
        <v>24939.236274515984</v>
      </c>
      <c r="W17" s="582">
        <f t="shared" si="16"/>
        <v>25357.517391389836</v>
      </c>
      <c r="X17" s="582">
        <f t="shared" si="16"/>
        <v>25794.567505460211</v>
      </c>
      <c r="Y17" s="582">
        <f t="shared" si="16"/>
        <v>26251.188599194367</v>
      </c>
      <c r="Z17" s="582">
        <f t="shared" si="16"/>
        <v>26727.935380965308</v>
      </c>
      <c r="AA17" s="582">
        <f t="shared" si="16"/>
        <v>27225.389504430888</v>
      </c>
      <c r="AB17" s="582">
        <f t="shared" si="16"/>
        <v>27744.263569061754</v>
      </c>
      <c r="AC17" s="582">
        <f t="shared" si="16"/>
        <v>28285.244174941465</v>
      </c>
      <c r="AD17" s="582">
        <f t="shared" si="16"/>
        <v>28849.066704021774</v>
      </c>
      <c r="AE17" s="582">
        <f t="shared" si="16"/>
        <v>29436.522977179629</v>
      </c>
      <c r="AF17" s="583">
        <f t="shared" si="16"/>
        <v>30048.43649700674</v>
      </c>
      <c r="AG17" s="388"/>
      <c r="AH17" s="7"/>
      <c r="AI17" s="7"/>
      <c r="AJ17" s="7"/>
      <c r="AK17" s="11"/>
      <c r="AL17" s="11"/>
      <c r="AM17" s="11"/>
      <c r="AN17" s="11"/>
    </row>
    <row r="18" spans="1:40" ht="14.65" thickBot="1">
      <c r="A18" s="600"/>
      <c r="B18" s="601"/>
      <c r="C18" s="602" t="s">
        <v>420</v>
      </c>
      <c r="D18" s="603" t="s">
        <v>420</v>
      </c>
      <c r="E18" s="603" t="s">
        <v>420</v>
      </c>
      <c r="F18" s="603" t="s">
        <v>420</v>
      </c>
      <c r="G18" s="271" t="s">
        <v>420</v>
      </c>
      <c r="H18" s="271" t="s">
        <v>420</v>
      </c>
      <c r="I18" s="271" t="s">
        <v>420</v>
      </c>
      <c r="J18" s="271" t="s">
        <v>420</v>
      </c>
      <c r="K18" s="271" t="s">
        <v>420</v>
      </c>
      <c r="L18" s="271" t="s">
        <v>420</v>
      </c>
      <c r="M18" s="271" t="s">
        <v>420</v>
      </c>
      <c r="N18" s="271" t="s">
        <v>420</v>
      </c>
      <c r="O18" s="271" t="s">
        <v>420</v>
      </c>
      <c r="P18" s="271" t="s">
        <v>420</v>
      </c>
      <c r="Q18" s="271" t="s">
        <v>420</v>
      </c>
      <c r="R18" s="271" t="s">
        <v>420</v>
      </c>
      <c r="S18" s="271" t="s">
        <v>420</v>
      </c>
      <c r="T18" s="271" t="s">
        <v>420</v>
      </c>
      <c r="U18" s="271" t="s">
        <v>420</v>
      </c>
      <c r="V18" s="271" t="s">
        <v>420</v>
      </c>
      <c r="W18" s="271" t="s">
        <v>420</v>
      </c>
      <c r="X18" s="271" t="s">
        <v>420</v>
      </c>
      <c r="Y18" s="271" t="s">
        <v>420</v>
      </c>
      <c r="Z18" s="271" t="s">
        <v>420</v>
      </c>
      <c r="AA18" s="271" t="s">
        <v>420</v>
      </c>
      <c r="AB18" s="271" t="s">
        <v>420</v>
      </c>
      <c r="AC18" s="271" t="s">
        <v>420</v>
      </c>
      <c r="AD18" s="271" t="s">
        <v>420</v>
      </c>
      <c r="AE18" s="271" t="s">
        <v>420</v>
      </c>
      <c r="AF18" s="274" t="s">
        <v>420</v>
      </c>
      <c r="AG18" s="388"/>
      <c r="AH18" s="7"/>
      <c r="AI18" s="7"/>
      <c r="AJ18" s="7"/>
      <c r="AK18" s="11"/>
      <c r="AL18" s="11"/>
      <c r="AM18" s="11"/>
      <c r="AN18" s="11"/>
    </row>
    <row r="19" spans="1:40" ht="14.25">
      <c r="A19" s="1092" t="s">
        <v>421</v>
      </c>
      <c r="B19" s="604">
        <v>12</v>
      </c>
      <c r="C19" s="605" t="s">
        <v>422</v>
      </c>
      <c r="D19" s="606">
        <f>+D22-D20-D21</f>
        <v>39712</v>
      </c>
      <c r="E19" s="607">
        <f>+E22-E20-E21</f>
        <v>41147</v>
      </c>
      <c r="F19" s="608">
        <f>+F22-F20-F21</f>
        <v>41984</v>
      </c>
      <c r="G19" s="609">
        <f>G17-G10-G9-G11</f>
        <v>36402.098638860552</v>
      </c>
      <c r="H19" s="610">
        <f t="shared" ref="H19:AE19" si="17">H17-H10-H9-H11</f>
        <v>38593.093306916824</v>
      </c>
      <c r="I19" s="610">
        <f t="shared" si="17"/>
        <v>40420.643362868541</v>
      </c>
      <c r="J19" s="611">
        <f t="shared" si="17"/>
        <v>41899.281188843255</v>
      </c>
      <c r="K19" s="612">
        <f t="shared" si="17"/>
        <v>42077.349829758678</v>
      </c>
      <c r="L19" s="612">
        <f t="shared" si="17"/>
        <v>43440.367575723991</v>
      </c>
      <c r="M19" s="612">
        <f t="shared" si="17"/>
        <v>44707.664882357363</v>
      </c>
      <c r="N19" s="612">
        <f t="shared" si="17"/>
        <v>46053.298720787709</v>
      </c>
      <c r="O19" s="612">
        <f t="shared" si="17"/>
        <v>47674.386715234592</v>
      </c>
      <c r="P19" s="612">
        <f t="shared" si="17"/>
        <v>49088.328275798609</v>
      </c>
      <c r="Q19" s="612">
        <f t="shared" si="17"/>
        <v>50751.367780596418</v>
      </c>
      <c r="R19" s="612">
        <f t="shared" si="17"/>
        <v>52261.394221986804</v>
      </c>
      <c r="S19" s="612">
        <f t="shared" si="17"/>
        <v>53818.330457007964</v>
      </c>
      <c r="T19" s="612">
        <f t="shared" si="17"/>
        <v>55425.091398774719</v>
      </c>
      <c r="U19" s="612">
        <f t="shared" si="17"/>
        <v>57081.80578395685</v>
      </c>
      <c r="V19" s="612">
        <f t="shared" si="17"/>
        <v>58791.82446058323</v>
      </c>
      <c r="W19" s="612">
        <f t="shared" si="17"/>
        <v>60557.558144091199</v>
      </c>
      <c r="X19" s="612">
        <f t="shared" si="17"/>
        <v>62381.265699543364</v>
      </c>
      <c r="Y19" s="612">
        <f t="shared" si="17"/>
        <v>64265.942282590171</v>
      </c>
      <c r="Z19" s="612">
        <f t="shared" si="17"/>
        <v>66214.483785230113</v>
      </c>
      <c r="AA19" s="612">
        <f t="shared" si="17"/>
        <v>68229.971360803043</v>
      </c>
      <c r="AB19" s="612">
        <f t="shared" si="17"/>
        <v>70315.786450974032</v>
      </c>
      <c r="AC19" s="612">
        <f t="shared" si="17"/>
        <v>72475.465638284848</v>
      </c>
      <c r="AD19" s="612">
        <f t="shared" si="17"/>
        <v>74712.78805044062</v>
      </c>
      <c r="AE19" s="759">
        <f t="shared" si="17"/>
        <v>77031.796523442797</v>
      </c>
      <c r="AF19" s="761">
        <f>AF17-AF10-AF9-AF11</f>
        <v>79436.787295306494</v>
      </c>
      <c r="AG19" s="388"/>
      <c r="AH19" s="7"/>
      <c r="AI19" s="7"/>
      <c r="AJ19" s="7"/>
      <c r="AK19" s="11"/>
      <c r="AL19" s="11"/>
      <c r="AM19" s="11"/>
      <c r="AN19" s="11"/>
    </row>
    <row r="20" spans="1:40" ht="14.25">
      <c r="A20" s="1093"/>
      <c r="B20" s="613">
        <v>13</v>
      </c>
      <c r="C20" s="614" t="s">
        <v>423</v>
      </c>
      <c r="D20" s="615">
        <v>-780</v>
      </c>
      <c r="E20" s="617">
        <v>-625</v>
      </c>
      <c r="F20" s="618">
        <v>-609</v>
      </c>
      <c r="G20" s="620">
        <f>G11</f>
        <v>-714.48076252204157</v>
      </c>
      <c r="H20" s="621">
        <f t="shared" ref="H20:AF20" si="18">H11</f>
        <v>-732.34278158509267</v>
      </c>
      <c r="I20" s="621">
        <f t="shared" si="18"/>
        <v>-746.98963721679445</v>
      </c>
      <c r="J20" s="622">
        <f t="shared" si="18"/>
        <v>-758.19448177504637</v>
      </c>
      <c r="K20" s="623">
        <f t="shared" si="18"/>
        <v>-765.77642659279684</v>
      </c>
      <c r="L20" s="621">
        <f t="shared" si="18"/>
        <v>-773.43419085872483</v>
      </c>
      <c r="M20" s="621">
        <f t="shared" si="18"/>
        <v>-781.16853276731206</v>
      </c>
      <c r="N20" s="621">
        <f t="shared" si="18"/>
        <v>-788.98021809498505</v>
      </c>
      <c r="O20" s="621">
        <f t="shared" si="18"/>
        <v>-796.87002027593496</v>
      </c>
      <c r="P20" s="621">
        <f t="shared" si="18"/>
        <v>-804.83872047869431</v>
      </c>
      <c r="Q20" s="621">
        <f t="shared" si="18"/>
        <v>-812.8871076834813</v>
      </c>
      <c r="R20" s="621">
        <f t="shared" si="18"/>
        <v>-821.0159787603161</v>
      </c>
      <c r="S20" s="621">
        <f t="shared" si="18"/>
        <v>-829.22613854791916</v>
      </c>
      <c r="T20" s="621">
        <f t="shared" si="18"/>
        <v>-837.51839993339843</v>
      </c>
      <c r="U20" s="621">
        <f t="shared" si="18"/>
        <v>-845.89358393273255</v>
      </c>
      <c r="V20" s="621">
        <f t="shared" si="18"/>
        <v>-854.35251977205985</v>
      </c>
      <c r="W20" s="621">
        <f t="shared" si="18"/>
        <v>-862.89604496978041</v>
      </c>
      <c r="X20" s="621">
        <f t="shared" si="18"/>
        <v>-871.52500541947813</v>
      </c>
      <c r="Y20" s="621">
        <f t="shared" si="18"/>
        <v>-880.24025547367296</v>
      </c>
      <c r="Z20" s="621">
        <f t="shared" si="18"/>
        <v>-889.04265802840973</v>
      </c>
      <c r="AA20" s="621">
        <f t="shared" si="18"/>
        <v>-897.93308460869378</v>
      </c>
      <c r="AB20" s="621">
        <f t="shared" si="18"/>
        <v>-906.91241545478067</v>
      </c>
      <c r="AC20" s="621">
        <f t="shared" si="18"/>
        <v>-915.98153960932848</v>
      </c>
      <c r="AD20" s="621">
        <f t="shared" si="18"/>
        <v>-925.1413550054217</v>
      </c>
      <c r="AE20" s="621">
        <f t="shared" si="18"/>
        <v>-934.39276855547587</v>
      </c>
      <c r="AF20" s="760">
        <f t="shared" si="18"/>
        <v>-943.73669624103059</v>
      </c>
      <c r="AG20" s="388"/>
      <c r="AH20" s="7"/>
      <c r="AI20" s="7"/>
      <c r="AJ20" s="7"/>
      <c r="AK20" s="11"/>
      <c r="AL20" s="11"/>
      <c r="AM20" s="11"/>
      <c r="AN20" s="11"/>
    </row>
    <row r="21" spans="1:40" ht="14.65" thickBot="1">
      <c r="A21" s="1093"/>
      <c r="B21" s="613">
        <v>14</v>
      </c>
      <c r="C21" s="625" t="s">
        <v>424</v>
      </c>
      <c r="D21" s="626">
        <f>Inputs!D62</f>
        <v>2836</v>
      </c>
      <c r="E21" s="627">
        <f>Inputs!C62</f>
        <v>-983</v>
      </c>
      <c r="F21" s="628">
        <f>Inputs!B62</f>
        <v>-4234</v>
      </c>
      <c r="G21" s="629">
        <f>$D$60*(G6-F6)</f>
        <v>-5282.3708746094362</v>
      </c>
      <c r="H21" s="630">
        <f t="shared" ref="H21:J21" si="19">$D$60*(H6-G6)</f>
        <v>-4534.0350007064153</v>
      </c>
      <c r="I21" s="630">
        <f t="shared" si="19"/>
        <v>-3717.9087005792521</v>
      </c>
      <c r="J21" s="631">
        <f t="shared" si="19"/>
        <v>-2844.2001559431319</v>
      </c>
      <c r="K21" s="632">
        <f>$E$60*(K6-J6)</f>
        <v>-1924.575438854841</v>
      </c>
      <c r="L21" s="630">
        <f t="shared" ref="L21:AF21" si="20">$E$60*(L6-K6)</f>
        <v>-1943.8211932434167</v>
      </c>
      <c r="M21" s="630">
        <f t="shared" si="20"/>
        <v>-1963.2594051758228</v>
      </c>
      <c r="N21" s="630">
        <f t="shared" si="20"/>
        <v>-1982.8919992275776</v>
      </c>
      <c r="O21" s="630">
        <f t="shared" si="20"/>
        <v>-2002.7209192198811</v>
      </c>
      <c r="P21" s="630">
        <f t="shared" si="20"/>
        <v>-2022.748128412074</v>
      </c>
      <c r="Q21" s="630">
        <f t="shared" si="20"/>
        <v>-2042.9756096961944</v>
      </c>
      <c r="R21" s="630">
        <f t="shared" si="20"/>
        <v>-2063.4053657931449</v>
      </c>
      <c r="S21" s="630">
        <f t="shared" si="20"/>
        <v>-2084.03941945107</v>
      </c>
      <c r="T21" s="630">
        <f t="shared" si="20"/>
        <v>-2104.8798136456039</v>
      </c>
      <c r="U21" s="630">
        <f t="shared" si="20"/>
        <v>-2125.9286117820684</v>
      </c>
      <c r="V21" s="630">
        <f t="shared" si="20"/>
        <v>-2147.187897899878</v>
      </c>
      <c r="W21" s="630">
        <f t="shared" si="20"/>
        <v>-2168.6597768788565</v>
      </c>
      <c r="X21" s="630">
        <f t="shared" si="20"/>
        <v>-2190.3463746476523</v>
      </c>
      <c r="Y21" s="630">
        <f t="shared" si="20"/>
        <v>-2212.2498383941333</v>
      </c>
      <c r="Z21" s="630">
        <f t="shared" si="20"/>
        <v>-2234.3723367780726</v>
      </c>
      <c r="AA21" s="630">
        <f t="shared" si="20"/>
        <v>-2256.7160601458518</v>
      </c>
      <c r="AB21" s="630">
        <f t="shared" si="20"/>
        <v>-2279.2832207473025</v>
      </c>
      <c r="AC21" s="630">
        <f t="shared" si="20"/>
        <v>-2302.076052954792</v>
      </c>
      <c r="AD21" s="630">
        <f t="shared" si="20"/>
        <v>-2325.0968134843329</v>
      </c>
      <c r="AE21" s="630">
        <f t="shared" si="20"/>
        <v>-2348.3477816191653</v>
      </c>
      <c r="AF21" s="633">
        <f t="shared" si="20"/>
        <v>-2371.831259435357</v>
      </c>
      <c r="AG21" s="388"/>
      <c r="AH21" s="7"/>
      <c r="AI21" s="7"/>
      <c r="AJ21" s="7"/>
      <c r="AK21" s="11"/>
      <c r="AL21" s="11"/>
      <c r="AM21" s="11"/>
      <c r="AN21" s="11"/>
    </row>
    <row r="22" spans="1:40" ht="14.65" thickBot="1">
      <c r="A22" s="1093"/>
      <c r="B22" s="613">
        <v>15</v>
      </c>
      <c r="C22" s="634" t="s">
        <v>425</v>
      </c>
      <c r="D22" s="635">
        <v>41768</v>
      </c>
      <c r="E22" s="636">
        <v>39539</v>
      </c>
      <c r="F22" s="637">
        <v>37141</v>
      </c>
      <c r="G22" s="638">
        <f t="shared" ref="G22:AF22" si="21">G19+G20+G21</f>
        <v>30405.247001729076</v>
      </c>
      <c r="H22" s="639">
        <f t="shared" si="21"/>
        <v>33326.71552462531</v>
      </c>
      <c r="I22" s="639">
        <f t="shared" si="21"/>
        <v>35955.745025072494</v>
      </c>
      <c r="J22" s="640">
        <f t="shared" si="21"/>
        <v>38296.886551125077</v>
      </c>
      <c r="K22" s="641">
        <f t="shared" si="21"/>
        <v>39386.997964311042</v>
      </c>
      <c r="L22" s="639">
        <f t="shared" si="21"/>
        <v>40723.112191621854</v>
      </c>
      <c r="M22" s="639">
        <f t="shared" si="21"/>
        <v>41963.236944414231</v>
      </c>
      <c r="N22" s="639">
        <f t="shared" si="21"/>
        <v>43281.426503465147</v>
      </c>
      <c r="O22" s="639">
        <f t="shared" si="21"/>
        <v>44874.795775738778</v>
      </c>
      <c r="P22" s="639">
        <f t="shared" si="21"/>
        <v>46260.741426907844</v>
      </c>
      <c r="Q22" s="639">
        <f t="shared" si="21"/>
        <v>47895.50506321674</v>
      </c>
      <c r="R22" s="639">
        <f t="shared" si="21"/>
        <v>49376.972877433342</v>
      </c>
      <c r="S22" s="639">
        <f t="shared" si="21"/>
        <v>50905.064899008968</v>
      </c>
      <c r="T22" s="639">
        <f t="shared" si="21"/>
        <v>52482.69318519572</v>
      </c>
      <c r="U22" s="639">
        <f t="shared" si="21"/>
        <v>54109.983588242052</v>
      </c>
      <c r="V22" s="639">
        <f t="shared" si="21"/>
        <v>55790.284042911291</v>
      </c>
      <c r="W22" s="639">
        <f t="shared" si="21"/>
        <v>57526.002322242566</v>
      </c>
      <c r="X22" s="639">
        <f t="shared" si="21"/>
        <v>59319.394319476232</v>
      </c>
      <c r="Y22" s="639">
        <f t="shared" si="21"/>
        <v>61173.45218872236</v>
      </c>
      <c r="Z22" s="639">
        <f t="shared" si="21"/>
        <v>63091.068790423633</v>
      </c>
      <c r="AA22" s="639">
        <f t="shared" si="21"/>
        <v>65075.322216048495</v>
      </c>
      <c r="AB22" s="639">
        <f t="shared" si="21"/>
        <v>67129.59081477196</v>
      </c>
      <c r="AC22" s="639">
        <f t="shared" si="21"/>
        <v>69257.408045720716</v>
      </c>
      <c r="AD22" s="639">
        <f t="shared" si="21"/>
        <v>71462.549881950865</v>
      </c>
      <c r="AE22" s="639">
        <f t="shared" si="21"/>
        <v>73749.055973268158</v>
      </c>
      <c r="AF22" s="763">
        <f t="shared" si="21"/>
        <v>76121.219339630101</v>
      </c>
      <c r="AG22" s="388"/>
      <c r="AH22" s="7"/>
      <c r="AI22" s="7"/>
      <c r="AJ22" s="7"/>
      <c r="AK22" s="11"/>
      <c r="AL22" s="11"/>
      <c r="AM22" s="11"/>
      <c r="AN22" s="11"/>
    </row>
    <row r="23" spans="1:40" ht="14.25">
      <c r="A23" s="1093"/>
      <c r="B23" s="613">
        <v>16</v>
      </c>
      <c r="C23" s="614" t="s">
        <v>426</v>
      </c>
      <c r="D23" s="643">
        <f>'Fin. Data'!D32</f>
        <v>-20318</v>
      </c>
      <c r="E23" s="644">
        <f>'Fin. Data'!C32</f>
        <v>-67882</v>
      </c>
      <c r="F23" s="645">
        <f>'Fin. Data'!B32</f>
        <v>-26740</v>
      </c>
      <c r="G23" s="646">
        <v>-18000</v>
      </c>
      <c r="H23" s="647">
        <f>H6*$D$62</f>
        <v>-20224.897175000006</v>
      </c>
      <c r="I23" s="647">
        <f t="shared" ref="I23:J23" si="22">I6*$D$62</f>
        <v>-20629.395118500004</v>
      </c>
      <c r="J23" s="648">
        <f t="shared" si="22"/>
        <v>-20938.836045277505</v>
      </c>
      <c r="K23" s="647">
        <f t="shared" ref="K23:AF23" si="23">K6*$E$62</f>
        <v>-18127.049490625948</v>
      </c>
      <c r="L23" s="647">
        <f t="shared" si="23"/>
        <v>-18308.319985532209</v>
      </c>
      <c r="M23" s="647">
        <f t="shared" si="23"/>
        <v>-18491.403185387531</v>
      </c>
      <c r="N23" s="647">
        <f t="shared" si="23"/>
        <v>-18676.317217241405</v>
      </c>
      <c r="O23" s="647">
        <f t="shared" si="23"/>
        <v>-18863.080389413819</v>
      </c>
      <c r="P23" s="647">
        <f t="shared" si="23"/>
        <v>-19051.711193307958</v>
      </c>
      <c r="Q23" s="647">
        <f t="shared" si="23"/>
        <v>-19242.228305241038</v>
      </c>
      <c r="R23" s="647">
        <f t="shared" si="23"/>
        <v>-19434.650588293447</v>
      </c>
      <c r="S23" s="647">
        <f t="shared" si="23"/>
        <v>-19628.997094176382</v>
      </c>
      <c r="T23" s="647">
        <f t="shared" si="23"/>
        <v>-19825.287065118147</v>
      </c>
      <c r="U23" s="647">
        <f t="shared" si="23"/>
        <v>-20023.539935769331</v>
      </c>
      <c r="V23" s="647">
        <f t="shared" si="23"/>
        <v>-20223.775335127022</v>
      </c>
      <c r="W23" s="647">
        <f t="shared" si="23"/>
        <v>-20426.013088478292</v>
      </c>
      <c r="X23" s="647">
        <f t="shared" si="23"/>
        <v>-20630.273219363076</v>
      </c>
      <c r="Y23" s="647">
        <f t="shared" si="23"/>
        <v>-20836.575951556704</v>
      </c>
      <c r="Z23" s="647">
        <f t="shared" si="23"/>
        <v>-21044.941711072272</v>
      </c>
      <c r="AA23" s="647">
        <f t="shared" si="23"/>
        <v>-21255.391128182993</v>
      </c>
      <c r="AB23" s="647">
        <f t="shared" si="23"/>
        <v>-21467.945039464823</v>
      </c>
      <c r="AC23" s="647">
        <f t="shared" si="23"/>
        <v>-21682.62448985947</v>
      </c>
      <c r="AD23" s="647">
        <f t="shared" si="23"/>
        <v>-21899.450734758066</v>
      </c>
      <c r="AE23" s="762">
        <f t="shared" si="23"/>
        <v>-22118.445242105645</v>
      </c>
      <c r="AF23" s="761">
        <f t="shared" si="23"/>
        <v>-22339.629694526702</v>
      </c>
      <c r="AG23" s="389">
        <f>SUM(D23:AF23)</f>
        <v>-638330.77842337964</v>
      </c>
      <c r="AH23" s="7"/>
      <c r="AI23" s="7"/>
      <c r="AJ23" s="7"/>
      <c r="AK23" s="11"/>
      <c r="AL23" s="11"/>
      <c r="AM23" s="11"/>
      <c r="AN23" s="11"/>
    </row>
    <row r="24" spans="1:40" ht="14.25">
      <c r="A24" s="1093"/>
      <c r="B24" s="649">
        <v>17</v>
      </c>
      <c r="C24" s="614" t="s">
        <v>427</v>
      </c>
      <c r="D24" s="615">
        <f>Inputs!D66</f>
        <v>-520</v>
      </c>
      <c r="E24" s="617">
        <f>'Fin. Data'!C33</f>
        <v>-4065</v>
      </c>
      <c r="F24" s="618">
        <f>'Fin. Data'!B33</f>
        <v>248</v>
      </c>
      <c r="G24" s="620">
        <f>G6*$D$63</f>
        <v>-976.48955474658464</v>
      </c>
      <c r="H24" s="621">
        <f t="shared" ref="H24:J24" si="24">H6*$D$63</f>
        <v>-1000.9017936152493</v>
      </c>
      <c r="I24" s="621">
        <f t="shared" si="24"/>
        <v>-1020.9198294875542</v>
      </c>
      <c r="J24" s="622">
        <f t="shared" si="24"/>
        <v>-1036.2336269298676</v>
      </c>
      <c r="K24" s="623">
        <f t="shared" ref="K24:AF24" si="25">K6*$E$63</f>
        <v>-1046.5959631991661</v>
      </c>
      <c r="L24" s="621">
        <f t="shared" si="25"/>
        <v>-1057.061922831158</v>
      </c>
      <c r="M24" s="621">
        <f t="shared" si="25"/>
        <v>-1067.6325420594694</v>
      </c>
      <c r="N24" s="621">
        <f t="shared" si="25"/>
        <v>-1078.308867480064</v>
      </c>
      <c r="O24" s="621">
        <f t="shared" si="25"/>
        <v>-1089.0919561548646</v>
      </c>
      <c r="P24" s="621">
        <f t="shared" si="25"/>
        <v>-1099.9828757164134</v>
      </c>
      <c r="Q24" s="621">
        <f t="shared" si="25"/>
        <v>-1110.9827044735775</v>
      </c>
      <c r="R24" s="621">
        <f t="shared" si="25"/>
        <v>-1122.0925315183133</v>
      </c>
      <c r="S24" s="621">
        <f t="shared" si="25"/>
        <v>-1133.3134568334963</v>
      </c>
      <c r="T24" s="621">
        <f t="shared" si="25"/>
        <v>-1144.6465914018313</v>
      </c>
      <c r="U24" s="621">
        <f t="shared" si="25"/>
        <v>-1156.0930573158498</v>
      </c>
      <c r="V24" s="621">
        <f t="shared" si="25"/>
        <v>-1167.6539878890082</v>
      </c>
      <c r="W24" s="621">
        <f t="shared" si="25"/>
        <v>-1179.3305277678983</v>
      </c>
      <c r="X24" s="621">
        <f t="shared" si="25"/>
        <v>-1191.1238330455774</v>
      </c>
      <c r="Y24" s="621">
        <f t="shared" si="25"/>
        <v>-1203.0350713760331</v>
      </c>
      <c r="Z24" s="621">
        <f t="shared" si="25"/>
        <v>-1215.0654220897934</v>
      </c>
      <c r="AA24" s="621">
        <f t="shared" si="25"/>
        <v>-1227.2160763106913</v>
      </c>
      <c r="AB24" s="621">
        <f t="shared" si="25"/>
        <v>-1239.488237073798</v>
      </c>
      <c r="AC24" s="621">
        <f t="shared" si="25"/>
        <v>-1251.8831194445361</v>
      </c>
      <c r="AD24" s="621">
        <f t="shared" si="25"/>
        <v>-1264.4019506389814</v>
      </c>
      <c r="AE24" s="621">
        <f t="shared" si="25"/>
        <v>-1277.0459701453713</v>
      </c>
      <c r="AF24" s="760">
        <f t="shared" si="25"/>
        <v>-1289.8164298468248</v>
      </c>
      <c r="AG24" s="388"/>
      <c r="AH24" s="390">
        <f>AG9-AG23</f>
        <v>-55890.899541673134</v>
      </c>
      <c r="AI24" s="7"/>
      <c r="AJ24" s="7"/>
      <c r="AK24" s="11"/>
      <c r="AL24" s="11"/>
      <c r="AM24" s="11"/>
      <c r="AN24" s="11"/>
    </row>
    <row r="25" spans="1:40" ht="13.5" thickBot="1">
      <c r="A25" s="1093"/>
      <c r="B25" s="613">
        <v>18</v>
      </c>
      <c r="C25" s="625" t="s">
        <v>428</v>
      </c>
      <c r="D25" s="626">
        <f>Inputs!D67</f>
        <v>-2674</v>
      </c>
      <c r="E25" s="627">
        <f>Inputs!C67</f>
        <v>4794</v>
      </c>
      <c r="F25" s="628">
        <f>Inputs!B67</f>
        <v>-2170</v>
      </c>
      <c r="G25" s="650">
        <f>(1+G5)*AVERAGE(Inputs!B67:M67)</f>
        <v>2216.8175000000001</v>
      </c>
      <c r="H25" s="651">
        <f>(1+H5)*AVERAGE(E25:G25)</f>
        <v>1653.9459791666666</v>
      </c>
      <c r="I25" s="651">
        <f t="shared" ref="I25:AF25" si="26">(1+I5)*AVERAGE(F25:H25)</f>
        <v>578.25958291666666</v>
      </c>
      <c r="J25" s="652">
        <f t="shared" si="26"/>
        <v>1505.2528026715279</v>
      </c>
      <c r="K25" s="653">
        <f t="shared" si="26"/>
        <v>1258.2776494674702</v>
      </c>
      <c r="L25" s="651">
        <f t="shared" si="26"/>
        <v>1125.0693118020738</v>
      </c>
      <c r="M25" s="651">
        <f t="shared" si="26"/>
        <v>1309.1619205268275</v>
      </c>
      <c r="N25" s="651">
        <f t="shared" si="26"/>
        <v>1243.1446568714452</v>
      </c>
      <c r="O25" s="651">
        <f t="shared" si="26"/>
        <v>1238.0498826974501</v>
      </c>
      <c r="P25" s="651">
        <f t="shared" si="26"/>
        <v>1276.0866748988931</v>
      </c>
      <c r="Q25" s="651">
        <f t="shared" si="26"/>
        <v>1264.9513422041555</v>
      </c>
      <c r="R25" s="651">
        <f t="shared" si="26"/>
        <v>1272.2929262661678</v>
      </c>
      <c r="S25" s="651">
        <f t="shared" si="26"/>
        <v>1283.8214176009694</v>
      </c>
      <c r="T25" s="651">
        <f t="shared" si="26"/>
        <v>1286.4254476440019</v>
      </c>
      <c r="U25" s="651">
        <f t="shared" si="26"/>
        <v>1293.6550631420835</v>
      </c>
      <c r="V25" s="651">
        <f t="shared" si="26"/>
        <v>1300.846982556975</v>
      </c>
      <c r="W25" s="651">
        <f t="shared" si="26"/>
        <v>1306.5789227588302</v>
      </c>
      <c r="X25" s="651">
        <f t="shared" si="26"/>
        <v>1313.3639260474893</v>
      </c>
      <c r="Y25" s="651">
        <f t="shared" si="26"/>
        <v>1319.9992432256424</v>
      </c>
      <c r="Z25" s="651">
        <f t="shared" si="26"/>
        <v>1326.4471709840936</v>
      </c>
      <c r="AA25" s="651">
        <f t="shared" si="26"/>
        <v>1333.136147886599</v>
      </c>
      <c r="AB25" s="651">
        <f t="shared" si="26"/>
        <v>1339.7927959057661</v>
      </c>
      <c r="AC25" s="651">
        <f t="shared" si="26"/>
        <v>1346.4566253080745</v>
      </c>
      <c r="AD25" s="651">
        <f t="shared" si="26"/>
        <v>1353.1931415971483</v>
      </c>
      <c r="AE25" s="651">
        <f t="shared" si="26"/>
        <v>1359.9456628130331</v>
      </c>
      <c r="AF25" s="654">
        <f t="shared" si="26"/>
        <v>1366.7304613384795</v>
      </c>
      <c r="AG25" s="298"/>
      <c r="AH25" s="7"/>
      <c r="AI25" s="7"/>
      <c r="AJ25" s="7"/>
      <c r="AK25" s="11"/>
      <c r="AL25" s="11"/>
      <c r="AM25" s="11"/>
      <c r="AN25" s="11"/>
    </row>
    <row r="26" spans="1:40" ht="14.65" thickBot="1">
      <c r="A26" s="1093"/>
      <c r="B26" s="613">
        <v>19</v>
      </c>
      <c r="C26" s="634" t="s">
        <v>429</v>
      </c>
      <c r="D26" s="635">
        <f t="shared" ref="D26:AF26" si="27">D23+D24+D25</f>
        <v>-23512</v>
      </c>
      <c r="E26" s="636">
        <f t="shared" si="27"/>
        <v>-67153</v>
      </c>
      <c r="F26" s="655">
        <f t="shared" si="27"/>
        <v>-28662</v>
      </c>
      <c r="G26" s="638">
        <f t="shared" si="27"/>
        <v>-16759.672054746585</v>
      </c>
      <c r="H26" s="639">
        <f t="shared" si="27"/>
        <v>-19571.852989448587</v>
      </c>
      <c r="I26" s="639">
        <f t="shared" si="27"/>
        <v>-21072.05536507089</v>
      </c>
      <c r="J26" s="640">
        <f t="shared" si="27"/>
        <v>-20469.816869535847</v>
      </c>
      <c r="K26" s="641">
        <f t="shared" si="27"/>
        <v>-17915.367804357644</v>
      </c>
      <c r="L26" s="639">
        <f t="shared" si="27"/>
        <v>-18240.312596561293</v>
      </c>
      <c r="M26" s="639">
        <f t="shared" si="27"/>
        <v>-18249.873806920172</v>
      </c>
      <c r="N26" s="639">
        <f t="shared" si="27"/>
        <v>-18511.481427850023</v>
      </c>
      <c r="O26" s="639">
        <f t="shared" si="27"/>
        <v>-18714.122462871233</v>
      </c>
      <c r="P26" s="639">
        <f t="shared" si="27"/>
        <v>-18875.60739412548</v>
      </c>
      <c r="Q26" s="639">
        <f t="shared" si="27"/>
        <v>-19088.259667510458</v>
      </c>
      <c r="R26" s="639">
        <f t="shared" si="27"/>
        <v>-19284.450193545592</v>
      </c>
      <c r="S26" s="639">
        <f t="shared" si="27"/>
        <v>-19478.489133408912</v>
      </c>
      <c r="T26" s="639">
        <f t="shared" si="27"/>
        <v>-19683.508208875974</v>
      </c>
      <c r="U26" s="639">
        <f t="shared" si="27"/>
        <v>-19885.977929943099</v>
      </c>
      <c r="V26" s="639">
        <f t="shared" si="27"/>
        <v>-20090.582340459056</v>
      </c>
      <c r="W26" s="639">
        <f t="shared" si="27"/>
        <v>-20298.764693487363</v>
      </c>
      <c r="X26" s="639">
        <f t="shared" si="27"/>
        <v>-20508.033126361166</v>
      </c>
      <c r="Y26" s="639">
        <f t="shared" si="27"/>
        <v>-20719.611779707095</v>
      </c>
      <c r="Z26" s="639">
        <f t="shared" si="27"/>
        <v>-20933.559962177969</v>
      </c>
      <c r="AA26" s="639">
        <f t="shared" si="27"/>
        <v>-21149.471056607086</v>
      </c>
      <c r="AB26" s="639">
        <f t="shared" si="27"/>
        <v>-21367.640480632854</v>
      </c>
      <c r="AC26" s="639">
        <f t="shared" si="27"/>
        <v>-21588.050983995934</v>
      </c>
      <c r="AD26" s="639">
        <f t="shared" si="27"/>
        <v>-21810.659543799899</v>
      </c>
      <c r="AE26" s="639">
        <f t="shared" si="27"/>
        <v>-22035.545549437986</v>
      </c>
      <c r="AF26" s="642">
        <f t="shared" si="27"/>
        <v>-22262.715663035047</v>
      </c>
      <c r="AG26" s="388"/>
      <c r="AH26" s="7"/>
      <c r="AI26" s="7"/>
      <c r="AJ26" s="7"/>
      <c r="AK26" s="11"/>
      <c r="AL26" s="11"/>
      <c r="AM26" s="11"/>
      <c r="AN26" s="11"/>
    </row>
    <row r="27" spans="1:40" ht="14.25">
      <c r="A27" s="1093"/>
      <c r="B27" s="613">
        <v>20</v>
      </c>
      <c r="C27" s="614" t="s">
        <v>430</v>
      </c>
      <c r="D27" s="656">
        <f>Inputs!D71+Inputs!D72</f>
        <v>0</v>
      </c>
      <c r="E27" s="657">
        <f>Inputs!C71+Inputs!C72</f>
        <v>0</v>
      </c>
      <c r="F27" s="658">
        <f>Inputs!B71+Inputs!B72</f>
        <v>0</v>
      </c>
      <c r="G27" s="659">
        <f>AVERAGE(D27:F27)</f>
        <v>0</v>
      </c>
      <c r="H27" s="660">
        <f t="shared" ref="H27:AF27" si="28">AVERAGE(E27:G27)</f>
        <v>0</v>
      </c>
      <c r="I27" s="660">
        <f t="shared" si="28"/>
        <v>0</v>
      </c>
      <c r="J27" s="661">
        <f t="shared" si="28"/>
        <v>0</v>
      </c>
      <c r="K27" s="662">
        <f t="shared" si="28"/>
        <v>0</v>
      </c>
      <c r="L27" s="740">
        <f>AVERAGE(I27:K27)</f>
        <v>0</v>
      </c>
      <c r="M27" s="660">
        <f t="shared" si="28"/>
        <v>0</v>
      </c>
      <c r="N27" s="660">
        <f t="shared" si="28"/>
        <v>0</v>
      </c>
      <c r="O27" s="660">
        <f t="shared" si="28"/>
        <v>0</v>
      </c>
      <c r="P27" s="660">
        <f t="shared" si="28"/>
        <v>0</v>
      </c>
      <c r="Q27" s="660">
        <f t="shared" si="28"/>
        <v>0</v>
      </c>
      <c r="R27" s="660">
        <f t="shared" si="28"/>
        <v>0</v>
      </c>
      <c r="S27" s="660">
        <f t="shared" si="28"/>
        <v>0</v>
      </c>
      <c r="T27" s="660">
        <f t="shared" si="28"/>
        <v>0</v>
      </c>
      <c r="U27" s="660">
        <f t="shared" si="28"/>
        <v>0</v>
      </c>
      <c r="V27" s="660">
        <f t="shared" si="28"/>
        <v>0</v>
      </c>
      <c r="W27" s="660">
        <f t="shared" si="28"/>
        <v>0</v>
      </c>
      <c r="X27" s="660">
        <f t="shared" si="28"/>
        <v>0</v>
      </c>
      <c r="Y27" s="660">
        <f t="shared" si="28"/>
        <v>0</v>
      </c>
      <c r="Z27" s="660">
        <f t="shared" si="28"/>
        <v>0</v>
      </c>
      <c r="AA27" s="660">
        <f t="shared" si="28"/>
        <v>0</v>
      </c>
      <c r="AB27" s="660">
        <f t="shared" si="28"/>
        <v>0</v>
      </c>
      <c r="AC27" s="660">
        <f t="shared" si="28"/>
        <v>0</v>
      </c>
      <c r="AD27" s="660">
        <f t="shared" si="28"/>
        <v>0</v>
      </c>
      <c r="AE27" s="660">
        <f t="shared" si="28"/>
        <v>0</v>
      </c>
      <c r="AF27" s="663">
        <f t="shared" si="28"/>
        <v>0</v>
      </c>
      <c r="AG27" s="388"/>
      <c r="AH27" s="7"/>
      <c r="AI27" s="7"/>
      <c r="AJ27" s="7"/>
      <c r="AK27" s="11"/>
      <c r="AL27" s="11"/>
      <c r="AM27" s="11"/>
      <c r="AN27" s="11"/>
    </row>
    <row r="28" spans="1:40" ht="14.25">
      <c r="A28" s="1093"/>
      <c r="B28" s="613">
        <v>21</v>
      </c>
      <c r="C28" s="614" t="s">
        <v>431</v>
      </c>
      <c r="D28" s="616">
        <f>+SUM(Inputs!D69:D70)</f>
        <v>14269</v>
      </c>
      <c r="E28" s="617">
        <f>+SUM(Inputs!C69:C70)</f>
        <v>22554</v>
      </c>
      <c r="F28" s="618">
        <f>+SUM(Inputs!B69:B70)</f>
        <v>4348</v>
      </c>
      <c r="G28" s="620">
        <f>G44-F44</f>
        <v>-776.56009098445065</v>
      </c>
      <c r="H28" s="621">
        <f t="shared" ref="H28:AF28" si="29">H44-G44</f>
        <v>482.54214791659615</v>
      </c>
      <c r="I28" s="621">
        <f t="shared" si="29"/>
        <v>5416.8016061574162</v>
      </c>
      <c r="J28" s="622">
        <f t="shared" si="29"/>
        <v>5070.4725266493624</v>
      </c>
      <c r="K28" s="623">
        <f t="shared" si="29"/>
        <v>-5449.7681398099521</v>
      </c>
      <c r="L28" s="621">
        <f t="shared" si="29"/>
        <v>3920.1760921373498</v>
      </c>
      <c r="M28" s="621">
        <f t="shared" si="29"/>
        <v>3994.8283332002175</v>
      </c>
      <c r="N28" s="621">
        <f t="shared" si="29"/>
        <v>-19012.836349792226</v>
      </c>
      <c r="O28" s="621">
        <f t="shared" si="29"/>
        <v>3581.0542856039247</v>
      </c>
      <c r="P28" s="621">
        <f t="shared" si="29"/>
        <v>-14528.098545940884</v>
      </c>
      <c r="Q28" s="621">
        <f t="shared" si="29"/>
        <v>3283.1964205702243</v>
      </c>
      <c r="R28" s="621">
        <f t="shared" si="29"/>
        <v>3353.7478644340881</v>
      </c>
      <c r="S28" s="621">
        <f t="shared" si="29"/>
        <v>3427.6451863126422</v>
      </c>
      <c r="T28" s="621">
        <f t="shared" si="29"/>
        <v>3505.1066704363911</v>
      </c>
      <c r="U28" s="621">
        <f t="shared" si="29"/>
        <v>3586.3657216596475</v>
      </c>
      <c r="V28" s="621">
        <f t="shared" si="29"/>
        <v>3671.6719223113905</v>
      </c>
      <c r="W28" s="621">
        <f t="shared" si="29"/>
        <v>3761.292163010221</v>
      </c>
      <c r="X28" s="621">
        <f t="shared" si="29"/>
        <v>3855.5118526192091</v>
      </c>
      <c r="Y28" s="621">
        <f t="shared" si="29"/>
        <v>3954.6362128829351</v>
      </c>
      <c r="Z28" s="621">
        <f t="shared" si="29"/>
        <v>4058.9916636707785</v>
      </c>
      <c r="AA28" s="621">
        <f t="shared" si="29"/>
        <v>4168.9273051728378</v>
      </c>
      <c r="AB28" s="621">
        <f t="shared" si="29"/>
        <v>4284.8165038302541</v>
      </c>
      <c r="AC28" s="621">
        <f t="shared" si="29"/>
        <v>4407.058589266846</v>
      </c>
      <c r="AD28" s="621">
        <f t="shared" si="29"/>
        <v>4536.0806699855893</v>
      </c>
      <c r="AE28" s="621">
        <f t="shared" si="29"/>
        <v>4672.3395761493302</v>
      </c>
      <c r="AF28" s="624">
        <f t="shared" si="29"/>
        <v>4816.3239383371838</v>
      </c>
      <c r="AG28" s="388"/>
      <c r="AH28" s="7"/>
      <c r="AI28" s="7"/>
      <c r="AJ28" s="7"/>
      <c r="AK28" s="11"/>
      <c r="AL28" s="11"/>
      <c r="AM28" s="11"/>
      <c r="AN28" s="11"/>
    </row>
    <row r="29" spans="1:40" ht="14.25">
      <c r="A29" s="1093"/>
      <c r="B29" s="613">
        <v>22</v>
      </c>
      <c r="C29" s="614" t="s">
        <v>432</v>
      </c>
      <c r="D29" s="616">
        <f>'Fin. Data'!D28</f>
        <v>0</v>
      </c>
      <c r="E29" s="617">
        <f>'Fin. Data'!C28</f>
        <v>0</v>
      </c>
      <c r="F29" s="619">
        <f>'Fin. Data'!B28</f>
        <v>0</v>
      </c>
      <c r="G29" s="620">
        <f>-G17*$D$65</f>
        <v>0</v>
      </c>
      <c r="H29" s="621">
        <f>-H17*$D$65</f>
        <v>0</v>
      </c>
      <c r="I29" s="621">
        <f>-I17*$D$65</f>
        <v>0</v>
      </c>
      <c r="J29" s="622">
        <f>-J17*$D$65</f>
        <v>0</v>
      </c>
      <c r="K29" s="623">
        <f t="shared" ref="K29:AF29" si="30">K17*$E$65</f>
        <v>-2096.4329176234492</v>
      </c>
      <c r="L29" s="623">
        <f t="shared" si="30"/>
        <v>-2130.0233539237665</v>
      </c>
      <c r="M29" s="623">
        <f t="shared" si="30"/>
        <v>-2151.7922025582188</v>
      </c>
      <c r="N29" s="623">
        <f t="shared" si="30"/>
        <v>-2179.0370950778924</v>
      </c>
      <c r="O29" s="623">
        <f t="shared" si="30"/>
        <v>-2231.3546577786046</v>
      </c>
      <c r="P29" s="623">
        <f t="shared" si="30"/>
        <v>-2260.3621349806922</v>
      </c>
      <c r="Q29" s="623">
        <f t="shared" si="30"/>
        <v>-2311.5531829927154</v>
      </c>
      <c r="R29" s="623">
        <f t="shared" si="30"/>
        <v>-2344.5772738366759</v>
      </c>
      <c r="S29" s="623">
        <f t="shared" si="30"/>
        <v>-2379.2780201819342</v>
      </c>
      <c r="T29" s="623">
        <f t="shared" si="30"/>
        <v>-2415.7883524183371</v>
      </c>
      <c r="U29" s="623">
        <f t="shared" si="30"/>
        <v>-2453.9520084441983</v>
      </c>
      <c r="V29" s="623">
        <f t="shared" si="30"/>
        <v>-2493.9236274515988</v>
      </c>
      <c r="W29" s="623">
        <f t="shared" si="30"/>
        <v>-2535.7517391389838</v>
      </c>
      <c r="X29" s="623">
        <f t="shared" si="30"/>
        <v>-2579.4567505460213</v>
      </c>
      <c r="Y29" s="623">
        <f t="shared" si="30"/>
        <v>-2625.118859919437</v>
      </c>
      <c r="Z29" s="623">
        <f t="shared" si="30"/>
        <v>-2672.7935380965309</v>
      </c>
      <c r="AA29" s="623">
        <f t="shared" si="30"/>
        <v>-2722.5389504430891</v>
      </c>
      <c r="AB29" s="623">
        <f t="shared" si="30"/>
        <v>-2774.4263569061754</v>
      </c>
      <c r="AC29" s="623">
        <f t="shared" si="30"/>
        <v>-2828.5244174941467</v>
      </c>
      <c r="AD29" s="623">
        <f t="shared" si="30"/>
        <v>-2884.9066704021775</v>
      </c>
      <c r="AE29" s="623">
        <f t="shared" si="30"/>
        <v>-2943.6522977179629</v>
      </c>
      <c r="AF29" s="624">
        <f t="shared" si="30"/>
        <v>-3004.8436497006742</v>
      </c>
      <c r="AG29" s="388"/>
      <c r="AH29" s="7"/>
      <c r="AI29" s="7"/>
      <c r="AJ29" s="7"/>
      <c r="AK29" s="11"/>
      <c r="AL29" s="11"/>
      <c r="AM29" s="11"/>
      <c r="AN29" s="11"/>
    </row>
    <row r="30" spans="1:40" s="7" customFormat="1" ht="14.25">
      <c r="A30" s="1093"/>
      <c r="B30" s="613">
        <v>23</v>
      </c>
      <c r="C30" s="614" t="s">
        <v>433</v>
      </c>
      <c r="D30" s="615">
        <f>'Fin. Data'!D27</f>
        <v>-10232</v>
      </c>
      <c r="E30" s="617">
        <f>'Fin. Data'!C27</f>
        <v>-10445</v>
      </c>
      <c r="F30" s="618">
        <f>'Fin. Data'!B27</f>
        <v>-10805</v>
      </c>
      <c r="G30" s="620">
        <f>-$D$64*G17</f>
        <v>-9982.3255070000032</v>
      </c>
      <c r="H30" s="621">
        <f t="shared" ref="H30:J30" si="31">-$D$64*H17</f>
        <v>-10584.348528501352</v>
      </c>
      <c r="I30" s="621">
        <f t="shared" si="31"/>
        <v>-10919.613630792774</v>
      </c>
      <c r="J30" s="622">
        <f t="shared" si="31"/>
        <v>-11044.662409577544</v>
      </c>
      <c r="K30" s="623">
        <f t="shared" ref="K30:AF30" si="32">-$E$64*K17</f>
        <v>-14675.030423364142</v>
      </c>
      <c r="L30" s="621">
        <f t="shared" si="32"/>
        <v>-14910.163477466365</v>
      </c>
      <c r="M30" s="621">
        <f t="shared" si="32"/>
        <v>-15062.545417907531</v>
      </c>
      <c r="N30" s="621">
        <f t="shared" si="32"/>
        <v>-15253.259665545245</v>
      </c>
      <c r="O30" s="621">
        <f t="shared" si="32"/>
        <v>-15619.48260445023</v>
      </c>
      <c r="P30" s="621">
        <f t="shared" si="32"/>
        <v>-15822.534944864843</v>
      </c>
      <c r="Q30" s="621">
        <f t="shared" si="32"/>
        <v>-16180.872280949006</v>
      </c>
      <c r="R30" s="621">
        <f t="shared" si="32"/>
        <v>-16412.040916856731</v>
      </c>
      <c r="S30" s="621">
        <f t="shared" si="32"/>
        <v>-16654.946141273536</v>
      </c>
      <c r="T30" s="621">
        <f t="shared" si="32"/>
        <v>-16910.518466928359</v>
      </c>
      <c r="U30" s="621">
        <f t="shared" si="32"/>
        <v>-17177.664059109386</v>
      </c>
      <c r="V30" s="621">
        <f t="shared" si="32"/>
        <v>-17457.465392161186</v>
      </c>
      <c r="W30" s="621">
        <f t="shared" si="32"/>
        <v>-17750.262173972886</v>
      </c>
      <c r="X30" s="621">
        <f t="shared" si="32"/>
        <v>-18056.197253822145</v>
      </c>
      <c r="Y30" s="621">
        <f t="shared" si="32"/>
        <v>-18375.832019436057</v>
      </c>
      <c r="Z30" s="621">
        <f t="shared" si="32"/>
        <v>-18709.554766675716</v>
      </c>
      <c r="AA30" s="621">
        <f t="shared" si="32"/>
        <v>-19057.77265310162</v>
      </c>
      <c r="AB30" s="621">
        <f t="shared" si="32"/>
        <v>-19420.984498343227</v>
      </c>
      <c r="AC30" s="621">
        <f t="shared" si="32"/>
        <v>-19799.670922459023</v>
      </c>
      <c r="AD30" s="621">
        <f t="shared" si="32"/>
        <v>-20194.346692815241</v>
      </c>
      <c r="AE30" s="621">
        <f t="shared" si="32"/>
        <v>-20605.566084025741</v>
      </c>
      <c r="AF30" s="624">
        <f t="shared" si="32"/>
        <v>-21033.905547904717</v>
      </c>
      <c r="AG30" s="388"/>
      <c r="AK30" s="11"/>
      <c r="AL30" s="11"/>
      <c r="AM30" s="11"/>
      <c r="AN30" s="11"/>
    </row>
    <row r="31" spans="1:40" s="3" customFormat="1" ht="14.65" thickBot="1">
      <c r="A31" s="1093"/>
      <c r="B31" s="613">
        <v>24</v>
      </c>
      <c r="C31" s="625" t="s">
        <v>434</v>
      </c>
      <c r="D31" s="626">
        <f>Inputs!D75</f>
        <v>-2712</v>
      </c>
      <c r="E31" s="627">
        <f>Inputs!C75</f>
        <v>-3832</v>
      </c>
      <c r="F31" s="628">
        <f>Inputs!B75</f>
        <v>-2072</v>
      </c>
      <c r="G31" s="650">
        <f>(1+G5)*AVERAGE(D31:F31)</f>
        <v>-2958.16</v>
      </c>
      <c r="H31" s="651">
        <f t="shared" ref="H31:AF31" si="33">(1+H5)*AVERAGE(E31:G31)</f>
        <v>-3027.9046666666663</v>
      </c>
      <c r="I31" s="651">
        <f t="shared" si="33"/>
        <v>-2739.7419866666669</v>
      </c>
      <c r="J31" s="652">
        <f t="shared" si="33"/>
        <v>-2952.231251044444</v>
      </c>
      <c r="K31" s="653">
        <f t="shared" si="33"/>
        <v>-2935.6922278071852</v>
      </c>
      <c r="L31" s="651">
        <f t="shared" si="33"/>
        <v>-2904.6473733911594</v>
      </c>
      <c r="M31" s="651">
        <f t="shared" si="33"/>
        <v>-2960.1655202550724</v>
      </c>
      <c r="N31" s="651">
        <f t="shared" si="33"/>
        <v>-2962.8367242226504</v>
      </c>
      <c r="O31" s="651">
        <f t="shared" si="33"/>
        <v>-2971.9753713491909</v>
      </c>
      <c r="P31" s="651">
        <f t="shared" si="33"/>
        <v>-2994.6424639950606</v>
      </c>
      <c r="Q31" s="651">
        <f t="shared" si="33"/>
        <v>-3006.249701720857</v>
      </c>
      <c r="R31" s="651">
        <f t="shared" si="33"/>
        <v>-3020.8654041452533</v>
      </c>
      <c r="S31" s="651">
        <f t="shared" si="33"/>
        <v>-3037.3250485199278</v>
      </c>
      <c r="T31" s="651">
        <f t="shared" si="33"/>
        <v>-3051.6948519766329</v>
      </c>
      <c r="U31" s="651">
        <f t="shared" si="33"/>
        <v>-3066.9947192294112</v>
      </c>
      <c r="V31" s="651">
        <f t="shared" si="33"/>
        <v>-3082.5249219744105</v>
      </c>
      <c r="W31" s="651">
        <f t="shared" si="33"/>
        <v>-3097.7422127040863</v>
      </c>
      <c r="X31" s="651">
        <f t="shared" si="33"/>
        <v>-3113.244824148996</v>
      </c>
      <c r="Y31" s="651">
        <f t="shared" si="33"/>
        <v>-3128.8156928052563</v>
      </c>
      <c r="Z31" s="651">
        <f t="shared" si="33"/>
        <v>-3144.4002523183076</v>
      </c>
      <c r="AA31" s="651">
        <f t="shared" si="33"/>
        <v>-3160.108458988429</v>
      </c>
      <c r="AB31" s="651">
        <f t="shared" si="33"/>
        <v>-3175.8858827177041</v>
      </c>
      <c r="AC31" s="651">
        <f t="shared" si="33"/>
        <v>-3191.7328466548952</v>
      </c>
      <c r="AD31" s="651">
        <f t="shared" si="33"/>
        <v>-3207.6681534148797</v>
      </c>
      <c r="AE31" s="651">
        <f t="shared" si="33"/>
        <v>-3223.6799172051178</v>
      </c>
      <c r="AF31" s="654">
        <f t="shared" si="33"/>
        <v>-3239.770575482547</v>
      </c>
      <c r="AG31" s="388"/>
      <c r="AH31" s="409"/>
      <c r="AI31" s="409"/>
      <c r="AJ31" s="409"/>
      <c r="AK31" s="407"/>
      <c r="AL31" s="407"/>
      <c r="AM31" s="407"/>
      <c r="AN31" s="407"/>
    </row>
    <row r="32" spans="1:40" s="7" customFormat="1" ht="16.5" customHeight="1" thickBot="1">
      <c r="A32" s="1094"/>
      <c r="B32" s="6">
        <v>25</v>
      </c>
      <c r="C32" s="634" t="s">
        <v>435</v>
      </c>
      <c r="D32" s="664">
        <f t="shared" ref="D32:AF32" si="34">D27+D28+D29+D30+D31</f>
        <v>1325</v>
      </c>
      <c r="E32" s="665">
        <f t="shared" si="34"/>
        <v>8277</v>
      </c>
      <c r="F32" s="655">
        <f t="shared" si="34"/>
        <v>-8529</v>
      </c>
      <c r="G32" s="666">
        <f>G27+G28+G29+G30+G31</f>
        <v>-13717.045597984454</v>
      </c>
      <c r="H32" s="667">
        <f t="shared" si="34"/>
        <v>-13129.711047251421</v>
      </c>
      <c r="I32" s="667">
        <f t="shared" si="34"/>
        <v>-8242.5540113020252</v>
      </c>
      <c r="J32" s="668">
        <f t="shared" si="34"/>
        <v>-8926.4211339726262</v>
      </c>
      <c r="K32" s="669">
        <f t="shared" si="34"/>
        <v>-25156.923708604729</v>
      </c>
      <c r="L32" s="670">
        <f t="shared" si="34"/>
        <v>-16024.658112643941</v>
      </c>
      <c r="M32" s="670">
        <f t="shared" si="34"/>
        <v>-16179.674807520605</v>
      </c>
      <c r="N32" s="670">
        <f t="shared" si="34"/>
        <v>-39407.969834638017</v>
      </c>
      <c r="O32" s="670">
        <f t="shared" si="34"/>
        <v>-17241.758347974101</v>
      </c>
      <c r="P32" s="670">
        <f t="shared" si="34"/>
        <v>-35605.638089781482</v>
      </c>
      <c r="Q32" s="670">
        <f t="shared" si="34"/>
        <v>-18215.478745092354</v>
      </c>
      <c r="R32" s="670">
        <f t="shared" si="34"/>
        <v>-18423.735730404573</v>
      </c>
      <c r="S32" s="670">
        <f t="shared" si="34"/>
        <v>-18643.904023662755</v>
      </c>
      <c r="T32" s="670">
        <f t="shared" si="34"/>
        <v>-18872.89500088694</v>
      </c>
      <c r="U32" s="670">
        <f t="shared" si="34"/>
        <v>-19112.245065123345</v>
      </c>
      <c r="V32" s="670">
        <f t="shared" si="34"/>
        <v>-19362.242019275804</v>
      </c>
      <c r="W32" s="670">
        <f t="shared" si="34"/>
        <v>-19622.463962805734</v>
      </c>
      <c r="X32" s="670">
        <f t="shared" si="34"/>
        <v>-19893.386975897953</v>
      </c>
      <c r="Y32" s="670">
        <f t="shared" si="34"/>
        <v>-20175.130359277813</v>
      </c>
      <c r="Z32" s="670">
        <f t="shared" si="34"/>
        <v>-20467.756893419777</v>
      </c>
      <c r="AA32" s="670">
        <f t="shared" si="34"/>
        <v>-20771.492757360302</v>
      </c>
      <c r="AB32" s="670">
        <f t="shared" si="34"/>
        <v>-21086.480234136852</v>
      </c>
      <c r="AC32" s="670">
        <f t="shared" si="34"/>
        <v>-21412.869597341218</v>
      </c>
      <c r="AD32" s="670">
        <f t="shared" si="34"/>
        <v>-21750.840846646712</v>
      </c>
      <c r="AE32" s="670">
        <f t="shared" si="34"/>
        <v>-22100.558722799491</v>
      </c>
      <c r="AF32" s="671">
        <f t="shared" si="34"/>
        <v>-22462.195834750753</v>
      </c>
      <c r="AG32" s="388"/>
      <c r="AK32" s="11"/>
      <c r="AL32" s="11"/>
      <c r="AM32" s="11"/>
      <c r="AN32" s="11"/>
    </row>
    <row r="33" spans="1:40" ht="13.15" thickBot="1">
      <c r="A33" s="1078"/>
      <c r="B33" s="1079"/>
      <c r="C33" s="1080"/>
      <c r="D33" s="1080"/>
      <c r="E33" s="1080"/>
      <c r="F33" s="1080"/>
      <c r="G33" s="1080"/>
      <c r="H33" s="1080"/>
      <c r="I33" s="1080"/>
      <c r="J33" s="1080"/>
      <c r="K33" s="1080"/>
      <c r="L33" s="1080"/>
      <c r="M33" s="1080"/>
      <c r="N33" s="1080"/>
      <c r="O33" s="1080"/>
      <c r="P33" s="1080"/>
      <c r="Q33" s="1080"/>
      <c r="R33" s="1080"/>
      <c r="S33" s="1080"/>
      <c r="T33" s="1080"/>
      <c r="U33" s="1080"/>
      <c r="V33" s="1080"/>
      <c r="W33" s="1080"/>
      <c r="X33" s="1080"/>
      <c r="Y33" s="1080"/>
      <c r="Z33" s="1080"/>
      <c r="AA33" s="1080"/>
      <c r="AB33" s="1080"/>
      <c r="AC33" s="1080"/>
      <c r="AD33" s="1080"/>
      <c r="AE33" s="1080"/>
      <c r="AF33" s="1081"/>
      <c r="AG33" s="7"/>
      <c r="AH33" s="7"/>
      <c r="AI33" s="7"/>
      <c r="AJ33" s="7"/>
      <c r="AK33" s="11"/>
      <c r="AL33" s="11"/>
      <c r="AM33" s="11"/>
      <c r="AN33" s="11"/>
    </row>
    <row r="34" spans="1:40" ht="14.25">
      <c r="A34" s="1110" t="s">
        <v>436</v>
      </c>
      <c r="B34" s="613">
        <v>26</v>
      </c>
      <c r="C34" s="672" t="s">
        <v>437</v>
      </c>
      <c r="D34" s="673">
        <f>D22+D26+D27+D28+D31</f>
        <v>29813</v>
      </c>
      <c r="E34" s="674">
        <f>E22+E26+E27+E28+E31</f>
        <v>-8892</v>
      </c>
      <c r="F34" s="675">
        <f t="shared" ref="F34" si="35">F22+F26+F27+F28+F31</f>
        <v>10755</v>
      </c>
      <c r="G34" s="306">
        <f t="shared" ref="G34:AF34" si="36">G22+G26+G27+G28+G31</f>
        <v>9910.8548559980409</v>
      </c>
      <c r="H34" s="307">
        <f t="shared" si="36"/>
        <v>11209.500016426653</v>
      </c>
      <c r="I34" s="307">
        <f t="shared" si="36"/>
        <v>17560.749279492353</v>
      </c>
      <c r="J34" s="308">
        <f t="shared" si="36"/>
        <v>19945.31095719415</v>
      </c>
      <c r="K34" s="306">
        <f t="shared" si="36"/>
        <v>13086.169792336261</v>
      </c>
      <c r="L34" s="307">
        <f t="shared" si="36"/>
        <v>23498.328313806753</v>
      </c>
      <c r="M34" s="307">
        <f t="shared" si="36"/>
        <v>24748.025950439205</v>
      </c>
      <c r="N34" s="307">
        <f t="shared" si="36"/>
        <v>2794.2720016002477</v>
      </c>
      <c r="O34" s="307">
        <f t="shared" si="36"/>
        <v>26769.752227122277</v>
      </c>
      <c r="P34" s="307">
        <f t="shared" si="36"/>
        <v>9862.3930228464196</v>
      </c>
      <c r="Q34" s="307">
        <f t="shared" si="36"/>
        <v>29084.192114555648</v>
      </c>
      <c r="R34" s="307">
        <f t="shared" si="36"/>
        <v>30425.405144176584</v>
      </c>
      <c r="S34" s="307">
        <f t="shared" si="36"/>
        <v>31816.895903392771</v>
      </c>
      <c r="T34" s="307">
        <f t="shared" si="36"/>
        <v>33252.596794779507</v>
      </c>
      <c r="U34" s="307">
        <f t="shared" si="36"/>
        <v>34743.376660729184</v>
      </c>
      <c r="V34" s="307">
        <f t="shared" si="36"/>
        <v>36288.848702789219</v>
      </c>
      <c r="W34" s="307">
        <f t="shared" si="36"/>
        <v>37890.78757906134</v>
      </c>
      <c r="X34" s="307">
        <f t="shared" si="36"/>
        <v>39553.628221585277</v>
      </c>
      <c r="Y34" s="307">
        <f t="shared" si="36"/>
        <v>41279.660929092941</v>
      </c>
      <c r="Z34" s="307">
        <f t="shared" si="36"/>
        <v>43072.100239598134</v>
      </c>
      <c r="AA34" s="307">
        <f t="shared" si="36"/>
        <v>44934.67000562582</v>
      </c>
      <c r="AB34" s="307">
        <f t="shared" si="36"/>
        <v>46870.880955251661</v>
      </c>
      <c r="AC34" s="307">
        <f t="shared" si="36"/>
        <v>48884.682804336735</v>
      </c>
      <c r="AD34" s="307">
        <f t="shared" si="36"/>
        <v>50980.302854721675</v>
      </c>
      <c r="AE34" s="307">
        <f t="shared" si="36"/>
        <v>53162.170082774384</v>
      </c>
      <c r="AF34" s="308">
        <f t="shared" si="36"/>
        <v>55435.05703944969</v>
      </c>
      <c r="AG34" s="388"/>
      <c r="AH34" s="7"/>
      <c r="AI34" s="7"/>
      <c r="AJ34" s="7"/>
      <c r="AK34" s="11"/>
      <c r="AL34" s="11"/>
      <c r="AM34" s="11"/>
      <c r="AN34" s="11"/>
    </row>
    <row r="35" spans="1:40" s="3" customFormat="1" ht="14.25">
      <c r="A35" s="1110"/>
      <c r="B35" s="613">
        <v>27</v>
      </c>
      <c r="C35" s="676" t="s">
        <v>438</v>
      </c>
      <c r="D35" s="677">
        <f>-1*(D29+D30)</f>
        <v>10232</v>
      </c>
      <c r="E35" s="678">
        <f t="shared" ref="E35:F35" si="37">-1*(E29+E30)</f>
        <v>10445</v>
      </c>
      <c r="F35" s="679">
        <f t="shared" si="37"/>
        <v>10805</v>
      </c>
      <c r="G35" s="309">
        <f t="shared" ref="G35:AF35" si="38">-1*(G29+G30)</f>
        <v>9982.3255070000032</v>
      </c>
      <c r="H35" s="305">
        <f t="shared" si="38"/>
        <v>10584.348528501352</v>
      </c>
      <c r="I35" s="305">
        <f t="shared" si="38"/>
        <v>10919.613630792774</v>
      </c>
      <c r="J35" s="310">
        <f t="shared" si="38"/>
        <v>11044.662409577544</v>
      </c>
      <c r="K35" s="309">
        <f t="shared" si="38"/>
        <v>16771.46334098759</v>
      </c>
      <c r="L35" s="305">
        <f t="shared" si="38"/>
        <v>17040.186831390132</v>
      </c>
      <c r="M35" s="305">
        <f t="shared" si="38"/>
        <v>17214.337620465751</v>
      </c>
      <c r="N35" s="305">
        <f t="shared" si="38"/>
        <v>17432.29676062314</v>
      </c>
      <c r="O35" s="305">
        <f t="shared" si="38"/>
        <v>17850.837262228833</v>
      </c>
      <c r="P35" s="305">
        <f t="shared" si="38"/>
        <v>18082.897079845534</v>
      </c>
      <c r="Q35" s="305">
        <f t="shared" si="38"/>
        <v>18492.425463941723</v>
      </c>
      <c r="R35" s="305">
        <f t="shared" si="38"/>
        <v>18756.618190693407</v>
      </c>
      <c r="S35" s="305">
        <f t="shared" si="38"/>
        <v>19034.22416145547</v>
      </c>
      <c r="T35" s="305">
        <f t="shared" si="38"/>
        <v>19326.306819346697</v>
      </c>
      <c r="U35" s="305">
        <f t="shared" si="38"/>
        <v>19631.616067553583</v>
      </c>
      <c r="V35" s="305">
        <f t="shared" si="38"/>
        <v>19951.389019612783</v>
      </c>
      <c r="W35" s="305">
        <f t="shared" si="38"/>
        <v>20286.01391311187</v>
      </c>
      <c r="X35" s="305">
        <f t="shared" si="38"/>
        <v>20635.654004368167</v>
      </c>
      <c r="Y35" s="305">
        <f t="shared" si="38"/>
        <v>21000.950879355492</v>
      </c>
      <c r="Z35" s="305">
        <f t="shared" si="38"/>
        <v>21382.348304772248</v>
      </c>
      <c r="AA35" s="305">
        <f t="shared" si="38"/>
        <v>21780.311603544709</v>
      </c>
      <c r="AB35" s="305">
        <f t="shared" si="38"/>
        <v>22195.410855249404</v>
      </c>
      <c r="AC35" s="305">
        <f t="shared" si="38"/>
        <v>22628.19533995317</v>
      </c>
      <c r="AD35" s="305">
        <f t="shared" si="38"/>
        <v>23079.25336321742</v>
      </c>
      <c r="AE35" s="305">
        <f t="shared" si="38"/>
        <v>23549.218381743704</v>
      </c>
      <c r="AF35" s="310">
        <f t="shared" si="38"/>
        <v>24038.74919760539</v>
      </c>
      <c r="AG35" s="388"/>
      <c r="AH35" s="409"/>
      <c r="AI35" s="409"/>
      <c r="AJ35" s="409"/>
      <c r="AK35" s="407"/>
      <c r="AL35" s="407"/>
      <c r="AM35" s="407"/>
      <c r="AN35" s="407"/>
    </row>
    <row r="36" spans="1:40" s="7" customFormat="1" ht="14.65" thickBot="1">
      <c r="A36" s="1110"/>
      <c r="B36" s="6">
        <v>28</v>
      </c>
      <c r="C36" s="680" t="s">
        <v>439</v>
      </c>
      <c r="D36" s="681">
        <f t="shared" ref="D36:AF36" si="39">D34-D35</f>
        <v>19581</v>
      </c>
      <c r="E36" s="682">
        <f t="shared" si="39"/>
        <v>-19337</v>
      </c>
      <c r="F36" s="683">
        <f t="shared" si="39"/>
        <v>-50</v>
      </c>
      <c r="G36" s="684">
        <f t="shared" si="39"/>
        <v>-71.470651001962324</v>
      </c>
      <c r="H36" s="685">
        <f t="shared" si="39"/>
        <v>625.1514879253009</v>
      </c>
      <c r="I36" s="685">
        <f t="shared" si="39"/>
        <v>6641.1356486995792</v>
      </c>
      <c r="J36" s="686">
        <f t="shared" si="39"/>
        <v>8900.6485476166054</v>
      </c>
      <c r="K36" s="684">
        <f t="shared" si="39"/>
        <v>-3685.2935486513288</v>
      </c>
      <c r="L36" s="685">
        <f t="shared" si="39"/>
        <v>6458.1414824166204</v>
      </c>
      <c r="M36" s="685">
        <f t="shared" si="39"/>
        <v>7533.6883299734545</v>
      </c>
      <c r="N36" s="685">
        <f t="shared" si="39"/>
        <v>-14638.024759022892</v>
      </c>
      <c r="O36" s="685">
        <f t="shared" si="39"/>
        <v>8918.9149648934435</v>
      </c>
      <c r="P36" s="685">
        <f t="shared" si="39"/>
        <v>-8220.5040569991143</v>
      </c>
      <c r="Q36" s="685">
        <f t="shared" si="39"/>
        <v>10591.766650613925</v>
      </c>
      <c r="R36" s="685">
        <f t="shared" si="39"/>
        <v>11668.786953483177</v>
      </c>
      <c r="S36" s="685">
        <f t="shared" si="39"/>
        <v>12782.671741937302</v>
      </c>
      <c r="T36" s="685">
        <f t="shared" si="39"/>
        <v>13926.28997543281</v>
      </c>
      <c r="U36" s="685">
        <f t="shared" si="39"/>
        <v>15111.760593175601</v>
      </c>
      <c r="V36" s="685">
        <f t="shared" si="39"/>
        <v>16337.459683176436</v>
      </c>
      <c r="W36" s="685">
        <f t="shared" si="39"/>
        <v>17604.773665949469</v>
      </c>
      <c r="X36" s="685">
        <f t="shared" si="39"/>
        <v>18917.97421721711</v>
      </c>
      <c r="Y36" s="685">
        <f t="shared" si="39"/>
        <v>20278.710049737449</v>
      </c>
      <c r="Z36" s="685">
        <f t="shared" si="39"/>
        <v>21689.751934825887</v>
      </c>
      <c r="AA36" s="685">
        <f t="shared" si="39"/>
        <v>23154.35840208111</v>
      </c>
      <c r="AB36" s="685">
        <f t="shared" si="39"/>
        <v>24675.470100002258</v>
      </c>
      <c r="AC36" s="685">
        <f t="shared" si="39"/>
        <v>26256.487464383565</v>
      </c>
      <c r="AD36" s="685">
        <f t="shared" si="39"/>
        <v>27901.049491504255</v>
      </c>
      <c r="AE36" s="685">
        <f t="shared" si="39"/>
        <v>29612.951701030681</v>
      </c>
      <c r="AF36" s="686">
        <f t="shared" si="39"/>
        <v>31396.3078418443</v>
      </c>
      <c r="AG36" s="388"/>
      <c r="AK36" s="11"/>
      <c r="AL36" s="11"/>
      <c r="AM36" s="11"/>
      <c r="AN36" s="11"/>
    </row>
    <row r="37" spans="1:40" ht="14.65" thickBot="1">
      <c r="A37" s="687"/>
      <c r="B37" s="267"/>
      <c r="C37" s="688"/>
      <c r="D37" s="689"/>
      <c r="E37" s="689"/>
      <c r="F37" s="689"/>
      <c r="G37" s="689"/>
      <c r="H37" s="689"/>
      <c r="I37" s="689"/>
      <c r="J37" s="689"/>
      <c r="K37" s="689"/>
      <c r="L37" s="689"/>
      <c r="M37" s="689"/>
      <c r="N37" s="689"/>
      <c r="O37" s="689"/>
      <c r="P37" s="689"/>
      <c r="Q37" s="689"/>
      <c r="R37" s="689"/>
      <c r="S37" s="689"/>
      <c r="T37" s="689"/>
      <c r="U37" s="689"/>
      <c r="V37" s="689"/>
      <c r="W37" s="689"/>
      <c r="X37" s="689"/>
      <c r="Y37" s="689"/>
      <c r="Z37" s="689"/>
      <c r="AA37" s="689"/>
      <c r="AB37" s="689"/>
      <c r="AC37" s="689"/>
      <c r="AD37" s="689"/>
      <c r="AE37" s="689"/>
      <c r="AF37" s="690"/>
      <c r="AG37" s="388"/>
      <c r="AH37" s="7"/>
      <c r="AI37" s="7"/>
      <c r="AJ37" s="7"/>
      <c r="AK37" s="11"/>
      <c r="AL37" s="11"/>
      <c r="AM37" s="11"/>
      <c r="AN37" s="11"/>
    </row>
    <row r="38" spans="1:40" ht="14.25">
      <c r="A38" s="1111" t="s">
        <v>440</v>
      </c>
      <c r="B38" s="691">
        <v>29</v>
      </c>
      <c r="C38" s="692" t="s">
        <v>441</v>
      </c>
      <c r="D38" s="693">
        <v>27477</v>
      </c>
      <c r="E38" s="694">
        <v>28485</v>
      </c>
      <c r="F38" s="695">
        <v>30562</v>
      </c>
      <c r="G38" s="306">
        <f>+F38+(-G10)</f>
        <v>33006.959999999999</v>
      </c>
      <c r="H38" s="307">
        <f t="shared" ref="H38:AF38" si="40">+G38+(-H10)</f>
        <v>35647.516799999998</v>
      </c>
      <c r="I38" s="307">
        <f t="shared" si="40"/>
        <v>38499.318143999997</v>
      </c>
      <c r="J38" s="308">
        <f t="shared" si="40"/>
        <v>41579.263595519995</v>
      </c>
      <c r="K38" s="364">
        <f t="shared" si="40"/>
        <v>44489.812047206397</v>
      </c>
      <c r="L38" s="307">
        <f t="shared" si="40"/>
        <v>47604.098890510846</v>
      </c>
      <c r="M38" s="307">
        <f t="shared" si="40"/>
        <v>50936.385812846609</v>
      </c>
      <c r="N38" s="307">
        <f t="shared" si="40"/>
        <v>54501.932819745874</v>
      </c>
      <c r="O38" s="307">
        <f t="shared" si="40"/>
        <v>58317.068117128088</v>
      </c>
      <c r="P38" s="307">
        <f t="shared" si="40"/>
        <v>62399.262885327058</v>
      </c>
      <c r="Q38" s="307">
        <f t="shared" si="40"/>
        <v>66767.211287299957</v>
      </c>
      <c r="R38" s="307">
        <f t="shared" si="40"/>
        <v>71440.916077410948</v>
      </c>
      <c r="S38" s="307">
        <f t="shared" si="40"/>
        <v>76441.780202829716</v>
      </c>
      <c r="T38" s="307">
        <f t="shared" si="40"/>
        <v>81792.704817027799</v>
      </c>
      <c r="U38" s="307">
        <f t="shared" si="40"/>
        <v>87518.194154219746</v>
      </c>
      <c r="V38" s="307">
        <f t="shared" si="40"/>
        <v>93644.467745015136</v>
      </c>
      <c r="W38" s="307">
        <f t="shared" si="40"/>
        <v>100199.5804871662</v>
      </c>
      <c r="X38" s="307">
        <f t="shared" si="40"/>
        <v>107213.55112126782</v>
      </c>
      <c r="Y38" s="307">
        <f t="shared" si="40"/>
        <v>114718.49969975658</v>
      </c>
      <c r="Z38" s="307">
        <f t="shared" si="40"/>
        <v>122748.79467873953</v>
      </c>
      <c r="AA38" s="307">
        <f t="shared" si="40"/>
        <v>131341.21030625131</v>
      </c>
      <c r="AB38" s="307">
        <f t="shared" si="40"/>
        <v>140535.09502768889</v>
      </c>
      <c r="AC38" s="307">
        <f t="shared" si="40"/>
        <v>150372.55167962713</v>
      </c>
      <c r="AD38" s="307">
        <f t="shared" si="40"/>
        <v>160898.63029720102</v>
      </c>
      <c r="AE38" s="307">
        <f t="shared" si="40"/>
        <v>172161.53441800509</v>
      </c>
      <c r="AF38" s="308">
        <f t="shared" si="40"/>
        <v>184212.84182726545</v>
      </c>
      <c r="AG38" s="389">
        <f>SUM(G38:AF38)</f>
        <v>2328989.1829390572</v>
      </c>
      <c r="AH38" s="7"/>
      <c r="AI38" s="7"/>
      <c r="AJ38" s="7"/>
      <c r="AK38" s="11"/>
      <c r="AL38" s="11"/>
      <c r="AM38" s="11"/>
      <c r="AN38" s="11"/>
    </row>
    <row r="39" spans="1:40" ht="14.25">
      <c r="A39" s="1110"/>
      <c r="B39" s="691">
        <v>30</v>
      </c>
      <c r="C39" s="696" t="s">
        <v>442</v>
      </c>
      <c r="D39" s="677">
        <v>18064</v>
      </c>
      <c r="E39" s="678">
        <v>16808</v>
      </c>
      <c r="F39" s="697">
        <v>19101</v>
      </c>
      <c r="G39" s="309">
        <f>F39-G10</f>
        <v>21545.96</v>
      </c>
      <c r="H39" s="305">
        <f>G39-H10</f>
        <v>24186.516799999998</v>
      </c>
      <c r="I39" s="305">
        <f t="shared" ref="I39:AF39" si="41">H39-I10</f>
        <v>27038.318143999997</v>
      </c>
      <c r="J39" s="310">
        <f t="shared" si="41"/>
        <v>30118.263595519998</v>
      </c>
      <c r="K39" s="365">
        <f t="shared" si="41"/>
        <v>33028.812047206397</v>
      </c>
      <c r="L39" s="305">
        <f t="shared" si="41"/>
        <v>36143.098890510846</v>
      </c>
      <c r="M39" s="305">
        <f t="shared" si="41"/>
        <v>39475.385812846609</v>
      </c>
      <c r="N39" s="305">
        <f t="shared" si="41"/>
        <v>43040.932819745874</v>
      </c>
      <c r="O39" s="305">
        <f t="shared" si="41"/>
        <v>46856.068117128088</v>
      </c>
      <c r="P39" s="305">
        <f t="shared" si="41"/>
        <v>50938.262885327058</v>
      </c>
      <c r="Q39" s="305">
        <f t="shared" si="41"/>
        <v>55306.21128729995</v>
      </c>
      <c r="R39" s="305">
        <f t="shared" si="41"/>
        <v>59979.916077410948</v>
      </c>
      <c r="S39" s="305">
        <f t="shared" si="41"/>
        <v>64980.780202829716</v>
      </c>
      <c r="T39" s="305">
        <f t="shared" si="41"/>
        <v>70331.704817027799</v>
      </c>
      <c r="U39" s="305">
        <f t="shared" si="41"/>
        <v>76057.194154219746</v>
      </c>
      <c r="V39" s="305">
        <f t="shared" si="41"/>
        <v>82183.467745015136</v>
      </c>
      <c r="W39" s="305">
        <f t="shared" si="41"/>
        <v>88738.580487166197</v>
      </c>
      <c r="X39" s="305">
        <f t="shared" si="41"/>
        <v>95752.551121267825</v>
      </c>
      <c r="Y39" s="305">
        <f t="shared" si="41"/>
        <v>103257.49969975658</v>
      </c>
      <c r="Z39" s="305">
        <f t="shared" si="41"/>
        <v>111287.79467873953</v>
      </c>
      <c r="AA39" s="305">
        <f t="shared" si="41"/>
        <v>119880.21030625131</v>
      </c>
      <c r="AB39" s="305">
        <f t="shared" si="41"/>
        <v>129074.09502768889</v>
      </c>
      <c r="AC39" s="305">
        <f t="shared" si="41"/>
        <v>138911.55167962713</v>
      </c>
      <c r="AD39" s="305">
        <f t="shared" si="41"/>
        <v>149437.63029720102</v>
      </c>
      <c r="AE39" s="305">
        <f t="shared" si="41"/>
        <v>160700.53441800509</v>
      </c>
      <c r="AF39" s="310">
        <f t="shared" si="41"/>
        <v>172751.84182726545</v>
      </c>
      <c r="AG39" s="389">
        <f>SUM(G39:AF39)</f>
        <v>2031003.182939057</v>
      </c>
      <c r="AH39" s="7"/>
      <c r="AI39" s="7"/>
      <c r="AJ39" s="7"/>
      <c r="AK39" s="11"/>
      <c r="AL39" s="11"/>
      <c r="AM39" s="11"/>
      <c r="AN39" s="11"/>
    </row>
    <row r="40" spans="1:40" ht="14.25">
      <c r="A40" s="1110"/>
      <c r="B40" s="691">
        <v>31</v>
      </c>
      <c r="C40" s="696" t="s">
        <v>443</v>
      </c>
      <c r="D40" s="677">
        <v>279737</v>
      </c>
      <c r="E40" s="678">
        <v>289897</v>
      </c>
      <c r="F40" s="697">
        <v>307689</v>
      </c>
      <c r="G40" s="309">
        <f t="shared" ref="G40:AF40" si="42">F40+(-G23)</f>
        <v>325689</v>
      </c>
      <c r="H40" s="305">
        <f t="shared" si="42"/>
        <v>345913.89717499999</v>
      </c>
      <c r="I40" s="305">
        <f t="shared" si="42"/>
        <v>366543.29229349998</v>
      </c>
      <c r="J40" s="310">
        <f t="shared" si="42"/>
        <v>387482.12833877746</v>
      </c>
      <c r="K40" s="365">
        <f t="shared" si="42"/>
        <v>405609.17782940343</v>
      </c>
      <c r="L40" s="305">
        <f t="shared" si="42"/>
        <v>423917.49781493563</v>
      </c>
      <c r="M40" s="305">
        <f t="shared" si="42"/>
        <v>442408.90100032318</v>
      </c>
      <c r="N40" s="305">
        <f t="shared" si="42"/>
        <v>461085.21821756457</v>
      </c>
      <c r="O40" s="305">
        <f t="shared" si="42"/>
        <v>479948.29860697838</v>
      </c>
      <c r="P40" s="305">
        <f t="shared" si="42"/>
        <v>499000.00980028632</v>
      </c>
      <c r="Q40" s="305">
        <f t="shared" si="42"/>
        <v>518242.23810552736</v>
      </c>
      <c r="R40" s="305">
        <f t="shared" si="42"/>
        <v>537676.8886938208</v>
      </c>
      <c r="S40" s="305">
        <f t="shared" si="42"/>
        <v>557305.88578799716</v>
      </c>
      <c r="T40" s="305">
        <f t="shared" si="42"/>
        <v>577131.17285311536</v>
      </c>
      <c r="U40" s="305">
        <f t="shared" si="42"/>
        <v>597154.71278888464</v>
      </c>
      <c r="V40" s="305">
        <f t="shared" si="42"/>
        <v>617378.48812401167</v>
      </c>
      <c r="W40" s="305">
        <f t="shared" si="42"/>
        <v>637804.50121248991</v>
      </c>
      <c r="X40" s="305">
        <f t="shared" si="42"/>
        <v>658434.77443185297</v>
      </c>
      <c r="Y40" s="305">
        <f t="shared" si="42"/>
        <v>679271.35038340965</v>
      </c>
      <c r="Z40" s="305">
        <f t="shared" si="42"/>
        <v>700316.29209448188</v>
      </c>
      <c r="AA40" s="305">
        <f t="shared" si="42"/>
        <v>721571.68322266487</v>
      </c>
      <c r="AB40" s="305">
        <f t="shared" si="42"/>
        <v>743039.62826212973</v>
      </c>
      <c r="AC40" s="305">
        <f t="shared" si="42"/>
        <v>764722.25275198917</v>
      </c>
      <c r="AD40" s="305">
        <f t="shared" si="42"/>
        <v>786621.70348674722</v>
      </c>
      <c r="AE40" s="305">
        <f t="shared" si="42"/>
        <v>808740.14872885286</v>
      </c>
      <c r="AF40" s="310">
        <f t="shared" si="42"/>
        <v>831079.77842337952</v>
      </c>
      <c r="AG40" s="389" t="s">
        <v>444</v>
      </c>
      <c r="AH40" s="7"/>
      <c r="AI40" s="7"/>
      <c r="AJ40" s="7"/>
      <c r="AK40" s="11"/>
      <c r="AL40" s="11"/>
      <c r="AM40" s="11"/>
      <c r="AN40" s="11"/>
    </row>
    <row r="41" spans="1:40" ht="14.65" thickBot="1">
      <c r="A41" s="1112"/>
      <c r="B41" s="698">
        <v>32</v>
      </c>
      <c r="C41" s="699" t="s">
        <v>445</v>
      </c>
      <c r="D41" s="700">
        <v>184904</v>
      </c>
      <c r="E41" s="701">
        <v>190201</v>
      </c>
      <c r="F41" s="702">
        <v>200225</v>
      </c>
      <c r="G41" s="684">
        <f>F41-G9</f>
        <v>215317.9751363385</v>
      </c>
      <c r="H41" s="685">
        <f t="shared" ref="H41:AF41" si="43">G41-H9</f>
        <v>231293.89880984958</v>
      </c>
      <c r="I41" s="685">
        <f t="shared" si="43"/>
        <v>248261.90822642355</v>
      </c>
      <c r="J41" s="686">
        <f t="shared" si="43"/>
        <v>266241.8451009217</v>
      </c>
      <c r="K41" s="703">
        <f t="shared" si="43"/>
        <v>283678.54087616666</v>
      </c>
      <c r="L41" s="685">
        <f t="shared" si="43"/>
        <v>301930.95387848979</v>
      </c>
      <c r="M41" s="685">
        <f t="shared" si="43"/>
        <v>321007.24128016189</v>
      </c>
      <c r="N41" s="685">
        <f t="shared" si="43"/>
        <v>340915.64182517643</v>
      </c>
      <c r="O41" s="685">
        <f t="shared" si="43"/>
        <v>361664.47664496681</v>
      </c>
      <c r="P41" s="685">
        <f t="shared" si="43"/>
        <v>383262.15008228086</v>
      </c>
      <c r="Q41" s="685">
        <f t="shared" si="43"/>
        <v>405717.15052329376</v>
      </c>
      <c r="R41" s="685">
        <f t="shared" si="43"/>
        <v>429038.05123804248</v>
      </c>
      <c r="S41" s="685">
        <f t="shared" si="43"/>
        <v>453233.51122926443</v>
      </c>
      <c r="T41" s="685">
        <f t="shared" si="43"/>
        <v>478312.27608972433</v>
      </c>
      <c r="U41" s="685">
        <f t="shared" si="43"/>
        <v>504283.17886811454</v>
      </c>
      <c r="V41" s="685">
        <f t="shared" si="43"/>
        <v>531155.1409436143</v>
      </c>
      <c r="W41" s="685">
        <f t="shared" si="43"/>
        <v>558937.17290919484</v>
      </c>
      <c r="X41" s="685">
        <f t="shared" si="43"/>
        <v>587638.37546375685</v>
      </c>
      <c r="Y41" s="685">
        <f t="shared" si="43"/>
        <v>617267.94031319022</v>
      </c>
      <c r="Z41" s="685">
        <f t="shared" si="43"/>
        <v>647835.15108044364</v>
      </c>
      <c r="AA41" s="685">
        <f t="shared" si="43"/>
        <v>679349.38422469527</v>
      </c>
      <c r="AB41" s="685">
        <f t="shared" si="43"/>
        <v>711820.10996971524</v>
      </c>
      <c r="AC41" s="685">
        <f t="shared" si="43"/>
        <v>745256.89324151108</v>
      </c>
      <c r="AD41" s="685">
        <f t="shared" si="43"/>
        <v>779669.39461535064</v>
      </c>
      <c r="AE41" s="685">
        <f t="shared" si="43"/>
        <v>815067.37127225427</v>
      </c>
      <c r="AF41" s="686">
        <f t="shared" si="43"/>
        <v>851460.67796505266</v>
      </c>
      <c r="AG41" s="389">
        <f>SUM(G41:AF41)</f>
        <v>12749616.411807993</v>
      </c>
      <c r="AH41" s="7"/>
      <c r="AI41" s="7"/>
      <c r="AJ41" s="7"/>
      <c r="AK41" s="11"/>
      <c r="AL41" s="11"/>
      <c r="AM41" s="11"/>
      <c r="AN41" s="11"/>
    </row>
    <row r="42" spans="1:40" s="7" customFormat="1" ht="14.65" thickBot="1">
      <c r="A42" s="1103"/>
      <c r="B42" s="1104"/>
      <c r="C42" s="1104"/>
      <c r="D42" s="1104"/>
      <c r="E42" s="1104"/>
      <c r="F42" s="1104"/>
      <c r="G42" s="1104"/>
      <c r="H42" s="1104"/>
      <c r="I42" s="1104"/>
      <c r="J42" s="1104"/>
      <c r="K42" s="1104"/>
      <c r="L42" s="1104"/>
      <c r="M42" s="1104"/>
      <c r="N42" s="1104"/>
      <c r="O42" s="1104"/>
      <c r="P42" s="1104"/>
      <c r="Q42" s="1104"/>
      <c r="R42" s="1104"/>
      <c r="S42" s="1104"/>
      <c r="T42" s="1104"/>
      <c r="U42" s="1104"/>
      <c r="V42" s="1104"/>
      <c r="W42" s="1104"/>
      <c r="X42" s="1104"/>
      <c r="Y42" s="1104"/>
      <c r="Z42" s="1104"/>
      <c r="AA42" s="1104"/>
      <c r="AB42" s="1104"/>
      <c r="AC42" s="1104"/>
      <c r="AD42" s="1104"/>
      <c r="AE42" s="1104"/>
      <c r="AF42" s="1105"/>
      <c r="AG42" s="388"/>
      <c r="AK42" s="11"/>
      <c r="AL42" s="11"/>
      <c r="AM42" s="11"/>
      <c r="AN42" s="11"/>
    </row>
    <row r="43" spans="1:40" ht="15" customHeight="1">
      <c r="A43" s="1095" t="s">
        <v>446</v>
      </c>
      <c r="B43" s="704">
        <v>33</v>
      </c>
      <c r="C43" s="705" t="s">
        <v>447</v>
      </c>
      <c r="D43" s="706">
        <f>'Fin. Data'!D39</f>
        <v>22171</v>
      </c>
      <c r="E43" s="707">
        <f>E36+D43</f>
        <v>2834</v>
      </c>
      <c r="F43" s="708">
        <f>F36+E43</f>
        <v>2784</v>
      </c>
      <c r="G43" s="709">
        <f>G36+F43</f>
        <v>2712.5293489980377</v>
      </c>
      <c r="H43" s="710">
        <f t="shared" ref="H43:AF43" si="44">H36+G43</f>
        <v>3337.6808369233386</v>
      </c>
      <c r="I43" s="710">
        <f t="shared" si="44"/>
        <v>9978.8164856229178</v>
      </c>
      <c r="J43" s="711">
        <f t="shared" si="44"/>
        <v>18879.465033239525</v>
      </c>
      <c r="K43" s="709">
        <f t="shared" si="44"/>
        <v>15194.171484588196</v>
      </c>
      <c r="L43" s="710">
        <f t="shared" si="44"/>
        <v>21652.312967004815</v>
      </c>
      <c r="M43" s="710">
        <f t="shared" si="44"/>
        <v>29186.001296978269</v>
      </c>
      <c r="N43" s="710">
        <f t="shared" si="44"/>
        <v>14547.976537955377</v>
      </c>
      <c r="O43" s="710">
        <f t="shared" si="44"/>
        <v>23466.891502848819</v>
      </c>
      <c r="P43" s="710">
        <f t="shared" si="44"/>
        <v>15246.387445849705</v>
      </c>
      <c r="Q43" s="710">
        <f t="shared" si="44"/>
        <v>25838.15409646363</v>
      </c>
      <c r="R43" s="710">
        <f t="shared" si="44"/>
        <v>37506.941049946807</v>
      </c>
      <c r="S43" s="710">
        <f t="shared" si="44"/>
        <v>50289.612791884108</v>
      </c>
      <c r="T43" s="710">
        <f t="shared" si="44"/>
        <v>64215.902767316918</v>
      </c>
      <c r="U43" s="710">
        <f t="shared" si="44"/>
        <v>79327.663360492515</v>
      </c>
      <c r="V43" s="710">
        <f t="shared" si="44"/>
        <v>95665.123043668951</v>
      </c>
      <c r="W43" s="710">
        <f t="shared" si="44"/>
        <v>113269.89670961842</v>
      </c>
      <c r="X43" s="710">
        <f t="shared" si="44"/>
        <v>132187.87092683552</v>
      </c>
      <c r="Y43" s="710">
        <f t="shared" si="44"/>
        <v>152466.58097657296</v>
      </c>
      <c r="Z43" s="710">
        <f t="shared" si="44"/>
        <v>174156.33291139884</v>
      </c>
      <c r="AA43" s="710">
        <f t="shared" si="44"/>
        <v>197310.69131347997</v>
      </c>
      <c r="AB43" s="710">
        <f t="shared" si="44"/>
        <v>221986.16141348222</v>
      </c>
      <c r="AC43" s="710">
        <f t="shared" si="44"/>
        <v>248242.64887786578</v>
      </c>
      <c r="AD43" s="710">
        <f t="shared" si="44"/>
        <v>276143.69836937002</v>
      </c>
      <c r="AE43" s="710">
        <f t="shared" si="44"/>
        <v>305756.65007040068</v>
      </c>
      <c r="AF43" s="712">
        <f t="shared" si="44"/>
        <v>337152.95791224495</v>
      </c>
      <c r="AG43" s="388"/>
      <c r="AH43" s="7"/>
      <c r="AI43" s="7"/>
      <c r="AJ43" s="7"/>
      <c r="AK43" s="11"/>
      <c r="AL43" s="11"/>
      <c r="AM43" s="11"/>
      <c r="AN43" s="11"/>
    </row>
    <row r="44" spans="1:40" ht="14.25">
      <c r="A44" s="1096"/>
      <c r="B44" s="713">
        <v>34</v>
      </c>
      <c r="C44" s="714" t="s">
        <v>288</v>
      </c>
      <c r="D44" s="715">
        <f>'Fin. Data'!D58</f>
        <v>129062</v>
      </c>
      <c r="E44" s="716">
        <f>'Fin. Data'!C58</f>
        <v>150868</v>
      </c>
      <c r="F44" s="717">
        <f>'Fin. Data'!B58</f>
        <v>150639</v>
      </c>
      <c r="G44" s="620">
        <f>G12*3</f>
        <v>149862.43990901555</v>
      </c>
      <c r="H44" s="621">
        <f>H12*Assumptions!$O$41</f>
        <v>150344.98205693215</v>
      </c>
      <c r="I44" s="621">
        <f>I12*Assumptions!$O$41</f>
        <v>155761.78366308956</v>
      </c>
      <c r="J44" s="718">
        <f>J12*Assumptions!$O$41</f>
        <v>160832.25618973892</v>
      </c>
      <c r="K44" s="620">
        <f>K12*Assumptions!$O$41</f>
        <v>155382.48804992897</v>
      </c>
      <c r="L44" s="621">
        <f>L12*Assumptions!$O$41</f>
        <v>159302.66414206632</v>
      </c>
      <c r="M44" s="621">
        <f>M12*Assumptions!$O$41</f>
        <v>163297.49247526654</v>
      </c>
      <c r="N44" s="621">
        <f>N12*Assumptions!$O$42</f>
        <v>144284.65612547431</v>
      </c>
      <c r="O44" s="621">
        <f>O12*Assumptions!$O$42</f>
        <v>147865.71041107824</v>
      </c>
      <c r="P44" s="621">
        <f>P12*Assumptions!$O$43</f>
        <v>133337.61186513735</v>
      </c>
      <c r="Q44" s="621">
        <f>Q12*Assumptions!$O$43</f>
        <v>136620.80828570758</v>
      </c>
      <c r="R44" s="621">
        <f>R12*Assumptions!$O$43</f>
        <v>139974.55615014167</v>
      </c>
      <c r="S44" s="621">
        <f>S12*Assumptions!$O$43</f>
        <v>143402.20133645431</v>
      </c>
      <c r="T44" s="621">
        <f>T12*Assumptions!$O$43</f>
        <v>146907.3080068907</v>
      </c>
      <c r="U44" s="621">
        <f>U12*Assumptions!$O$43</f>
        <v>150493.67372855035</v>
      </c>
      <c r="V44" s="621">
        <f>V12*Assumptions!$O$43</f>
        <v>154165.34565086174</v>
      </c>
      <c r="W44" s="621">
        <f>W12*Assumptions!$O$43</f>
        <v>157926.63781387196</v>
      </c>
      <c r="X44" s="621">
        <f>X12*Assumptions!$O$43</f>
        <v>161782.14966649117</v>
      </c>
      <c r="Y44" s="621">
        <f>Y12*Assumptions!$O$43</f>
        <v>165736.7858793741</v>
      </c>
      <c r="Z44" s="621">
        <f>Z12*Assumptions!$O$43</f>
        <v>169795.77754304488</v>
      </c>
      <c r="AA44" s="621">
        <f>AA12*Assumptions!$O$43</f>
        <v>173964.70484821772</v>
      </c>
      <c r="AB44" s="621">
        <f>AB12*Assumptions!$O$43</f>
        <v>178249.52135204797</v>
      </c>
      <c r="AC44" s="621">
        <f>AC12*Assumptions!$O$43</f>
        <v>182656.57994131482</v>
      </c>
      <c r="AD44" s="621">
        <f>AD12*Assumptions!$O$43</f>
        <v>187192.66061130041</v>
      </c>
      <c r="AE44" s="621">
        <f>AE12*Assumptions!$O$43</f>
        <v>191865.00018744974</v>
      </c>
      <c r="AF44" s="622">
        <f>AF12*Assumptions!$O$43</f>
        <v>196681.32412578692</v>
      </c>
      <c r="AG44" s="406"/>
      <c r="AH44" s="11"/>
      <c r="AI44" s="11"/>
      <c r="AJ44" s="11"/>
      <c r="AK44" s="11"/>
      <c r="AL44" s="11"/>
      <c r="AM44" s="11"/>
      <c r="AN44" s="11"/>
    </row>
    <row r="45" spans="1:40" ht="14.25">
      <c r="A45" s="1096"/>
      <c r="B45" s="713">
        <v>35</v>
      </c>
      <c r="C45" s="751" t="s">
        <v>448</v>
      </c>
      <c r="D45" s="719"/>
      <c r="E45" s="720"/>
      <c r="F45" s="721">
        <f>1/((1+$F$50)^G50)</f>
        <v>1</v>
      </c>
      <c r="G45" s="722">
        <f t="shared" ref="G45:AF45" si="45">1/((1+$F$50)^G49)</f>
        <v>0.90571506204148167</v>
      </c>
      <c r="H45" s="723">
        <f t="shared" si="45"/>
        <v>0.82031977360880504</v>
      </c>
      <c r="I45" s="723">
        <f t="shared" si="45"/>
        <v>0.74297597464795295</v>
      </c>
      <c r="J45" s="724">
        <f t="shared" si="45"/>
        <v>0.67292453097360105</v>
      </c>
      <c r="K45" s="722">
        <f t="shared" si="45"/>
        <v>0.60947788331999009</v>
      </c>
      <c r="L45" s="723">
        <f t="shared" si="45"/>
        <v>0.55201329890407569</v>
      </c>
      <c r="M45" s="723">
        <f t="shared" si="45"/>
        <v>0.49996675926462797</v>
      </c>
      <c r="N45" s="723">
        <f t="shared" si="45"/>
        <v>0.45282742438604101</v>
      </c>
      <c r="O45" s="723">
        <f t="shared" si="45"/>
        <v>0.4101326187718875</v>
      </c>
      <c r="P45" s="723">
        <f t="shared" si="45"/>
        <v>0.37146329025621544</v>
      </c>
      <c r="Q45" s="723">
        <f t="shared" si="45"/>
        <v>0.33643989698054105</v>
      </c>
      <c r="R45" s="723">
        <f t="shared" si="45"/>
        <v>0.30471868216696046</v>
      </c>
      <c r="S45" s="723">
        <f t="shared" si="45"/>
        <v>0.27598830012404718</v>
      </c>
      <c r="T45" s="723">
        <f t="shared" si="45"/>
        <v>0.24996676036957438</v>
      </c>
      <c r="U45" s="723">
        <f t="shared" si="45"/>
        <v>0.22639865987643726</v>
      </c>
      <c r="V45" s="723">
        <f t="shared" si="45"/>
        <v>0.20505267627609572</v>
      </c>
      <c r="W45" s="723">
        <f t="shared" si="45"/>
        <v>0.1857192974151759</v>
      </c>
      <c r="X45" s="723">
        <f t="shared" si="45"/>
        <v>0.16820876498068643</v>
      </c>
      <c r="Y45" s="723">
        <f t="shared" si="45"/>
        <v>0.15234921201040341</v>
      </c>
      <c r="Z45" s="723">
        <f t="shared" si="45"/>
        <v>0.13798497600797335</v>
      </c>
      <c r="AA45" s="723">
        <f t="shared" si="45"/>
        <v>0.12497507110585397</v>
      </c>
      <c r="AB45" s="723">
        <f t="shared" si="45"/>
        <v>0.1131918042802771</v>
      </c>
      <c r="AC45" s="723">
        <f t="shared" si="45"/>
        <v>0.10251952203629842</v>
      </c>
      <c r="AD45" s="723">
        <f t="shared" si="45"/>
        <v>9.2853475261569077E-2</v>
      </c>
      <c r="AE45" s="723">
        <f t="shared" si="45"/>
        <v>8.4098791107299217E-2</v>
      </c>
      <c r="AF45" s="725">
        <f t="shared" si="45"/>
        <v>7.6169541805361118E-2</v>
      </c>
      <c r="AG45" s="406"/>
      <c r="AH45" s="11"/>
      <c r="AI45" s="11"/>
      <c r="AJ45" s="11"/>
      <c r="AK45" s="11"/>
      <c r="AL45" s="11"/>
      <c r="AM45" s="11"/>
      <c r="AN45" s="11"/>
    </row>
    <row r="46" spans="1:40" ht="14.25">
      <c r="A46" s="1096"/>
      <c r="B46" s="713">
        <v>36</v>
      </c>
      <c r="C46" s="751" t="s">
        <v>449</v>
      </c>
      <c r="D46" s="719"/>
      <c r="E46" s="726" t="s">
        <v>450</v>
      </c>
      <c r="F46" s="721">
        <f>1/((1+$F$50+0.001)^G50)</f>
        <v>1</v>
      </c>
      <c r="G46" s="722">
        <f>1/((1+$F$50+0.001)^G49)</f>
        <v>0.90489548457153202</v>
      </c>
      <c r="H46" s="723">
        <f t="shared" ref="H46:AF46" si="46">1/((1+$F$50+0.001)^H49)</f>
        <v>0.81883583799794768</v>
      </c>
      <c r="I46" s="723">
        <f t="shared" si="46"/>
        <v>0.74096085240968934</v>
      </c>
      <c r="J46" s="724">
        <f t="shared" si="46"/>
        <v>0.6704921295898012</v>
      </c>
      <c r="K46" s="722">
        <f t="shared" si="46"/>
        <v>0.60672530050656159</v>
      </c>
      <c r="L46" s="723">
        <f t="shared" si="46"/>
        <v>0.54902298480369338</v>
      </c>
      <c r="M46" s="723">
        <f t="shared" si="46"/>
        <v>0.49680841987484708</v>
      </c>
      <c r="N46" s="723">
        <f t="shared" si="46"/>
        <v>0.44955969584186684</v>
      </c>
      <c r="O46" s="723">
        <f t="shared" si="46"/>
        <v>0.4068045388126566</v>
      </c>
      <c r="P46" s="723">
        <f t="shared" si="46"/>
        <v>0.36811559027477747</v>
      </c>
      <c r="Q46" s="723">
        <f t="shared" si="46"/>
        <v>0.33310613544003032</v>
      </c>
      <c r="R46" s="723">
        <f t="shared" si="46"/>
        <v>0.30142623784275663</v>
      </c>
      <c r="S46" s="723">
        <f t="shared" si="46"/>
        <v>0.27275924155529507</v>
      </c>
      <c r="T46" s="723">
        <f t="shared" si="46"/>
        <v>0.24681860605854228</v>
      </c>
      <c r="U46" s="723">
        <f t="shared" si="46"/>
        <v>0.22334504213061473</v>
      </c>
      <c r="V46" s="723">
        <f t="shared" si="46"/>
        <v>0.20210392012543182</v>
      </c>
      <c r="W46" s="723">
        <f t="shared" si="46"/>
        <v>0.18288292473570886</v>
      </c>
      <c r="X46" s="723">
        <f t="shared" si="46"/>
        <v>0.16548993279857827</v>
      </c>
      <c r="Y46" s="723">
        <f t="shared" si="46"/>
        <v>0.14975109293147976</v>
      </c>
      <c r="Z46" s="723">
        <f t="shared" si="46"/>
        <v>0.13550908780334789</v>
      </c>
      <c r="AA46" s="723">
        <f t="shared" si="46"/>
        <v>0.12262156167165676</v>
      </c>
      <c r="AB46" s="723">
        <f t="shared" si="46"/>
        <v>0.11095969746779183</v>
      </c>
      <c r="AC46" s="723">
        <f t="shared" si="46"/>
        <v>0.10040692920802811</v>
      </c>
      <c r="AD46" s="723">
        <f t="shared" si="46"/>
        <v>9.0857776860038097E-2</v>
      </c>
      <c r="AE46" s="723">
        <f t="shared" si="46"/>
        <v>8.2216792018856275E-2</v>
      </c>
      <c r="AF46" s="725">
        <f t="shared" si="46"/>
        <v>7.4397603853819827E-2</v>
      </c>
      <c r="AG46" s="406"/>
      <c r="AH46" s="11"/>
      <c r="AI46" s="11"/>
      <c r="AJ46" s="11"/>
      <c r="AK46" s="11"/>
      <c r="AL46" s="11"/>
      <c r="AM46" s="11"/>
      <c r="AN46" s="11"/>
    </row>
    <row r="47" spans="1:40" ht="14.65" thickBot="1">
      <c r="A47" s="1097"/>
      <c r="B47" s="727">
        <v>37</v>
      </c>
      <c r="C47" s="752" t="s">
        <v>451</v>
      </c>
      <c r="D47" s="728"/>
      <c r="E47" s="729" t="s">
        <v>452</v>
      </c>
      <c r="F47" s="730">
        <f>1/((1+$F$50+0.005)^G50)</f>
        <v>1</v>
      </c>
      <c r="G47" s="731">
        <f t="shared" ref="G47:AF47" si="47">1/((1+$F$50+0.005)^G49)</f>
        <v>0.90163195383644401</v>
      </c>
      <c r="H47" s="732">
        <f t="shared" si="47"/>
        <v>0.81294018017892344</v>
      </c>
      <c r="I47" s="732">
        <f t="shared" si="47"/>
        <v>0.73297284300687349</v>
      </c>
      <c r="J47" s="733">
        <f t="shared" si="47"/>
        <v>0.6608717365493405</v>
      </c>
      <c r="K47" s="731">
        <f t="shared" si="47"/>
        <v>0.59586307506026548</v>
      </c>
      <c r="L47" s="732">
        <f t="shared" si="47"/>
        <v>0.5372491885855788</v>
      </c>
      <c r="M47" s="732">
        <f t="shared" si="47"/>
        <v>0.48440103560145953</v>
      </c>
      <c r="N47" s="732">
        <f t="shared" si="47"/>
        <v>0.43675145216974087</v>
      </c>
      <c r="O47" s="732">
        <f t="shared" si="47"/>
        <v>0.39378906516070772</v>
      </c>
      <c r="P47" s="732">
        <f t="shared" si="47"/>
        <v>0.35505280422027558</v>
      </c>
      <c r="Q47" s="732">
        <f t="shared" si="47"/>
        <v>0.32012695358423549</v>
      </c>
      <c r="R47" s="732">
        <f t="shared" si="47"/>
        <v>0.28863669063586289</v>
      </c>
      <c r="S47" s="732">
        <f t="shared" si="47"/>
        <v>0.26024406332689826</v>
      </c>
      <c r="T47" s="732">
        <f t="shared" si="47"/>
        <v>0.23464436329176655</v>
      </c>
      <c r="U47" s="732">
        <f t="shared" si="47"/>
        <v>0.2115628557314638</v>
      </c>
      <c r="V47" s="732">
        <f t="shared" si="47"/>
        <v>0.19075183097237744</v>
      </c>
      <c r="W47" s="732">
        <f t="shared" si="47"/>
        <v>0.17198794605750378</v>
      </c>
      <c r="X47" s="732">
        <f t="shared" si="47"/>
        <v>0.15506982784014406</v>
      </c>
      <c r="Y47" s="732">
        <f t="shared" si="47"/>
        <v>0.13981591185659009</v>
      </c>
      <c r="Z47" s="732">
        <f t="shared" si="47"/>
        <v>0.12606249378468135</v>
      </c>
      <c r="AA47" s="732">
        <f t="shared" si="47"/>
        <v>0.11366197257657683</v>
      </c>
      <c r="AB47" s="732">
        <f t="shared" si="47"/>
        <v>0.10248126641112328</v>
      </c>
      <c r="AC47" s="732">
        <f t="shared" si="47"/>
        <v>9.24003844658942E-2</v>
      </c>
      <c r="AD47" s="732">
        <f t="shared" si="47"/>
        <v>8.3311139181222793E-2</v>
      </c>
      <c r="AE47" s="732">
        <f t="shared" si="47"/>
        <v>7.5115985196305843E-2</v>
      </c>
      <c r="AF47" s="734">
        <f t="shared" si="47"/>
        <v>6.7726972496894633E-2</v>
      </c>
      <c r="AG47" s="406"/>
      <c r="AH47" s="11"/>
      <c r="AI47" s="11"/>
      <c r="AJ47" s="11"/>
      <c r="AK47" s="11"/>
      <c r="AL47" s="11"/>
      <c r="AM47" s="11"/>
      <c r="AN47" s="11"/>
    </row>
    <row r="48" spans="1:40" ht="14.65" thickBot="1">
      <c r="A48" s="1106" t="s">
        <v>420</v>
      </c>
      <c r="B48" s="1107"/>
      <c r="C48" s="1108"/>
      <c r="D48" s="1108"/>
      <c r="E48" s="1108"/>
      <c r="F48" s="1108"/>
      <c r="G48" s="1107"/>
      <c r="H48" s="1107"/>
      <c r="I48" s="1107"/>
      <c r="J48" s="1107"/>
      <c r="K48" s="1107"/>
      <c r="L48" s="1107"/>
      <c r="M48" s="1107"/>
      <c r="N48" s="1107"/>
      <c r="O48" s="1107"/>
      <c r="P48" s="1107"/>
      <c r="Q48" s="1107"/>
      <c r="R48" s="1107"/>
      <c r="S48" s="1107"/>
      <c r="T48" s="1107"/>
      <c r="U48" s="1107"/>
      <c r="V48" s="1107"/>
      <c r="W48" s="1107"/>
      <c r="X48" s="1107"/>
      <c r="Y48" s="1107"/>
      <c r="Z48" s="1107"/>
      <c r="AA48" s="1107"/>
      <c r="AB48" s="1107"/>
      <c r="AC48" s="1107"/>
      <c r="AD48" s="1107"/>
      <c r="AE48" s="1107"/>
      <c r="AF48" s="1109"/>
      <c r="AG48" s="406"/>
      <c r="AH48" s="11"/>
      <c r="AI48" s="11"/>
      <c r="AJ48" s="408"/>
      <c r="AK48" s="11"/>
      <c r="AL48" s="11"/>
      <c r="AM48" s="11"/>
      <c r="AN48" s="11"/>
    </row>
    <row r="49" spans="1:40" ht="14.25">
      <c r="A49" s="1113" t="s">
        <v>453</v>
      </c>
      <c r="C49" s="742" t="s">
        <v>454</v>
      </c>
      <c r="D49" s="743" t="s">
        <v>455</v>
      </c>
      <c r="E49" s="743" t="s">
        <v>456</v>
      </c>
      <c r="F49" s="744" t="s">
        <v>457</v>
      </c>
      <c r="G49" s="298">
        <v>1</v>
      </c>
      <c r="H49" s="299">
        <v>2</v>
      </c>
      <c r="I49" s="299">
        <v>3</v>
      </c>
      <c r="J49" s="298">
        <v>4</v>
      </c>
      <c r="K49" s="299">
        <v>5</v>
      </c>
      <c r="L49" s="299">
        <v>6</v>
      </c>
      <c r="M49" s="298">
        <v>7</v>
      </c>
      <c r="N49" s="299">
        <v>8</v>
      </c>
      <c r="O49" s="299">
        <v>9</v>
      </c>
      <c r="P49" s="298">
        <v>10</v>
      </c>
      <c r="Q49" s="299">
        <v>11</v>
      </c>
      <c r="R49" s="299">
        <v>12</v>
      </c>
      <c r="S49" s="298">
        <v>13</v>
      </c>
      <c r="T49" s="299">
        <v>14</v>
      </c>
      <c r="U49" s="299">
        <v>15</v>
      </c>
      <c r="V49" s="298">
        <v>16</v>
      </c>
      <c r="W49" s="299">
        <v>17</v>
      </c>
      <c r="X49" s="299">
        <v>18</v>
      </c>
      <c r="Y49" s="298">
        <v>19</v>
      </c>
      <c r="Z49" s="299">
        <v>20</v>
      </c>
      <c r="AA49" s="299">
        <v>21</v>
      </c>
      <c r="AB49" s="298">
        <v>22</v>
      </c>
      <c r="AC49" s="299">
        <v>23</v>
      </c>
      <c r="AD49" s="299">
        <v>24</v>
      </c>
      <c r="AE49" s="298">
        <v>25</v>
      </c>
      <c r="AF49" s="299">
        <v>26</v>
      </c>
      <c r="AG49" s="406"/>
      <c r="AH49" s="11"/>
      <c r="AI49" s="11"/>
      <c r="AJ49" s="11"/>
      <c r="AK49" s="11"/>
      <c r="AL49" s="11"/>
      <c r="AM49" s="11"/>
      <c r="AN49" s="11"/>
    </row>
    <row r="50" spans="1:40" ht="14.65" thickBot="1">
      <c r="A50" s="1114"/>
      <c r="C50" s="745">
        <v>4.6600000000000003E-2</v>
      </c>
      <c r="D50" s="746">
        <v>0.05</v>
      </c>
      <c r="E50" s="746">
        <v>7.4999999999999997E-3</v>
      </c>
      <c r="F50" s="747">
        <f>E50+D50+C50</f>
        <v>0.1041</v>
      </c>
      <c r="G50" s="298">
        <v>0</v>
      </c>
      <c r="S50" s="264"/>
      <c r="T50" s="264"/>
      <c r="U50" s="264"/>
      <c r="V50" s="264"/>
      <c r="W50" s="264"/>
      <c r="X50" s="264"/>
      <c r="Y50" s="264"/>
      <c r="Z50" s="264"/>
      <c r="AA50" s="264"/>
      <c r="AB50" s="264"/>
      <c r="AC50" s="264"/>
      <c r="AD50" s="264"/>
      <c r="AE50" s="264"/>
      <c r="AF50" s="264"/>
      <c r="AG50" s="405"/>
      <c r="AH50" s="11"/>
      <c r="AI50" s="11"/>
      <c r="AJ50" s="11"/>
      <c r="AK50" s="11"/>
      <c r="AL50" s="11"/>
      <c r="AM50" s="11"/>
      <c r="AN50" s="11"/>
    </row>
    <row r="51" spans="1:40" ht="14.25">
      <c r="A51" s="264"/>
      <c r="C51" s="264"/>
      <c r="D51" s="264"/>
      <c r="H51" s="264"/>
      <c r="I51" s="264"/>
      <c r="J51" s="264"/>
      <c r="K51" s="264"/>
      <c r="S51" s="264"/>
      <c r="T51" s="264"/>
      <c r="U51" s="264"/>
      <c r="V51" s="264"/>
      <c r="W51" s="264"/>
      <c r="X51" s="264"/>
      <c r="Y51" s="264"/>
      <c r="Z51" s="264"/>
      <c r="AA51" s="264"/>
      <c r="AB51" s="264"/>
      <c r="AC51" s="264"/>
      <c r="AD51" s="264"/>
      <c r="AE51" s="264"/>
      <c r="AF51" s="264"/>
      <c r="AG51" s="405"/>
      <c r="AH51" s="11"/>
      <c r="AI51" s="11"/>
      <c r="AJ51" s="11"/>
      <c r="AK51" s="11"/>
      <c r="AL51" s="11"/>
      <c r="AM51" s="11"/>
      <c r="AN51" s="11"/>
    </row>
    <row r="52" spans="1:40" ht="14.25">
      <c r="A52" s="1086" t="s">
        <v>458</v>
      </c>
      <c r="C52" s="748" t="s">
        <v>420</v>
      </c>
      <c r="D52" s="741" t="s">
        <v>396</v>
      </c>
      <c r="E52" s="741" t="s">
        <v>397</v>
      </c>
      <c r="F52" s="741" t="s">
        <v>459</v>
      </c>
      <c r="G52" s="264"/>
      <c r="I52" s="381"/>
      <c r="J52" s="381"/>
      <c r="K52" s="264"/>
      <c r="S52" s="264"/>
      <c r="T52" s="264"/>
      <c r="U52" s="264"/>
      <c r="V52" s="264"/>
      <c r="W52" s="264"/>
      <c r="X52" s="264"/>
      <c r="Y52" s="264"/>
      <c r="Z52" s="264"/>
      <c r="AA52" s="264"/>
      <c r="AB52" s="264"/>
      <c r="AC52" s="264"/>
      <c r="AD52" s="264"/>
      <c r="AE52" s="264"/>
      <c r="AF52" s="264"/>
      <c r="AG52" s="405"/>
      <c r="AH52" s="11"/>
      <c r="AI52" s="11"/>
      <c r="AJ52" s="11"/>
      <c r="AK52" s="11"/>
      <c r="AL52" s="11"/>
      <c r="AM52" s="11"/>
      <c r="AN52" s="11"/>
    </row>
    <row r="53" spans="1:40" ht="14.25">
      <c r="A53" s="1087"/>
      <c r="C53" s="748" t="s">
        <v>460</v>
      </c>
      <c r="D53" s="749">
        <f>Assumptions!L14</f>
        <v>-4.9052696509587636E-2</v>
      </c>
      <c r="E53" s="749">
        <v>-4.4999999999999998E-2</v>
      </c>
      <c r="F53" s="750" t="s">
        <v>461</v>
      </c>
      <c r="G53" s="383"/>
      <c r="I53" s="264"/>
      <c r="J53" s="264"/>
      <c r="K53" s="264"/>
      <c r="S53" s="264"/>
      <c r="T53" s="264"/>
      <c r="U53" s="264"/>
      <c r="V53" s="264"/>
      <c r="W53" s="264"/>
      <c r="X53" s="264"/>
      <c r="Y53" s="264"/>
      <c r="Z53" s="264"/>
      <c r="AA53" s="264"/>
      <c r="AB53" s="264"/>
      <c r="AC53" s="264"/>
      <c r="AD53" s="264"/>
      <c r="AE53" s="264"/>
      <c r="AF53" s="264"/>
      <c r="AG53" s="405"/>
      <c r="AH53" s="11"/>
      <c r="AI53" s="11"/>
      <c r="AJ53" s="11"/>
      <c r="AK53" s="11"/>
      <c r="AL53" s="11"/>
      <c r="AM53" s="11"/>
      <c r="AN53" s="11"/>
    </row>
    <row r="54" spans="1:40" ht="14.25">
      <c r="A54" s="1087"/>
      <c r="C54" s="748" t="s">
        <v>462</v>
      </c>
      <c r="D54" s="749">
        <v>-0.08</v>
      </c>
      <c r="E54" s="749">
        <v>-7.0000000000000007E-2</v>
      </c>
      <c r="F54" s="750" t="s">
        <v>463</v>
      </c>
      <c r="G54" s="264"/>
      <c r="I54" s="264"/>
      <c r="J54" s="264"/>
      <c r="K54" s="264"/>
      <c r="S54" s="264"/>
      <c r="T54" s="264"/>
      <c r="U54" s="264"/>
      <c r="V54" s="264"/>
      <c r="W54" s="264"/>
      <c r="X54" s="264"/>
      <c r="Y54" s="264"/>
      <c r="Z54" s="264"/>
      <c r="AA54" s="264"/>
      <c r="AB54" s="264"/>
      <c r="AC54" s="264"/>
      <c r="AD54" s="264"/>
      <c r="AE54" s="264"/>
      <c r="AF54" s="264"/>
      <c r="AG54" s="405"/>
      <c r="AH54" s="11"/>
      <c r="AI54" s="11"/>
      <c r="AJ54" s="11"/>
      <c r="AK54" s="11"/>
      <c r="AL54" s="11"/>
      <c r="AM54" s="11"/>
      <c r="AN54" s="11"/>
    </row>
    <row r="55" spans="1:40" ht="14.25">
      <c r="A55" s="1087"/>
      <c r="C55" s="748" t="s">
        <v>464</v>
      </c>
      <c r="D55" s="749">
        <f>Assumptions!L16</f>
        <v>-5.0693948421477184E-3</v>
      </c>
      <c r="E55" s="749">
        <f>-0.0025</f>
        <v>-2.5000000000000001E-3</v>
      </c>
      <c r="F55" s="750" t="s">
        <v>465</v>
      </c>
      <c r="G55" s="264"/>
      <c r="I55" s="264"/>
      <c r="J55" s="264"/>
      <c r="K55" s="264"/>
      <c r="L55" s="264"/>
      <c r="M55" s="264"/>
      <c r="N55" s="264"/>
      <c r="O55" s="264"/>
      <c r="P55" s="264"/>
      <c r="Q55" s="264"/>
      <c r="R55" s="264"/>
      <c r="S55" s="264"/>
      <c r="T55" s="264"/>
      <c r="U55" s="264"/>
      <c r="V55" s="264"/>
      <c r="W55" s="264"/>
      <c r="X55" s="264"/>
      <c r="Y55" s="264"/>
      <c r="Z55" s="264"/>
      <c r="AA55" s="264"/>
      <c r="AB55" s="264"/>
      <c r="AC55" s="264"/>
      <c r="AD55" s="264"/>
      <c r="AE55" s="264"/>
      <c r="AF55" s="264"/>
      <c r="AG55" s="405"/>
      <c r="AH55" s="11"/>
      <c r="AI55" s="11"/>
      <c r="AJ55" s="11"/>
      <c r="AK55" s="11"/>
      <c r="AL55" s="11"/>
      <c r="AM55" s="11"/>
      <c r="AN55" s="11"/>
    </row>
    <row r="56" spans="1:40" ht="14.25">
      <c r="A56" s="1087"/>
      <c r="C56" s="748" t="s">
        <v>466</v>
      </c>
      <c r="D56" s="749">
        <f>-Assumptions!L17</f>
        <v>0.23212725537618786</v>
      </c>
      <c r="E56" s="749">
        <v>0.27</v>
      </c>
      <c r="F56" s="750" t="s">
        <v>467</v>
      </c>
      <c r="I56" s="264"/>
      <c r="J56" s="264"/>
      <c r="K56" s="264"/>
      <c r="L56" s="264"/>
      <c r="M56" s="264"/>
      <c r="N56" s="264"/>
      <c r="O56" s="264"/>
      <c r="P56" s="264"/>
      <c r="Q56" s="264"/>
      <c r="R56" s="264"/>
      <c r="S56" s="264"/>
      <c r="T56" s="264"/>
      <c r="U56" s="264"/>
      <c r="V56" s="264"/>
      <c r="W56" s="264"/>
      <c r="X56" s="264"/>
      <c r="Y56" s="264"/>
      <c r="Z56" s="264"/>
      <c r="AA56" s="264"/>
      <c r="AB56" s="264"/>
      <c r="AC56" s="264"/>
      <c r="AD56" s="264"/>
      <c r="AE56" s="264"/>
      <c r="AF56" s="264"/>
      <c r="AG56" s="405"/>
      <c r="AH56" s="11"/>
      <c r="AI56" s="11"/>
      <c r="AJ56" s="11"/>
      <c r="AK56" s="11"/>
      <c r="AL56" s="11"/>
      <c r="AM56" s="11"/>
      <c r="AN56" s="11"/>
    </row>
    <row r="57" spans="1:40" ht="14.25">
      <c r="A57" s="1087"/>
      <c r="C57" s="748" t="s">
        <v>468</v>
      </c>
      <c r="D57" s="749">
        <v>0.06</v>
      </c>
      <c r="E57" s="749">
        <v>3.5000000000000003E-2</v>
      </c>
      <c r="F57" s="750" t="s">
        <v>469</v>
      </c>
      <c r="G57" s="264"/>
      <c r="I57" s="264"/>
      <c r="J57" s="264"/>
      <c r="K57" s="264"/>
      <c r="L57" s="264"/>
      <c r="M57" s="264"/>
      <c r="N57" s="264"/>
      <c r="O57" s="264"/>
      <c r="P57" s="264"/>
      <c r="Q57" s="264"/>
      <c r="R57" s="264"/>
      <c r="S57" s="264"/>
      <c r="T57" s="264"/>
      <c r="U57" s="264"/>
      <c r="V57" s="264"/>
      <c r="W57" s="264"/>
      <c r="X57" s="264"/>
      <c r="Y57" s="264"/>
      <c r="Z57" s="264"/>
      <c r="AA57" s="264"/>
      <c r="AB57" s="264"/>
      <c r="AC57" s="264"/>
      <c r="AD57" s="264"/>
      <c r="AE57" s="264"/>
      <c r="AF57" s="264"/>
      <c r="AG57" s="405"/>
      <c r="AH57" s="11"/>
      <c r="AI57" s="11"/>
      <c r="AJ57" s="11"/>
      <c r="AK57" s="11"/>
      <c r="AL57" s="11"/>
      <c r="AM57" s="11"/>
      <c r="AN57" s="11"/>
    </row>
    <row r="58" spans="1:40" ht="14.25">
      <c r="A58" s="1087"/>
      <c r="C58" s="748" t="s">
        <v>470</v>
      </c>
      <c r="D58" s="749">
        <v>4.4999999999999998E-2</v>
      </c>
      <c r="E58" s="749">
        <v>0.02</v>
      </c>
      <c r="F58" s="750" t="s">
        <v>471</v>
      </c>
      <c r="G58" s="264"/>
      <c r="H58" s="264"/>
      <c r="I58" s="265"/>
      <c r="J58" s="269"/>
      <c r="K58" s="269"/>
      <c r="L58" s="269"/>
      <c r="M58" s="269"/>
      <c r="N58" s="269"/>
      <c r="O58" s="264"/>
      <c r="P58" s="264"/>
      <c r="Q58" s="264"/>
      <c r="R58" s="264"/>
      <c r="S58" s="264"/>
      <c r="T58" s="264"/>
      <c r="U58" s="264"/>
      <c r="V58" s="264"/>
      <c r="W58" s="264"/>
      <c r="X58" s="264"/>
      <c r="Y58" s="264"/>
      <c r="Z58" s="264"/>
      <c r="AA58" s="264"/>
      <c r="AB58" s="264"/>
      <c r="AC58" s="264"/>
      <c r="AD58" s="264"/>
      <c r="AE58" s="264"/>
      <c r="AF58" s="264"/>
      <c r="AG58" s="405"/>
      <c r="AH58" s="11"/>
      <c r="AI58" s="11"/>
      <c r="AJ58" s="11"/>
      <c r="AK58" s="11"/>
      <c r="AL58" s="11"/>
      <c r="AM58" s="11"/>
      <c r="AN58" s="11"/>
    </row>
    <row r="59" spans="1:40" ht="14.25">
      <c r="A59" s="1087"/>
      <c r="C59" s="748" t="s">
        <v>472</v>
      </c>
      <c r="D59" s="749">
        <f>Assumptions!L20</f>
        <v>0</v>
      </c>
      <c r="E59" s="749">
        <f>Assumptions!M20</f>
        <v>0</v>
      </c>
      <c r="F59" s="750" t="s">
        <v>473</v>
      </c>
      <c r="G59" s="264"/>
      <c r="H59" s="264"/>
      <c r="I59" s="264"/>
      <c r="J59" s="270"/>
      <c r="K59" s="270"/>
      <c r="L59" s="270"/>
      <c r="M59" s="270"/>
      <c r="N59" s="269"/>
      <c r="O59" s="264"/>
      <c r="P59" s="264"/>
      <c r="Q59" s="264"/>
      <c r="R59" s="264"/>
      <c r="S59" s="264"/>
      <c r="T59" s="264"/>
      <c r="U59" s="264"/>
      <c r="V59" s="264"/>
      <c r="W59" s="264"/>
      <c r="X59" s="264"/>
      <c r="Y59" s="264"/>
      <c r="Z59" s="264"/>
      <c r="AA59" s="264"/>
      <c r="AB59" s="264"/>
      <c r="AC59" s="264"/>
      <c r="AD59" s="264"/>
      <c r="AE59" s="264"/>
      <c r="AF59" s="264"/>
      <c r="AG59" s="405"/>
      <c r="AH59" s="11"/>
      <c r="AI59" s="11"/>
      <c r="AJ59" s="11"/>
      <c r="AK59" s="11"/>
      <c r="AL59" s="11"/>
      <c r="AM59" s="11"/>
      <c r="AN59" s="11"/>
    </row>
    <row r="60" spans="1:40" ht="14.25">
      <c r="A60" s="1087"/>
      <c r="C60" s="748" t="s">
        <v>474</v>
      </c>
      <c r="D60" s="749">
        <f>Assumptions!L21</f>
        <v>-1.2867981814129947</v>
      </c>
      <c r="E60" s="749">
        <f>Assumptions!M21</f>
        <v>-1.2867981814129947</v>
      </c>
      <c r="F60" s="750" t="s">
        <v>475</v>
      </c>
      <c r="G60" s="264"/>
      <c r="H60" s="264"/>
      <c r="I60" s="264"/>
      <c r="J60" s="269"/>
      <c r="K60" s="269"/>
      <c r="L60" s="269"/>
      <c r="M60" s="269"/>
      <c r="N60" s="269"/>
      <c r="O60" s="264"/>
      <c r="P60" s="264"/>
      <c r="Q60" s="264"/>
      <c r="R60" s="264"/>
      <c r="S60" s="264"/>
      <c r="T60" s="264"/>
      <c r="U60" s="264"/>
      <c r="V60" s="264"/>
      <c r="W60" s="264"/>
      <c r="X60" s="264"/>
      <c r="Y60" s="264"/>
      <c r="Z60" s="264"/>
      <c r="AA60" s="264"/>
      <c r="AB60" s="264"/>
      <c r="AC60" s="264"/>
      <c r="AD60" s="264"/>
      <c r="AE60" s="264"/>
      <c r="AF60" s="264"/>
      <c r="AG60" s="405"/>
      <c r="AH60" s="11"/>
      <c r="AI60" s="11"/>
      <c r="AJ60" s="11"/>
      <c r="AK60" s="11"/>
      <c r="AL60" s="11"/>
      <c r="AM60" s="11"/>
      <c r="AN60" s="11"/>
    </row>
    <row r="61" spans="1:40" ht="14.25">
      <c r="A61" s="1087"/>
      <c r="C61" s="748" t="s">
        <v>476</v>
      </c>
      <c r="D61" s="749">
        <f>Assumptions!L22</f>
        <v>0</v>
      </c>
      <c r="E61" s="749">
        <f>Assumptions!M22</f>
        <v>0</v>
      </c>
      <c r="F61" s="750" t="s">
        <v>477</v>
      </c>
      <c r="G61" s="264"/>
      <c r="H61" s="264"/>
      <c r="I61" s="264"/>
      <c r="J61" s="264"/>
      <c r="K61" s="264"/>
      <c r="L61" s="264"/>
      <c r="M61" s="264"/>
      <c r="N61" s="264"/>
      <c r="O61" s="264"/>
      <c r="P61" s="264"/>
      <c r="Q61" s="264"/>
      <c r="R61" s="264"/>
      <c r="S61" s="264"/>
      <c r="T61" s="264"/>
      <c r="U61" s="264"/>
      <c r="V61" s="264"/>
      <c r="W61" s="264"/>
      <c r="X61" s="264"/>
      <c r="Y61" s="264"/>
      <c r="Z61" s="264"/>
      <c r="AA61" s="264"/>
      <c r="AB61" s="264"/>
      <c r="AC61" s="264"/>
      <c r="AD61" s="264"/>
      <c r="AE61" s="264"/>
      <c r="AF61" s="264"/>
      <c r="AG61" s="405"/>
      <c r="AH61" s="11"/>
      <c r="AI61" s="11"/>
      <c r="AJ61" s="11"/>
      <c r="AK61" s="11"/>
      <c r="AL61" s="11"/>
      <c r="AM61" s="11"/>
      <c r="AN61" s="11"/>
    </row>
    <row r="62" spans="1:40" ht="14.25">
      <c r="A62" s="1087"/>
      <c r="C62" s="748" t="s">
        <v>478</v>
      </c>
      <c r="D62" s="749">
        <v>-0.14000000000000001</v>
      </c>
      <c r="E62" s="749">
        <v>-0.12</v>
      </c>
      <c r="F62" s="750" t="s">
        <v>479</v>
      </c>
      <c r="G62" s="264"/>
      <c r="H62" s="264"/>
      <c r="I62" s="264"/>
      <c r="J62" s="264"/>
      <c r="K62" s="264"/>
      <c r="L62" s="264"/>
      <c r="M62" s="264"/>
      <c r="N62" s="264"/>
      <c r="O62" s="264"/>
      <c r="P62" s="264"/>
      <c r="Q62" s="264"/>
      <c r="R62" s="264"/>
      <c r="S62" s="264"/>
      <c r="T62" s="264"/>
      <c r="U62" s="264"/>
      <c r="V62" s="264"/>
      <c r="W62" s="264"/>
      <c r="X62" s="264"/>
      <c r="Y62" s="264"/>
      <c r="Z62" s="264"/>
      <c r="AA62" s="264"/>
      <c r="AB62" s="264"/>
      <c r="AC62" s="264"/>
      <c r="AD62" s="264"/>
      <c r="AE62" s="264"/>
      <c r="AF62" s="264"/>
      <c r="AG62" s="405"/>
      <c r="AH62" s="11"/>
      <c r="AI62" s="11"/>
      <c r="AJ62" s="11"/>
      <c r="AK62" s="11"/>
      <c r="AL62" s="11"/>
      <c r="AM62" s="11"/>
      <c r="AN62" s="11"/>
    </row>
    <row r="63" spans="1:40" ht="14.25">
      <c r="A63" s="1087"/>
      <c r="C63" s="748" t="s">
        <v>480</v>
      </c>
      <c r="D63" s="749">
        <f>Assumptions!L24</f>
        <v>-6.9284036350674245E-3</v>
      </c>
      <c r="E63" s="749">
        <f>D63</f>
        <v>-6.9284036350674245E-3</v>
      </c>
      <c r="F63" s="750" t="s">
        <v>479</v>
      </c>
      <c r="G63" s="264"/>
      <c r="H63" s="264"/>
      <c r="I63" s="264"/>
      <c r="J63" s="264"/>
      <c r="K63" s="264"/>
      <c r="L63" s="264"/>
      <c r="M63" s="264"/>
      <c r="N63" s="264"/>
      <c r="O63" s="264"/>
      <c r="P63" s="264"/>
      <c r="Q63" s="264"/>
      <c r="R63" s="264"/>
      <c r="S63" s="264"/>
      <c r="T63" s="264"/>
      <c r="U63" s="264"/>
      <c r="V63" s="264"/>
      <c r="W63" s="264"/>
      <c r="X63" s="264"/>
      <c r="Y63" s="264"/>
      <c r="Z63" s="264"/>
      <c r="AA63" s="264"/>
      <c r="AB63" s="264"/>
      <c r="AC63" s="264"/>
      <c r="AD63" s="264"/>
      <c r="AE63" s="264"/>
      <c r="AF63" s="264"/>
      <c r="AG63" s="405"/>
      <c r="AH63" s="11"/>
      <c r="AI63" s="11"/>
      <c r="AJ63" s="11"/>
      <c r="AK63" s="11"/>
      <c r="AL63" s="11"/>
      <c r="AM63" s="11"/>
      <c r="AN63" s="11"/>
    </row>
    <row r="64" spans="1:40" ht="14.25">
      <c r="A64" s="1087"/>
      <c r="C64" s="748" t="s">
        <v>140</v>
      </c>
      <c r="D64" s="749">
        <v>0.55000000000000004</v>
      </c>
      <c r="E64" s="749">
        <v>0.7</v>
      </c>
      <c r="F64" s="750" t="s">
        <v>481</v>
      </c>
      <c r="G64" s="264"/>
      <c r="I64" s="264"/>
      <c r="J64" s="264"/>
      <c r="K64" s="264"/>
      <c r="L64" s="264"/>
      <c r="M64" s="264"/>
      <c r="N64" s="264"/>
      <c r="O64" s="264"/>
      <c r="P64" s="264"/>
      <c r="Q64" s="264"/>
      <c r="R64" s="264"/>
      <c r="S64" s="264"/>
      <c r="T64" s="264"/>
      <c r="U64" s="264"/>
      <c r="V64" s="264"/>
      <c r="W64" s="264"/>
      <c r="X64" s="264"/>
      <c r="Y64" s="264"/>
      <c r="Z64" s="264"/>
      <c r="AA64" s="264"/>
      <c r="AB64" s="264"/>
      <c r="AC64" s="264"/>
      <c r="AD64" s="264"/>
      <c r="AE64" s="264"/>
      <c r="AF64" s="264"/>
      <c r="AG64" s="264"/>
    </row>
    <row r="65" spans="1:33" ht="14.25">
      <c r="A65" s="1087"/>
      <c r="C65" s="748" t="s">
        <v>482</v>
      </c>
      <c r="D65" s="749">
        <v>0</v>
      </c>
      <c r="E65" s="749">
        <v>-0.1</v>
      </c>
      <c r="F65" s="750" t="s">
        <v>481</v>
      </c>
      <c r="G65" s="264"/>
      <c r="I65" s="264"/>
      <c r="J65" s="264"/>
      <c r="K65" s="264"/>
      <c r="L65" s="264"/>
      <c r="M65" s="264"/>
      <c r="N65" s="264"/>
      <c r="O65" s="264"/>
      <c r="P65" s="264"/>
      <c r="Q65" s="264"/>
      <c r="R65" s="264"/>
      <c r="S65" s="264"/>
      <c r="T65" s="264"/>
      <c r="U65" s="264"/>
      <c r="V65" s="264"/>
      <c r="W65" s="264"/>
      <c r="X65" s="264"/>
      <c r="Y65" s="264"/>
      <c r="Z65" s="264"/>
      <c r="AA65" s="264"/>
      <c r="AB65" s="264"/>
      <c r="AC65" s="264"/>
      <c r="AD65" s="264"/>
      <c r="AE65" s="264"/>
      <c r="AF65" s="264"/>
      <c r="AG65" s="264"/>
    </row>
    <row r="66" spans="1:33" ht="14.25">
      <c r="A66" s="1088"/>
      <c r="C66" s="748" t="s">
        <v>483</v>
      </c>
      <c r="D66" s="749" t="s">
        <v>75</v>
      </c>
      <c r="E66" s="749" t="s">
        <v>75</v>
      </c>
      <c r="F66" s="750" t="s">
        <v>479</v>
      </c>
      <c r="G66" s="264"/>
      <c r="I66" s="264"/>
      <c r="J66" s="264"/>
      <c r="K66" s="264"/>
      <c r="L66" s="264"/>
      <c r="M66" s="264"/>
      <c r="N66" s="264"/>
      <c r="O66" s="264"/>
      <c r="P66" s="264"/>
      <c r="Q66" s="264"/>
      <c r="R66" s="264"/>
      <c r="S66" s="264"/>
      <c r="T66" s="264"/>
      <c r="U66" s="264"/>
      <c r="V66" s="264"/>
      <c r="W66" s="264"/>
      <c r="X66" s="264"/>
      <c r="Y66" s="264"/>
      <c r="Z66" s="264"/>
      <c r="AA66" s="264"/>
      <c r="AB66" s="264"/>
      <c r="AC66" s="264"/>
      <c r="AD66" s="264"/>
      <c r="AE66" s="264"/>
      <c r="AF66" s="264"/>
      <c r="AG66" s="264"/>
    </row>
    <row r="67" spans="1:33" ht="14.25">
      <c r="A67" s="264"/>
      <c r="C67" s="264"/>
      <c r="D67" s="264"/>
      <c r="E67" s="264"/>
      <c r="F67" s="264"/>
      <c r="G67" s="264"/>
      <c r="H67" s="264"/>
      <c r="I67" s="264"/>
      <c r="J67" s="264"/>
      <c r="K67" s="264"/>
      <c r="L67" s="264"/>
      <c r="M67" s="264"/>
      <c r="N67" s="264"/>
      <c r="O67" s="264"/>
      <c r="P67" s="264"/>
      <c r="Q67" s="264"/>
      <c r="R67" s="264"/>
      <c r="S67" s="264"/>
      <c r="T67" s="264"/>
      <c r="U67" s="264"/>
      <c r="V67" s="264"/>
      <c r="W67" s="264"/>
      <c r="X67" s="264"/>
      <c r="Y67" s="264"/>
      <c r="Z67" s="264"/>
      <c r="AA67" s="264"/>
      <c r="AB67" s="264"/>
      <c r="AC67" s="264"/>
      <c r="AD67" s="264"/>
      <c r="AE67" s="264"/>
      <c r="AF67" s="264"/>
      <c r="AG67" s="264"/>
    </row>
    <row r="68" spans="1:33" ht="14.25">
      <c r="A68" s="1086" t="s">
        <v>117</v>
      </c>
      <c r="C68" s="300"/>
      <c r="D68" s="350" t="s">
        <v>484</v>
      </c>
      <c r="E68" s="2"/>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4"/>
      <c r="AE68" s="264"/>
      <c r="AF68" s="264"/>
      <c r="AG68" s="264"/>
    </row>
    <row r="69" spans="1:33" ht="14.25">
      <c r="A69" s="1087"/>
      <c r="C69" s="300" t="s">
        <v>485</v>
      </c>
      <c r="D69" s="351">
        <f>SUMPRODUCT(G35:AF35,G45:AF45)+((AF43-AF44)*AF45)</f>
        <v>151589.65149882642</v>
      </c>
      <c r="E69" s="311">
        <f>D69/D71</f>
        <v>0.77159887055789311</v>
      </c>
      <c r="G69" s="264"/>
      <c r="H69" s="264"/>
      <c r="I69" s="264"/>
      <c r="J69" s="264"/>
      <c r="K69" s="264"/>
      <c r="L69" s="264"/>
      <c r="M69" s="264"/>
      <c r="N69" s="264"/>
      <c r="O69" s="264"/>
      <c r="P69" s="264"/>
      <c r="Q69" s="264"/>
      <c r="R69" s="264"/>
      <c r="S69" s="264"/>
      <c r="T69" s="264"/>
      <c r="U69" s="264"/>
      <c r="V69" s="264"/>
      <c r="W69" s="264"/>
      <c r="X69" s="264"/>
      <c r="Y69" s="264"/>
      <c r="Z69" s="264"/>
      <c r="AA69" s="264"/>
      <c r="AB69" s="264"/>
      <c r="AC69" s="264"/>
      <c r="AD69" s="264"/>
      <c r="AE69" s="264"/>
      <c r="AF69" s="264"/>
      <c r="AG69" s="264"/>
    </row>
    <row r="70" spans="1:33" ht="14.25">
      <c r="A70" s="1087"/>
      <c r="C70" s="300" t="s">
        <v>486</v>
      </c>
      <c r="D70" s="351">
        <f>(AF34/(F50-AF5))*AF45</f>
        <v>44872.081770977064</v>
      </c>
      <c r="E70" s="311">
        <f>D70/D71</f>
        <v>0.22840112944210689</v>
      </c>
      <c r="G70" s="264"/>
      <c r="H70" s="264"/>
      <c r="I70" s="264"/>
      <c r="J70" s="264"/>
      <c r="K70" s="264"/>
      <c r="L70" s="264"/>
      <c r="M70" s="264"/>
      <c r="N70" s="264"/>
      <c r="O70" s="264"/>
      <c r="P70" s="264"/>
      <c r="Q70" s="264"/>
      <c r="R70" s="264"/>
      <c r="S70" s="264"/>
      <c r="T70" s="264"/>
      <c r="U70" s="264"/>
      <c r="V70" s="264"/>
      <c r="W70" s="264"/>
      <c r="X70" s="264"/>
      <c r="Y70" s="264"/>
      <c r="Z70" s="264"/>
      <c r="AA70" s="264"/>
      <c r="AB70" s="264"/>
      <c r="AC70" s="264"/>
      <c r="AD70" s="264"/>
      <c r="AE70" s="264"/>
      <c r="AF70" s="264"/>
      <c r="AG70" s="264"/>
    </row>
    <row r="71" spans="1:33" ht="14.25">
      <c r="A71" s="1087"/>
      <c r="C71" s="300" t="s">
        <v>487</v>
      </c>
      <c r="D71" s="351">
        <f>D69+D70</f>
        <v>196461.73326980349</v>
      </c>
      <c r="E71" s="2"/>
      <c r="G71" s="264"/>
      <c r="H71" s="264"/>
      <c r="I71" s="264"/>
      <c r="J71" s="264"/>
      <c r="K71" s="264"/>
      <c r="L71" s="264"/>
      <c r="M71" s="264"/>
      <c r="N71" s="264"/>
      <c r="O71" s="264"/>
      <c r="P71" s="264"/>
      <c r="Q71" s="264"/>
      <c r="R71" s="264"/>
      <c r="S71" s="264"/>
      <c r="T71" s="264"/>
      <c r="U71" s="264"/>
      <c r="V71" s="264"/>
      <c r="W71" s="264"/>
      <c r="X71" s="264"/>
      <c r="Y71" s="264"/>
      <c r="Z71" s="264"/>
      <c r="AA71" s="264"/>
      <c r="AB71" s="264"/>
      <c r="AC71" s="264"/>
      <c r="AD71" s="264"/>
      <c r="AE71" s="264"/>
      <c r="AF71" s="264"/>
      <c r="AG71" s="264"/>
    </row>
    <row r="72" spans="1:33" ht="14.25">
      <c r="A72" s="1087"/>
      <c r="C72" s="823" t="s">
        <v>488</v>
      </c>
      <c r="D72" s="824">
        <f>OP!C19</f>
        <v>40.335000000000001</v>
      </c>
      <c r="E72" s="301"/>
      <c r="G72" s="264"/>
      <c r="H72" s="264"/>
      <c r="I72" s="264"/>
      <c r="J72" s="264"/>
      <c r="K72" s="264"/>
      <c r="L72" s="264"/>
      <c r="M72" s="264"/>
      <c r="N72" s="264"/>
      <c r="O72" s="264"/>
      <c r="P72" s="264"/>
      <c r="Q72" s="264"/>
      <c r="R72" s="264"/>
      <c r="S72" s="264"/>
      <c r="T72" s="264"/>
      <c r="U72" s="264"/>
      <c r="V72" s="264"/>
      <c r="W72" s="264"/>
      <c r="X72" s="264"/>
      <c r="Y72" s="264"/>
      <c r="Z72" s="264"/>
      <c r="AA72" s="264"/>
      <c r="AB72" s="264"/>
      <c r="AC72" s="264"/>
      <c r="AD72" s="264"/>
      <c r="AE72" s="264"/>
      <c r="AF72" s="264"/>
      <c r="AG72" s="264"/>
    </row>
    <row r="73" spans="1:33" ht="14.25">
      <c r="A73" s="1087"/>
      <c r="C73" s="823" t="s">
        <v>489</v>
      </c>
      <c r="D73" s="352">
        <f>D74/D72-1</f>
        <v>0.15852418536351176</v>
      </c>
      <c r="H73" s="264"/>
      <c r="I73" s="264"/>
      <c r="J73" s="264"/>
      <c r="K73" s="264"/>
      <c r="L73" s="264"/>
      <c r="M73" s="264"/>
      <c r="N73" s="264"/>
      <c r="O73" s="264"/>
      <c r="P73" s="264"/>
      <c r="Q73" s="264"/>
      <c r="R73" s="264"/>
      <c r="S73" s="264"/>
      <c r="T73" s="264"/>
      <c r="U73" s="264"/>
      <c r="V73" s="264"/>
      <c r="W73" s="264"/>
      <c r="X73" s="264"/>
      <c r="Y73" s="264"/>
      <c r="Z73" s="264"/>
      <c r="AA73" s="264"/>
      <c r="AB73" s="264"/>
      <c r="AC73" s="264"/>
      <c r="AD73" s="264"/>
      <c r="AE73" s="264"/>
      <c r="AF73" s="264"/>
      <c r="AG73" s="264"/>
    </row>
    <row r="74" spans="1:33" ht="14.25">
      <c r="A74" s="1088"/>
      <c r="C74" s="353" t="s">
        <v>490</v>
      </c>
      <c r="D74" s="354">
        <f>D71*1000000/OP!C20</f>
        <v>46.729073016637244</v>
      </c>
    </row>
    <row r="75" spans="1:33" ht="14.25">
      <c r="A75" s="338"/>
      <c r="C75" s="301"/>
      <c r="D75" s="825"/>
    </row>
    <row r="76" spans="1:33" ht="14.25">
      <c r="A76" s="1082" t="s">
        <v>491</v>
      </c>
      <c r="C76" s="358" t="s">
        <v>492</v>
      </c>
      <c r="D76" s="824">
        <f>(SUMPRODUCT(G35:AF35,G45:AF45)+((AF43-AF44)*AF45)+(AF34/(F50+0.001-AF5))*AF45)*1000000/OP!C20</f>
        <v>46.616844067585895</v>
      </c>
      <c r="E76" s="355">
        <f>D76/D74-1</f>
        <v>-2.4016943159003157E-3</v>
      </c>
    </row>
    <row r="77" spans="1:33" ht="14.25">
      <c r="A77" s="1083"/>
      <c r="C77" s="358" t="s">
        <v>493</v>
      </c>
      <c r="D77" s="824">
        <f>(SUMPRODUCT(G35:AF35,G45:AF45)+((AF43-AF44)*AF45)+(AF34/(F50+0.005-AF5))*AF45)*1000000/OP!C20</f>
        <v>46.190577907919646</v>
      </c>
      <c r="E77" s="355">
        <f>D77/D74-1</f>
        <v>-1.1523770405757361E-2</v>
      </c>
    </row>
    <row r="78" spans="1:33" ht="14.25">
      <c r="A78" s="356"/>
      <c r="C78" s="357"/>
      <c r="D78" s="825"/>
      <c r="E78" s="355"/>
    </row>
    <row r="79" spans="1:33" ht="14.25">
      <c r="A79" s="360" t="s">
        <v>494</v>
      </c>
      <c r="J79" s="5"/>
    </row>
    <row r="80" spans="1:33">
      <c r="G80" s="1"/>
      <c r="H80" s="1"/>
      <c r="I80" s="1"/>
      <c r="J80" s="4"/>
    </row>
    <row r="81" spans="1:12">
      <c r="A81" s="764" t="s">
        <v>495</v>
      </c>
      <c r="B81" s="765">
        <f>(G17*1000000)/OP!C20</f>
        <v>4.3169620662031392</v>
      </c>
      <c r="G81" s="1"/>
      <c r="H81" s="1"/>
      <c r="I81" s="1"/>
      <c r="J81" s="4"/>
    </row>
    <row r="82" spans="1:12">
      <c r="A82" s="764" t="s">
        <v>496</v>
      </c>
      <c r="B82" s="765" t="s">
        <v>497</v>
      </c>
      <c r="G82" s="1"/>
      <c r="H82" s="1"/>
      <c r="I82" s="1"/>
      <c r="K82" s="4"/>
    </row>
    <row r="83" spans="1:12">
      <c r="L83" s="5"/>
    </row>
    <row r="84" spans="1:12">
      <c r="G84" s="1"/>
      <c r="H84" s="1"/>
      <c r="I84" s="1"/>
    </row>
    <row r="85" spans="1:12">
      <c r="G85" s="1"/>
      <c r="H85" s="1"/>
      <c r="I85" s="1"/>
    </row>
    <row r="86" spans="1:12">
      <c r="G86" s="1"/>
      <c r="H86" s="1"/>
      <c r="I86" s="1"/>
    </row>
  </sheetData>
  <mergeCells count="15">
    <mergeCell ref="A33:AF33"/>
    <mergeCell ref="A76:A77"/>
    <mergeCell ref="A1:AF2"/>
    <mergeCell ref="A68:A74"/>
    <mergeCell ref="A5:A17"/>
    <mergeCell ref="A19:A32"/>
    <mergeCell ref="A43:A47"/>
    <mergeCell ref="A52:A66"/>
    <mergeCell ref="G3:J3"/>
    <mergeCell ref="K3:AF3"/>
    <mergeCell ref="A42:AF42"/>
    <mergeCell ref="A48:AF48"/>
    <mergeCell ref="A34:A36"/>
    <mergeCell ref="A38:A41"/>
    <mergeCell ref="A49:A50"/>
  </mergeCells>
  <phoneticPr fontId="0" type="noConversion"/>
  <conditionalFormatting sqref="D73">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994BF-0D36-4473-96EA-6395FC2DC9A8}">
  <dimension ref="A1:F1490"/>
  <sheetViews>
    <sheetView topLeftCell="A16" workbookViewId="0">
      <selection activeCell="F15" sqref="F15"/>
    </sheetView>
  </sheetViews>
  <sheetFormatPr defaultColWidth="8.7109375" defaultRowHeight="13.5"/>
  <cols>
    <col min="1" max="1" width="36.5703125" style="783" customWidth="1"/>
    <col min="2" max="2" width="14.140625" style="808" customWidth="1"/>
    <col min="3" max="3" width="14.140625" style="807" customWidth="1"/>
    <col min="4" max="4" width="14.140625" style="808" customWidth="1"/>
    <col min="5" max="6" width="14.140625" style="783" customWidth="1"/>
    <col min="7" max="16384" width="8.7109375" style="783"/>
  </cols>
  <sheetData>
    <row r="1" spans="1:6" ht="42.6" customHeight="1" thickBot="1">
      <c r="A1" s="780"/>
      <c r="B1" s="781" t="s">
        <v>498</v>
      </c>
      <c r="C1" s="782" t="s">
        <v>499</v>
      </c>
      <c r="D1" s="781" t="s">
        <v>500</v>
      </c>
      <c r="E1" s="781" t="s">
        <v>501</v>
      </c>
      <c r="F1" s="781" t="s">
        <v>457</v>
      </c>
    </row>
    <row r="2" spans="1:6" ht="26.1" customHeight="1" thickBot="1">
      <c r="A2" s="784" t="s">
        <v>502</v>
      </c>
      <c r="B2" s="785"/>
      <c r="C2" s="786"/>
      <c r="D2" s="785"/>
      <c r="E2" s="785"/>
      <c r="F2" s="785"/>
    </row>
    <row r="3" spans="1:6" ht="14.45" customHeight="1" thickBot="1">
      <c r="A3" s="787"/>
      <c r="B3" s="788"/>
      <c r="C3" s="789"/>
      <c r="D3" s="788"/>
      <c r="E3" s="788"/>
      <c r="F3" s="788"/>
    </row>
    <row r="4" spans="1:6" ht="14.45" customHeight="1" thickBot="1">
      <c r="A4" s="790" t="s">
        <v>503</v>
      </c>
      <c r="B4" s="791"/>
      <c r="C4" s="792"/>
      <c r="D4" s="791"/>
      <c r="E4" s="791"/>
      <c r="F4" s="791"/>
    </row>
    <row r="5" spans="1:6" ht="14.45" customHeight="1" thickBot="1">
      <c r="A5" s="787"/>
      <c r="B5" s="788"/>
      <c r="C5" s="789"/>
      <c r="D5" s="788"/>
      <c r="E5" s="788"/>
      <c r="F5" s="788"/>
    </row>
    <row r="6" spans="1:6" ht="14.45" customHeight="1">
      <c r="A6" s="793" t="s">
        <v>504</v>
      </c>
      <c r="B6" s="794">
        <v>500</v>
      </c>
      <c r="C6" s="795"/>
      <c r="D6" s="796"/>
      <c r="E6" s="797">
        <v>500</v>
      </c>
      <c r="F6" s="798"/>
    </row>
    <row r="7" spans="1:6" ht="14.45" customHeight="1">
      <c r="A7" s="793"/>
      <c r="B7" s="799"/>
      <c r="C7" s="795"/>
      <c r="D7" s="796"/>
      <c r="E7" s="800"/>
      <c r="F7" s="798"/>
    </row>
    <row r="8" spans="1:6" ht="14.45" customHeight="1">
      <c r="A8" s="793" t="s">
        <v>505</v>
      </c>
      <c r="B8" s="799" t="s">
        <v>506</v>
      </c>
      <c r="C8" s="795">
        <v>1.6250000000000001E-2</v>
      </c>
      <c r="D8" s="796">
        <v>45352</v>
      </c>
      <c r="E8" s="800"/>
      <c r="F8" s="798"/>
    </row>
    <row r="9" spans="1:6" ht="14.45" customHeight="1">
      <c r="A9" s="793" t="s">
        <v>505</v>
      </c>
      <c r="B9" s="794">
        <v>999</v>
      </c>
      <c r="C9" s="795">
        <v>7.4999999999999997E-3</v>
      </c>
      <c r="D9" s="796">
        <v>45373</v>
      </c>
      <c r="E9" s="800"/>
      <c r="F9" s="798"/>
    </row>
    <row r="10" spans="1:6" ht="14.45" customHeight="1">
      <c r="A10" s="793" t="s">
        <v>505</v>
      </c>
      <c r="B10" s="794">
        <v>95</v>
      </c>
      <c r="C10" s="795" t="s">
        <v>507</v>
      </c>
      <c r="D10" s="796">
        <v>45373</v>
      </c>
      <c r="E10" s="800"/>
      <c r="F10" s="798"/>
    </row>
    <row r="11" spans="1:6" ht="14.45" customHeight="1" thickBot="1">
      <c r="A11" s="793" t="s">
        <v>505</v>
      </c>
      <c r="B11" s="799" t="s">
        <v>508</v>
      </c>
      <c r="C11" s="795">
        <v>4.0730000000000002E-2</v>
      </c>
      <c r="D11" s="796">
        <v>45461</v>
      </c>
      <c r="E11" s="797">
        <v>2453</v>
      </c>
      <c r="F11" s="798"/>
    </row>
    <row r="12" spans="1:6" ht="14.45" customHeight="1" thickBot="1">
      <c r="A12" s="787"/>
      <c r="B12" s="788"/>
      <c r="C12" s="789"/>
      <c r="D12" s="788"/>
      <c r="E12" s="788"/>
      <c r="F12" s="788"/>
    </row>
    <row r="13" spans="1:6" ht="14.45" customHeight="1" thickBot="1">
      <c r="A13" s="793" t="s">
        <v>509</v>
      </c>
      <c r="B13" s="794">
        <v>9487</v>
      </c>
      <c r="C13" s="795"/>
      <c r="D13" s="799"/>
      <c r="E13" s="797">
        <v>9487</v>
      </c>
      <c r="F13" s="798"/>
    </row>
    <row r="14" spans="1:6" ht="14.45" customHeight="1" thickBot="1">
      <c r="A14" s="787"/>
      <c r="B14" s="788"/>
      <c r="C14" s="789"/>
      <c r="D14" s="788"/>
      <c r="E14" s="788"/>
      <c r="F14" s="788"/>
    </row>
    <row r="15" spans="1:6" ht="14.45" customHeight="1" thickBot="1">
      <c r="A15" s="801" t="s">
        <v>510</v>
      </c>
      <c r="B15" s="802"/>
      <c r="C15" s="803"/>
      <c r="D15" s="802"/>
      <c r="E15" s="802"/>
      <c r="F15" s="804">
        <v>12440</v>
      </c>
    </row>
    <row r="16" spans="1:6" ht="14.45" customHeight="1" thickBot="1">
      <c r="A16" s="787"/>
      <c r="B16" s="788"/>
      <c r="C16" s="789"/>
      <c r="D16" s="788"/>
      <c r="E16" s="788"/>
      <c r="F16" s="788"/>
    </row>
    <row r="17" spans="1:6" ht="14.45" customHeight="1">
      <c r="A17" s="801" t="s">
        <v>511</v>
      </c>
      <c r="B17" s="802"/>
      <c r="C17" s="803"/>
      <c r="D17" s="802"/>
      <c r="E17" s="802"/>
      <c r="F17" s="802"/>
    </row>
    <row r="18" spans="1:6" ht="14.45" customHeight="1">
      <c r="A18" s="793" t="s">
        <v>512</v>
      </c>
      <c r="B18" s="794">
        <v>44</v>
      </c>
      <c r="C18" s="795">
        <v>0.06</v>
      </c>
      <c r="D18" s="796">
        <v>47088</v>
      </c>
      <c r="E18" s="800"/>
      <c r="F18" s="805"/>
    </row>
    <row r="19" spans="1:6" ht="14.45" customHeight="1">
      <c r="A19" s="793" t="s">
        <v>512</v>
      </c>
      <c r="B19" s="794">
        <v>31</v>
      </c>
      <c r="C19" s="795">
        <v>8.3500000000000005E-2</v>
      </c>
      <c r="D19" s="796">
        <v>11307</v>
      </c>
      <c r="E19" s="800"/>
      <c r="F19" s="805"/>
    </row>
    <row r="20" spans="1:6" ht="14.45" customHeight="1" thickBot="1">
      <c r="A20" s="793" t="s">
        <v>512</v>
      </c>
      <c r="B20" s="794">
        <v>35</v>
      </c>
      <c r="C20" s="795">
        <v>8.7499999999999994E-2</v>
      </c>
      <c r="D20" s="796">
        <v>11550</v>
      </c>
      <c r="E20" s="797">
        <v>110</v>
      </c>
      <c r="F20" s="805"/>
    </row>
    <row r="21" spans="1:6" ht="14.45" customHeight="1" thickBot="1">
      <c r="A21" s="787"/>
      <c r="B21" s="788"/>
      <c r="C21" s="789"/>
      <c r="D21" s="788"/>
      <c r="E21" s="788"/>
      <c r="F21" s="788"/>
    </row>
    <row r="22" spans="1:6" ht="14.45" customHeight="1">
      <c r="A22" s="793" t="s">
        <v>513</v>
      </c>
      <c r="B22" s="794">
        <v>20</v>
      </c>
      <c r="C22" s="795">
        <v>0.08</v>
      </c>
      <c r="D22" s="796">
        <v>47406</v>
      </c>
      <c r="E22" s="800"/>
      <c r="F22" s="805"/>
    </row>
    <row r="23" spans="1:6" ht="14.45" customHeight="1">
      <c r="A23" s="793" t="s">
        <v>513</v>
      </c>
      <c r="B23" s="794">
        <v>21</v>
      </c>
      <c r="C23" s="795">
        <v>8.3000000000000004E-2</v>
      </c>
      <c r="D23" s="796">
        <v>11536</v>
      </c>
      <c r="E23" s="800"/>
      <c r="F23" s="805"/>
    </row>
    <row r="24" spans="1:6" ht="14.45" customHeight="1" thickBot="1">
      <c r="A24" s="793" t="s">
        <v>513</v>
      </c>
      <c r="B24" s="794">
        <v>139</v>
      </c>
      <c r="C24" s="795">
        <v>5.1249999999999997E-2</v>
      </c>
      <c r="D24" s="796">
        <v>12220</v>
      </c>
      <c r="E24" s="797">
        <v>180</v>
      </c>
      <c r="F24" s="805"/>
    </row>
    <row r="25" spans="1:6" ht="14.45" customHeight="1" thickBot="1">
      <c r="A25" s="787"/>
      <c r="B25" s="788"/>
      <c r="C25" s="789"/>
      <c r="D25" s="788"/>
      <c r="E25" s="788"/>
      <c r="F25" s="788"/>
    </row>
    <row r="26" spans="1:6" ht="14.45" customHeight="1" thickBot="1">
      <c r="A26" s="793" t="s">
        <v>514</v>
      </c>
      <c r="B26" s="794">
        <v>9</v>
      </c>
      <c r="C26" s="795">
        <v>8.3750000000000005E-2</v>
      </c>
      <c r="D26" s="796">
        <v>47392</v>
      </c>
      <c r="E26" s="797">
        <v>9</v>
      </c>
      <c r="F26" s="805"/>
    </row>
    <row r="27" spans="1:6" ht="14.45" customHeight="1" thickBot="1">
      <c r="A27" s="787"/>
      <c r="B27" s="788"/>
      <c r="C27" s="789"/>
      <c r="D27" s="788"/>
      <c r="E27" s="788"/>
      <c r="F27" s="788"/>
    </row>
    <row r="28" spans="1:6" ht="14.45" customHeight="1" thickBot="1">
      <c r="A28" s="793" t="s">
        <v>515</v>
      </c>
      <c r="B28" s="794">
        <v>2</v>
      </c>
      <c r="C28" s="795">
        <v>8.6249999999999993E-2</v>
      </c>
      <c r="D28" s="796">
        <v>11611</v>
      </c>
      <c r="E28" s="797">
        <v>2</v>
      </c>
      <c r="F28" s="805"/>
    </row>
    <row r="29" spans="1:6" ht="14.45" customHeight="1" thickBot="1">
      <c r="A29" s="787"/>
      <c r="B29" s="788"/>
      <c r="C29" s="789"/>
      <c r="D29" s="788"/>
      <c r="E29" s="788"/>
      <c r="F29" s="788"/>
    </row>
    <row r="30" spans="1:6" ht="14.45" customHeight="1" thickBot="1">
      <c r="A30" s="793" t="s">
        <v>516</v>
      </c>
      <c r="B30" s="794">
        <v>45</v>
      </c>
      <c r="C30" s="795">
        <v>7.85E-2</v>
      </c>
      <c r="D30" s="796">
        <v>47437</v>
      </c>
      <c r="E30" s="797">
        <v>45</v>
      </c>
      <c r="F30" s="805"/>
    </row>
    <row r="31" spans="1:6" ht="14.45" customHeight="1" thickBot="1">
      <c r="A31" s="787"/>
      <c r="B31" s="788"/>
      <c r="C31" s="789"/>
      <c r="D31" s="788"/>
      <c r="E31" s="788"/>
      <c r="F31" s="788"/>
    </row>
    <row r="32" spans="1:6" ht="14.45" customHeight="1" thickBot="1">
      <c r="A32" s="793" t="s">
        <v>517</v>
      </c>
      <c r="B32" s="794">
        <v>133</v>
      </c>
      <c r="C32" s="795">
        <v>7.8750000000000001E-2</v>
      </c>
      <c r="D32" s="796">
        <v>47437</v>
      </c>
      <c r="E32" s="797">
        <v>133</v>
      </c>
      <c r="F32" s="805"/>
    </row>
    <row r="33" spans="1:6" ht="14.45" customHeight="1" thickBot="1">
      <c r="A33" s="787"/>
      <c r="B33" s="788"/>
      <c r="C33" s="789"/>
      <c r="D33" s="788"/>
      <c r="E33" s="788"/>
      <c r="F33" s="788"/>
    </row>
    <row r="34" spans="1:6" ht="14.45" customHeight="1">
      <c r="A34" s="793" t="s">
        <v>518</v>
      </c>
      <c r="B34" s="794">
        <v>35</v>
      </c>
      <c r="C34" s="795">
        <v>6.5000000000000002E-2</v>
      </c>
      <c r="D34" s="796">
        <v>46858</v>
      </c>
      <c r="E34" s="800"/>
      <c r="F34" s="805"/>
    </row>
    <row r="35" spans="1:6" ht="14.45" customHeight="1" thickBot="1">
      <c r="A35" s="793" t="s">
        <v>518</v>
      </c>
      <c r="B35" s="794">
        <v>99</v>
      </c>
      <c r="C35" s="795">
        <v>7.3749999999999996E-2</v>
      </c>
      <c r="D35" s="796">
        <v>11780</v>
      </c>
      <c r="E35" s="797">
        <v>134</v>
      </c>
      <c r="F35" s="805"/>
    </row>
    <row r="36" spans="1:6" ht="14.45" customHeight="1" thickBot="1">
      <c r="A36" s="787"/>
      <c r="B36" s="788"/>
      <c r="C36" s="789"/>
      <c r="D36" s="788"/>
      <c r="E36" s="788"/>
      <c r="F36" s="788"/>
    </row>
    <row r="37" spans="1:6" ht="14.45" customHeight="1">
      <c r="A37" s="793" t="s">
        <v>519</v>
      </c>
      <c r="B37" s="794">
        <v>38</v>
      </c>
      <c r="C37" s="795">
        <v>6.8000000000000005E-2</v>
      </c>
      <c r="D37" s="796">
        <v>47239</v>
      </c>
      <c r="E37" s="800"/>
      <c r="F37" s="805"/>
    </row>
    <row r="38" spans="1:6" ht="14.45" customHeight="1" thickBot="1">
      <c r="A38" s="793" t="s">
        <v>519</v>
      </c>
      <c r="B38" s="794">
        <v>56</v>
      </c>
      <c r="C38" s="795">
        <v>7.8750000000000001E-2</v>
      </c>
      <c r="D38" s="796">
        <v>11871</v>
      </c>
      <c r="E38" s="797">
        <v>94</v>
      </c>
      <c r="F38" s="805"/>
    </row>
    <row r="39" spans="1:6" ht="14.45" customHeight="1" thickBot="1">
      <c r="A39" s="787"/>
      <c r="B39" s="788"/>
      <c r="C39" s="789"/>
      <c r="D39" s="788"/>
      <c r="E39" s="788"/>
      <c r="F39" s="788"/>
    </row>
    <row r="40" spans="1:6" ht="14.45" customHeight="1">
      <c r="A40" s="814" t="s">
        <v>505</v>
      </c>
      <c r="B40" s="815">
        <v>1161</v>
      </c>
      <c r="C40" s="816">
        <v>3.5000000000000003E-2</v>
      </c>
      <c r="D40" s="817">
        <v>45597</v>
      </c>
      <c r="E40" s="800"/>
      <c r="F40" s="805"/>
    </row>
    <row r="41" spans="1:6" ht="14.45" customHeight="1">
      <c r="A41" s="814" t="s">
        <v>505</v>
      </c>
      <c r="B41" s="815">
        <v>1340</v>
      </c>
      <c r="C41" s="816">
        <v>3.3759999999999998E-2</v>
      </c>
      <c r="D41" s="817">
        <v>45703</v>
      </c>
      <c r="E41" s="800"/>
      <c r="F41" s="805"/>
    </row>
    <row r="42" spans="1:6" ht="14.45" customHeight="1">
      <c r="A42" s="814" t="s">
        <v>505</v>
      </c>
      <c r="B42" s="818" t="s">
        <v>520</v>
      </c>
      <c r="C42" s="816">
        <v>8.7500000000000008E-3</v>
      </c>
      <c r="D42" s="817">
        <v>45749</v>
      </c>
      <c r="E42" s="800"/>
      <c r="F42" s="805"/>
    </row>
    <row r="43" spans="1:6" ht="14.45" customHeight="1">
      <c r="A43" s="814" t="s">
        <v>505</v>
      </c>
      <c r="B43" s="815">
        <v>889</v>
      </c>
      <c r="C43" s="816" t="s">
        <v>521</v>
      </c>
      <c r="D43" s="817">
        <v>45792</v>
      </c>
      <c r="E43" s="800"/>
      <c r="F43" s="805"/>
    </row>
    <row r="44" spans="1:6" ht="14.45" customHeight="1">
      <c r="A44" s="814" t="s">
        <v>505</v>
      </c>
      <c r="B44" s="815">
        <v>1404</v>
      </c>
      <c r="C44" s="816">
        <v>8.5000000000000006E-3</v>
      </c>
      <c r="D44" s="817">
        <v>45981</v>
      </c>
      <c r="E44" s="800"/>
      <c r="F44" s="805"/>
    </row>
    <row r="45" spans="1:6" ht="14.45" customHeight="1">
      <c r="A45" s="814" t="s">
        <v>505</v>
      </c>
      <c r="B45" s="818" t="s">
        <v>522</v>
      </c>
      <c r="C45" s="816">
        <v>3.2500000000000001E-2</v>
      </c>
      <c r="D45" s="817">
        <v>46070</v>
      </c>
      <c r="E45" s="800"/>
      <c r="F45" s="805"/>
    </row>
    <row r="46" spans="1:6" ht="14.45" customHeight="1">
      <c r="A46" s="814" t="s">
        <v>505</v>
      </c>
      <c r="B46" s="815">
        <v>1916</v>
      </c>
      <c r="C46" s="816">
        <v>1.4500000000000001E-2</v>
      </c>
      <c r="D46" s="817">
        <v>46101</v>
      </c>
      <c r="E46" s="800"/>
      <c r="F46" s="805"/>
    </row>
    <row r="47" spans="1:6" ht="14.45" customHeight="1">
      <c r="A47" s="814" t="s">
        <v>505</v>
      </c>
      <c r="B47" s="815">
        <v>526</v>
      </c>
      <c r="C47" s="816" t="s">
        <v>523</v>
      </c>
      <c r="D47" s="817">
        <v>46101</v>
      </c>
      <c r="E47" s="800"/>
      <c r="F47" s="805"/>
    </row>
    <row r="48" spans="1:6" ht="14.45" customHeight="1">
      <c r="A48" s="814" t="s">
        <v>505</v>
      </c>
      <c r="B48" s="815">
        <v>4</v>
      </c>
      <c r="C48" s="816">
        <v>1.0999999999999999E-2</v>
      </c>
      <c r="D48" s="817">
        <v>46188</v>
      </c>
      <c r="E48" s="800"/>
      <c r="F48" s="805"/>
    </row>
    <row r="49" spans="1:6" ht="14.45" customHeight="1">
      <c r="A49" s="814" t="s">
        <v>505</v>
      </c>
      <c r="B49" s="815">
        <v>2</v>
      </c>
      <c r="C49" s="816">
        <v>1.0500000000000001E-2</v>
      </c>
      <c r="D49" s="817">
        <v>46188</v>
      </c>
      <c r="E49" s="800"/>
      <c r="F49" s="805"/>
    </row>
    <row r="50" spans="1:6" ht="14.45" customHeight="1">
      <c r="A50" s="814" t="s">
        <v>505</v>
      </c>
      <c r="B50" s="815">
        <v>1869</v>
      </c>
      <c r="C50" s="816">
        <v>2.6249999999999999E-2</v>
      </c>
      <c r="D50" s="817">
        <v>46249</v>
      </c>
      <c r="E50" s="800"/>
      <c r="F50" s="805"/>
    </row>
    <row r="51" spans="1:6" ht="14.45" customHeight="1">
      <c r="A51" s="814" t="s">
        <v>505</v>
      </c>
      <c r="B51" s="818" t="s">
        <v>522</v>
      </c>
      <c r="C51" s="816">
        <v>1.375E-2</v>
      </c>
      <c r="D51" s="817">
        <v>46322</v>
      </c>
      <c r="E51" s="800"/>
      <c r="F51" s="805"/>
    </row>
    <row r="52" spans="1:6" ht="14.45" customHeight="1">
      <c r="A52" s="793" t="s">
        <v>505</v>
      </c>
      <c r="B52" s="794">
        <v>3250</v>
      </c>
      <c r="C52" s="795">
        <v>4.1250000000000002E-2</v>
      </c>
      <c r="D52" s="796">
        <v>46462</v>
      </c>
      <c r="E52" s="800"/>
      <c r="F52" s="805"/>
    </row>
    <row r="53" spans="1:6" ht="14.45" customHeight="1">
      <c r="A53" s="793" t="s">
        <v>505</v>
      </c>
      <c r="B53" s="794">
        <v>750</v>
      </c>
      <c r="C53" s="795">
        <v>0.03</v>
      </c>
      <c r="D53" s="796">
        <v>46468</v>
      </c>
      <c r="E53" s="800"/>
      <c r="F53" s="805"/>
    </row>
    <row r="54" spans="1:6" ht="14.45" customHeight="1">
      <c r="A54" s="793" t="s">
        <v>505</v>
      </c>
      <c r="B54" s="799" t="s">
        <v>522</v>
      </c>
      <c r="C54" s="795">
        <v>8.7500000000000008E-3</v>
      </c>
      <c r="D54" s="796">
        <v>46485</v>
      </c>
      <c r="E54" s="800"/>
      <c r="F54" s="805"/>
    </row>
    <row r="55" spans="1:6" ht="14.45" customHeight="1">
      <c r="A55" s="793" t="s">
        <v>505</v>
      </c>
      <c r="B55" s="799" t="s">
        <v>524</v>
      </c>
      <c r="C55" s="795">
        <v>0.01</v>
      </c>
      <c r="D55" s="796">
        <v>46721</v>
      </c>
      <c r="E55" s="800"/>
      <c r="F55" s="805"/>
    </row>
    <row r="56" spans="1:6" ht="14.45" customHeight="1">
      <c r="A56" s="793" t="s">
        <v>505</v>
      </c>
      <c r="B56" s="794">
        <v>2830</v>
      </c>
      <c r="C56" s="795">
        <v>2.1000000000000001E-2</v>
      </c>
      <c r="D56" s="796">
        <v>46834</v>
      </c>
      <c r="E56" s="800"/>
      <c r="F56" s="805"/>
    </row>
    <row r="57" spans="1:6" ht="14.45" customHeight="1">
      <c r="A57" s="793" t="s">
        <v>505</v>
      </c>
      <c r="B57" s="799" t="s">
        <v>525</v>
      </c>
      <c r="C57" s="795">
        <v>2.375E-2</v>
      </c>
      <c r="D57" s="796">
        <v>46834</v>
      </c>
      <c r="E57" s="800"/>
      <c r="F57" s="805"/>
    </row>
    <row r="58" spans="1:6" ht="14.45" customHeight="1">
      <c r="A58" s="793" t="s">
        <v>505</v>
      </c>
      <c r="B58" s="799" t="s">
        <v>526</v>
      </c>
      <c r="C58" s="795">
        <v>1.9300000000000001E-3</v>
      </c>
      <c r="D58" s="796">
        <v>46836</v>
      </c>
      <c r="E58" s="800"/>
      <c r="F58" s="805"/>
    </row>
    <row r="59" spans="1:6" ht="14.45" customHeight="1">
      <c r="A59" s="793" t="s">
        <v>505</v>
      </c>
      <c r="B59" s="794">
        <v>250</v>
      </c>
      <c r="C59" s="795">
        <v>6.9400000000000003E-2</v>
      </c>
      <c r="D59" s="796">
        <v>46858</v>
      </c>
      <c r="E59" s="800"/>
      <c r="F59" s="805"/>
    </row>
    <row r="60" spans="1:6" ht="14.45" customHeight="1">
      <c r="A60" s="793" t="s">
        <v>505</v>
      </c>
      <c r="B60" s="794">
        <v>4200</v>
      </c>
      <c r="C60" s="795">
        <v>4.3290000000000002E-2</v>
      </c>
      <c r="D60" s="796">
        <v>47017</v>
      </c>
      <c r="E60" s="800"/>
      <c r="F60" s="805"/>
    </row>
    <row r="61" spans="1:6" ht="14.45" customHeight="1">
      <c r="A61" s="793" t="s">
        <v>505</v>
      </c>
      <c r="B61" s="799" t="s">
        <v>522</v>
      </c>
      <c r="C61" s="795">
        <v>1.375E-2</v>
      </c>
      <c r="D61" s="796">
        <v>47059</v>
      </c>
      <c r="E61" s="800"/>
      <c r="F61" s="805"/>
    </row>
    <row r="62" spans="1:6" ht="14.45" customHeight="1">
      <c r="A62" s="793" t="s">
        <v>505</v>
      </c>
      <c r="B62" s="799" t="s">
        <v>527</v>
      </c>
      <c r="C62" s="795">
        <v>1.125E-2</v>
      </c>
      <c r="D62" s="796">
        <v>47060</v>
      </c>
      <c r="E62" s="800"/>
      <c r="F62" s="805"/>
    </row>
    <row r="63" spans="1:6" ht="14.45" customHeight="1">
      <c r="A63" s="793" t="s">
        <v>505</v>
      </c>
      <c r="B63" s="794">
        <v>1000</v>
      </c>
      <c r="C63" s="795">
        <v>3.875E-2</v>
      </c>
      <c r="D63" s="796">
        <v>47157</v>
      </c>
      <c r="E63" s="800"/>
      <c r="F63" s="805"/>
    </row>
    <row r="64" spans="1:6" ht="14.45" customHeight="1">
      <c r="A64" s="793" t="s">
        <v>505</v>
      </c>
      <c r="B64" s="799" t="s">
        <v>520</v>
      </c>
      <c r="C64" s="795">
        <v>3.7499999999999999E-3</v>
      </c>
      <c r="D64" s="796">
        <v>47199</v>
      </c>
      <c r="E64" s="800"/>
      <c r="F64" s="805"/>
    </row>
    <row r="65" spans="1:6" ht="14.45" customHeight="1">
      <c r="A65" s="793" t="s">
        <v>505</v>
      </c>
      <c r="B65" s="794">
        <v>3</v>
      </c>
      <c r="C65" s="795">
        <v>3.5000000000000003E-2</v>
      </c>
      <c r="D65" s="796">
        <v>47223</v>
      </c>
      <c r="E65" s="800"/>
      <c r="F65" s="805"/>
    </row>
    <row r="66" spans="1:6" ht="14.45" customHeight="1">
      <c r="A66" s="793" t="s">
        <v>505</v>
      </c>
      <c r="B66" s="794">
        <v>105</v>
      </c>
      <c r="C66" s="795">
        <v>6.8000000000000005E-2</v>
      </c>
      <c r="D66" s="796">
        <v>47239</v>
      </c>
      <c r="E66" s="800"/>
      <c r="F66" s="805"/>
    </row>
    <row r="67" spans="1:6" ht="14.45" customHeight="1">
      <c r="A67" s="793" t="s">
        <v>505</v>
      </c>
      <c r="B67" s="794">
        <v>1</v>
      </c>
      <c r="C67" s="795">
        <v>0.04</v>
      </c>
      <c r="D67" s="796">
        <v>47253</v>
      </c>
      <c r="E67" s="800"/>
      <c r="F67" s="805"/>
    </row>
    <row r="68" spans="1:6" ht="14.45" customHeight="1">
      <c r="A68" s="793" t="s">
        <v>505</v>
      </c>
      <c r="B68" s="794">
        <v>3</v>
      </c>
      <c r="C68" s="795">
        <v>4.1500000000000002E-2</v>
      </c>
      <c r="D68" s="796">
        <v>47253</v>
      </c>
      <c r="E68" s="800"/>
      <c r="F68" s="805"/>
    </row>
    <row r="69" spans="1:6" ht="14.45" customHeight="1">
      <c r="A69" s="793" t="s">
        <v>505</v>
      </c>
      <c r="B69" s="794">
        <v>2</v>
      </c>
      <c r="C69" s="795">
        <v>3.95E-2</v>
      </c>
      <c r="D69" s="796">
        <v>47284</v>
      </c>
      <c r="E69" s="800"/>
      <c r="F69" s="805"/>
    </row>
    <row r="70" spans="1:6" ht="14.45" customHeight="1">
      <c r="A70" s="793" t="s">
        <v>505</v>
      </c>
      <c r="B70" s="794">
        <v>1</v>
      </c>
      <c r="C70" s="795">
        <v>3.7999999999999999E-2</v>
      </c>
      <c r="D70" s="796">
        <v>47284</v>
      </c>
      <c r="E70" s="800"/>
      <c r="F70" s="805"/>
    </row>
    <row r="71" spans="1:6" ht="14.45" customHeight="1">
      <c r="A71" s="793" t="s">
        <v>505</v>
      </c>
      <c r="B71" s="794">
        <v>1</v>
      </c>
      <c r="C71" s="795">
        <v>0.04</v>
      </c>
      <c r="D71" s="796">
        <v>47345</v>
      </c>
      <c r="E71" s="800"/>
      <c r="F71" s="805"/>
    </row>
    <row r="72" spans="1:6" ht="14.45" customHeight="1">
      <c r="A72" s="793" t="s">
        <v>505</v>
      </c>
      <c r="B72" s="794">
        <v>1</v>
      </c>
      <c r="C72" s="795">
        <v>4.1000000000000002E-2</v>
      </c>
      <c r="D72" s="796">
        <v>47376</v>
      </c>
      <c r="E72" s="800"/>
      <c r="F72" s="805"/>
    </row>
    <row r="73" spans="1:6" ht="14.45" customHeight="1">
      <c r="A73" s="793" t="s">
        <v>505</v>
      </c>
      <c r="B73" s="794">
        <v>1</v>
      </c>
      <c r="C73" s="795">
        <v>4.4999999999999998E-2</v>
      </c>
      <c r="D73" s="796">
        <v>47376</v>
      </c>
      <c r="E73" s="800"/>
      <c r="F73" s="805"/>
    </row>
    <row r="74" spans="1:6" ht="14.45" customHeight="1">
      <c r="A74" s="793" t="s">
        <v>505</v>
      </c>
      <c r="B74" s="794">
        <v>1</v>
      </c>
      <c r="C74" s="795">
        <v>4.8000000000000001E-2</v>
      </c>
      <c r="D74" s="796">
        <v>47376</v>
      </c>
      <c r="E74" s="800"/>
      <c r="F74" s="805"/>
    </row>
    <row r="75" spans="1:6" ht="14.45" customHeight="1">
      <c r="A75" s="793" t="s">
        <v>505</v>
      </c>
      <c r="B75" s="799" t="s">
        <v>528</v>
      </c>
      <c r="C75" s="795">
        <v>1.8749999999999999E-2</v>
      </c>
      <c r="D75" s="796">
        <v>47417</v>
      </c>
      <c r="E75" s="800"/>
      <c r="F75" s="805"/>
    </row>
    <row r="76" spans="1:6" ht="14.45" customHeight="1">
      <c r="A76" s="793" t="s">
        <v>505</v>
      </c>
      <c r="B76" s="794">
        <v>1</v>
      </c>
      <c r="C76" s="795">
        <v>5.5500000000000001E-2</v>
      </c>
      <c r="D76" s="796">
        <v>47437</v>
      </c>
      <c r="E76" s="800"/>
      <c r="F76" s="805"/>
    </row>
    <row r="77" spans="1:6" ht="14.45" customHeight="1">
      <c r="A77" s="793" t="s">
        <v>505</v>
      </c>
      <c r="B77" s="794">
        <v>3</v>
      </c>
      <c r="C77" s="795">
        <v>5.6000000000000001E-2</v>
      </c>
      <c r="D77" s="796">
        <v>47437</v>
      </c>
      <c r="E77" s="800"/>
      <c r="F77" s="805"/>
    </row>
    <row r="78" spans="1:6" ht="14.45" customHeight="1">
      <c r="A78" s="793" t="s">
        <v>505</v>
      </c>
      <c r="B78" s="794">
        <v>3</v>
      </c>
      <c r="C78" s="795">
        <v>5.1499999999999997E-2</v>
      </c>
      <c r="D78" s="796">
        <v>47437</v>
      </c>
      <c r="E78" s="800"/>
      <c r="F78" s="805"/>
    </row>
    <row r="79" spans="1:6" ht="14.45" customHeight="1">
      <c r="A79" s="793" t="s">
        <v>505</v>
      </c>
      <c r="B79" s="794">
        <v>4000</v>
      </c>
      <c r="C79" s="795">
        <v>4.0160000000000001E-2</v>
      </c>
      <c r="D79" s="796">
        <v>47455</v>
      </c>
      <c r="E79" s="800"/>
      <c r="F79" s="805"/>
    </row>
    <row r="80" spans="1:6" ht="14.45" customHeight="1">
      <c r="A80" s="793" t="s">
        <v>505</v>
      </c>
      <c r="B80" s="794">
        <v>3</v>
      </c>
      <c r="C80" s="795">
        <v>0.05</v>
      </c>
      <c r="D80" s="796">
        <v>47467</v>
      </c>
      <c r="E80" s="800"/>
      <c r="F80" s="805"/>
    </row>
    <row r="81" spans="1:6" ht="14.45" customHeight="1">
      <c r="A81" s="793" t="s">
        <v>505</v>
      </c>
      <c r="B81" s="794">
        <v>1</v>
      </c>
      <c r="C81" s="795">
        <v>4.7E-2</v>
      </c>
      <c r="D81" s="796">
        <v>47467</v>
      </c>
      <c r="E81" s="800"/>
      <c r="F81" s="805"/>
    </row>
    <row r="82" spans="1:6" ht="14.45" customHeight="1">
      <c r="A82" s="793" t="s">
        <v>505</v>
      </c>
      <c r="B82" s="794">
        <v>1</v>
      </c>
      <c r="C82" s="795">
        <v>4.8000000000000001E-2</v>
      </c>
      <c r="D82" s="796">
        <v>11004</v>
      </c>
      <c r="E82" s="800"/>
      <c r="F82" s="805"/>
    </row>
    <row r="83" spans="1:6" ht="14.45" customHeight="1">
      <c r="A83" s="793" t="s">
        <v>505</v>
      </c>
      <c r="B83" s="794">
        <v>1</v>
      </c>
      <c r="C83" s="795">
        <v>5.0500000000000003E-2</v>
      </c>
      <c r="D83" s="796">
        <v>11032</v>
      </c>
      <c r="E83" s="800"/>
      <c r="F83" s="805"/>
    </row>
    <row r="84" spans="1:6" ht="14.45" customHeight="1">
      <c r="A84" s="793" t="s">
        <v>505</v>
      </c>
      <c r="B84" s="794">
        <v>1</v>
      </c>
      <c r="C84" s="795">
        <v>5.1499999999999997E-2</v>
      </c>
      <c r="D84" s="796">
        <v>11032</v>
      </c>
      <c r="E84" s="800"/>
      <c r="F84" s="805"/>
    </row>
    <row r="85" spans="1:6" ht="14.45" customHeight="1">
      <c r="A85" s="793" t="s">
        <v>505</v>
      </c>
      <c r="B85" s="794">
        <v>1</v>
      </c>
      <c r="C85" s="795">
        <v>5.1499999999999997E-2</v>
      </c>
      <c r="D85" s="796">
        <v>11032</v>
      </c>
      <c r="E85" s="800"/>
      <c r="F85" s="805"/>
    </row>
    <row r="86" spans="1:6" ht="14.45" customHeight="1">
      <c r="A86" s="793" t="s">
        <v>505</v>
      </c>
      <c r="B86" s="794">
        <v>1500</v>
      </c>
      <c r="C86" s="795">
        <v>3.15E-2</v>
      </c>
      <c r="D86" s="796">
        <v>11039</v>
      </c>
      <c r="E86" s="800"/>
      <c r="F86" s="805"/>
    </row>
    <row r="87" spans="1:6" ht="14.45" customHeight="1">
      <c r="A87" s="793" t="s">
        <v>505</v>
      </c>
      <c r="B87" s="799" t="s">
        <v>522</v>
      </c>
      <c r="C87" s="795">
        <v>1.2500000000000001E-2</v>
      </c>
      <c r="D87" s="796">
        <v>11056</v>
      </c>
      <c r="E87" s="800"/>
      <c r="F87" s="805"/>
    </row>
    <row r="88" spans="1:6" ht="14.45" customHeight="1">
      <c r="A88" s="793" t="s">
        <v>505</v>
      </c>
      <c r="B88" s="794">
        <v>1</v>
      </c>
      <c r="C88" s="795">
        <v>1.9E-2</v>
      </c>
      <c r="D88" s="796">
        <v>11093</v>
      </c>
      <c r="E88" s="800"/>
      <c r="F88" s="805"/>
    </row>
    <row r="89" spans="1:6" ht="14.45" customHeight="1">
      <c r="A89" s="793" t="s">
        <v>505</v>
      </c>
      <c r="B89" s="794">
        <v>1</v>
      </c>
      <c r="C89" s="795">
        <v>2.0500000000000001E-2</v>
      </c>
      <c r="D89" s="796">
        <v>11093</v>
      </c>
      <c r="E89" s="800"/>
      <c r="F89" s="805"/>
    </row>
    <row r="90" spans="1:6" ht="14.45" customHeight="1">
      <c r="A90" s="793" t="s">
        <v>505</v>
      </c>
      <c r="B90" s="794">
        <v>1</v>
      </c>
      <c r="C90" s="795">
        <v>4.65E-2</v>
      </c>
      <c r="D90" s="796">
        <v>11093</v>
      </c>
      <c r="E90" s="800"/>
      <c r="F90" s="805"/>
    </row>
    <row r="91" spans="1:6" ht="14.45" customHeight="1">
      <c r="A91" s="793" t="s">
        <v>505</v>
      </c>
      <c r="B91" s="794">
        <v>1</v>
      </c>
      <c r="C91" s="795">
        <v>4.7E-2</v>
      </c>
      <c r="D91" s="796">
        <v>11093</v>
      </c>
      <c r="E91" s="800"/>
      <c r="F91" s="805"/>
    </row>
    <row r="92" spans="1:6" ht="14.45" customHeight="1">
      <c r="A92" s="793" t="s">
        <v>505</v>
      </c>
      <c r="B92" s="799" t="s">
        <v>525</v>
      </c>
      <c r="C92" s="795">
        <v>2.5000000000000001E-2</v>
      </c>
      <c r="D92" s="796">
        <v>11094</v>
      </c>
      <c r="E92" s="800"/>
      <c r="F92" s="805"/>
    </row>
    <row r="93" spans="1:6" ht="14.45" customHeight="1">
      <c r="A93" s="793" t="s">
        <v>505</v>
      </c>
      <c r="B93" s="794">
        <v>1</v>
      </c>
      <c r="C93" s="795">
        <v>0.05</v>
      </c>
      <c r="D93" s="796">
        <v>11124</v>
      </c>
      <c r="E93" s="800"/>
      <c r="F93" s="805"/>
    </row>
    <row r="94" spans="1:6" ht="14.45" customHeight="1">
      <c r="A94" s="793" t="s">
        <v>505</v>
      </c>
      <c r="B94" s="794">
        <v>1</v>
      </c>
      <c r="C94" s="795">
        <v>5.0500000000000003E-2</v>
      </c>
      <c r="D94" s="796">
        <v>11124</v>
      </c>
      <c r="E94" s="800"/>
      <c r="F94" s="805"/>
    </row>
    <row r="95" spans="1:6" ht="14.45" customHeight="1">
      <c r="A95" s="793" t="s">
        <v>505</v>
      </c>
      <c r="B95" s="794">
        <v>1</v>
      </c>
      <c r="C95" s="795">
        <v>0.05</v>
      </c>
      <c r="D95" s="796">
        <v>11154</v>
      </c>
      <c r="E95" s="800"/>
      <c r="F95" s="805"/>
    </row>
    <row r="96" spans="1:6" ht="14.45" customHeight="1">
      <c r="A96" s="793" t="s">
        <v>505</v>
      </c>
      <c r="B96" s="794">
        <v>1</v>
      </c>
      <c r="C96" s="795">
        <v>5.2499999999999998E-2</v>
      </c>
      <c r="D96" s="796">
        <v>11185</v>
      </c>
      <c r="E96" s="800"/>
      <c r="F96" s="805"/>
    </row>
    <row r="97" spans="1:6" ht="14.45" customHeight="1">
      <c r="A97" s="793" t="s">
        <v>505</v>
      </c>
      <c r="B97" s="794">
        <v>1</v>
      </c>
      <c r="C97" s="795">
        <v>5.3999999999999999E-2</v>
      </c>
      <c r="D97" s="796">
        <v>11216</v>
      </c>
      <c r="E97" s="800"/>
      <c r="F97" s="805"/>
    </row>
    <row r="98" spans="1:6" ht="14.45" customHeight="1">
      <c r="A98" s="793" t="s">
        <v>505</v>
      </c>
      <c r="B98" s="794">
        <v>1</v>
      </c>
      <c r="C98" s="795">
        <v>5.45E-2</v>
      </c>
      <c r="D98" s="796">
        <v>11216</v>
      </c>
      <c r="E98" s="800"/>
      <c r="F98" s="805"/>
    </row>
    <row r="99" spans="1:6" ht="14.45" customHeight="1">
      <c r="A99" s="793" t="s">
        <v>505</v>
      </c>
      <c r="B99" s="794">
        <v>1</v>
      </c>
      <c r="C99" s="795">
        <v>5.5E-2</v>
      </c>
      <c r="D99" s="796">
        <v>11216</v>
      </c>
      <c r="E99" s="800"/>
      <c r="F99" s="805"/>
    </row>
    <row r="100" spans="1:6" ht="14.45" customHeight="1">
      <c r="A100" s="793" t="s">
        <v>505</v>
      </c>
      <c r="B100" s="794">
        <v>1000</v>
      </c>
      <c r="C100" s="795">
        <v>1.4999999999999999E-2</v>
      </c>
      <c r="D100" s="796">
        <v>11219</v>
      </c>
      <c r="E100" s="800"/>
      <c r="F100" s="805"/>
    </row>
    <row r="101" spans="1:6" ht="14.45" customHeight="1">
      <c r="A101" s="793" t="s">
        <v>505</v>
      </c>
      <c r="B101" s="794" t="s">
        <v>529</v>
      </c>
      <c r="C101" s="795">
        <v>1.8749999999999999E-2</v>
      </c>
      <c r="D101" s="796">
        <v>11220</v>
      </c>
      <c r="E101" s="800"/>
      <c r="F101" s="805"/>
    </row>
    <row r="102" spans="1:6" ht="14.45" customHeight="1">
      <c r="A102" s="793" t="s">
        <v>505</v>
      </c>
      <c r="B102" s="794">
        <v>1147</v>
      </c>
      <c r="C102" s="795">
        <v>1.6799999999999999E-2</v>
      </c>
      <c r="D102" s="796">
        <v>11261</v>
      </c>
      <c r="E102" s="800"/>
      <c r="F102" s="805"/>
    </row>
    <row r="103" spans="1:6" ht="14.45" customHeight="1">
      <c r="A103" s="793" t="s">
        <v>505</v>
      </c>
      <c r="B103" s="799" t="s">
        <v>522</v>
      </c>
      <c r="C103" s="795">
        <v>4.2500000000000003E-2</v>
      </c>
      <c r="D103" s="796">
        <v>11262</v>
      </c>
      <c r="E103" s="800"/>
      <c r="F103" s="805"/>
    </row>
    <row r="104" spans="1:6" ht="14.45" customHeight="1">
      <c r="A104" s="793" t="s">
        <v>505</v>
      </c>
      <c r="B104" s="794">
        <v>2</v>
      </c>
      <c r="C104" s="795">
        <v>1.6500000000000001E-2</v>
      </c>
      <c r="D104" s="796">
        <v>11277</v>
      </c>
      <c r="E104" s="800"/>
      <c r="F104" s="805"/>
    </row>
    <row r="105" spans="1:6" ht="14.45" customHeight="1">
      <c r="A105" s="793" t="s">
        <v>505</v>
      </c>
      <c r="B105" s="794">
        <v>563</v>
      </c>
      <c r="C105" s="795">
        <v>7.7499999999999999E-2</v>
      </c>
      <c r="D105" s="796">
        <v>11293</v>
      </c>
      <c r="E105" s="800"/>
      <c r="F105" s="805"/>
    </row>
    <row r="106" spans="1:6" ht="14.45" customHeight="1">
      <c r="A106" s="793" t="s">
        <v>505</v>
      </c>
      <c r="B106" s="794">
        <v>2250</v>
      </c>
      <c r="C106" s="795">
        <v>1.7500000000000002E-2</v>
      </c>
      <c r="D106" s="796">
        <v>11343</v>
      </c>
      <c r="E106" s="800"/>
      <c r="F106" s="805"/>
    </row>
    <row r="107" spans="1:6" ht="14.45" customHeight="1">
      <c r="A107" s="793" t="s">
        <v>505</v>
      </c>
      <c r="B107" s="794">
        <v>3707</v>
      </c>
      <c r="C107" s="795">
        <v>2.5499999999999998E-2</v>
      </c>
      <c r="D107" s="796">
        <v>11403</v>
      </c>
      <c r="E107" s="800"/>
      <c r="F107" s="805"/>
    </row>
    <row r="108" spans="1:6" ht="14.45" customHeight="1">
      <c r="A108" s="793" t="s">
        <v>505</v>
      </c>
      <c r="B108" s="794" t="s">
        <v>530</v>
      </c>
      <c r="C108" s="795">
        <v>5.5500000000000002E-3</v>
      </c>
      <c r="D108" s="796">
        <v>11406</v>
      </c>
      <c r="E108" s="800"/>
      <c r="F108" s="805"/>
    </row>
    <row r="109" spans="1:6" ht="14.45" customHeight="1">
      <c r="A109" s="793" t="s">
        <v>505</v>
      </c>
      <c r="B109" s="794" t="s">
        <v>531</v>
      </c>
      <c r="C109" s="795">
        <v>2.5000000000000001E-2</v>
      </c>
      <c r="D109" s="796">
        <v>11421</v>
      </c>
      <c r="E109" s="800"/>
      <c r="F109" s="805"/>
    </row>
    <row r="110" spans="1:6" ht="14.45" customHeight="1">
      <c r="A110" s="793" t="s">
        <v>505</v>
      </c>
      <c r="B110" s="794">
        <v>6</v>
      </c>
      <c r="C110" s="795">
        <v>2.35E-2</v>
      </c>
      <c r="D110" s="796">
        <v>11458</v>
      </c>
      <c r="E110" s="800"/>
      <c r="F110" s="805"/>
    </row>
    <row r="111" spans="1:6" ht="14.45" customHeight="1">
      <c r="A111" s="793" t="s">
        <v>505</v>
      </c>
      <c r="B111" s="794">
        <v>4</v>
      </c>
      <c r="C111" s="795">
        <v>2.35E-2</v>
      </c>
      <c r="D111" s="796">
        <v>11489</v>
      </c>
      <c r="E111" s="800"/>
      <c r="F111" s="805"/>
    </row>
    <row r="112" spans="1:6" ht="14.45" customHeight="1">
      <c r="A112" s="793" t="s">
        <v>505</v>
      </c>
      <c r="B112" s="794">
        <v>3</v>
      </c>
      <c r="C112" s="795">
        <v>2.1999999999999999E-2</v>
      </c>
      <c r="D112" s="796">
        <v>11489</v>
      </c>
      <c r="E112" s="800"/>
      <c r="F112" s="805"/>
    </row>
    <row r="113" spans="1:6" ht="14.45" customHeight="1">
      <c r="A113" s="793" t="s">
        <v>505</v>
      </c>
      <c r="B113" s="794">
        <v>1</v>
      </c>
      <c r="C113" s="795">
        <v>2.6499999999999999E-2</v>
      </c>
      <c r="D113" s="796">
        <v>11550</v>
      </c>
      <c r="E113" s="800"/>
      <c r="F113" s="805"/>
    </row>
    <row r="114" spans="1:6" ht="14.45" customHeight="1">
      <c r="A114" s="793" t="s">
        <v>505</v>
      </c>
      <c r="B114" s="794">
        <v>2</v>
      </c>
      <c r="C114" s="795">
        <v>0.02</v>
      </c>
      <c r="D114" s="796">
        <v>11550</v>
      </c>
      <c r="E114" s="800"/>
      <c r="F114" s="805"/>
    </row>
    <row r="115" spans="1:6" ht="14.45" customHeight="1">
      <c r="A115" s="793" t="s">
        <v>505</v>
      </c>
      <c r="B115" s="794">
        <v>2</v>
      </c>
      <c r="C115" s="795">
        <v>2.1499999999999998E-2</v>
      </c>
      <c r="D115" s="796">
        <v>11581</v>
      </c>
      <c r="E115" s="800"/>
      <c r="F115" s="805"/>
    </row>
    <row r="116" spans="1:6" ht="14.45" customHeight="1">
      <c r="A116" s="793" t="s">
        <v>505</v>
      </c>
      <c r="B116" s="794" t="s">
        <v>520</v>
      </c>
      <c r="C116" s="795">
        <v>2.6249999999999999E-2</v>
      </c>
      <c r="D116" s="796">
        <v>11658</v>
      </c>
      <c r="E116" s="800"/>
      <c r="F116" s="805"/>
    </row>
    <row r="117" spans="1:6" ht="14.45" customHeight="1">
      <c r="A117" s="793" t="s">
        <v>505</v>
      </c>
      <c r="B117" s="794">
        <v>4664</v>
      </c>
      <c r="C117" s="795">
        <v>2.3550000000000001E-2</v>
      </c>
      <c r="D117" s="796">
        <v>11763</v>
      </c>
      <c r="E117" s="800"/>
      <c r="F117" s="805"/>
    </row>
    <row r="118" spans="1:6" ht="14.45" customHeight="1">
      <c r="A118" s="793" t="s">
        <v>505</v>
      </c>
      <c r="B118" s="794" t="s">
        <v>532</v>
      </c>
      <c r="C118" s="795">
        <v>8.7500000000000008E-3</v>
      </c>
      <c r="D118" s="796">
        <v>11767</v>
      </c>
      <c r="E118" s="800"/>
      <c r="F118" s="805"/>
    </row>
    <row r="119" spans="1:6" ht="14.45" customHeight="1">
      <c r="A119" s="793" t="s">
        <v>505</v>
      </c>
      <c r="B119" s="799" t="s">
        <v>520</v>
      </c>
      <c r="C119" s="795">
        <v>7.4999999999999997E-3</v>
      </c>
      <c r="D119" s="796">
        <v>11770</v>
      </c>
      <c r="E119" s="800"/>
      <c r="F119" s="805"/>
    </row>
    <row r="120" spans="1:6" ht="14.45" customHeight="1">
      <c r="A120" s="793" t="s">
        <v>505</v>
      </c>
      <c r="B120" s="794">
        <v>107</v>
      </c>
      <c r="C120" s="795">
        <v>7.7499999999999999E-2</v>
      </c>
      <c r="D120" s="796">
        <v>11855</v>
      </c>
      <c r="E120" s="800"/>
      <c r="F120" s="805"/>
    </row>
    <row r="121" spans="1:6" ht="14.45" customHeight="1">
      <c r="A121" s="793" t="s">
        <v>505</v>
      </c>
      <c r="B121" s="794">
        <v>101</v>
      </c>
      <c r="C121" s="795">
        <v>7.8750000000000001E-2</v>
      </c>
      <c r="D121" s="796">
        <v>11871</v>
      </c>
      <c r="E121" s="800"/>
      <c r="F121" s="805"/>
    </row>
    <row r="122" spans="1:6" ht="14.45" customHeight="1">
      <c r="A122" s="793" t="s">
        <v>505</v>
      </c>
      <c r="B122" s="794">
        <v>1000</v>
      </c>
      <c r="C122" s="795">
        <v>5.0500000000000003E-2</v>
      </c>
      <c r="D122" s="796">
        <v>12183</v>
      </c>
      <c r="E122" s="800"/>
      <c r="F122" s="805"/>
    </row>
    <row r="123" spans="1:6" ht="14.45" customHeight="1">
      <c r="A123" s="793" t="s">
        <v>505</v>
      </c>
      <c r="B123" s="794">
        <v>8</v>
      </c>
      <c r="C123" s="795">
        <v>2.5499999999999998E-2</v>
      </c>
      <c r="D123" s="796">
        <v>12189</v>
      </c>
      <c r="E123" s="800"/>
      <c r="F123" s="805"/>
    </row>
    <row r="124" spans="1:6" ht="14.45" customHeight="1">
      <c r="A124" s="793" t="s">
        <v>505</v>
      </c>
      <c r="B124" s="794" t="s">
        <v>533</v>
      </c>
      <c r="C124" s="795">
        <v>1.2999999999999999E-2</v>
      </c>
      <c r="D124" s="796">
        <v>12192</v>
      </c>
      <c r="E124" s="800"/>
      <c r="F124" s="805"/>
    </row>
    <row r="125" spans="1:6" ht="14.45" customHeight="1">
      <c r="A125" s="793" t="s">
        <v>505</v>
      </c>
      <c r="B125" s="794">
        <v>3</v>
      </c>
      <c r="C125" s="795">
        <v>2.5499999999999998E-2</v>
      </c>
      <c r="D125" s="796">
        <v>12220</v>
      </c>
      <c r="E125" s="800"/>
      <c r="F125" s="805"/>
    </row>
    <row r="126" spans="1:6" ht="14.45" customHeight="1">
      <c r="A126" s="793" t="s">
        <v>505</v>
      </c>
      <c r="B126" s="794">
        <v>2</v>
      </c>
      <c r="C126" s="795">
        <v>2.5499999999999998E-2</v>
      </c>
      <c r="D126" s="796">
        <v>12220</v>
      </c>
      <c r="E126" s="800"/>
      <c r="F126" s="805"/>
    </row>
    <row r="127" spans="1:6" ht="14.45" customHeight="1">
      <c r="A127" s="793" t="s">
        <v>505</v>
      </c>
      <c r="B127" s="794">
        <v>2</v>
      </c>
      <c r="C127" s="795">
        <v>2.3E-2</v>
      </c>
      <c r="D127" s="796">
        <v>12250</v>
      </c>
      <c r="E127" s="800"/>
      <c r="F127" s="805"/>
    </row>
    <row r="128" spans="1:6" ht="14.45" customHeight="1">
      <c r="A128" s="793" t="s">
        <v>505</v>
      </c>
      <c r="B128" s="794">
        <v>2137</v>
      </c>
      <c r="C128" s="795">
        <v>4.4999999999999998E-2</v>
      </c>
      <c r="D128" s="796">
        <v>12276</v>
      </c>
      <c r="E128" s="800"/>
      <c r="F128" s="805"/>
    </row>
    <row r="129" spans="1:6" ht="14.45" customHeight="1">
      <c r="A129" s="793" t="s">
        <v>505</v>
      </c>
      <c r="B129" s="794">
        <v>4</v>
      </c>
      <c r="C129" s="795">
        <v>2.1999999999999999E-2</v>
      </c>
      <c r="D129" s="796">
        <v>12281</v>
      </c>
      <c r="E129" s="800"/>
      <c r="F129" s="805"/>
    </row>
    <row r="130" spans="1:6" ht="14.45" customHeight="1">
      <c r="A130" s="793" t="s">
        <v>505</v>
      </c>
      <c r="B130" s="794">
        <v>1</v>
      </c>
      <c r="C130" s="795">
        <v>2.1999999999999999E-2</v>
      </c>
      <c r="D130" s="796">
        <v>12281</v>
      </c>
      <c r="E130" s="800"/>
      <c r="F130" s="805"/>
    </row>
    <row r="131" spans="1:6" ht="14.45" customHeight="1">
      <c r="A131" s="793" t="s">
        <v>505</v>
      </c>
      <c r="B131" s="794">
        <v>354</v>
      </c>
      <c r="C131" s="795">
        <v>6.4000000000000001E-2</v>
      </c>
      <c r="D131" s="796">
        <v>12312</v>
      </c>
      <c r="E131" s="800"/>
      <c r="F131" s="805"/>
    </row>
    <row r="132" spans="1:6" ht="14.45" customHeight="1">
      <c r="A132" s="793" t="s">
        <v>505</v>
      </c>
      <c r="B132" s="794">
        <v>1</v>
      </c>
      <c r="C132" s="795">
        <v>2.1999999999999999E-2</v>
      </c>
      <c r="D132" s="796">
        <v>12312</v>
      </c>
      <c r="E132" s="800"/>
      <c r="F132" s="805"/>
    </row>
    <row r="133" spans="1:6" ht="14.45" customHeight="1">
      <c r="A133" s="793" t="s">
        <v>505</v>
      </c>
      <c r="B133" s="794">
        <v>3</v>
      </c>
      <c r="C133" s="795">
        <v>2.2499999999999999E-2</v>
      </c>
      <c r="D133" s="796">
        <v>12312</v>
      </c>
      <c r="E133" s="800"/>
      <c r="F133" s="805"/>
    </row>
    <row r="134" spans="1:6" ht="14.45" customHeight="1">
      <c r="A134" s="793" t="s">
        <v>505</v>
      </c>
      <c r="B134" s="794">
        <v>2</v>
      </c>
      <c r="C134" s="795">
        <v>2.4500000000000001E-2</v>
      </c>
      <c r="D134" s="796">
        <v>12373</v>
      </c>
      <c r="E134" s="800"/>
      <c r="F134" s="805"/>
    </row>
    <row r="135" spans="1:6" ht="14.45" customHeight="1">
      <c r="A135" s="793" t="s">
        <v>505</v>
      </c>
      <c r="B135" s="794">
        <v>1</v>
      </c>
      <c r="C135" s="795">
        <v>2.35E-2</v>
      </c>
      <c r="D135" s="796">
        <v>12373</v>
      </c>
      <c r="E135" s="800"/>
      <c r="F135" s="805"/>
    </row>
    <row r="136" spans="1:6" ht="14.45" customHeight="1">
      <c r="A136" s="793" t="s">
        <v>505</v>
      </c>
      <c r="B136" s="794">
        <v>1</v>
      </c>
      <c r="C136" s="795">
        <v>2.4500000000000001E-2</v>
      </c>
      <c r="D136" s="796">
        <v>12373</v>
      </c>
      <c r="E136" s="800"/>
      <c r="F136" s="805"/>
    </row>
    <row r="137" spans="1:6" ht="14.45" customHeight="1">
      <c r="A137" s="793" t="s">
        <v>505</v>
      </c>
      <c r="B137" s="794">
        <v>2</v>
      </c>
      <c r="C137" s="795">
        <v>2.5499999999999998E-2</v>
      </c>
      <c r="D137" s="796">
        <v>12403</v>
      </c>
      <c r="E137" s="800"/>
      <c r="F137" s="805"/>
    </row>
    <row r="138" spans="1:6" ht="14.45" customHeight="1">
      <c r="A138" s="793" t="s">
        <v>505</v>
      </c>
      <c r="B138" s="794">
        <v>1</v>
      </c>
      <c r="C138" s="795">
        <v>2.4E-2</v>
      </c>
      <c r="D138" s="796">
        <v>12403</v>
      </c>
      <c r="E138" s="800"/>
      <c r="F138" s="805"/>
    </row>
    <row r="139" spans="1:6" ht="14.45" customHeight="1">
      <c r="A139" s="793" t="s">
        <v>505</v>
      </c>
      <c r="B139" s="794" t="s">
        <v>534</v>
      </c>
      <c r="C139" s="795">
        <v>4.7500000000000001E-2</v>
      </c>
      <c r="D139" s="796">
        <v>12467</v>
      </c>
      <c r="E139" s="800"/>
      <c r="F139" s="805"/>
    </row>
    <row r="140" spans="1:6" ht="14.45" customHeight="1">
      <c r="A140" s="793" t="s">
        <v>505</v>
      </c>
      <c r="B140" s="794">
        <v>151</v>
      </c>
      <c r="C140" s="795">
        <v>5.0500000000000003E-2</v>
      </c>
      <c r="D140" s="796">
        <v>12493</v>
      </c>
      <c r="E140" s="800"/>
      <c r="F140" s="805"/>
    </row>
    <row r="141" spans="1:6" ht="14.45" customHeight="1">
      <c r="A141" s="793" t="s">
        <v>505</v>
      </c>
      <c r="B141" s="794">
        <v>1</v>
      </c>
      <c r="C141" s="795">
        <v>4.5499999999999999E-2</v>
      </c>
      <c r="D141" s="796">
        <v>12554</v>
      </c>
      <c r="E141" s="800"/>
      <c r="F141" s="805"/>
    </row>
    <row r="142" spans="1:6" ht="14.45" customHeight="1">
      <c r="A142" s="793" t="s">
        <v>505</v>
      </c>
      <c r="B142" s="794" t="s">
        <v>522</v>
      </c>
      <c r="C142" s="795">
        <v>4.7500000000000001E-2</v>
      </c>
      <c r="D142" s="796">
        <v>12723</v>
      </c>
      <c r="E142" s="800"/>
      <c r="F142" s="805"/>
    </row>
    <row r="143" spans="1:6" ht="14.45" customHeight="1">
      <c r="A143" s="793" t="s">
        <v>505</v>
      </c>
      <c r="B143" s="794">
        <v>1888</v>
      </c>
      <c r="C143" s="795">
        <v>4.3999999999999997E-2</v>
      </c>
      <c r="D143" s="796">
        <v>12724</v>
      </c>
      <c r="E143" s="800"/>
      <c r="F143" s="805"/>
    </row>
    <row r="144" spans="1:6" ht="14.45" customHeight="1">
      <c r="A144" s="793" t="s">
        <v>505</v>
      </c>
      <c r="B144" s="794">
        <v>278</v>
      </c>
      <c r="C144" s="795">
        <v>4.3999999999999997E-2</v>
      </c>
      <c r="D144" s="796">
        <v>13042</v>
      </c>
      <c r="E144" s="800"/>
      <c r="F144" s="805"/>
    </row>
    <row r="145" spans="1:6" ht="14.45" customHeight="1">
      <c r="A145" s="793" t="s">
        <v>505</v>
      </c>
      <c r="B145" s="794">
        <v>142</v>
      </c>
      <c r="C145" s="795">
        <v>5.8500000000000003E-2</v>
      </c>
      <c r="D145" s="796">
        <v>13042</v>
      </c>
      <c r="E145" s="800"/>
      <c r="F145" s="805"/>
    </row>
    <row r="146" spans="1:6" ht="14.45" customHeight="1">
      <c r="A146" s="793" t="s">
        <v>505</v>
      </c>
      <c r="B146" s="799" t="s">
        <v>528</v>
      </c>
      <c r="C146" s="795">
        <v>1.125E-2</v>
      </c>
      <c r="D146" s="796">
        <v>13046</v>
      </c>
      <c r="E146" s="800"/>
      <c r="F146" s="805"/>
    </row>
    <row r="147" spans="1:6" ht="14.45" customHeight="1">
      <c r="A147" s="793" t="s">
        <v>505</v>
      </c>
      <c r="B147" s="794" t="s">
        <v>535</v>
      </c>
      <c r="C147" s="795">
        <v>3.125E-2</v>
      </c>
      <c r="D147" s="796">
        <v>13090</v>
      </c>
      <c r="E147" s="800"/>
      <c r="F147" s="805"/>
    </row>
    <row r="148" spans="1:6" ht="14.45" customHeight="1">
      <c r="A148" s="793" t="s">
        <v>505</v>
      </c>
      <c r="B148" s="794">
        <v>1290</v>
      </c>
      <c r="C148" s="795">
        <v>4.2720000000000001E-2</v>
      </c>
      <c r="D148" s="796">
        <v>13164</v>
      </c>
      <c r="E148" s="800"/>
      <c r="F148" s="805"/>
    </row>
    <row r="149" spans="1:6" ht="14.45" customHeight="1">
      <c r="A149" s="793" t="s">
        <v>505</v>
      </c>
      <c r="B149" s="799" t="s">
        <v>536</v>
      </c>
      <c r="C149" s="795">
        <v>3.3750000000000002E-2</v>
      </c>
      <c r="D149" s="796">
        <v>13450</v>
      </c>
      <c r="E149" s="800"/>
      <c r="F149" s="805"/>
    </row>
    <row r="150" spans="1:6" ht="14.45" customHeight="1">
      <c r="A150" s="793" t="s">
        <v>505</v>
      </c>
      <c r="B150" s="794">
        <v>1095</v>
      </c>
      <c r="C150" s="795">
        <v>5.2499999999999998E-2</v>
      </c>
      <c r="D150" s="796">
        <v>13590</v>
      </c>
      <c r="E150" s="800"/>
      <c r="F150" s="805"/>
    </row>
    <row r="151" spans="1:6" ht="14.45" customHeight="1">
      <c r="A151" s="793" t="s">
        <v>505</v>
      </c>
      <c r="B151" s="794">
        <v>241</v>
      </c>
      <c r="C151" s="795">
        <v>6.25E-2</v>
      </c>
      <c r="D151" s="796">
        <v>13606</v>
      </c>
      <c r="E151" s="800"/>
      <c r="F151" s="805"/>
    </row>
    <row r="152" spans="1:6" ht="14.45" customHeight="1">
      <c r="A152" s="793" t="s">
        <v>505</v>
      </c>
      <c r="B152" s="794" t="s">
        <v>537</v>
      </c>
      <c r="C152" s="795">
        <v>2.8750000000000001E-2</v>
      </c>
      <c r="D152" s="796">
        <v>13895</v>
      </c>
      <c r="E152" s="800"/>
      <c r="F152" s="805"/>
    </row>
    <row r="153" spans="1:6" ht="14.45" customHeight="1">
      <c r="A153" s="793" t="s">
        <v>505</v>
      </c>
      <c r="B153" s="794">
        <v>172</v>
      </c>
      <c r="C153" s="795">
        <v>6.4000000000000001E-2</v>
      </c>
      <c r="D153" s="796">
        <v>13926</v>
      </c>
      <c r="E153" s="800"/>
      <c r="F153" s="805"/>
    </row>
    <row r="154" spans="1:6" ht="14.45" customHeight="1">
      <c r="A154" s="793" t="s">
        <v>505</v>
      </c>
      <c r="B154" s="794">
        <v>152</v>
      </c>
      <c r="C154" s="795">
        <v>6.9000000000000006E-2</v>
      </c>
      <c r="D154" s="796">
        <v>13985</v>
      </c>
      <c r="E154" s="800"/>
      <c r="F154" s="805"/>
    </row>
    <row r="155" spans="1:6" ht="14.45" customHeight="1">
      <c r="A155" s="793" t="s">
        <v>505</v>
      </c>
      <c r="B155" s="794" t="s">
        <v>527</v>
      </c>
      <c r="C155" s="795">
        <v>1.8749999999999999E-2</v>
      </c>
      <c r="D155" s="796">
        <v>14187</v>
      </c>
      <c r="E155" s="800"/>
      <c r="F155" s="805"/>
    </row>
    <row r="156" spans="1:6" ht="14.45" customHeight="1">
      <c r="A156" s="793" t="s">
        <v>505</v>
      </c>
      <c r="B156" s="794">
        <v>107</v>
      </c>
      <c r="C156" s="795">
        <v>8.9499999999999996E-2</v>
      </c>
      <c r="D156" s="796">
        <v>14305</v>
      </c>
      <c r="E156" s="800"/>
      <c r="F156" s="805"/>
    </row>
    <row r="157" spans="1:6" ht="14.45" customHeight="1">
      <c r="A157" s="793" t="s">
        <v>505</v>
      </c>
      <c r="B157" s="794">
        <v>1136</v>
      </c>
      <c r="C157" s="795">
        <v>4.8120000000000003E-2</v>
      </c>
      <c r="D157" s="796">
        <v>14319</v>
      </c>
      <c r="E157" s="800"/>
      <c r="F157" s="805"/>
    </row>
    <row r="158" spans="1:6" ht="14.45" customHeight="1">
      <c r="A158" s="793" t="s">
        <v>505</v>
      </c>
      <c r="B158" s="794">
        <v>6</v>
      </c>
      <c r="C158" s="795">
        <v>4.2500000000000003E-2</v>
      </c>
      <c r="D158" s="796">
        <v>14319</v>
      </c>
      <c r="E158" s="800"/>
      <c r="F158" s="805"/>
    </row>
    <row r="159" spans="1:6" ht="14.45" customHeight="1">
      <c r="A159" s="793" t="s">
        <v>505</v>
      </c>
      <c r="B159" s="794">
        <v>112</v>
      </c>
      <c r="C159" s="795">
        <v>7.3499999999999996E-2</v>
      </c>
      <c r="D159" s="796">
        <v>14336</v>
      </c>
      <c r="E159" s="800"/>
      <c r="F159" s="805"/>
    </row>
    <row r="160" spans="1:6" ht="14.45" customHeight="1">
      <c r="A160" s="793" t="s">
        <v>505</v>
      </c>
      <c r="B160" s="794">
        <v>2</v>
      </c>
      <c r="C160" s="795">
        <v>4.0500000000000001E-2</v>
      </c>
      <c r="D160" s="796">
        <v>14350</v>
      </c>
      <c r="E160" s="800"/>
      <c r="F160" s="805"/>
    </row>
    <row r="161" spans="1:6" ht="14.45" customHeight="1">
      <c r="A161" s="793" t="s">
        <v>505</v>
      </c>
      <c r="B161" s="794">
        <v>6</v>
      </c>
      <c r="C161" s="795">
        <v>0.04</v>
      </c>
      <c r="D161" s="796">
        <v>14380</v>
      </c>
      <c r="E161" s="800"/>
      <c r="F161" s="805"/>
    </row>
    <row r="162" spans="1:6" ht="14.45" customHeight="1">
      <c r="A162" s="793" t="s">
        <v>505</v>
      </c>
      <c r="B162" s="794">
        <v>5</v>
      </c>
      <c r="C162" s="795">
        <v>0.04</v>
      </c>
      <c r="D162" s="796">
        <v>14380</v>
      </c>
      <c r="E162" s="800"/>
      <c r="F162" s="805"/>
    </row>
    <row r="163" spans="1:6" ht="14.45" customHeight="1">
      <c r="A163" s="793" t="s">
        <v>505</v>
      </c>
      <c r="B163" s="794">
        <v>5</v>
      </c>
      <c r="C163" s="795">
        <v>0.04</v>
      </c>
      <c r="D163" s="796">
        <v>14380</v>
      </c>
      <c r="E163" s="800"/>
      <c r="F163" s="805"/>
    </row>
    <row r="164" spans="1:6" ht="14.45" customHeight="1">
      <c r="A164" s="793" t="s">
        <v>505</v>
      </c>
      <c r="B164" s="794" t="s">
        <v>538</v>
      </c>
      <c r="C164" s="795">
        <v>1.4999999999999999E-2</v>
      </c>
      <c r="D164" s="796">
        <v>14507</v>
      </c>
      <c r="E164" s="800"/>
      <c r="F164" s="805"/>
    </row>
    <row r="165" spans="1:6" ht="14.45" customHeight="1">
      <c r="A165" s="793" t="s">
        <v>505</v>
      </c>
      <c r="B165" s="794" t="s">
        <v>532</v>
      </c>
      <c r="C165" s="795">
        <v>1.8499999999999999E-2</v>
      </c>
      <c r="D165" s="796">
        <v>14749</v>
      </c>
      <c r="E165" s="800"/>
      <c r="F165" s="805"/>
    </row>
    <row r="166" spans="1:6" ht="14.45" customHeight="1">
      <c r="A166" s="793" t="s">
        <v>505</v>
      </c>
      <c r="B166" s="794">
        <v>2917</v>
      </c>
      <c r="C166" s="795">
        <v>2.6499999999999999E-2</v>
      </c>
      <c r="D166" s="796">
        <v>14935</v>
      </c>
      <c r="E166" s="800"/>
      <c r="F166" s="805"/>
    </row>
    <row r="167" spans="1:6" ht="14.45" customHeight="1">
      <c r="A167" s="793" t="s">
        <v>505</v>
      </c>
      <c r="B167" s="794">
        <v>3486</v>
      </c>
      <c r="C167" s="795">
        <v>3.4000000000000002E-2</v>
      </c>
      <c r="D167" s="796">
        <v>15057</v>
      </c>
      <c r="E167" s="800"/>
      <c r="F167" s="805"/>
    </row>
    <row r="168" spans="1:6" ht="14.45" customHeight="1">
      <c r="A168" s="793" t="s">
        <v>505</v>
      </c>
      <c r="B168" s="794">
        <v>122</v>
      </c>
      <c r="C168" s="795">
        <v>0.06</v>
      </c>
      <c r="D168" s="796">
        <v>15067</v>
      </c>
      <c r="E168" s="800"/>
      <c r="F168" s="805"/>
    </row>
    <row r="169" spans="1:6" ht="14.45" customHeight="1">
      <c r="A169" s="793" t="s">
        <v>505</v>
      </c>
      <c r="B169" s="794">
        <v>1000</v>
      </c>
      <c r="C169" s="795">
        <v>2.8500000000000001E-2</v>
      </c>
      <c r="D169" s="796">
        <v>15222</v>
      </c>
      <c r="E169" s="800"/>
      <c r="F169" s="805"/>
    </row>
    <row r="170" spans="1:6" ht="14.45" customHeight="1">
      <c r="A170" s="793" t="s">
        <v>505</v>
      </c>
      <c r="B170" s="794">
        <v>488</v>
      </c>
      <c r="C170" s="795">
        <v>4.7500000000000001E-2</v>
      </c>
      <c r="D170" s="796">
        <v>15281</v>
      </c>
      <c r="E170" s="800"/>
      <c r="F170" s="805"/>
    </row>
    <row r="171" spans="1:6" ht="14.45" customHeight="1">
      <c r="A171" s="793" t="s">
        <v>505</v>
      </c>
      <c r="B171" s="794">
        <v>715</v>
      </c>
      <c r="C171" s="795">
        <v>3.85E-2</v>
      </c>
      <c r="D171" s="796">
        <v>15646</v>
      </c>
      <c r="E171" s="800"/>
      <c r="F171" s="805"/>
    </row>
    <row r="172" spans="1:6" ht="14.45" customHeight="1">
      <c r="A172" s="793" t="s">
        <v>505</v>
      </c>
      <c r="B172" s="794">
        <v>803</v>
      </c>
      <c r="C172" s="795">
        <v>6.5500000000000003E-2</v>
      </c>
      <c r="D172" s="796">
        <v>15964</v>
      </c>
      <c r="E172" s="800"/>
      <c r="F172" s="805"/>
    </row>
    <row r="173" spans="1:6" ht="14.45" customHeight="1">
      <c r="A173" s="793" t="s">
        <v>505</v>
      </c>
      <c r="B173" s="794">
        <v>927</v>
      </c>
      <c r="C173" s="795">
        <v>4.1250000000000002E-2</v>
      </c>
      <c r="D173" s="796">
        <v>17029</v>
      </c>
      <c r="E173" s="800"/>
      <c r="F173" s="805"/>
    </row>
    <row r="174" spans="1:6" ht="14.45" customHeight="1">
      <c r="A174" s="793" t="s">
        <v>505</v>
      </c>
      <c r="B174" s="794">
        <v>2360</v>
      </c>
      <c r="C174" s="795">
        <v>4.8619999999999997E-2</v>
      </c>
      <c r="D174" s="796">
        <v>17035</v>
      </c>
      <c r="E174" s="800"/>
      <c r="F174" s="805"/>
    </row>
    <row r="175" spans="1:6" ht="14.45" customHeight="1">
      <c r="A175" s="793" t="s">
        <v>505</v>
      </c>
      <c r="B175" s="794">
        <v>457</v>
      </c>
      <c r="C175" s="795">
        <v>5.5E-2</v>
      </c>
      <c r="D175" s="796">
        <v>17242</v>
      </c>
      <c r="E175" s="800"/>
      <c r="F175" s="805"/>
    </row>
    <row r="176" spans="1:6" ht="14.45" customHeight="1">
      <c r="A176" s="793" t="s">
        <v>505</v>
      </c>
      <c r="B176" s="794">
        <v>186</v>
      </c>
      <c r="C176" s="795">
        <v>4.9000000000000002E-2</v>
      </c>
      <c r="D176" s="796">
        <v>17302</v>
      </c>
      <c r="E176" s="800"/>
      <c r="F176" s="805"/>
    </row>
    <row r="177" spans="1:6" ht="14.45" customHeight="1">
      <c r="A177" s="793" t="s">
        <v>505</v>
      </c>
      <c r="B177" s="794">
        <v>27</v>
      </c>
      <c r="C177" s="795">
        <v>4.7500000000000001E-2</v>
      </c>
      <c r="D177" s="796">
        <v>17333</v>
      </c>
      <c r="E177" s="800"/>
      <c r="F177" s="805"/>
    </row>
    <row r="178" spans="1:6" ht="14.45" customHeight="1">
      <c r="A178" s="793" t="s">
        <v>505</v>
      </c>
      <c r="B178" s="794">
        <v>28</v>
      </c>
      <c r="C178" s="795">
        <v>4.7E-2</v>
      </c>
      <c r="D178" s="796">
        <v>17333</v>
      </c>
      <c r="E178" s="800"/>
      <c r="F178" s="805"/>
    </row>
    <row r="179" spans="1:6" ht="14.45" customHeight="1">
      <c r="A179" s="793" t="s">
        <v>505</v>
      </c>
      <c r="B179" s="794">
        <v>14</v>
      </c>
      <c r="C179" s="795">
        <v>4.5499999999999999E-2</v>
      </c>
      <c r="D179" s="796">
        <v>17363</v>
      </c>
      <c r="E179" s="800"/>
      <c r="F179" s="805"/>
    </row>
    <row r="180" spans="1:6" ht="14.45" customHeight="1">
      <c r="A180" s="793" t="s">
        <v>505</v>
      </c>
      <c r="B180" s="794">
        <v>44</v>
      </c>
      <c r="C180" s="795">
        <v>4.8000000000000001E-2</v>
      </c>
      <c r="D180" s="796">
        <v>17394</v>
      </c>
      <c r="E180" s="800"/>
      <c r="F180" s="805"/>
    </row>
    <row r="181" spans="1:6" ht="14.45" customHeight="1">
      <c r="A181" s="793" t="s">
        <v>505</v>
      </c>
      <c r="B181" s="794">
        <v>20</v>
      </c>
      <c r="C181" s="795">
        <v>4.8000000000000001E-2</v>
      </c>
      <c r="D181" s="796">
        <v>17394</v>
      </c>
      <c r="E181" s="800"/>
      <c r="F181" s="805"/>
    </row>
    <row r="182" spans="1:6" ht="14.45" customHeight="1">
      <c r="A182" s="793" t="s">
        <v>505</v>
      </c>
      <c r="B182" s="794">
        <v>35</v>
      </c>
      <c r="C182" s="795">
        <v>4.9000000000000002E-2</v>
      </c>
      <c r="D182" s="796">
        <v>17394</v>
      </c>
      <c r="E182" s="800"/>
      <c r="F182" s="805"/>
    </row>
    <row r="183" spans="1:6" ht="14.45" customHeight="1">
      <c r="A183" s="793" t="s">
        <v>505</v>
      </c>
      <c r="B183" s="794">
        <v>26</v>
      </c>
      <c r="C183" s="795">
        <v>4.8500000000000001E-2</v>
      </c>
      <c r="D183" s="796">
        <v>17394</v>
      </c>
      <c r="E183" s="800"/>
      <c r="F183" s="805"/>
    </row>
    <row r="184" spans="1:6" ht="14.45" customHeight="1">
      <c r="A184" s="793" t="s">
        <v>505</v>
      </c>
      <c r="B184" s="794">
        <v>15</v>
      </c>
      <c r="C184" s="795">
        <v>4.7500000000000001E-2</v>
      </c>
      <c r="D184" s="796">
        <v>17425</v>
      </c>
      <c r="E184" s="800"/>
      <c r="F184" s="805"/>
    </row>
    <row r="185" spans="1:6" ht="14.45" customHeight="1">
      <c r="A185" s="793" t="s">
        <v>505</v>
      </c>
      <c r="B185" s="794">
        <v>14</v>
      </c>
      <c r="C185" s="795">
        <v>4.7500000000000001E-2</v>
      </c>
      <c r="D185" s="796">
        <v>17425</v>
      </c>
      <c r="E185" s="800"/>
      <c r="F185" s="805"/>
    </row>
    <row r="186" spans="1:6" ht="14.45" customHeight="1">
      <c r="A186" s="793" t="s">
        <v>505</v>
      </c>
      <c r="B186" s="794">
        <v>29</v>
      </c>
      <c r="C186" s="795">
        <v>4.7E-2</v>
      </c>
      <c r="D186" s="796">
        <v>17425</v>
      </c>
      <c r="E186" s="800"/>
      <c r="F186" s="805"/>
    </row>
    <row r="187" spans="1:6" ht="14.45" customHeight="1">
      <c r="A187" s="793" t="s">
        <v>505</v>
      </c>
      <c r="B187" s="794">
        <v>39</v>
      </c>
      <c r="C187" s="795">
        <v>4.7E-2</v>
      </c>
      <c r="D187" s="796">
        <v>17486</v>
      </c>
      <c r="E187" s="800"/>
      <c r="F187" s="805"/>
    </row>
    <row r="188" spans="1:6" ht="14.45" customHeight="1">
      <c r="A188" s="793" t="s">
        <v>505</v>
      </c>
      <c r="B188" s="794">
        <v>34</v>
      </c>
      <c r="C188" s="795">
        <v>4.7E-2</v>
      </c>
      <c r="D188" s="796">
        <v>17486</v>
      </c>
      <c r="E188" s="800"/>
      <c r="F188" s="805"/>
    </row>
    <row r="189" spans="1:6" ht="14.45" customHeight="1">
      <c r="A189" s="793" t="s">
        <v>505</v>
      </c>
      <c r="B189" s="794">
        <v>15</v>
      </c>
      <c r="C189" s="795">
        <v>4.65E-2</v>
      </c>
      <c r="D189" s="796">
        <v>17486</v>
      </c>
      <c r="E189" s="800"/>
      <c r="F189" s="805"/>
    </row>
    <row r="190" spans="1:6" ht="14.45" customHeight="1">
      <c r="A190" s="793" t="s">
        <v>505</v>
      </c>
      <c r="B190" s="794">
        <v>20</v>
      </c>
      <c r="C190" s="795">
        <v>4.65E-2</v>
      </c>
      <c r="D190" s="796">
        <v>17486</v>
      </c>
      <c r="E190" s="800"/>
      <c r="F190" s="805"/>
    </row>
    <row r="191" spans="1:6" ht="14.45" customHeight="1">
      <c r="A191" s="793" t="s">
        <v>505</v>
      </c>
      <c r="B191" s="794">
        <v>17</v>
      </c>
      <c r="C191" s="795">
        <v>4.5499999999999999E-2</v>
      </c>
      <c r="D191" s="796">
        <v>17516</v>
      </c>
      <c r="E191" s="800"/>
      <c r="F191" s="805"/>
    </row>
    <row r="192" spans="1:6" ht="14.45" customHeight="1">
      <c r="A192" s="793" t="s">
        <v>505</v>
      </c>
      <c r="B192" s="794">
        <v>13</v>
      </c>
      <c r="C192" s="795">
        <v>4.4999999999999998E-2</v>
      </c>
      <c r="D192" s="796">
        <v>17516</v>
      </c>
      <c r="E192" s="800"/>
      <c r="F192" s="805"/>
    </row>
    <row r="193" spans="1:6" ht="14.45" customHeight="1">
      <c r="A193" s="793" t="s">
        <v>505</v>
      </c>
      <c r="B193" s="794">
        <v>23</v>
      </c>
      <c r="C193" s="795">
        <v>4.4999999999999998E-2</v>
      </c>
      <c r="D193" s="796">
        <v>17516</v>
      </c>
      <c r="E193" s="800"/>
      <c r="F193" s="805"/>
    </row>
    <row r="194" spans="1:6" ht="14.45" customHeight="1">
      <c r="A194" s="793" t="s">
        <v>505</v>
      </c>
      <c r="B194" s="794">
        <v>13</v>
      </c>
      <c r="C194" s="795">
        <v>4.5499999999999999E-2</v>
      </c>
      <c r="D194" s="796">
        <v>17578</v>
      </c>
      <c r="E194" s="800"/>
      <c r="F194" s="805"/>
    </row>
    <row r="195" spans="1:6" ht="14.45" customHeight="1">
      <c r="A195" s="793" t="s">
        <v>505</v>
      </c>
      <c r="B195" s="794">
        <v>5</v>
      </c>
      <c r="C195" s="795">
        <v>4.4499999999999998E-2</v>
      </c>
      <c r="D195" s="796">
        <v>17578</v>
      </c>
      <c r="E195" s="800"/>
      <c r="F195" s="805"/>
    </row>
    <row r="196" spans="1:6" ht="14.45" customHeight="1">
      <c r="A196" s="793" t="s">
        <v>505</v>
      </c>
      <c r="B196" s="794">
        <v>4</v>
      </c>
      <c r="C196" s="795">
        <v>4.5499999999999999E-2</v>
      </c>
      <c r="D196" s="796">
        <v>17578</v>
      </c>
      <c r="E196" s="800"/>
      <c r="F196" s="805"/>
    </row>
    <row r="197" spans="1:6" ht="14.45" customHeight="1">
      <c r="A197" s="793" t="s">
        <v>505</v>
      </c>
      <c r="B197" s="794">
        <v>12</v>
      </c>
      <c r="C197" s="795">
        <v>4.7500000000000001E-2</v>
      </c>
      <c r="D197" s="796">
        <v>17578</v>
      </c>
      <c r="E197" s="800"/>
      <c r="F197" s="805"/>
    </row>
    <row r="198" spans="1:6" ht="14.45" customHeight="1">
      <c r="A198" s="793" t="s">
        <v>505</v>
      </c>
      <c r="B198" s="794">
        <v>9</v>
      </c>
      <c r="C198" s="795">
        <v>4.7500000000000001E-2</v>
      </c>
      <c r="D198" s="796">
        <v>17607</v>
      </c>
      <c r="E198" s="800"/>
      <c r="F198" s="805"/>
    </row>
    <row r="199" spans="1:6" ht="14.45" customHeight="1">
      <c r="A199" s="793" t="s">
        <v>505</v>
      </c>
      <c r="B199" s="794">
        <v>7</v>
      </c>
      <c r="C199" s="795">
        <v>4.7500000000000001E-2</v>
      </c>
      <c r="D199" s="796">
        <v>17607</v>
      </c>
      <c r="E199" s="800"/>
      <c r="F199" s="805"/>
    </row>
    <row r="200" spans="1:6" ht="14.45" customHeight="1">
      <c r="A200" s="793" t="s">
        <v>505</v>
      </c>
      <c r="B200" s="794">
        <v>7</v>
      </c>
      <c r="C200" s="795">
        <v>4.7500000000000001E-2</v>
      </c>
      <c r="D200" s="796">
        <v>17607</v>
      </c>
      <c r="E200" s="800"/>
      <c r="F200" s="805"/>
    </row>
    <row r="201" spans="1:6" ht="14.45" customHeight="1">
      <c r="A201" s="793" t="s">
        <v>505</v>
      </c>
      <c r="B201" s="794">
        <v>8</v>
      </c>
      <c r="C201" s="795">
        <v>4.8000000000000001E-2</v>
      </c>
      <c r="D201" s="796">
        <v>17607</v>
      </c>
      <c r="E201" s="800"/>
      <c r="F201" s="805"/>
    </row>
    <row r="202" spans="1:6" ht="14.45" customHeight="1">
      <c r="A202" s="793" t="s">
        <v>505</v>
      </c>
      <c r="B202" s="794">
        <v>16</v>
      </c>
      <c r="C202" s="795">
        <v>4.8500000000000001E-2</v>
      </c>
      <c r="D202" s="796">
        <v>17638</v>
      </c>
      <c r="E202" s="800"/>
      <c r="F202" s="805"/>
    </row>
    <row r="203" spans="1:6" ht="14.45" customHeight="1">
      <c r="A203" s="793" t="s">
        <v>505</v>
      </c>
      <c r="B203" s="794">
        <v>4</v>
      </c>
      <c r="C203" s="795">
        <v>4.8500000000000001E-2</v>
      </c>
      <c r="D203" s="796">
        <v>17668</v>
      </c>
      <c r="E203" s="800"/>
      <c r="F203" s="805"/>
    </row>
    <row r="204" spans="1:6" ht="14.45" customHeight="1">
      <c r="A204" s="793" t="s">
        <v>505</v>
      </c>
      <c r="B204" s="794">
        <v>7</v>
      </c>
      <c r="C204" s="795">
        <v>4.8500000000000001E-2</v>
      </c>
      <c r="D204" s="796">
        <v>17668</v>
      </c>
      <c r="E204" s="800"/>
      <c r="F204" s="805"/>
    </row>
    <row r="205" spans="1:6" ht="14.45" customHeight="1">
      <c r="A205" s="793" t="s">
        <v>505</v>
      </c>
      <c r="B205" s="794">
        <v>9</v>
      </c>
      <c r="C205" s="795">
        <v>4.9000000000000002E-2</v>
      </c>
      <c r="D205" s="796">
        <v>17668</v>
      </c>
      <c r="E205" s="800"/>
      <c r="F205" s="805"/>
    </row>
    <row r="206" spans="1:6" ht="14.45" customHeight="1">
      <c r="A206" s="793" t="s">
        <v>505</v>
      </c>
      <c r="B206" s="794">
        <v>4</v>
      </c>
      <c r="C206" s="795">
        <v>4.8500000000000001E-2</v>
      </c>
      <c r="D206" s="796">
        <v>17668</v>
      </c>
      <c r="E206" s="800"/>
      <c r="F206" s="805"/>
    </row>
    <row r="207" spans="1:6" ht="14.45" customHeight="1">
      <c r="A207" s="793" t="s">
        <v>505</v>
      </c>
      <c r="B207" s="794">
        <v>50</v>
      </c>
      <c r="C207" s="795">
        <v>0.05</v>
      </c>
      <c r="D207" s="796">
        <v>17699</v>
      </c>
      <c r="E207" s="800"/>
      <c r="F207" s="805"/>
    </row>
    <row r="208" spans="1:6" ht="14.45" customHeight="1">
      <c r="A208" s="793" t="s">
        <v>505</v>
      </c>
      <c r="B208" s="794">
        <v>9</v>
      </c>
      <c r="C208" s="795">
        <v>4.9500000000000002E-2</v>
      </c>
      <c r="D208" s="796">
        <v>17699</v>
      </c>
      <c r="E208" s="800"/>
      <c r="F208" s="805"/>
    </row>
    <row r="209" spans="1:6" ht="14.45" customHeight="1">
      <c r="A209" s="793" t="s">
        <v>505</v>
      </c>
      <c r="B209" s="794">
        <v>11</v>
      </c>
      <c r="C209" s="795">
        <v>4.9000000000000002E-2</v>
      </c>
      <c r="D209" s="796">
        <v>17699</v>
      </c>
      <c r="E209" s="800"/>
      <c r="F209" s="805"/>
    </row>
    <row r="210" spans="1:6" ht="14.45" customHeight="1">
      <c r="A210" s="793" t="s">
        <v>505</v>
      </c>
      <c r="B210" s="794">
        <v>36</v>
      </c>
      <c r="C210" s="795">
        <v>5.0500000000000003E-2</v>
      </c>
      <c r="D210" s="796">
        <v>17729</v>
      </c>
      <c r="E210" s="800"/>
      <c r="F210" s="805"/>
    </row>
    <row r="211" spans="1:6" ht="14.45" customHeight="1">
      <c r="A211" s="793" t="s">
        <v>505</v>
      </c>
      <c r="B211" s="794">
        <v>5</v>
      </c>
      <c r="C211" s="795">
        <v>4.8000000000000001E-2</v>
      </c>
      <c r="D211" s="796">
        <v>17760</v>
      </c>
      <c r="E211" s="800"/>
      <c r="F211" s="805"/>
    </row>
    <row r="212" spans="1:6" ht="14.45" customHeight="1">
      <c r="A212" s="793" t="s">
        <v>505</v>
      </c>
      <c r="B212" s="794">
        <v>2</v>
      </c>
      <c r="C212" s="795">
        <v>4.7E-2</v>
      </c>
      <c r="D212" s="796">
        <v>17760</v>
      </c>
      <c r="E212" s="800"/>
      <c r="F212" s="805"/>
    </row>
    <row r="213" spans="1:6" ht="14.45" customHeight="1">
      <c r="A213" s="793" t="s">
        <v>505</v>
      </c>
      <c r="B213" s="794">
        <v>3</v>
      </c>
      <c r="C213" s="795">
        <v>4.65E-2</v>
      </c>
      <c r="D213" s="796">
        <v>17760</v>
      </c>
      <c r="E213" s="800"/>
      <c r="F213" s="805"/>
    </row>
    <row r="214" spans="1:6" ht="14.45" customHeight="1">
      <c r="A214" s="793" t="s">
        <v>505</v>
      </c>
      <c r="B214" s="794">
        <v>5</v>
      </c>
      <c r="C214" s="795">
        <v>4.8000000000000001E-2</v>
      </c>
      <c r="D214" s="796">
        <v>17760</v>
      </c>
      <c r="E214" s="800"/>
      <c r="F214" s="805"/>
    </row>
    <row r="215" spans="1:6" ht="14.45" customHeight="1">
      <c r="A215" s="793" t="s">
        <v>505</v>
      </c>
      <c r="B215" s="794">
        <v>3</v>
      </c>
      <c r="C215" s="795">
        <v>4.65E-2</v>
      </c>
      <c r="D215" s="796">
        <v>17760</v>
      </c>
      <c r="E215" s="800"/>
      <c r="F215" s="805"/>
    </row>
    <row r="216" spans="1:6" ht="14.45" customHeight="1">
      <c r="A216" s="793" t="s">
        <v>505</v>
      </c>
      <c r="B216" s="794">
        <v>1247</v>
      </c>
      <c r="C216" s="795">
        <v>4.5220000000000003E-2</v>
      </c>
      <c r="D216" s="796">
        <v>17791</v>
      </c>
      <c r="E216" s="800"/>
      <c r="F216" s="805"/>
    </row>
    <row r="217" spans="1:6" ht="14.45" customHeight="1">
      <c r="A217" s="793" t="s">
        <v>505</v>
      </c>
      <c r="B217" s="794">
        <v>4</v>
      </c>
      <c r="C217" s="795">
        <v>4.8500000000000001E-2</v>
      </c>
      <c r="D217" s="796">
        <v>17791</v>
      </c>
      <c r="E217" s="800"/>
      <c r="F217" s="805"/>
    </row>
    <row r="218" spans="1:6" ht="14.45" customHeight="1">
      <c r="A218" s="793" t="s">
        <v>505</v>
      </c>
      <c r="B218" s="794">
        <v>3</v>
      </c>
      <c r="C218" s="795">
        <v>4.7E-2</v>
      </c>
      <c r="D218" s="796">
        <v>17791</v>
      </c>
      <c r="E218" s="800"/>
      <c r="F218" s="805"/>
    </row>
    <row r="219" spans="1:6" ht="14.45" customHeight="1">
      <c r="A219" s="793" t="s">
        <v>505</v>
      </c>
      <c r="B219" s="794">
        <v>2</v>
      </c>
      <c r="C219" s="795">
        <v>4.7E-2</v>
      </c>
      <c r="D219" s="796">
        <v>17791</v>
      </c>
      <c r="E219" s="800"/>
      <c r="F219" s="805"/>
    </row>
    <row r="220" spans="1:6" ht="14.45" customHeight="1">
      <c r="A220" s="793" t="s">
        <v>505</v>
      </c>
      <c r="B220" s="794">
        <v>3</v>
      </c>
      <c r="C220" s="795">
        <v>4.7500000000000001E-2</v>
      </c>
      <c r="D220" s="796">
        <v>17821</v>
      </c>
      <c r="E220" s="800"/>
      <c r="F220" s="805"/>
    </row>
    <row r="221" spans="1:6" ht="14.45" customHeight="1">
      <c r="A221" s="793" t="s">
        <v>505</v>
      </c>
      <c r="B221" s="794">
        <v>8</v>
      </c>
      <c r="C221" s="795">
        <v>0.05</v>
      </c>
      <c r="D221" s="796">
        <v>17852</v>
      </c>
      <c r="E221" s="800"/>
      <c r="F221" s="805"/>
    </row>
    <row r="222" spans="1:6" ht="14.45" customHeight="1">
      <c r="A222" s="793" t="s">
        <v>505</v>
      </c>
      <c r="B222" s="794">
        <v>6</v>
      </c>
      <c r="C222" s="795">
        <v>0.05</v>
      </c>
      <c r="D222" s="796">
        <v>17852</v>
      </c>
      <c r="E222" s="800"/>
      <c r="F222" s="805"/>
    </row>
    <row r="223" spans="1:6" ht="14.45" customHeight="1">
      <c r="A223" s="793" t="s">
        <v>505</v>
      </c>
      <c r="B223" s="794">
        <v>1</v>
      </c>
      <c r="C223" s="795">
        <v>4.9000000000000002E-2</v>
      </c>
      <c r="D223" s="796">
        <v>17852</v>
      </c>
      <c r="E223" s="800"/>
      <c r="F223" s="805"/>
    </row>
    <row r="224" spans="1:6" ht="14.45" customHeight="1">
      <c r="A224" s="793" t="s">
        <v>505</v>
      </c>
      <c r="B224" s="794">
        <v>6</v>
      </c>
      <c r="C224" s="795">
        <v>0.05</v>
      </c>
      <c r="D224" s="796">
        <v>17882</v>
      </c>
      <c r="E224" s="800"/>
      <c r="F224" s="805"/>
    </row>
    <row r="225" spans="1:6" ht="14.45" customHeight="1">
      <c r="A225" s="793" t="s">
        <v>505</v>
      </c>
      <c r="B225" s="794">
        <v>2</v>
      </c>
      <c r="C225" s="795">
        <v>4.9000000000000002E-2</v>
      </c>
      <c r="D225" s="796">
        <v>17882</v>
      </c>
      <c r="E225" s="800"/>
      <c r="F225" s="805"/>
    </row>
    <row r="226" spans="1:6" ht="14.45" customHeight="1">
      <c r="A226" s="793" t="s">
        <v>505</v>
      </c>
      <c r="B226" s="794">
        <v>2</v>
      </c>
      <c r="C226" s="795">
        <v>4.8500000000000001E-2</v>
      </c>
      <c r="D226" s="796">
        <v>17913</v>
      </c>
      <c r="E226" s="800"/>
      <c r="F226" s="805"/>
    </row>
    <row r="227" spans="1:6" ht="14.45" customHeight="1">
      <c r="A227" s="793" t="s">
        <v>505</v>
      </c>
      <c r="B227" s="794">
        <v>5</v>
      </c>
      <c r="C227" s="795">
        <v>4.5499999999999999E-2</v>
      </c>
      <c r="D227" s="796">
        <v>17944</v>
      </c>
      <c r="E227" s="800"/>
      <c r="F227" s="805"/>
    </row>
    <row r="228" spans="1:6" ht="14.45" customHeight="1">
      <c r="A228" s="793" t="s">
        <v>505</v>
      </c>
      <c r="B228" s="794">
        <v>3</v>
      </c>
      <c r="C228" s="795">
        <v>4.4999999999999998E-2</v>
      </c>
      <c r="D228" s="796">
        <v>17972</v>
      </c>
      <c r="E228" s="800"/>
      <c r="F228" s="805"/>
    </row>
    <row r="229" spans="1:6" ht="14.45" customHeight="1">
      <c r="A229" s="793" t="s">
        <v>505</v>
      </c>
      <c r="B229" s="794">
        <v>2</v>
      </c>
      <c r="C229" s="795">
        <v>4.5499999999999999E-2</v>
      </c>
      <c r="D229" s="796">
        <v>17972</v>
      </c>
      <c r="E229" s="800"/>
      <c r="F229" s="805"/>
    </row>
    <row r="230" spans="1:6" ht="14.45" customHeight="1">
      <c r="A230" s="793" t="s">
        <v>505</v>
      </c>
      <c r="B230" s="794">
        <v>3</v>
      </c>
      <c r="C230" s="795">
        <v>4.4999999999999998E-2</v>
      </c>
      <c r="D230" s="796">
        <v>17972</v>
      </c>
      <c r="E230" s="800"/>
      <c r="F230" s="805"/>
    </row>
    <row r="231" spans="1:6" ht="14.45" customHeight="1">
      <c r="A231" s="793" t="s">
        <v>505</v>
      </c>
      <c r="B231" s="794">
        <v>697</v>
      </c>
      <c r="C231" s="795">
        <v>5.0119999999999998E-2</v>
      </c>
      <c r="D231" s="796">
        <v>18003</v>
      </c>
      <c r="E231" s="800"/>
      <c r="F231" s="805"/>
    </row>
    <row r="232" spans="1:6" ht="14.45" customHeight="1">
      <c r="A232" s="793" t="s">
        <v>505</v>
      </c>
      <c r="B232" s="794">
        <v>3</v>
      </c>
      <c r="C232" s="795">
        <v>4.0500000000000001E-2</v>
      </c>
      <c r="D232" s="796">
        <v>18033</v>
      </c>
      <c r="E232" s="800"/>
      <c r="F232" s="805"/>
    </row>
    <row r="233" spans="1:6" ht="14.45" customHeight="1">
      <c r="A233" s="793" t="s">
        <v>505</v>
      </c>
      <c r="B233" s="794">
        <v>3</v>
      </c>
      <c r="C233" s="795">
        <v>4.1000000000000002E-2</v>
      </c>
      <c r="D233" s="796">
        <v>18064</v>
      </c>
      <c r="E233" s="800"/>
      <c r="F233" s="805"/>
    </row>
    <row r="234" spans="1:6" ht="14.45" customHeight="1">
      <c r="A234" s="793" t="s">
        <v>505</v>
      </c>
      <c r="B234" s="794">
        <v>4</v>
      </c>
      <c r="C234" s="795">
        <v>4.0500000000000001E-2</v>
      </c>
      <c r="D234" s="796">
        <v>18064</v>
      </c>
      <c r="E234" s="800"/>
      <c r="F234" s="805"/>
    </row>
    <row r="235" spans="1:6" ht="14.45" customHeight="1">
      <c r="A235" s="793" t="s">
        <v>505</v>
      </c>
      <c r="B235" s="794">
        <v>4</v>
      </c>
      <c r="C235" s="795">
        <v>3.5000000000000003E-2</v>
      </c>
      <c r="D235" s="796">
        <v>18125</v>
      </c>
      <c r="E235" s="800"/>
      <c r="F235" s="805"/>
    </row>
    <row r="236" spans="1:6" ht="14.45" customHeight="1">
      <c r="A236" s="793" t="s">
        <v>505</v>
      </c>
      <c r="B236" s="794">
        <v>4</v>
      </c>
      <c r="C236" s="795">
        <v>3.5000000000000003E-2</v>
      </c>
      <c r="D236" s="796">
        <v>18125</v>
      </c>
      <c r="E236" s="800"/>
      <c r="F236" s="805"/>
    </row>
    <row r="237" spans="1:6" ht="14.45" customHeight="1">
      <c r="A237" s="793" t="s">
        <v>505</v>
      </c>
      <c r="B237" s="794">
        <v>2</v>
      </c>
      <c r="C237" s="795">
        <v>3.3000000000000002E-2</v>
      </c>
      <c r="D237" s="796">
        <v>18156</v>
      </c>
      <c r="E237" s="800"/>
      <c r="F237" s="805"/>
    </row>
    <row r="238" spans="1:6" ht="14.45" customHeight="1">
      <c r="A238" s="793" t="s">
        <v>505</v>
      </c>
      <c r="B238" s="794">
        <v>6</v>
      </c>
      <c r="C238" s="795">
        <v>3.5499999999999997E-2</v>
      </c>
      <c r="D238" s="796">
        <v>18156</v>
      </c>
      <c r="E238" s="800"/>
      <c r="F238" s="805"/>
    </row>
    <row r="239" spans="1:6" ht="14.45" customHeight="1">
      <c r="A239" s="793" t="s">
        <v>505</v>
      </c>
      <c r="B239" s="794">
        <v>8</v>
      </c>
      <c r="C239" s="795">
        <v>3.5499999999999997E-2</v>
      </c>
      <c r="D239" s="796">
        <v>18186</v>
      </c>
      <c r="E239" s="800"/>
      <c r="F239" s="805"/>
    </row>
    <row r="240" spans="1:6" ht="14.45" customHeight="1">
      <c r="A240" s="793" t="s">
        <v>505</v>
      </c>
      <c r="B240" s="794">
        <v>8</v>
      </c>
      <c r="C240" s="795">
        <v>3.5499999999999997E-2</v>
      </c>
      <c r="D240" s="796">
        <v>18186</v>
      </c>
      <c r="E240" s="800"/>
      <c r="F240" s="805"/>
    </row>
    <row r="241" spans="1:6" ht="14.45" customHeight="1">
      <c r="A241" s="793" t="s">
        <v>505</v>
      </c>
      <c r="B241" s="794">
        <v>2</v>
      </c>
      <c r="C241" s="795">
        <v>3.5000000000000003E-2</v>
      </c>
      <c r="D241" s="796">
        <v>18217</v>
      </c>
      <c r="E241" s="800"/>
      <c r="F241" s="805"/>
    </row>
    <row r="242" spans="1:6" ht="14.45" customHeight="1">
      <c r="A242" s="793" t="s">
        <v>505</v>
      </c>
      <c r="B242" s="794">
        <v>3</v>
      </c>
      <c r="C242" s="795">
        <v>3.5499999999999997E-2</v>
      </c>
      <c r="D242" s="796">
        <v>18217</v>
      </c>
      <c r="E242" s="800"/>
      <c r="F242" s="805"/>
    </row>
    <row r="243" spans="1:6" ht="14.45" customHeight="1">
      <c r="A243" s="793" t="s">
        <v>505</v>
      </c>
      <c r="B243" s="794">
        <v>4</v>
      </c>
      <c r="C243" s="795">
        <v>3.5000000000000003E-2</v>
      </c>
      <c r="D243" s="796">
        <v>18217</v>
      </c>
      <c r="E243" s="800"/>
      <c r="F243" s="805"/>
    </row>
    <row r="244" spans="1:6" ht="14.45" customHeight="1">
      <c r="A244" s="793" t="s">
        <v>505</v>
      </c>
      <c r="B244" s="794">
        <v>2</v>
      </c>
      <c r="C244" s="795">
        <v>3.4500000000000003E-2</v>
      </c>
      <c r="D244" s="796">
        <v>18247</v>
      </c>
      <c r="E244" s="800"/>
      <c r="F244" s="805"/>
    </row>
    <row r="245" spans="1:6" ht="14.45" customHeight="1">
      <c r="A245" s="793" t="s">
        <v>505</v>
      </c>
      <c r="B245" s="794">
        <v>3</v>
      </c>
      <c r="C245" s="795">
        <v>3.4500000000000003E-2</v>
      </c>
      <c r="D245" s="796">
        <v>18247</v>
      </c>
      <c r="E245" s="800"/>
      <c r="F245" s="805"/>
    </row>
    <row r="246" spans="1:6" ht="14.45" customHeight="1">
      <c r="A246" s="793" t="s">
        <v>505</v>
      </c>
      <c r="B246" s="794">
        <v>3</v>
      </c>
      <c r="C246" s="795">
        <v>3.4000000000000002E-2</v>
      </c>
      <c r="D246" s="796">
        <v>18247</v>
      </c>
      <c r="E246" s="800"/>
      <c r="F246" s="805"/>
    </row>
    <row r="247" spans="1:6" ht="14.45" customHeight="1">
      <c r="A247" s="793" t="s">
        <v>505</v>
      </c>
      <c r="B247" s="794">
        <v>3</v>
      </c>
      <c r="C247" s="795">
        <v>0.03</v>
      </c>
      <c r="D247" s="796">
        <v>18337</v>
      </c>
      <c r="E247" s="800"/>
      <c r="F247" s="805"/>
    </row>
    <row r="248" spans="1:6" ht="14.45" customHeight="1">
      <c r="A248" s="793" t="s">
        <v>505</v>
      </c>
      <c r="B248" s="794">
        <v>1178</v>
      </c>
      <c r="C248" s="795">
        <v>0.04</v>
      </c>
      <c r="D248" s="796">
        <v>18344</v>
      </c>
      <c r="E248" s="800"/>
      <c r="F248" s="805"/>
    </row>
    <row r="249" spans="1:6" ht="14.45" customHeight="1">
      <c r="A249" s="793" t="s">
        <v>505</v>
      </c>
      <c r="B249" s="794">
        <v>1</v>
      </c>
      <c r="C249" s="795">
        <v>2.9499999999999998E-2</v>
      </c>
      <c r="D249" s="796">
        <v>18398</v>
      </c>
      <c r="E249" s="800"/>
      <c r="F249" s="805"/>
    </row>
    <row r="250" spans="1:6" ht="14.45" customHeight="1">
      <c r="A250" s="793" t="s">
        <v>505</v>
      </c>
      <c r="B250" s="794">
        <v>2</v>
      </c>
      <c r="C250" s="795">
        <v>2.9499999999999998E-2</v>
      </c>
      <c r="D250" s="796">
        <v>18398</v>
      </c>
      <c r="E250" s="800"/>
      <c r="F250" s="805"/>
    </row>
    <row r="251" spans="1:6" ht="14.45" customHeight="1">
      <c r="A251" s="793" t="s">
        <v>505</v>
      </c>
      <c r="B251" s="794" t="s">
        <v>539</v>
      </c>
      <c r="C251" s="795">
        <v>3.6249999999999998E-2</v>
      </c>
      <c r="D251" s="796">
        <v>18399</v>
      </c>
      <c r="E251" s="800"/>
      <c r="F251" s="805"/>
    </row>
    <row r="252" spans="1:6" ht="14.45" customHeight="1">
      <c r="A252" s="793" t="s">
        <v>505</v>
      </c>
      <c r="B252" s="794">
        <v>3</v>
      </c>
      <c r="C252" s="795">
        <v>2.8000000000000001E-2</v>
      </c>
      <c r="D252" s="796">
        <v>18429</v>
      </c>
      <c r="E252" s="800"/>
      <c r="F252" s="805"/>
    </row>
    <row r="253" spans="1:6" ht="14.45" customHeight="1">
      <c r="A253" s="793" t="s">
        <v>505</v>
      </c>
      <c r="B253" s="794">
        <v>950</v>
      </c>
      <c r="C253" s="795">
        <v>5.1499999999999997E-2</v>
      </c>
      <c r="D253" s="796">
        <v>18521</v>
      </c>
      <c r="E253" s="800"/>
      <c r="F253" s="805"/>
    </row>
    <row r="254" spans="1:6" ht="14.45" customHeight="1">
      <c r="A254" s="793" t="s">
        <v>505</v>
      </c>
      <c r="B254" s="794">
        <v>5</v>
      </c>
      <c r="C254" s="795">
        <v>2.75E-2</v>
      </c>
      <c r="D254" s="796">
        <v>18582</v>
      </c>
      <c r="E254" s="800"/>
      <c r="F254" s="805"/>
    </row>
    <row r="255" spans="1:6" ht="14.45" customHeight="1">
      <c r="A255" s="793" t="s">
        <v>505</v>
      </c>
      <c r="B255" s="794">
        <v>2612</v>
      </c>
      <c r="C255" s="795">
        <v>2.8750000000000001E-2</v>
      </c>
      <c r="D255" s="796">
        <v>18587</v>
      </c>
      <c r="E255" s="800"/>
      <c r="F255" s="805"/>
    </row>
    <row r="256" spans="1:6" ht="14.45" customHeight="1">
      <c r="A256" s="793" t="s">
        <v>505</v>
      </c>
      <c r="B256" s="794">
        <v>1</v>
      </c>
      <c r="C256" s="795">
        <v>2.6499999999999999E-2</v>
      </c>
      <c r="D256" s="796">
        <v>18612</v>
      </c>
      <c r="E256" s="800"/>
      <c r="F256" s="805"/>
    </row>
    <row r="257" spans="1:6" ht="14.45" customHeight="1">
      <c r="A257" s="793" t="s">
        <v>505</v>
      </c>
      <c r="B257" s="794">
        <v>510</v>
      </c>
      <c r="C257" s="795">
        <v>0.05</v>
      </c>
      <c r="D257" s="796">
        <v>18702</v>
      </c>
      <c r="E257" s="800"/>
      <c r="F257" s="805"/>
    </row>
    <row r="258" spans="1:6" ht="14.45" customHeight="1">
      <c r="A258" s="793" t="s">
        <v>505</v>
      </c>
      <c r="B258" s="794">
        <v>4211</v>
      </c>
      <c r="C258" s="795">
        <v>3.5499999999999997E-2</v>
      </c>
      <c r="D258" s="796">
        <v>18709</v>
      </c>
      <c r="E258" s="800"/>
      <c r="F258" s="805"/>
    </row>
    <row r="259" spans="1:6" ht="14.45" customHeight="1">
      <c r="A259" s="793" t="s">
        <v>505</v>
      </c>
      <c r="B259" s="794" t="s">
        <v>540</v>
      </c>
      <c r="C259" s="795">
        <v>4.0500000000000001E-2</v>
      </c>
      <c r="D259" s="796">
        <v>18709</v>
      </c>
      <c r="E259" s="800"/>
      <c r="F259" s="805"/>
    </row>
    <row r="260" spans="1:6" ht="14.45" customHeight="1">
      <c r="A260" s="793" t="s">
        <v>505</v>
      </c>
      <c r="B260" s="794">
        <v>4</v>
      </c>
      <c r="C260" s="795">
        <v>3.3500000000000002E-2</v>
      </c>
      <c r="D260" s="796">
        <v>18763</v>
      </c>
      <c r="E260" s="800"/>
      <c r="F260" s="805"/>
    </row>
    <row r="261" spans="1:6" ht="14.45" customHeight="1">
      <c r="A261" s="793" t="s">
        <v>505</v>
      </c>
      <c r="B261" s="794">
        <v>4</v>
      </c>
      <c r="C261" s="795">
        <v>3.4000000000000002E-2</v>
      </c>
      <c r="D261" s="796">
        <v>18763</v>
      </c>
      <c r="E261" s="800"/>
      <c r="F261" s="805"/>
    </row>
    <row r="262" spans="1:6" ht="14.45" customHeight="1">
      <c r="A262" s="793" t="s">
        <v>505</v>
      </c>
      <c r="B262" s="794">
        <v>4</v>
      </c>
      <c r="C262" s="795">
        <v>3.3500000000000002E-2</v>
      </c>
      <c r="D262" s="796">
        <v>18794</v>
      </c>
      <c r="E262" s="800"/>
      <c r="F262" s="805"/>
    </row>
    <row r="263" spans="1:6" ht="14.45" customHeight="1">
      <c r="A263" s="793" t="s">
        <v>505</v>
      </c>
      <c r="B263" s="794">
        <v>4</v>
      </c>
      <c r="C263" s="795">
        <v>3.4000000000000002E-2</v>
      </c>
      <c r="D263" s="796">
        <v>18794</v>
      </c>
      <c r="E263" s="800"/>
      <c r="F263" s="805"/>
    </row>
    <row r="264" spans="1:6" ht="14.45" customHeight="1">
      <c r="A264" s="793" t="s">
        <v>505</v>
      </c>
      <c r="B264" s="794">
        <v>5</v>
      </c>
      <c r="C264" s="795">
        <v>3.3500000000000002E-2</v>
      </c>
      <c r="D264" s="796">
        <v>18794</v>
      </c>
      <c r="E264" s="800"/>
      <c r="F264" s="805"/>
    </row>
    <row r="265" spans="1:6" ht="14.45" customHeight="1">
      <c r="A265" s="793" t="s">
        <v>505</v>
      </c>
      <c r="B265" s="794">
        <v>5</v>
      </c>
      <c r="C265" s="795">
        <v>3.2500000000000001E-2</v>
      </c>
      <c r="D265" s="796">
        <v>18794</v>
      </c>
      <c r="E265" s="800"/>
      <c r="F265" s="805"/>
    </row>
    <row r="266" spans="1:6" ht="14.45" customHeight="1">
      <c r="A266" s="793" t="s">
        <v>505</v>
      </c>
      <c r="B266" s="794">
        <v>4</v>
      </c>
      <c r="C266" s="795">
        <v>3.0499999999999999E-2</v>
      </c>
      <c r="D266" s="796">
        <v>18824</v>
      </c>
      <c r="E266" s="800"/>
      <c r="F266" s="805"/>
    </row>
    <row r="267" spans="1:6" ht="14.45" customHeight="1">
      <c r="A267" s="793" t="s">
        <v>505</v>
      </c>
      <c r="B267" s="794">
        <v>1</v>
      </c>
      <c r="C267" s="795">
        <v>2.9499999999999998E-2</v>
      </c>
      <c r="D267" s="796">
        <v>18855</v>
      </c>
      <c r="E267" s="800"/>
      <c r="F267" s="805"/>
    </row>
    <row r="268" spans="1:6" ht="14.45" customHeight="1">
      <c r="A268" s="793" t="s">
        <v>505</v>
      </c>
      <c r="B268" s="794">
        <v>5</v>
      </c>
      <c r="C268" s="795">
        <v>0.03</v>
      </c>
      <c r="D268" s="796">
        <v>18855</v>
      </c>
      <c r="E268" s="800"/>
      <c r="F268" s="805"/>
    </row>
    <row r="269" spans="1:6" ht="14.45" customHeight="1">
      <c r="A269" s="793" t="s">
        <v>505</v>
      </c>
      <c r="B269" s="794">
        <v>6</v>
      </c>
      <c r="C269" s="795">
        <v>0.03</v>
      </c>
      <c r="D269" s="796">
        <v>18855</v>
      </c>
      <c r="E269" s="800"/>
      <c r="F269" s="805"/>
    </row>
    <row r="270" spans="1:6" ht="14.45" customHeight="1">
      <c r="A270" s="793" t="s">
        <v>505</v>
      </c>
      <c r="B270" s="794">
        <v>5</v>
      </c>
      <c r="C270" s="795">
        <v>0.03</v>
      </c>
      <c r="D270" s="796">
        <v>18886</v>
      </c>
      <c r="E270" s="800"/>
      <c r="F270" s="805"/>
    </row>
    <row r="271" spans="1:6" ht="14.45" customHeight="1">
      <c r="A271" s="793" t="s">
        <v>505</v>
      </c>
      <c r="B271" s="794">
        <v>5</v>
      </c>
      <c r="C271" s="795">
        <v>3.0499999999999999E-2</v>
      </c>
      <c r="D271" s="796">
        <v>18886</v>
      </c>
      <c r="E271" s="800"/>
      <c r="F271" s="805"/>
    </row>
    <row r="272" spans="1:6" ht="14.45" customHeight="1">
      <c r="A272" s="793" t="s">
        <v>505</v>
      </c>
      <c r="B272" s="794">
        <v>2</v>
      </c>
      <c r="C272" s="795">
        <v>2.9499999999999998E-2</v>
      </c>
      <c r="D272" s="796">
        <v>18886</v>
      </c>
      <c r="E272" s="800"/>
      <c r="F272" s="805"/>
    </row>
    <row r="273" spans="1:6" ht="14.45" customHeight="1">
      <c r="A273" s="793" t="s">
        <v>505</v>
      </c>
      <c r="B273" s="794">
        <v>2</v>
      </c>
      <c r="C273" s="795">
        <v>2.9000000000000001E-2</v>
      </c>
      <c r="D273" s="796">
        <v>18886</v>
      </c>
      <c r="E273" s="800"/>
      <c r="F273" s="805"/>
    </row>
    <row r="274" spans="1:6" ht="14.45" customHeight="1">
      <c r="A274" s="793" t="s">
        <v>505</v>
      </c>
      <c r="B274" s="794">
        <v>5</v>
      </c>
      <c r="C274" s="795">
        <v>3.1E-2</v>
      </c>
      <c r="D274" s="796">
        <v>18947</v>
      </c>
      <c r="E274" s="800"/>
      <c r="F274" s="805"/>
    </row>
    <row r="275" spans="1:6" ht="14.45" customHeight="1">
      <c r="A275" s="793" t="s">
        <v>505</v>
      </c>
      <c r="B275" s="794">
        <v>3</v>
      </c>
      <c r="C275" s="795">
        <v>0.03</v>
      </c>
      <c r="D275" s="796">
        <v>18947</v>
      </c>
      <c r="E275" s="800"/>
      <c r="F275" s="805"/>
    </row>
    <row r="276" spans="1:6" ht="14.45" customHeight="1">
      <c r="A276" s="793" t="s">
        <v>505</v>
      </c>
      <c r="B276" s="794">
        <v>2</v>
      </c>
      <c r="C276" s="795">
        <v>3.0499999999999999E-2</v>
      </c>
      <c r="D276" s="796">
        <v>18947</v>
      </c>
      <c r="E276" s="800"/>
      <c r="F276" s="805"/>
    </row>
    <row r="277" spans="1:6" ht="14.45" customHeight="1">
      <c r="A277" s="793" t="s">
        <v>505</v>
      </c>
      <c r="B277" s="794">
        <v>1</v>
      </c>
      <c r="C277" s="795">
        <v>3.0499999999999999E-2</v>
      </c>
      <c r="D277" s="796">
        <v>18977</v>
      </c>
      <c r="E277" s="800"/>
      <c r="F277" s="805"/>
    </row>
    <row r="278" spans="1:6" ht="14.45" customHeight="1">
      <c r="A278" s="793" t="s">
        <v>505</v>
      </c>
      <c r="B278" s="794">
        <v>2</v>
      </c>
      <c r="C278" s="795">
        <v>3.0499999999999999E-2</v>
      </c>
      <c r="D278" s="796">
        <v>18977</v>
      </c>
      <c r="E278" s="800"/>
      <c r="F278" s="805"/>
    </row>
    <row r="279" spans="1:6" ht="14.45" customHeight="1">
      <c r="A279" s="793" t="s">
        <v>505</v>
      </c>
      <c r="B279" s="794">
        <v>2</v>
      </c>
      <c r="C279" s="795">
        <v>3.0499999999999999E-2</v>
      </c>
      <c r="D279" s="796">
        <v>18977</v>
      </c>
      <c r="E279" s="800"/>
      <c r="F279" s="805"/>
    </row>
    <row r="280" spans="1:6" ht="14.45" customHeight="1">
      <c r="A280" s="793" t="s">
        <v>505</v>
      </c>
      <c r="B280" s="794">
        <v>1000</v>
      </c>
      <c r="C280" s="795">
        <v>3.875E-2</v>
      </c>
      <c r="D280" s="796">
        <v>19054</v>
      </c>
      <c r="E280" s="800"/>
      <c r="F280" s="805"/>
    </row>
    <row r="281" spans="1:6" ht="14.45" customHeight="1">
      <c r="A281" s="793" t="s">
        <v>505</v>
      </c>
      <c r="B281" s="794">
        <v>1</v>
      </c>
      <c r="C281" s="795">
        <v>0.04</v>
      </c>
      <c r="D281" s="796">
        <v>19099</v>
      </c>
      <c r="E281" s="800"/>
      <c r="F281" s="805"/>
    </row>
    <row r="282" spans="1:6" ht="14.45" customHeight="1">
      <c r="A282" s="793" t="s">
        <v>505</v>
      </c>
      <c r="B282" s="794">
        <v>1</v>
      </c>
      <c r="C282" s="795">
        <v>4.8000000000000001E-2</v>
      </c>
      <c r="D282" s="796">
        <v>19129</v>
      </c>
      <c r="E282" s="800"/>
      <c r="F282" s="805"/>
    </row>
    <row r="283" spans="1:6" ht="14.45" customHeight="1">
      <c r="A283" s="793" t="s">
        <v>505</v>
      </c>
      <c r="B283" s="794">
        <v>1</v>
      </c>
      <c r="C283" s="795">
        <v>4.65E-2</v>
      </c>
      <c r="D283" s="796">
        <v>19160</v>
      </c>
      <c r="E283" s="800"/>
      <c r="F283" s="805"/>
    </row>
    <row r="284" spans="1:6" ht="14.45" customHeight="1">
      <c r="A284" s="793" t="s">
        <v>505</v>
      </c>
      <c r="B284" s="794">
        <v>1</v>
      </c>
      <c r="C284" s="795">
        <v>4.5999999999999999E-2</v>
      </c>
      <c r="D284" s="796">
        <v>19221</v>
      </c>
      <c r="E284" s="800"/>
      <c r="F284" s="805"/>
    </row>
    <row r="285" spans="1:6" ht="14.45" customHeight="1">
      <c r="A285" s="793" t="s">
        <v>505</v>
      </c>
      <c r="B285" s="794">
        <v>730</v>
      </c>
      <c r="C285" s="795">
        <v>5.3199999999999997E-2</v>
      </c>
      <c r="D285" s="796">
        <v>19481</v>
      </c>
      <c r="E285" s="800"/>
      <c r="F285" s="805"/>
    </row>
    <row r="286" spans="1:6" ht="14.45" customHeight="1">
      <c r="A286" s="793" t="s">
        <v>505</v>
      </c>
      <c r="B286" s="794">
        <v>1</v>
      </c>
      <c r="C286" s="795">
        <v>5.45E-2</v>
      </c>
      <c r="D286" s="796">
        <v>19525</v>
      </c>
      <c r="E286" s="800"/>
      <c r="F286" s="805"/>
    </row>
    <row r="287" spans="1:6" ht="14.45" customHeight="1">
      <c r="A287" s="793" t="s">
        <v>505</v>
      </c>
      <c r="B287" s="794">
        <v>2</v>
      </c>
      <c r="C287" s="795">
        <v>5.3999999999999999E-2</v>
      </c>
      <c r="D287" s="796">
        <v>19555</v>
      </c>
      <c r="E287" s="800"/>
      <c r="F287" s="805"/>
    </row>
    <row r="288" spans="1:6" ht="14.45" customHeight="1">
      <c r="A288" s="793" t="s">
        <v>505</v>
      </c>
      <c r="B288" s="794">
        <v>1</v>
      </c>
      <c r="C288" s="795">
        <v>5.5E-2</v>
      </c>
      <c r="D288" s="796">
        <v>19586</v>
      </c>
      <c r="E288" s="797"/>
      <c r="F288" s="805"/>
    </row>
    <row r="289" spans="1:6" ht="14.45" customHeight="1">
      <c r="A289" s="793" t="s">
        <v>505</v>
      </c>
      <c r="B289" s="794">
        <v>1</v>
      </c>
      <c r="C289" s="795">
        <v>5.8000000000000003E-2</v>
      </c>
      <c r="D289" s="796">
        <v>45153</v>
      </c>
      <c r="E289" s="797"/>
      <c r="F289" s="805"/>
    </row>
    <row r="290" spans="1:6" ht="14.45" customHeight="1">
      <c r="A290" s="793" t="s">
        <v>505</v>
      </c>
      <c r="B290" s="794">
        <v>1</v>
      </c>
      <c r="C290" s="795">
        <v>5.8000000000000003E-2</v>
      </c>
      <c r="D290" s="796">
        <v>45153</v>
      </c>
      <c r="E290" s="797"/>
      <c r="F290" s="805"/>
    </row>
    <row r="291" spans="1:6" ht="14.45" customHeight="1">
      <c r="A291" s="793" t="s">
        <v>505</v>
      </c>
      <c r="B291" s="794">
        <v>1</v>
      </c>
      <c r="C291" s="795">
        <v>5.8000000000000003E-2</v>
      </c>
      <c r="D291" s="796">
        <v>19617</v>
      </c>
      <c r="E291" s="797"/>
      <c r="F291" s="805"/>
    </row>
    <row r="292" spans="1:6" ht="14.45" customHeight="1">
      <c r="A292" s="793" t="s">
        <v>505</v>
      </c>
      <c r="B292" s="794">
        <v>1</v>
      </c>
      <c r="C292" s="795">
        <v>5.8999999999999997E-2</v>
      </c>
      <c r="D292" s="796">
        <v>19617</v>
      </c>
      <c r="E292" s="797"/>
      <c r="F292" s="805"/>
    </row>
    <row r="293" spans="1:6" ht="14.45" customHeight="1">
      <c r="A293" s="793" t="s">
        <v>505</v>
      </c>
      <c r="B293" s="794">
        <v>794</v>
      </c>
      <c r="C293" s="795">
        <v>5.0119999999999998E-2</v>
      </c>
      <c r="D293" s="796">
        <v>19957</v>
      </c>
      <c r="E293" s="797"/>
      <c r="F293" s="805"/>
    </row>
    <row r="294" spans="1:6" ht="14.45" customHeight="1">
      <c r="A294" s="793" t="s">
        <v>505</v>
      </c>
      <c r="B294" s="794">
        <v>655</v>
      </c>
      <c r="C294" s="795">
        <v>4.1000000000000002E-2</v>
      </c>
      <c r="D294" s="796">
        <v>20152</v>
      </c>
      <c r="E294" s="797"/>
      <c r="F294" s="805"/>
    </row>
    <row r="295" spans="1:6" ht="14.45" customHeight="1">
      <c r="A295" s="793" t="s">
        <v>505</v>
      </c>
      <c r="B295" s="794">
        <v>723</v>
      </c>
      <c r="C295" s="795">
        <v>4.6719999999999998E-2</v>
      </c>
      <c r="D295" s="796">
        <v>20163</v>
      </c>
      <c r="E295" s="797"/>
      <c r="F295" s="805"/>
    </row>
    <row r="296" spans="1:6" ht="14.45" customHeight="1">
      <c r="A296" s="793" t="s">
        <v>505</v>
      </c>
      <c r="B296" s="794">
        <v>3651</v>
      </c>
      <c r="C296" s="795">
        <v>2.9870000000000001E-2</v>
      </c>
      <c r="D296" s="796">
        <v>20758</v>
      </c>
      <c r="E296" s="797"/>
      <c r="F296" s="805"/>
    </row>
    <row r="297" spans="1:6" ht="14.45" customHeight="1">
      <c r="A297" s="793" t="s">
        <v>505</v>
      </c>
      <c r="B297" s="794">
        <v>2385</v>
      </c>
      <c r="C297" s="795">
        <v>3.5999999999999997E-2</v>
      </c>
      <c r="D297" s="796">
        <v>21970</v>
      </c>
      <c r="E297" s="797"/>
      <c r="F297" s="805"/>
    </row>
    <row r="298" spans="1:6" ht="14.45" customHeight="1">
      <c r="A298" s="793" t="s">
        <v>505</v>
      </c>
      <c r="B298" s="794">
        <v>1123</v>
      </c>
      <c r="C298" s="795">
        <v>0.03</v>
      </c>
      <c r="D298" s="796">
        <v>22188</v>
      </c>
      <c r="E298" s="797"/>
      <c r="F298" s="805"/>
    </row>
    <row r="299" spans="1:6" ht="14.45" customHeight="1">
      <c r="A299" s="793" t="s">
        <v>505</v>
      </c>
      <c r="B299" s="794">
        <v>1962</v>
      </c>
      <c r="C299" s="795">
        <v>0.03</v>
      </c>
      <c r="D299" s="796">
        <v>22240</v>
      </c>
      <c r="E299" s="797"/>
      <c r="F299" s="805"/>
    </row>
    <row r="300" spans="1:6" ht="14.45" customHeight="1" thickBot="1">
      <c r="A300" s="793" t="s">
        <v>505</v>
      </c>
      <c r="B300" s="794">
        <v>3128</v>
      </c>
      <c r="C300" s="795">
        <v>3.6999999999999998E-2</v>
      </c>
      <c r="D300" s="796">
        <v>22362</v>
      </c>
      <c r="E300" s="797">
        <v>123012</v>
      </c>
      <c r="F300" s="805"/>
    </row>
    <row r="301" spans="1:6" ht="14.45" customHeight="1" thickBot="1">
      <c r="A301" s="787"/>
      <c r="B301" s="788"/>
      <c r="C301" s="788"/>
      <c r="D301" s="788"/>
      <c r="E301" s="788"/>
      <c r="F301" s="788"/>
    </row>
    <row r="302" spans="1:6" ht="14.45" customHeight="1" thickBot="1">
      <c r="A302" s="783" t="s">
        <v>541</v>
      </c>
      <c r="B302" s="806">
        <v>21252</v>
      </c>
      <c r="E302" s="809">
        <v>21252</v>
      </c>
    </row>
    <row r="303" spans="1:6" ht="14.45" customHeight="1" thickBot="1">
      <c r="A303" s="787"/>
      <c r="B303" s="788"/>
      <c r="C303" s="788"/>
      <c r="D303" s="788"/>
      <c r="E303" s="788"/>
      <c r="F303" s="788"/>
    </row>
    <row r="304" spans="1:6" s="810" customFormat="1" ht="14.45" customHeight="1" thickBot="1">
      <c r="A304" s="810" t="s">
        <v>542</v>
      </c>
      <c r="B304" s="811"/>
      <c r="C304" s="812"/>
      <c r="D304" s="811"/>
      <c r="F304" s="813">
        <v>144971</v>
      </c>
    </row>
    <row r="305" spans="1:6" ht="14.45" customHeight="1" thickBot="1">
      <c r="A305" s="787"/>
      <c r="B305" s="788"/>
      <c r="C305" s="788"/>
      <c r="D305" s="788"/>
      <c r="E305" s="788"/>
      <c r="F305" s="788"/>
    </row>
    <row r="306" spans="1:6" s="810" customFormat="1" ht="14.45" customHeight="1">
      <c r="A306" s="810" t="s">
        <v>543</v>
      </c>
      <c r="B306" s="811"/>
      <c r="C306" s="812"/>
      <c r="D306" s="811"/>
      <c r="F306" s="813">
        <v>157411</v>
      </c>
    </row>
    <row r="307" spans="1:6" ht="14.45" customHeight="1"/>
    <row r="308" spans="1:6" ht="14.45" customHeight="1">
      <c r="A308" s="1115" t="s">
        <v>544</v>
      </c>
      <c r="B308" s="1115"/>
      <c r="C308" s="1115"/>
      <c r="D308" s="1115"/>
      <c r="E308" s="1115"/>
      <c r="F308" s="1115"/>
    </row>
    <row r="309" spans="1:6" ht="14.45" customHeight="1">
      <c r="A309" s="1115"/>
      <c r="B309" s="1115"/>
      <c r="C309" s="1115"/>
      <c r="D309" s="1115"/>
      <c r="E309" s="1115"/>
      <c r="F309" s="1115"/>
    </row>
    <row r="310" spans="1:6" ht="14.45" customHeight="1">
      <c r="A310" s="1115"/>
      <c r="B310" s="1115"/>
      <c r="C310" s="1115"/>
      <c r="D310" s="1115"/>
      <c r="E310" s="1115"/>
      <c r="F310" s="1115"/>
    </row>
    <row r="311" spans="1:6" ht="14.45" customHeight="1"/>
    <row r="312" spans="1:6" ht="14.45" customHeight="1">
      <c r="A312" s="1115" t="s">
        <v>545</v>
      </c>
      <c r="B312" s="1115"/>
      <c r="C312" s="1115"/>
      <c r="D312" s="1115"/>
      <c r="E312" s="1115"/>
      <c r="F312" s="1115"/>
    </row>
    <row r="313" spans="1:6" ht="14.45" customHeight="1">
      <c r="A313" s="1115"/>
      <c r="B313" s="1115"/>
      <c r="C313" s="1115"/>
      <c r="D313" s="1115"/>
      <c r="E313" s="1115"/>
      <c r="F313" s="1115"/>
    </row>
    <row r="314" spans="1:6" ht="14.45" customHeight="1"/>
    <row r="315" spans="1:6" ht="14.45" customHeight="1"/>
    <row r="316" spans="1:6" ht="14.45" customHeight="1"/>
    <row r="317" spans="1:6" ht="14.45" customHeight="1"/>
    <row r="318" spans="1:6" ht="14.45" customHeight="1"/>
    <row r="319" spans="1:6" ht="14.45" customHeight="1"/>
    <row r="320" spans="1:6" ht="14.45" customHeight="1"/>
    <row r="321" ht="14.45" customHeight="1"/>
    <row r="322" ht="14.45" customHeight="1"/>
    <row r="323" ht="14.45" customHeight="1"/>
    <row r="324" ht="14.45" customHeight="1"/>
    <row r="325" ht="14.45" customHeight="1"/>
    <row r="326" ht="14.45" customHeight="1"/>
    <row r="327" ht="14.45" customHeight="1"/>
    <row r="328" ht="14.45" customHeight="1"/>
    <row r="329" ht="14.45" customHeight="1"/>
    <row r="330" ht="14.45" customHeight="1"/>
    <row r="331" ht="14.45" customHeight="1"/>
    <row r="332" ht="14.45" customHeight="1"/>
    <row r="333" ht="14.45" customHeight="1"/>
    <row r="334" ht="14.45" customHeight="1"/>
    <row r="335" ht="14.45" customHeight="1"/>
    <row r="336" ht="14.45" customHeight="1"/>
    <row r="337" ht="14.45" customHeight="1"/>
    <row r="338" ht="14.45" customHeight="1"/>
    <row r="339" ht="14.45" customHeight="1"/>
    <row r="340" ht="14.45" customHeight="1"/>
    <row r="341" ht="14.45" customHeight="1"/>
    <row r="342" ht="14.45" customHeight="1"/>
    <row r="343" ht="14.45" customHeight="1"/>
    <row r="344" ht="14.45" customHeight="1"/>
    <row r="345" ht="14.45" customHeight="1"/>
    <row r="346" ht="14.45" customHeight="1"/>
    <row r="347" ht="14.45" customHeight="1"/>
    <row r="348" ht="14.45" customHeight="1"/>
    <row r="349" ht="14.45" customHeight="1"/>
    <row r="350" ht="14.45" customHeight="1"/>
    <row r="351" ht="14.45" customHeight="1"/>
    <row r="352" ht="14.45" customHeight="1"/>
    <row r="353" ht="14.45" customHeight="1"/>
    <row r="354" ht="14.45" customHeight="1"/>
    <row r="355" ht="14.45" customHeight="1"/>
    <row r="356" ht="14.45" customHeight="1"/>
    <row r="357" ht="14.45" customHeight="1"/>
    <row r="358" ht="14.45" customHeight="1"/>
    <row r="359" ht="14.45" customHeight="1"/>
    <row r="360" ht="14.45" customHeight="1"/>
    <row r="361" ht="14.45" customHeight="1"/>
    <row r="362" ht="14.45" customHeight="1"/>
    <row r="363" ht="14.45" customHeight="1"/>
    <row r="364" ht="14.45" customHeight="1"/>
    <row r="365" ht="14.45" customHeight="1"/>
    <row r="366" ht="14.45" customHeight="1"/>
    <row r="367" ht="14.45" customHeight="1"/>
    <row r="368" ht="14.45" customHeight="1"/>
    <row r="369" ht="14.45" customHeight="1"/>
    <row r="370" ht="14.45" customHeight="1"/>
    <row r="371" ht="14.45" customHeight="1"/>
    <row r="372" ht="14.45" customHeight="1"/>
    <row r="373" ht="14.45" customHeight="1"/>
    <row r="374" ht="14.45" customHeight="1"/>
    <row r="375" ht="14.45" customHeight="1"/>
    <row r="376" ht="14.45" customHeight="1"/>
    <row r="377" ht="14.45" customHeight="1"/>
    <row r="378" ht="14.45" customHeight="1"/>
    <row r="379" ht="14.45" customHeight="1"/>
    <row r="380" ht="14.45" customHeight="1"/>
    <row r="381" ht="14.45" customHeight="1"/>
    <row r="382" ht="14.45" customHeight="1"/>
    <row r="383" ht="14.45" customHeight="1"/>
    <row r="384" ht="14.45" customHeight="1"/>
    <row r="385" ht="14.45" customHeight="1"/>
    <row r="386" ht="14.45" customHeight="1"/>
    <row r="387" ht="14.45" customHeight="1"/>
    <row r="388" ht="14.45" customHeight="1"/>
    <row r="389" ht="14.45" customHeight="1"/>
    <row r="390" ht="14.45" customHeight="1"/>
    <row r="391" ht="14.45" customHeight="1"/>
    <row r="392" ht="14.45" customHeight="1"/>
    <row r="393" ht="14.45" customHeight="1"/>
    <row r="394" ht="14.45" customHeight="1"/>
    <row r="395" ht="14.45" customHeight="1"/>
    <row r="396" ht="14.45" customHeight="1"/>
    <row r="397" ht="14.45" customHeight="1"/>
    <row r="398" ht="14.45" customHeight="1"/>
    <row r="399" ht="14.45" customHeight="1"/>
    <row r="400" ht="14.45" customHeight="1"/>
    <row r="401" ht="14.45" customHeight="1"/>
    <row r="402" ht="14.45" customHeight="1"/>
    <row r="403" ht="14.45" customHeight="1"/>
    <row r="404" ht="14.45" customHeight="1"/>
    <row r="405" ht="14.45" customHeight="1"/>
    <row r="406" ht="14.45" customHeight="1"/>
    <row r="407" ht="14.45" customHeight="1"/>
    <row r="408" ht="14.45" customHeight="1"/>
    <row r="409" ht="14.45" customHeight="1"/>
    <row r="410" ht="14.45" customHeight="1"/>
    <row r="411" ht="14.45" customHeight="1"/>
    <row r="412" ht="14.45" customHeight="1"/>
    <row r="413" ht="14.45" customHeight="1"/>
    <row r="414" ht="14.45" customHeight="1"/>
    <row r="415" ht="14.45" customHeight="1"/>
    <row r="416" ht="14.45" customHeight="1"/>
    <row r="417" ht="14.45" customHeight="1"/>
    <row r="418" ht="14.45" customHeight="1"/>
    <row r="419" ht="14.45" customHeight="1"/>
    <row r="420" ht="14.45" customHeight="1"/>
    <row r="421" ht="14.45" customHeight="1"/>
    <row r="422" ht="14.45" customHeight="1"/>
    <row r="423" ht="14.45" customHeight="1"/>
    <row r="424" ht="14.45" customHeight="1"/>
    <row r="425" ht="14.45" customHeight="1"/>
    <row r="426" ht="14.45" customHeight="1"/>
    <row r="427" ht="14.45" customHeight="1"/>
    <row r="428" ht="14.45" customHeight="1"/>
    <row r="429" ht="14.45" customHeight="1"/>
    <row r="430" ht="14.45" customHeight="1"/>
    <row r="431" ht="14.45" customHeight="1"/>
    <row r="432" ht="14.45" customHeight="1"/>
    <row r="433" ht="14.45" customHeight="1"/>
    <row r="434" ht="14.45" customHeight="1"/>
    <row r="435" ht="14.45" customHeight="1"/>
    <row r="436" ht="14.45" customHeight="1"/>
    <row r="437" ht="14.45" customHeight="1"/>
    <row r="438" ht="14.45" customHeight="1"/>
    <row r="439" ht="14.45" customHeight="1"/>
    <row r="440" ht="14.45" customHeight="1"/>
    <row r="441" ht="14.45" customHeight="1"/>
    <row r="442" ht="14.45" customHeight="1"/>
    <row r="443" ht="14.45" customHeight="1"/>
    <row r="444" ht="14.45" customHeight="1"/>
    <row r="445" ht="14.45" customHeight="1"/>
    <row r="446" ht="14.45" customHeight="1"/>
    <row r="447" ht="14.45" customHeight="1"/>
    <row r="448" ht="14.45" customHeight="1"/>
    <row r="449" ht="14.45" customHeight="1"/>
    <row r="450" ht="14.45" customHeight="1"/>
    <row r="451" ht="14.45" customHeight="1"/>
    <row r="452" ht="14.45" customHeight="1"/>
    <row r="453" ht="14.45" customHeight="1"/>
    <row r="454" ht="14.45" customHeight="1"/>
    <row r="455" ht="14.45" customHeight="1"/>
    <row r="456" ht="14.45" customHeight="1"/>
    <row r="457" ht="14.45" customHeight="1"/>
    <row r="458" ht="14.45" customHeight="1"/>
    <row r="459" ht="14.45" customHeight="1"/>
    <row r="460" ht="14.45" customHeight="1"/>
    <row r="461" ht="14.45" customHeight="1"/>
    <row r="462" ht="14.45" customHeight="1"/>
    <row r="463" ht="14.45" customHeight="1"/>
    <row r="464" ht="14.45" customHeight="1"/>
    <row r="465" ht="14.45" customHeight="1"/>
    <row r="466" ht="14.45" customHeight="1"/>
    <row r="467" ht="14.45" customHeight="1"/>
    <row r="468" ht="14.45" customHeight="1"/>
    <row r="469" ht="14.45" customHeight="1"/>
    <row r="470" ht="14.45" customHeight="1"/>
    <row r="471" ht="14.45" customHeight="1"/>
    <row r="472" ht="14.45" customHeight="1"/>
    <row r="473" ht="14.45" customHeight="1"/>
    <row r="474" ht="14.45" customHeight="1"/>
    <row r="475" ht="14.45" customHeight="1"/>
    <row r="476" ht="14.45" customHeight="1"/>
    <row r="477" ht="14.45" customHeight="1"/>
    <row r="478" ht="14.45" customHeight="1"/>
    <row r="479" ht="14.45" customHeight="1"/>
    <row r="480" ht="14.45" customHeight="1"/>
    <row r="481" ht="14.45" customHeight="1"/>
    <row r="482" ht="14.45" customHeight="1"/>
    <row r="483" ht="14.45" customHeight="1"/>
    <row r="484" ht="14.45" customHeight="1"/>
    <row r="485" ht="14.45" customHeight="1"/>
    <row r="486" ht="14.45" customHeight="1"/>
    <row r="487" ht="14.45" customHeight="1"/>
    <row r="488" ht="14.45" customHeight="1"/>
    <row r="489" ht="14.45" customHeight="1"/>
    <row r="490" ht="14.45" customHeight="1"/>
    <row r="491" ht="14.45" customHeight="1"/>
    <row r="492" ht="14.45" customHeight="1"/>
    <row r="493" ht="14.45" customHeight="1"/>
    <row r="494" ht="14.45" customHeight="1"/>
    <row r="495" ht="14.45" customHeight="1"/>
    <row r="496" ht="14.45" customHeight="1"/>
    <row r="497" ht="14.45" customHeight="1"/>
    <row r="498" ht="14.45" customHeight="1"/>
    <row r="499" ht="14.45" customHeight="1"/>
    <row r="500" ht="14.45" customHeight="1"/>
    <row r="501" ht="14.45" customHeight="1"/>
    <row r="502" ht="14.45" customHeight="1"/>
    <row r="503" ht="14.45" customHeight="1"/>
    <row r="504" ht="14.45" customHeight="1"/>
    <row r="505" ht="14.45" customHeight="1"/>
    <row r="506" ht="14.45" customHeight="1"/>
    <row r="507" ht="14.45" customHeight="1"/>
    <row r="508" ht="14.45" customHeight="1"/>
    <row r="509" ht="14.45" customHeight="1"/>
    <row r="510" ht="14.45" customHeight="1"/>
    <row r="511" ht="14.45" customHeight="1"/>
    <row r="512" ht="14.45" customHeight="1"/>
    <row r="513" ht="14.45" customHeight="1"/>
    <row r="514" ht="14.45" customHeight="1"/>
    <row r="515" ht="14.45" customHeight="1"/>
    <row r="516" ht="14.45" customHeight="1"/>
    <row r="517" ht="14.45" customHeight="1"/>
    <row r="518" ht="14.45" customHeight="1"/>
    <row r="519" ht="14.45" customHeight="1"/>
    <row r="520" ht="14.45" customHeight="1"/>
    <row r="521" ht="14.45" customHeight="1"/>
    <row r="522" ht="14.45" customHeight="1"/>
    <row r="523" ht="14.45" customHeight="1"/>
    <row r="524" ht="14.45" customHeight="1"/>
    <row r="525" ht="14.45" customHeight="1"/>
    <row r="526" ht="14.45" customHeight="1"/>
    <row r="527" ht="14.45" customHeight="1"/>
    <row r="528" ht="14.45" customHeight="1"/>
    <row r="529" ht="14.45" customHeight="1"/>
    <row r="530" ht="14.45" customHeight="1"/>
    <row r="531" ht="14.45" customHeight="1"/>
    <row r="532" ht="14.45" customHeight="1"/>
    <row r="533" ht="14.45" customHeight="1"/>
    <row r="534" ht="14.45" customHeight="1"/>
    <row r="535" ht="14.45" customHeight="1"/>
    <row r="536" ht="14.45" customHeight="1"/>
    <row r="537" ht="14.45" customHeight="1"/>
    <row r="538" ht="14.45" customHeight="1"/>
    <row r="539" ht="14.45" customHeight="1"/>
    <row r="540" ht="14.45" customHeight="1"/>
    <row r="541" ht="14.45" customHeight="1"/>
    <row r="542" ht="14.45" customHeight="1"/>
    <row r="543" ht="14.45" customHeight="1"/>
    <row r="544" ht="14.45" customHeight="1"/>
    <row r="545" ht="14.45" customHeight="1"/>
    <row r="546" ht="14.45" customHeight="1"/>
    <row r="547" ht="14.45" customHeight="1"/>
    <row r="548" ht="14.45" customHeight="1"/>
    <row r="549" ht="14.45" customHeight="1"/>
    <row r="550" ht="14.45" customHeight="1"/>
    <row r="551" ht="14.45" customHeight="1"/>
    <row r="552" ht="14.45" customHeight="1"/>
    <row r="553" ht="14.45" customHeight="1"/>
    <row r="554" ht="14.45" customHeight="1"/>
    <row r="555" ht="14.45" customHeight="1"/>
    <row r="556" ht="14.45" customHeight="1"/>
    <row r="557" ht="14.45" customHeight="1"/>
    <row r="558" ht="14.45" customHeight="1"/>
    <row r="559" ht="14.45" customHeight="1"/>
    <row r="560" ht="14.45" customHeight="1"/>
    <row r="561" ht="14.45" customHeight="1"/>
    <row r="562" ht="14.45" customHeight="1"/>
    <row r="563" ht="14.45" customHeight="1"/>
    <row r="564" ht="14.45" customHeight="1"/>
    <row r="565" ht="14.45" customHeight="1"/>
    <row r="566" ht="14.45" customHeight="1"/>
    <row r="567" ht="14.45" customHeight="1"/>
    <row r="568" ht="14.45" customHeight="1"/>
    <row r="569" ht="14.45" customHeight="1"/>
    <row r="570" ht="14.45" customHeight="1"/>
    <row r="571" ht="14.45" customHeight="1"/>
    <row r="572" ht="14.45" customHeight="1"/>
    <row r="573" ht="14.45" customHeight="1"/>
    <row r="574" ht="14.45" customHeight="1"/>
    <row r="575" ht="14.45" customHeight="1"/>
    <row r="576" ht="14.45" customHeight="1"/>
    <row r="577" ht="14.45" customHeight="1"/>
    <row r="578" ht="14.45" customHeight="1"/>
    <row r="579" ht="14.45" customHeight="1"/>
    <row r="580" ht="14.45" customHeight="1"/>
    <row r="581" ht="14.45" customHeight="1"/>
    <row r="582" ht="14.45" customHeight="1"/>
    <row r="583" ht="14.45" customHeight="1"/>
    <row r="584" ht="14.45" customHeight="1"/>
    <row r="585" ht="14.45" customHeight="1"/>
    <row r="586" ht="14.45" customHeight="1"/>
    <row r="587" ht="14.45" customHeight="1"/>
    <row r="588" ht="14.45" customHeight="1"/>
    <row r="589" ht="14.45" customHeight="1"/>
    <row r="590" ht="14.45" customHeight="1"/>
    <row r="591" ht="14.45" customHeight="1"/>
    <row r="592" ht="14.45" customHeight="1"/>
    <row r="593" ht="14.45" customHeight="1"/>
    <row r="594" ht="14.45" customHeight="1"/>
    <row r="595" ht="14.45" customHeight="1"/>
    <row r="596" ht="14.45" customHeight="1"/>
    <row r="597" ht="14.45" customHeight="1"/>
    <row r="598" ht="14.45" customHeight="1"/>
    <row r="599" ht="14.45" customHeight="1"/>
    <row r="600" ht="14.45" customHeight="1"/>
    <row r="601" ht="14.45" customHeight="1"/>
    <row r="602" ht="14.45" customHeight="1"/>
    <row r="603" ht="14.45" customHeight="1"/>
    <row r="604" ht="14.45" customHeight="1"/>
    <row r="605" ht="14.45" customHeight="1"/>
    <row r="606" ht="14.45" customHeight="1"/>
    <row r="607" ht="14.45" customHeight="1"/>
    <row r="608" ht="14.45" customHeight="1"/>
    <row r="609" ht="14.45" customHeight="1"/>
    <row r="610" ht="14.45" customHeight="1"/>
    <row r="611" ht="14.45" customHeight="1"/>
    <row r="612" ht="14.45" customHeight="1"/>
    <row r="613" ht="14.45" customHeight="1"/>
    <row r="614" ht="14.45" customHeight="1"/>
    <row r="615" ht="14.45" customHeight="1"/>
    <row r="616" ht="14.45" customHeight="1"/>
    <row r="617" ht="14.45" customHeight="1"/>
    <row r="618" ht="14.45" customHeight="1"/>
    <row r="619" ht="14.45" customHeight="1"/>
    <row r="620" ht="14.45" customHeight="1"/>
    <row r="621" ht="14.45" customHeight="1"/>
    <row r="622" ht="14.45" customHeight="1"/>
    <row r="623" ht="14.45" customHeight="1"/>
    <row r="624" ht="14.45" customHeight="1"/>
    <row r="625" ht="14.45" customHeight="1"/>
    <row r="626" ht="14.45" customHeight="1"/>
    <row r="627" ht="14.45" customHeight="1"/>
    <row r="628" ht="14.45" customHeight="1"/>
    <row r="629" ht="14.45" customHeight="1"/>
    <row r="630" ht="14.45" customHeight="1"/>
    <row r="631" ht="14.45" customHeight="1"/>
    <row r="632" ht="14.45" customHeight="1"/>
    <row r="633" ht="14.45" customHeight="1"/>
    <row r="634" ht="14.45" customHeight="1"/>
    <row r="635" ht="14.45" customHeight="1"/>
    <row r="636" ht="14.45" customHeight="1"/>
    <row r="637" ht="14.45" customHeight="1"/>
    <row r="638" ht="14.45" customHeight="1"/>
    <row r="639" ht="14.45" customHeight="1"/>
    <row r="640" ht="14.45" customHeight="1"/>
    <row r="641" ht="14.45" customHeight="1"/>
    <row r="642" ht="14.45" customHeight="1"/>
    <row r="643" ht="14.45" customHeight="1"/>
    <row r="644" ht="14.45" customHeight="1"/>
    <row r="645" ht="14.45" customHeight="1"/>
    <row r="646" ht="14.45" customHeight="1"/>
    <row r="647" ht="14.45" customHeight="1"/>
    <row r="648" ht="14.45" customHeight="1"/>
    <row r="649" ht="14.45" customHeight="1"/>
    <row r="650" ht="14.45" customHeight="1"/>
    <row r="651" ht="14.45" customHeight="1"/>
    <row r="652" ht="14.45" customHeight="1"/>
    <row r="653" ht="14.45" customHeight="1"/>
    <row r="654" ht="14.45" customHeight="1"/>
    <row r="655" ht="14.45" customHeight="1"/>
    <row r="656" ht="14.45" customHeight="1"/>
    <row r="657" ht="14.45" customHeight="1"/>
    <row r="658" ht="14.45" customHeight="1"/>
    <row r="659" ht="14.45" customHeight="1"/>
    <row r="660" ht="14.45" customHeight="1"/>
    <row r="661" ht="14.45" customHeight="1"/>
    <row r="662" ht="14.45" customHeight="1"/>
    <row r="663" ht="14.45" customHeight="1"/>
    <row r="664" ht="14.45" customHeight="1"/>
    <row r="665" ht="14.45" customHeight="1"/>
    <row r="666" ht="14.45" customHeight="1"/>
    <row r="667" ht="14.45" customHeight="1"/>
    <row r="668" ht="14.45" customHeight="1"/>
    <row r="669" ht="14.45" customHeight="1"/>
    <row r="670" ht="14.45" customHeight="1"/>
    <row r="671" ht="14.45" customHeight="1"/>
    <row r="672" ht="14.45" customHeight="1"/>
    <row r="673" ht="14.45" customHeight="1"/>
    <row r="674" ht="14.45" customHeight="1"/>
    <row r="675" ht="14.45" customHeight="1"/>
    <row r="676" ht="14.45" customHeight="1"/>
    <row r="677" ht="14.45" customHeight="1"/>
    <row r="678" ht="14.45" customHeight="1"/>
    <row r="679" ht="14.45" customHeight="1"/>
    <row r="680" ht="14.45" customHeight="1"/>
    <row r="681" ht="14.45" customHeight="1"/>
    <row r="682" ht="14.45" customHeight="1"/>
    <row r="683" ht="14.45" customHeight="1"/>
    <row r="684" ht="14.45" customHeight="1"/>
    <row r="685" ht="14.45" customHeight="1"/>
    <row r="686" ht="14.45" customHeight="1"/>
    <row r="687" ht="14.45" customHeight="1"/>
    <row r="688" ht="14.45" customHeight="1"/>
    <row r="689" ht="14.45" customHeight="1"/>
    <row r="690" ht="14.45" customHeight="1"/>
    <row r="691" ht="14.45" customHeight="1"/>
    <row r="692" ht="14.45" customHeight="1"/>
    <row r="693" ht="14.45" customHeight="1"/>
    <row r="694" ht="14.45" customHeight="1"/>
    <row r="695" ht="14.45" customHeight="1"/>
    <row r="696" ht="14.45" customHeight="1"/>
    <row r="697" ht="14.45" customHeight="1"/>
    <row r="698" ht="14.45" customHeight="1"/>
    <row r="699" ht="14.45" customHeight="1"/>
    <row r="700" ht="14.45" customHeight="1"/>
    <row r="701" ht="14.45" customHeight="1"/>
    <row r="702" ht="14.45" customHeight="1"/>
    <row r="703" ht="14.45" customHeight="1"/>
    <row r="704" ht="14.45" customHeight="1"/>
    <row r="705" ht="14.45" customHeight="1"/>
    <row r="706" ht="14.45" customHeight="1"/>
    <row r="707" ht="14.45" customHeight="1"/>
    <row r="708" ht="14.45" customHeight="1"/>
    <row r="709" ht="14.45" customHeight="1"/>
    <row r="710" ht="14.45" customHeight="1"/>
    <row r="711" ht="14.45" customHeight="1"/>
    <row r="712" ht="14.45" customHeight="1"/>
    <row r="713" ht="14.45" customHeight="1"/>
    <row r="714" ht="14.45" customHeight="1"/>
    <row r="715" ht="14.45" customHeight="1"/>
    <row r="716" ht="14.45" customHeight="1"/>
    <row r="717" ht="14.45" customHeight="1"/>
    <row r="718" ht="14.45" customHeight="1"/>
    <row r="719" ht="14.45" customHeight="1"/>
    <row r="720" ht="14.45" customHeight="1"/>
    <row r="721" ht="14.45" customHeight="1"/>
    <row r="722" ht="14.45" customHeight="1"/>
    <row r="723" ht="14.45" customHeight="1"/>
    <row r="724" ht="14.45" customHeight="1"/>
    <row r="725" ht="14.45" customHeight="1"/>
    <row r="726" ht="14.45" customHeight="1"/>
    <row r="727" ht="14.45" customHeight="1"/>
    <row r="728" ht="14.45" customHeight="1"/>
    <row r="729" ht="14.45" customHeight="1"/>
    <row r="730" ht="14.45" customHeight="1"/>
    <row r="731" ht="14.45" customHeight="1"/>
    <row r="732" ht="14.45" customHeight="1"/>
    <row r="733" ht="14.45" customHeight="1"/>
    <row r="734" ht="14.45" customHeight="1"/>
    <row r="735" ht="14.45" customHeight="1"/>
    <row r="736" ht="14.45" customHeight="1"/>
    <row r="737" ht="14.45" customHeight="1"/>
    <row r="738" ht="14.45" customHeight="1"/>
    <row r="739" ht="14.45" customHeight="1"/>
    <row r="740" ht="14.45" customHeight="1"/>
    <row r="741" ht="14.45" customHeight="1"/>
    <row r="742" ht="14.45" customHeight="1"/>
    <row r="743" ht="14.45" customHeight="1"/>
    <row r="744" ht="14.45" customHeight="1"/>
    <row r="745" ht="14.45" customHeight="1"/>
    <row r="746" ht="14.45" customHeight="1"/>
    <row r="747" ht="14.45" customHeight="1"/>
    <row r="748" ht="14.45" customHeight="1"/>
    <row r="749" ht="14.45" customHeight="1"/>
    <row r="750" ht="14.45" customHeight="1"/>
    <row r="751" ht="14.45" customHeight="1"/>
    <row r="752" ht="14.45" customHeight="1"/>
    <row r="753" ht="14.45" customHeight="1"/>
    <row r="754" ht="14.45" customHeight="1"/>
    <row r="755" ht="14.45" customHeight="1"/>
    <row r="756" ht="14.45" customHeight="1"/>
    <row r="757" ht="14.45" customHeight="1"/>
    <row r="758" ht="14.45" customHeight="1"/>
    <row r="759" ht="14.45" customHeight="1"/>
    <row r="760" ht="14.45" customHeight="1"/>
    <row r="761" ht="14.45" customHeight="1"/>
    <row r="762" ht="14.45" customHeight="1"/>
    <row r="763" ht="14.45" customHeight="1"/>
    <row r="764" ht="14.45" customHeight="1"/>
    <row r="765" ht="14.45" customHeight="1"/>
    <row r="766" ht="14.45" customHeight="1"/>
    <row r="767" ht="14.45" customHeight="1"/>
    <row r="768" ht="14.45" customHeight="1"/>
    <row r="769" ht="14.45" customHeight="1"/>
    <row r="770" ht="14.45" customHeight="1"/>
    <row r="771" ht="14.45" customHeight="1"/>
    <row r="772" ht="14.45" customHeight="1"/>
    <row r="773" ht="14.45" customHeight="1"/>
    <row r="774" ht="14.45" customHeight="1"/>
    <row r="775" ht="14.45" customHeight="1"/>
    <row r="776" ht="14.45" customHeight="1"/>
    <row r="777" ht="14.45" customHeight="1"/>
    <row r="778" ht="14.45" customHeight="1"/>
    <row r="779" ht="14.45" customHeight="1"/>
    <row r="780" ht="14.45" customHeight="1"/>
    <row r="781" ht="14.45" customHeight="1"/>
    <row r="782" ht="14.45" customHeight="1"/>
    <row r="783" ht="14.45" customHeight="1"/>
    <row r="784" ht="14.45" customHeight="1"/>
    <row r="785" ht="14.45" customHeight="1"/>
    <row r="786" ht="14.45" customHeight="1"/>
    <row r="787" ht="14.45" customHeight="1"/>
    <row r="788" ht="14.45" customHeight="1"/>
    <row r="789" ht="14.45" customHeight="1"/>
    <row r="790" ht="14.45" customHeight="1"/>
    <row r="791" ht="14.45" customHeight="1"/>
    <row r="792" ht="14.45" customHeight="1"/>
    <row r="793" ht="14.45" customHeight="1"/>
    <row r="794" ht="14.45" customHeight="1"/>
    <row r="795" ht="14.45" customHeight="1"/>
    <row r="796" ht="14.45" customHeight="1"/>
    <row r="797" ht="14.45" customHeight="1"/>
    <row r="798" ht="14.45" customHeight="1"/>
    <row r="799" ht="14.45" customHeight="1"/>
    <row r="800" ht="14.45" customHeight="1"/>
    <row r="801" ht="14.45" customHeight="1"/>
    <row r="802" ht="14.45" customHeight="1"/>
    <row r="803" ht="14.45" customHeight="1"/>
    <row r="804" ht="14.45" customHeight="1"/>
    <row r="805" ht="14.45" customHeight="1"/>
    <row r="806" ht="14.45" customHeight="1"/>
    <row r="807" ht="14.45" customHeight="1"/>
    <row r="808" ht="14.45" customHeight="1"/>
    <row r="809" ht="14.45" customHeight="1"/>
    <row r="810" ht="14.45" customHeight="1"/>
    <row r="811" ht="14.45" customHeight="1"/>
    <row r="812" ht="14.45" customHeight="1"/>
    <row r="813" ht="14.45" customHeight="1"/>
    <row r="814" ht="14.45" customHeight="1"/>
    <row r="815" ht="14.45" customHeight="1"/>
    <row r="816" ht="14.45" customHeight="1"/>
    <row r="817" ht="14.45" customHeight="1"/>
    <row r="818" ht="14.45" customHeight="1"/>
    <row r="819" ht="14.45" customHeight="1"/>
    <row r="820" ht="14.45" customHeight="1"/>
    <row r="821" ht="14.45" customHeight="1"/>
    <row r="822" ht="14.45" customHeight="1"/>
    <row r="823" ht="14.45" customHeight="1"/>
    <row r="824" ht="14.45" customHeight="1"/>
    <row r="825" ht="14.45" customHeight="1"/>
    <row r="826" ht="14.45" customHeight="1"/>
    <row r="827" ht="14.45" customHeight="1"/>
    <row r="828" ht="14.45" customHeight="1"/>
    <row r="829" ht="14.45" customHeight="1"/>
    <row r="830" ht="14.45" customHeight="1"/>
    <row r="831" ht="14.45" customHeight="1"/>
    <row r="832" ht="14.45" customHeight="1"/>
    <row r="833" ht="14.45" customHeight="1"/>
    <row r="834" ht="14.45" customHeight="1"/>
    <row r="835" ht="14.45" customHeight="1"/>
    <row r="836" ht="14.45" customHeight="1"/>
    <row r="837" ht="14.45" customHeight="1"/>
    <row r="838" ht="14.45" customHeight="1"/>
    <row r="839" ht="14.45" customHeight="1"/>
    <row r="840" ht="14.45" customHeight="1"/>
    <row r="841" ht="14.45" customHeight="1"/>
    <row r="842" ht="14.45" customHeight="1"/>
    <row r="843" ht="14.45" customHeight="1"/>
    <row r="844" ht="14.45" customHeight="1"/>
    <row r="845" ht="14.45" customHeight="1"/>
    <row r="846" ht="14.45" customHeight="1"/>
    <row r="847" ht="14.45" customHeight="1"/>
    <row r="848" ht="14.45" customHeight="1"/>
    <row r="849" ht="14.45" customHeight="1"/>
    <row r="850" ht="14.45" customHeight="1"/>
    <row r="851" ht="14.45" customHeight="1"/>
    <row r="852" ht="14.45" customHeight="1"/>
    <row r="853" ht="14.45" customHeight="1"/>
    <row r="854" ht="14.45" customHeight="1"/>
    <row r="855" ht="14.45" customHeight="1"/>
    <row r="856" ht="14.45" customHeight="1"/>
    <row r="857" ht="14.45" customHeight="1"/>
    <row r="858" ht="14.45" customHeight="1"/>
    <row r="859" ht="14.45" customHeight="1"/>
    <row r="860" ht="14.45" customHeight="1"/>
    <row r="861" ht="14.45" customHeight="1"/>
    <row r="862" ht="14.45" customHeight="1"/>
    <row r="863" ht="14.45" customHeight="1"/>
    <row r="864" ht="14.45" customHeight="1"/>
    <row r="865" ht="14.45" customHeight="1"/>
    <row r="866" ht="14.45" customHeight="1"/>
    <row r="867" ht="14.45" customHeight="1"/>
    <row r="868" ht="14.45" customHeight="1"/>
    <row r="869" ht="14.45" customHeight="1"/>
    <row r="870" ht="14.45" customHeight="1"/>
    <row r="871" ht="14.45" customHeight="1"/>
    <row r="872" ht="14.45" customHeight="1"/>
    <row r="873" ht="14.45" customHeight="1"/>
    <row r="874" ht="14.45" customHeight="1"/>
    <row r="875" ht="14.45" customHeight="1"/>
    <row r="876" ht="14.45" customHeight="1"/>
    <row r="877" ht="14.45" customHeight="1"/>
    <row r="878" ht="14.45" customHeight="1"/>
    <row r="879" ht="14.45" customHeight="1"/>
    <row r="880" ht="14.45" customHeight="1"/>
    <row r="881" ht="14.45" customHeight="1"/>
    <row r="882" ht="14.45" customHeight="1"/>
    <row r="883" ht="14.45" customHeight="1"/>
    <row r="884" ht="14.45" customHeight="1"/>
    <row r="885" ht="14.45" customHeight="1"/>
    <row r="886" ht="14.45" customHeight="1"/>
    <row r="887" ht="14.45" customHeight="1"/>
    <row r="888" ht="14.45" customHeight="1"/>
    <row r="889" ht="14.45" customHeight="1"/>
    <row r="890" ht="14.45" customHeight="1"/>
    <row r="891" ht="14.45" customHeight="1"/>
    <row r="892" ht="14.45" customHeight="1"/>
    <row r="893" ht="14.45" customHeight="1"/>
    <row r="894" ht="14.45" customHeight="1"/>
    <row r="895" ht="14.45" customHeight="1"/>
    <row r="896" ht="14.45" customHeight="1"/>
    <row r="897" ht="14.45" customHeight="1"/>
    <row r="898" ht="14.45" customHeight="1"/>
    <row r="899" ht="14.45" customHeight="1"/>
    <row r="900" ht="14.45" customHeight="1"/>
    <row r="901" ht="14.45" customHeight="1"/>
    <row r="902" ht="14.45" customHeight="1"/>
    <row r="903" ht="14.45" customHeight="1"/>
    <row r="904" ht="14.45" customHeight="1"/>
    <row r="905" ht="14.45" customHeight="1"/>
    <row r="906" ht="14.45" customHeight="1"/>
    <row r="907" ht="14.45" customHeight="1"/>
    <row r="908" ht="14.45" customHeight="1"/>
    <row r="909" ht="14.45" customHeight="1"/>
    <row r="910" ht="14.45" customHeight="1"/>
    <row r="911" ht="14.45" customHeight="1"/>
    <row r="912" ht="14.45" customHeight="1"/>
    <row r="913" ht="14.45" customHeight="1"/>
    <row r="914" ht="14.45" customHeight="1"/>
    <row r="915" ht="14.45" customHeight="1"/>
    <row r="916" ht="14.45" customHeight="1"/>
    <row r="917" ht="14.45" customHeight="1"/>
    <row r="918" ht="14.45" customHeight="1"/>
    <row r="919" ht="14.45" customHeight="1"/>
    <row r="920" ht="14.45" customHeight="1"/>
    <row r="921" ht="14.45" customHeight="1"/>
    <row r="922" ht="14.45" customHeight="1"/>
    <row r="923" ht="14.45" customHeight="1"/>
    <row r="924" ht="14.45" customHeight="1"/>
    <row r="925" ht="14.45" customHeight="1"/>
    <row r="926" ht="14.45" customHeight="1"/>
    <row r="927" ht="14.45" customHeight="1"/>
    <row r="928" ht="14.45" customHeight="1"/>
    <row r="929" ht="14.45" customHeight="1"/>
    <row r="930" ht="14.45" customHeight="1"/>
    <row r="931" ht="14.45" customHeight="1"/>
    <row r="932" ht="14.45" customHeight="1"/>
    <row r="933" ht="14.45" customHeight="1"/>
    <row r="934" ht="14.45" customHeight="1"/>
    <row r="935" ht="14.45" customHeight="1"/>
    <row r="936" ht="14.45" customHeight="1"/>
    <row r="937" ht="14.45" customHeight="1"/>
    <row r="938" ht="14.45" customHeight="1"/>
    <row r="939" ht="14.45" customHeight="1"/>
    <row r="940" ht="14.45" customHeight="1"/>
    <row r="941" ht="14.45" customHeight="1"/>
    <row r="942" ht="14.45" customHeight="1"/>
    <row r="943" ht="14.45" customHeight="1"/>
    <row r="944" ht="14.45" customHeight="1"/>
    <row r="945" ht="14.45" customHeight="1"/>
    <row r="946" ht="14.45" customHeight="1"/>
    <row r="947" ht="14.45" customHeight="1"/>
    <row r="948" ht="14.45" customHeight="1"/>
    <row r="949" ht="14.45" customHeight="1"/>
    <row r="950" ht="14.45" customHeight="1"/>
    <row r="951" ht="14.45" customHeight="1"/>
    <row r="952" ht="14.45" customHeight="1"/>
    <row r="953" ht="14.45" customHeight="1"/>
    <row r="954" ht="14.45" customHeight="1"/>
    <row r="955" ht="14.45" customHeight="1"/>
    <row r="956" ht="14.45" customHeight="1"/>
    <row r="957" ht="14.45" customHeight="1"/>
    <row r="958" ht="14.45" customHeight="1"/>
    <row r="959" ht="14.45" customHeight="1"/>
    <row r="960" ht="14.45" customHeight="1"/>
    <row r="961" ht="14.45" customHeight="1"/>
    <row r="962" ht="14.45" customHeight="1"/>
    <row r="963" ht="14.45" customHeight="1"/>
    <row r="964" ht="14.45" customHeight="1"/>
    <row r="965" ht="14.45" customHeight="1"/>
    <row r="966" ht="14.45" customHeight="1"/>
    <row r="967" ht="14.45" customHeight="1"/>
    <row r="968" ht="14.45" customHeight="1"/>
    <row r="969" ht="14.45" customHeight="1"/>
    <row r="970" ht="14.45" customHeight="1"/>
    <row r="971" ht="14.45" customHeight="1"/>
    <row r="972" ht="14.45" customHeight="1"/>
    <row r="973" ht="14.45" customHeight="1"/>
    <row r="974" ht="14.45" customHeight="1"/>
    <row r="975" ht="14.45" customHeight="1"/>
    <row r="976" ht="14.45" customHeight="1"/>
    <row r="977" ht="14.45" customHeight="1"/>
    <row r="978" ht="14.45" customHeight="1"/>
    <row r="979" ht="14.45" customHeight="1"/>
    <row r="980" ht="14.45" customHeight="1"/>
    <row r="981" ht="14.45" customHeight="1"/>
    <row r="982" ht="14.45" customHeight="1"/>
    <row r="983" ht="14.45" customHeight="1"/>
    <row r="984" ht="14.45" customHeight="1"/>
    <row r="985" ht="14.45" customHeight="1"/>
    <row r="986" ht="14.45" customHeight="1"/>
    <row r="987" ht="14.45" customHeight="1"/>
    <row r="988" ht="14.45" customHeight="1"/>
    <row r="989" ht="14.45" customHeight="1"/>
    <row r="990" ht="14.45" customHeight="1"/>
    <row r="991" ht="14.45" customHeight="1"/>
    <row r="992" ht="14.45" customHeight="1"/>
    <row r="993" ht="14.45" customHeight="1"/>
    <row r="994" ht="14.45" customHeight="1"/>
    <row r="995" ht="14.45" customHeight="1"/>
    <row r="996" ht="14.45" customHeight="1"/>
    <row r="997" ht="14.45" customHeight="1"/>
    <row r="998" ht="14.45" customHeight="1"/>
    <row r="999" ht="14.45" customHeight="1"/>
    <row r="1000" ht="14.45" customHeight="1"/>
    <row r="1001" ht="14.45" customHeight="1"/>
    <row r="1002" ht="14.45" customHeight="1"/>
    <row r="1003" ht="14.45" customHeight="1"/>
    <row r="1004" ht="14.45" customHeight="1"/>
    <row r="1005" ht="14.45" customHeight="1"/>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row r="1100" ht="14.45" customHeight="1"/>
    <row r="1101" ht="14.45" customHeight="1"/>
    <row r="1102" ht="14.45" customHeight="1"/>
    <row r="1103" ht="14.45" customHeight="1"/>
    <row r="1104" ht="14.45" customHeight="1"/>
    <row r="1105" ht="14.45" customHeight="1"/>
    <row r="1106" ht="14.45" customHeight="1"/>
    <row r="1107" ht="14.45" customHeight="1"/>
    <row r="1108" ht="14.45" customHeight="1"/>
    <row r="1109" ht="14.45" customHeight="1"/>
    <row r="1110" ht="14.45" customHeight="1"/>
    <row r="1111" ht="14.45" customHeight="1"/>
    <row r="1112" ht="14.45" customHeight="1"/>
    <row r="1113" ht="14.45" customHeight="1"/>
    <row r="1114" ht="14.45" customHeight="1"/>
    <row r="1115" ht="14.45" customHeight="1"/>
    <row r="1116" ht="14.45" customHeight="1"/>
    <row r="1117" ht="14.45" customHeight="1"/>
    <row r="1118" ht="14.45" customHeight="1"/>
    <row r="1119" ht="14.45" customHeight="1"/>
    <row r="1120" ht="14.45" customHeight="1"/>
    <row r="1121" ht="14.45" customHeight="1"/>
    <row r="1122" ht="14.45" customHeight="1"/>
    <row r="1123" ht="14.45" customHeight="1"/>
    <row r="1124" ht="14.45" customHeight="1"/>
    <row r="1125" ht="14.45" customHeight="1"/>
    <row r="1126" ht="14.45" customHeight="1"/>
    <row r="1127" ht="14.45" customHeight="1"/>
    <row r="1128" ht="14.45" customHeight="1"/>
    <row r="1129" ht="14.45" customHeight="1"/>
    <row r="1130" ht="14.45" customHeight="1"/>
    <row r="1131" ht="14.45" customHeight="1"/>
    <row r="1132" ht="14.45" customHeight="1"/>
    <row r="1133" ht="14.45" customHeight="1"/>
    <row r="1134" ht="14.45" customHeight="1"/>
    <row r="1135" ht="14.45" customHeight="1"/>
    <row r="1136" ht="14.45" customHeight="1"/>
    <row r="1137" ht="14.45" customHeight="1"/>
    <row r="1138" ht="14.45" customHeight="1"/>
    <row r="1139" ht="14.45" customHeight="1"/>
    <row r="1140" ht="14.45" customHeight="1"/>
    <row r="1141" ht="14.45" customHeight="1"/>
    <row r="1142" ht="14.45" customHeight="1"/>
    <row r="1143" ht="14.45" customHeight="1"/>
    <row r="1144" ht="14.45" customHeight="1"/>
    <row r="1145" ht="14.45" customHeight="1"/>
    <row r="1146" ht="14.45" customHeight="1"/>
    <row r="1147" ht="14.45" customHeight="1"/>
    <row r="1148" ht="14.45" customHeight="1"/>
    <row r="1149" ht="14.45" customHeight="1"/>
    <row r="1150" ht="14.45" customHeight="1"/>
    <row r="1151" ht="14.45" customHeight="1"/>
    <row r="1152" ht="14.45" customHeight="1"/>
    <row r="1153" ht="14.45" customHeight="1"/>
    <row r="1154" ht="14.45" customHeight="1"/>
    <row r="1155" ht="14.45" customHeight="1"/>
    <row r="1156" ht="14.45" customHeight="1"/>
    <row r="1157" ht="14.45" customHeight="1"/>
    <row r="1158" ht="14.45" customHeight="1"/>
    <row r="1159" ht="14.45" customHeight="1"/>
    <row r="1160" ht="14.45" customHeight="1"/>
    <row r="1161" ht="14.45" customHeight="1"/>
    <row r="1162" ht="14.45" customHeight="1"/>
    <row r="1163" ht="14.45" customHeight="1"/>
    <row r="1164" ht="14.45" customHeight="1"/>
    <row r="1165" ht="14.45" customHeight="1"/>
    <row r="1166" ht="14.45" customHeight="1"/>
    <row r="1167" ht="14.45" customHeight="1"/>
    <row r="1168" ht="14.45" customHeight="1"/>
    <row r="1169" ht="14.45" customHeight="1"/>
    <row r="1170" ht="14.45" customHeight="1"/>
    <row r="1171" ht="14.45" customHeight="1"/>
    <row r="1172" ht="14.45" customHeight="1"/>
    <row r="1173" ht="14.45" customHeight="1"/>
    <row r="1174" ht="14.45" customHeight="1"/>
    <row r="1175" ht="14.45" customHeight="1"/>
    <row r="1176" ht="14.45" customHeight="1"/>
    <row r="1177" ht="14.45" customHeight="1"/>
    <row r="1178" ht="14.45" customHeight="1"/>
    <row r="1179" ht="14.45" customHeight="1"/>
    <row r="1180" ht="14.45" customHeight="1"/>
    <row r="1181" ht="14.45" customHeight="1"/>
    <row r="1182" ht="14.45" customHeight="1"/>
    <row r="1183" ht="14.45" customHeight="1"/>
    <row r="1184" ht="14.45" customHeight="1"/>
    <row r="1185" ht="14.45" customHeight="1"/>
    <row r="1186" ht="14.45" customHeight="1"/>
    <row r="1187" ht="14.45" customHeight="1"/>
    <row r="1188" ht="14.45" customHeight="1"/>
    <row r="1189" ht="14.45" customHeight="1"/>
    <row r="1190" ht="14.45" customHeight="1"/>
    <row r="1191" ht="14.45" customHeight="1"/>
    <row r="1192" ht="14.45" customHeight="1"/>
    <row r="1193" ht="14.45" customHeight="1"/>
    <row r="1194" ht="14.45" customHeight="1"/>
    <row r="1195" ht="14.45" customHeight="1"/>
    <row r="1196" ht="14.45" customHeight="1"/>
    <row r="1197" ht="14.45" customHeight="1"/>
    <row r="1198" ht="14.45" customHeight="1"/>
    <row r="1199" ht="14.45" customHeight="1"/>
    <row r="1200" ht="14.45" customHeight="1"/>
    <row r="1201" ht="14.45" customHeight="1"/>
    <row r="1202" ht="14.45" customHeight="1"/>
    <row r="1203" ht="14.45" customHeight="1"/>
    <row r="1204" ht="14.45" customHeight="1"/>
    <row r="1205" ht="14.45" customHeight="1"/>
    <row r="1206" ht="14.45" customHeight="1"/>
    <row r="1207" ht="14.45" customHeight="1"/>
    <row r="1208" ht="14.45" customHeight="1"/>
    <row r="1209" ht="14.45" customHeight="1"/>
    <row r="1210" ht="14.45" customHeight="1"/>
    <row r="1211" ht="14.45" customHeight="1"/>
    <row r="1212" ht="14.45" customHeight="1"/>
    <row r="1213" ht="14.45" customHeight="1"/>
    <row r="1214" ht="14.45" customHeight="1"/>
    <row r="1215" ht="14.45" customHeight="1"/>
    <row r="1216" ht="14.45" customHeight="1"/>
    <row r="1217" ht="14.45" customHeight="1"/>
    <row r="1218" ht="14.45" customHeight="1"/>
    <row r="1219" ht="14.45" customHeight="1"/>
    <row r="1220" ht="14.45" customHeight="1"/>
    <row r="1221" ht="14.45" customHeight="1"/>
    <row r="1222" ht="14.45" customHeight="1"/>
    <row r="1223" ht="14.45" customHeight="1"/>
    <row r="1224" ht="14.45" customHeight="1"/>
    <row r="1225" ht="14.45" customHeight="1"/>
    <row r="1226" ht="14.45" customHeight="1"/>
    <row r="1227" ht="14.45" customHeight="1"/>
    <row r="1228" ht="14.45" customHeight="1"/>
    <row r="1229" ht="14.45" customHeight="1"/>
    <row r="1230" ht="14.45" customHeight="1"/>
    <row r="1231" ht="14.45" customHeight="1"/>
    <row r="1232" ht="14.45" customHeight="1"/>
    <row r="1233" ht="14.45" customHeight="1"/>
    <row r="1234" ht="14.45" customHeight="1"/>
    <row r="1235" ht="14.45" customHeight="1"/>
    <row r="1236" ht="14.45" customHeight="1"/>
    <row r="1237" ht="14.45" customHeight="1"/>
    <row r="1238" ht="14.45" customHeight="1"/>
    <row r="1239" ht="14.45" customHeight="1"/>
    <row r="1240" ht="14.45" customHeight="1"/>
    <row r="1241" ht="14.45" customHeight="1"/>
    <row r="1242" ht="14.45" customHeight="1"/>
    <row r="1243" ht="14.45" customHeight="1"/>
    <row r="1244" ht="14.45" customHeight="1"/>
    <row r="1245" ht="14.45" customHeight="1"/>
    <row r="1246" ht="14.45" customHeight="1"/>
    <row r="1247" ht="14.45" customHeight="1"/>
    <row r="1248" ht="14.45" customHeight="1"/>
    <row r="1249" ht="14.45" customHeight="1"/>
    <row r="1250" ht="14.45" customHeight="1"/>
    <row r="1251" ht="14.45" customHeight="1"/>
    <row r="1252" ht="14.45" customHeight="1"/>
    <row r="1253" ht="14.45" customHeight="1"/>
    <row r="1254" ht="14.45" customHeight="1"/>
    <row r="1255" ht="14.45" customHeight="1"/>
    <row r="1256" ht="14.45" customHeight="1"/>
    <row r="1257" ht="14.45" customHeight="1"/>
    <row r="1258" ht="14.45" customHeight="1"/>
    <row r="1259" ht="14.45" customHeight="1"/>
    <row r="1260" ht="14.45" customHeight="1"/>
    <row r="1261" ht="14.45" customHeight="1"/>
    <row r="1262" ht="14.45" customHeight="1"/>
    <row r="1263" ht="14.45" customHeight="1"/>
    <row r="1264" ht="14.45" customHeight="1"/>
    <row r="1265" ht="14.45" customHeight="1"/>
    <row r="1266" ht="14.45" customHeight="1"/>
    <row r="1267" ht="14.45" customHeight="1"/>
    <row r="1268" ht="14.45" customHeight="1"/>
    <row r="1269" ht="14.45" customHeight="1"/>
    <row r="1270" ht="14.45" customHeight="1"/>
    <row r="1271" ht="14.45" customHeight="1"/>
    <row r="1272" ht="14.45" customHeight="1"/>
    <row r="1273" ht="14.45" customHeight="1"/>
    <row r="1274" ht="14.45" customHeight="1"/>
    <row r="1275" ht="14.45" customHeight="1"/>
    <row r="1276" ht="14.45" customHeight="1"/>
    <row r="1277" ht="14.45" customHeight="1"/>
    <row r="1278" ht="14.45" customHeight="1"/>
    <row r="1279" ht="14.45" customHeight="1"/>
    <row r="1280" ht="14.45" customHeight="1"/>
    <row r="1281" ht="14.45" customHeight="1"/>
    <row r="1282" ht="14.45" customHeight="1"/>
    <row r="1283" ht="14.45" customHeight="1"/>
    <row r="1284" ht="14.45" customHeight="1"/>
    <row r="1285" ht="14.45" customHeight="1"/>
    <row r="1286" ht="14.45" customHeight="1"/>
    <row r="1287" ht="14.45" customHeight="1"/>
    <row r="1288" ht="14.45" customHeight="1"/>
    <row r="1289" ht="14.45" customHeight="1"/>
    <row r="1290" ht="14.45" customHeight="1"/>
    <row r="1291" ht="14.45" customHeight="1"/>
    <row r="1292" ht="14.45" customHeight="1"/>
    <row r="1293" ht="14.45" customHeight="1"/>
    <row r="1294" ht="14.45" customHeight="1"/>
    <row r="1295" ht="14.45" customHeight="1"/>
    <row r="1296" ht="14.45" customHeight="1"/>
    <row r="1297" ht="14.45" customHeight="1"/>
    <row r="1298" ht="14.45" customHeight="1"/>
    <row r="1299" ht="14.45" customHeight="1"/>
    <row r="1300" ht="14.45" customHeight="1"/>
    <row r="1301" ht="14.45" customHeight="1"/>
    <row r="1302" ht="14.45" customHeight="1"/>
    <row r="1303" ht="14.45" customHeight="1"/>
    <row r="1304" ht="14.45" customHeight="1"/>
    <row r="1305" ht="14.45" customHeight="1"/>
    <row r="1306" ht="14.45" customHeight="1"/>
    <row r="1307" ht="14.45" customHeight="1"/>
    <row r="1308" ht="14.45" customHeight="1"/>
    <row r="1309" ht="14.45" customHeight="1"/>
    <row r="1310" ht="14.45" customHeight="1"/>
    <row r="1311" ht="14.45" customHeight="1"/>
    <row r="1312" ht="14.45" customHeight="1"/>
    <row r="1313" ht="14.45" customHeight="1"/>
    <row r="1314" ht="14.45" customHeight="1"/>
    <row r="1315" ht="14.45" customHeight="1"/>
    <row r="1316" ht="14.45" customHeight="1"/>
    <row r="1317" ht="14.45" customHeight="1"/>
    <row r="1318" ht="14.45" customHeight="1"/>
    <row r="1319" ht="14.45" customHeight="1"/>
    <row r="1320" ht="14.45" customHeight="1"/>
    <row r="1321" ht="14.45" customHeight="1"/>
    <row r="1322" ht="14.45" customHeight="1"/>
    <row r="1323" ht="14.45" customHeight="1"/>
    <row r="1324" ht="14.45" customHeight="1"/>
    <row r="1325" ht="14.45" customHeight="1"/>
    <row r="1326" ht="14.45" customHeight="1"/>
    <row r="1327" ht="14.45" customHeight="1"/>
    <row r="1328" ht="14.45" customHeight="1"/>
    <row r="1329" ht="14.45" customHeight="1"/>
    <row r="1330" ht="14.45" customHeight="1"/>
    <row r="1331" ht="14.45" customHeight="1"/>
    <row r="1332" ht="14.45" customHeight="1"/>
    <row r="1333" ht="14.45" customHeight="1"/>
    <row r="1334" ht="14.45" customHeight="1"/>
    <row r="1335" ht="14.45" customHeight="1"/>
    <row r="1336" ht="14.45" customHeight="1"/>
    <row r="1337" ht="14.45" customHeight="1"/>
    <row r="1338" ht="14.45" customHeight="1"/>
    <row r="1339" ht="14.45" customHeight="1"/>
    <row r="1340" ht="14.45" customHeight="1"/>
    <row r="1341" ht="14.45" customHeight="1"/>
    <row r="1342" ht="14.45" customHeight="1"/>
    <row r="1343" ht="14.45" customHeight="1"/>
    <row r="1344" ht="14.45" customHeight="1"/>
    <row r="1345" ht="14.45" customHeight="1"/>
    <row r="1346" ht="14.45" customHeight="1"/>
    <row r="1347" ht="14.45" customHeight="1"/>
    <row r="1348" ht="14.45" customHeight="1"/>
    <row r="1349" ht="14.45" customHeight="1"/>
    <row r="1350" ht="14.45" customHeight="1"/>
    <row r="1351" ht="14.45" customHeight="1"/>
    <row r="1352" ht="14.45" customHeight="1"/>
    <row r="1353" ht="14.45" customHeight="1"/>
    <row r="1354" ht="14.45" customHeight="1"/>
    <row r="1355" ht="14.45" customHeight="1"/>
    <row r="1356" ht="14.45" customHeight="1"/>
    <row r="1357" ht="14.45" customHeight="1"/>
    <row r="1358" ht="14.45" customHeight="1"/>
    <row r="1359" ht="14.45" customHeight="1"/>
    <row r="1360" ht="14.45" customHeight="1"/>
    <row r="1361" ht="14.45" customHeight="1"/>
    <row r="1362" ht="14.45" customHeight="1"/>
    <row r="1363" ht="14.45" customHeight="1"/>
    <row r="1364" ht="14.45" customHeight="1"/>
    <row r="1365" ht="14.45" customHeight="1"/>
    <row r="1366" ht="14.45" customHeight="1"/>
    <row r="1367" ht="14.45" customHeight="1"/>
    <row r="1368" ht="14.45" customHeight="1"/>
    <row r="1369" ht="14.45" customHeight="1"/>
    <row r="1370" ht="14.45" customHeight="1"/>
    <row r="1371" ht="14.45" customHeight="1"/>
    <row r="1372" ht="14.45" customHeight="1"/>
    <row r="1373" ht="14.45" customHeight="1"/>
    <row r="1374" ht="14.45" customHeight="1"/>
    <row r="1375" ht="14.45" customHeight="1"/>
    <row r="1376" ht="14.45" customHeight="1"/>
    <row r="1377" ht="14.45" customHeight="1"/>
    <row r="1378" ht="14.45" customHeight="1"/>
    <row r="1379" ht="14.45" customHeight="1"/>
    <row r="1380" ht="14.45" customHeight="1"/>
    <row r="1381" ht="14.45" customHeight="1"/>
    <row r="1382" ht="14.45" customHeight="1"/>
    <row r="1383" ht="14.45" customHeight="1"/>
    <row r="1384" ht="14.45" customHeight="1"/>
    <row r="1385" ht="14.45" customHeight="1"/>
    <row r="1386" ht="14.45" customHeight="1"/>
    <row r="1387" ht="14.45" customHeight="1"/>
    <row r="1388" ht="14.45" customHeight="1"/>
    <row r="1389" ht="14.45" customHeight="1"/>
    <row r="1390" ht="14.45" customHeight="1"/>
    <row r="1391" ht="14.45" customHeight="1"/>
    <row r="1392" ht="14.45" customHeight="1"/>
    <row r="1393" ht="14.45" customHeight="1"/>
    <row r="1394" ht="14.45" customHeight="1"/>
    <row r="1395" ht="14.45" customHeight="1"/>
    <row r="1396" ht="14.45" customHeight="1"/>
    <row r="1397" ht="14.45" customHeight="1"/>
    <row r="1398" ht="14.45" customHeight="1"/>
    <row r="1399" ht="14.45" customHeight="1"/>
    <row r="1400" ht="14.45" customHeight="1"/>
    <row r="1401" ht="14.45" customHeight="1"/>
    <row r="1402" ht="14.45" customHeight="1"/>
    <row r="1403" ht="14.45" customHeight="1"/>
    <row r="1404" ht="14.45" customHeight="1"/>
    <row r="1405" ht="14.45" customHeight="1"/>
    <row r="1406" ht="14.45" customHeight="1"/>
    <row r="1407" ht="14.45" customHeight="1"/>
    <row r="1408" ht="14.45" customHeight="1"/>
    <row r="1409" ht="14.45" customHeight="1"/>
    <row r="1410" ht="14.45" customHeight="1"/>
    <row r="1411" ht="14.45" customHeight="1"/>
    <row r="1412" ht="14.45" customHeight="1"/>
    <row r="1413" ht="14.45" customHeight="1"/>
    <row r="1414" ht="14.45" customHeight="1"/>
    <row r="1415" ht="14.45" customHeight="1"/>
    <row r="1416" ht="14.45" customHeight="1"/>
    <row r="1417" ht="14.45" customHeight="1"/>
    <row r="1418" ht="14.45" customHeight="1"/>
    <row r="1419" ht="14.45" customHeight="1"/>
    <row r="1420" ht="14.45" customHeight="1"/>
    <row r="1421" ht="14.45" customHeight="1"/>
    <row r="1422" ht="14.45" customHeight="1"/>
    <row r="1423" ht="14.45" customHeight="1"/>
    <row r="1424" ht="14.45" customHeight="1"/>
    <row r="1425" ht="14.45" customHeight="1"/>
    <row r="1426" ht="14.45" customHeight="1"/>
    <row r="1427" ht="14.45" customHeight="1"/>
    <row r="1428" ht="14.45" customHeight="1"/>
    <row r="1429" ht="14.45" customHeight="1"/>
    <row r="1430" ht="14.45" customHeight="1"/>
    <row r="1431" ht="14.45" customHeight="1"/>
    <row r="1432" ht="14.45" customHeight="1"/>
    <row r="1433" ht="14.45" customHeight="1"/>
    <row r="1434" ht="14.45" customHeight="1"/>
    <row r="1435" ht="14.45" customHeight="1"/>
    <row r="1436" ht="14.45" customHeight="1"/>
    <row r="1437" ht="14.45" customHeight="1"/>
    <row r="1438" ht="14.45" customHeight="1"/>
    <row r="1439" ht="14.45" customHeight="1"/>
    <row r="1440" ht="14.45" customHeight="1"/>
    <row r="1441" ht="14.45" customHeight="1"/>
    <row r="1442" ht="14.45" customHeight="1"/>
    <row r="1443" ht="14.45" customHeight="1"/>
    <row r="1444" ht="14.45" customHeight="1"/>
    <row r="1445" ht="14.45" customHeight="1"/>
    <row r="1446" ht="14.45" customHeight="1"/>
    <row r="1447" ht="14.45" customHeight="1"/>
    <row r="1448" ht="14.45" customHeight="1"/>
    <row r="1449" ht="14.45" customHeight="1"/>
    <row r="1450" ht="14.45" customHeight="1"/>
    <row r="1451" ht="14.45" customHeight="1"/>
    <row r="1452" ht="14.45" customHeight="1"/>
    <row r="1453" ht="14.45" customHeight="1"/>
    <row r="1454" ht="14.45" customHeight="1"/>
    <row r="1455" ht="14.45" customHeight="1"/>
    <row r="1456" ht="14.45" customHeight="1"/>
    <row r="1457" ht="14.45" customHeight="1"/>
    <row r="1458" ht="14.45" customHeight="1"/>
    <row r="1459" ht="14.45" customHeight="1"/>
    <row r="1460" ht="14.45" customHeight="1"/>
    <row r="1461" ht="14.45" customHeight="1"/>
    <row r="1462" ht="14.45" customHeight="1"/>
    <row r="1463" ht="14.45" customHeight="1"/>
    <row r="1464" ht="14.45" customHeight="1"/>
    <row r="1465" ht="14.45" customHeight="1"/>
    <row r="1466" ht="14.45" customHeight="1"/>
    <row r="1467" ht="14.45" customHeight="1"/>
    <row r="1468" ht="14.45" customHeight="1"/>
    <row r="1469" ht="14.45" customHeight="1"/>
    <row r="1470" ht="14.45" customHeight="1"/>
    <row r="1471" ht="14.45" customHeight="1"/>
    <row r="1472" ht="14.45" customHeight="1"/>
    <row r="1473" ht="14.45" customHeight="1"/>
    <row r="1474" ht="14.45" customHeight="1"/>
    <row r="1475" ht="14.45" customHeight="1"/>
    <row r="1476" ht="14.45" customHeight="1"/>
    <row r="1477" ht="14.45" customHeight="1"/>
    <row r="1478" ht="14.45" customHeight="1"/>
    <row r="1479" ht="14.45" customHeight="1"/>
    <row r="1480" ht="14.45" customHeight="1"/>
    <row r="1481" ht="14.45" customHeight="1"/>
    <row r="1482" ht="14.45" customHeight="1"/>
    <row r="1483" ht="14.45" customHeight="1"/>
    <row r="1484" ht="14.45" customHeight="1"/>
    <row r="1485" ht="14.45" customHeight="1"/>
    <row r="1486" ht="14.45" customHeight="1"/>
    <row r="1487" ht="14.45" customHeight="1"/>
    <row r="1488" ht="14.45" customHeight="1"/>
    <row r="1489" ht="14.45" customHeight="1"/>
    <row r="1490" ht="14.45" customHeight="1"/>
  </sheetData>
  <mergeCells count="2">
    <mergeCell ref="A308:F310"/>
    <mergeCell ref="A312:F313"/>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B2:AK68"/>
  <sheetViews>
    <sheetView showGridLines="0" zoomScale="130" zoomScaleNormal="130" workbookViewId="0">
      <selection activeCell="D35" sqref="D35"/>
    </sheetView>
  </sheetViews>
  <sheetFormatPr defaultColWidth="9.140625" defaultRowHeight="12.75"/>
  <cols>
    <col min="1" max="2" width="9.140625" style="509"/>
    <col min="3" max="3" width="17.7109375" style="509" customWidth="1"/>
    <col min="4" max="5" width="12.7109375" style="509" customWidth="1"/>
    <col min="6" max="6" width="13.42578125" style="509" customWidth="1"/>
    <col min="7" max="7" width="12.85546875" style="509" customWidth="1"/>
    <col min="8" max="8" width="14.140625" style="509" customWidth="1"/>
    <col min="9" max="9" width="8" style="509" customWidth="1"/>
    <col min="10" max="10" width="14.140625" style="509" customWidth="1"/>
    <col min="11" max="11" width="8.28515625" style="509" customWidth="1"/>
    <col min="12" max="13" width="17.7109375" style="509" customWidth="1"/>
    <col min="14" max="14" width="14.28515625" style="509" customWidth="1"/>
    <col min="15" max="21" width="11.28515625" style="509" bestFit="1" customWidth="1"/>
    <col min="22" max="36" width="12.28515625" style="509" bestFit="1" customWidth="1"/>
    <col min="37" max="16384" width="9.140625" style="509"/>
  </cols>
  <sheetData>
    <row r="2" spans="2:37" s="508" customFormat="1" ht="12.6" customHeight="1">
      <c r="B2" s="505"/>
      <c r="C2" s="506" t="s">
        <v>546</v>
      </c>
      <c r="D2" s="507"/>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row>
    <row r="3" spans="2:37" ht="12.6" customHeight="1">
      <c r="D3" s="510"/>
    </row>
    <row r="5" spans="2:37" ht="13.15">
      <c r="C5" s="511"/>
      <c r="D5" s="529">
        <v>2022</v>
      </c>
      <c r="E5" s="529">
        <f>D5-1</f>
        <v>2021</v>
      </c>
      <c r="F5" s="529">
        <f t="shared" ref="F5:H5" si="0">E5-1</f>
        <v>2020</v>
      </c>
      <c r="G5" s="529">
        <f t="shared" si="0"/>
        <v>2019</v>
      </c>
      <c r="H5" s="529">
        <f t="shared" si="0"/>
        <v>2018</v>
      </c>
      <c r="J5" s="528" t="s">
        <v>547</v>
      </c>
      <c r="L5" s="523" t="s">
        <v>548</v>
      </c>
      <c r="M5" s="523" t="s">
        <v>549</v>
      </c>
    </row>
    <row r="6" spans="2:37">
      <c r="C6" s="527" t="s">
        <v>550</v>
      </c>
      <c r="D6" s="278">
        <f>(Inputs!B6-Inputs!C6)/Inputs!C6</f>
        <v>2.4114420004041522E-2</v>
      </c>
      <c r="E6" s="278">
        <f>(Inputs!C6-Inputs!D6)/Inputs!D6</f>
        <v>4.1475696068344087E-2</v>
      </c>
      <c r="F6" s="278">
        <f>(Inputs!D6-Inputs!E6)/Inputs!E6</f>
        <v>-2.7118027118027119E-2</v>
      </c>
      <c r="G6" s="278">
        <f>(Inputs!E6-Inputs!F6)/Inputs!F6</f>
        <v>7.6797872584305725E-3</v>
      </c>
      <c r="H6" s="278">
        <f>(Inputs!F6-Inputs!G6)/Inputs!G6</f>
        <v>3.8315057841534821E-2</v>
      </c>
      <c r="I6" s="278"/>
      <c r="J6" s="537">
        <f>AVERAGE(D6:H6)</f>
        <v>1.6893386810864774E-2</v>
      </c>
      <c r="L6" s="540">
        <v>0.03</v>
      </c>
      <c r="M6" s="540">
        <v>0.01</v>
      </c>
    </row>
    <row r="7" spans="2:37" ht="10.5" customHeight="1">
      <c r="C7" s="527" t="s">
        <v>130</v>
      </c>
      <c r="D7" s="278">
        <f>Inputs!B8/Inputs!B6</f>
        <v>0.22265502247232069</v>
      </c>
      <c r="E7" s="278">
        <f>Inputs!C8/Inputs!C6</f>
        <v>0.24285062082282413</v>
      </c>
      <c r="F7" s="278">
        <f>Inputs!D8/Inputs!D6</f>
        <v>0.22447229757116577</v>
      </c>
      <c r="G7" s="278">
        <f>Inputs!E8/Inputs!E6</f>
        <v>0.23036673036673036</v>
      </c>
      <c r="H7" s="278">
        <f>Inputs!F8/Inputs!F6</f>
        <v>0.17023910501822517</v>
      </c>
      <c r="I7" s="278"/>
      <c r="J7" s="537">
        <f>AVERAGE(D7:H7)</f>
        <v>0.21811675525025326</v>
      </c>
      <c r="L7" s="524">
        <v>0.224</v>
      </c>
      <c r="M7" s="524">
        <f>J7</f>
        <v>0.21811675525025326</v>
      </c>
    </row>
    <row r="10" spans="2:37" s="508" customFormat="1" ht="13.9">
      <c r="B10" s="505"/>
      <c r="C10" s="507" t="s">
        <v>551</v>
      </c>
      <c r="D10" s="507"/>
      <c r="E10" s="505"/>
      <c r="F10" s="505"/>
      <c r="G10" s="505"/>
      <c r="H10" s="505"/>
      <c r="I10" s="505"/>
      <c r="J10" s="505"/>
      <c r="K10" s="505"/>
      <c r="L10" s="505"/>
      <c r="M10" s="505"/>
      <c r="N10" s="505"/>
      <c r="O10" s="505"/>
      <c r="P10" s="505"/>
      <c r="Q10" s="505"/>
      <c r="R10" s="505"/>
      <c r="S10" s="505"/>
      <c r="T10" s="505"/>
      <c r="U10" s="505"/>
      <c r="V10" s="505"/>
      <c r="W10" s="505"/>
      <c r="X10" s="505"/>
      <c r="Y10" s="505"/>
      <c r="Z10" s="505"/>
      <c r="AA10" s="505"/>
      <c r="AB10" s="505"/>
      <c r="AC10" s="505"/>
      <c r="AD10" s="505"/>
      <c r="AE10" s="505"/>
      <c r="AF10" s="505"/>
      <c r="AG10" s="505"/>
      <c r="AH10" s="505"/>
      <c r="AI10" s="505"/>
      <c r="AJ10" s="505"/>
    </row>
    <row r="11" spans="2:37" ht="13.9">
      <c r="B11" s="525"/>
      <c r="C11" s="526"/>
      <c r="D11" s="526"/>
      <c r="E11" s="525"/>
      <c r="F11" s="525"/>
      <c r="G11" s="525"/>
      <c r="H11" s="525"/>
      <c r="I11" s="525"/>
      <c r="J11" s="525"/>
      <c r="K11" s="525"/>
      <c r="L11" s="525"/>
      <c r="M11" s="525"/>
      <c r="N11" s="525"/>
      <c r="O11" s="525"/>
      <c r="P11" s="525"/>
      <c r="Q11" s="525"/>
      <c r="R11" s="525"/>
      <c r="S11" s="525"/>
      <c r="T11" s="525"/>
      <c r="U11" s="525"/>
      <c r="V11" s="525"/>
      <c r="W11" s="525"/>
      <c r="X11" s="525"/>
      <c r="Y11" s="525"/>
      <c r="Z11" s="525"/>
      <c r="AA11" s="525"/>
      <c r="AB11" s="525"/>
      <c r="AC11" s="525"/>
      <c r="AD11" s="525"/>
      <c r="AE11" s="525"/>
      <c r="AF11" s="525"/>
      <c r="AG11" s="525"/>
      <c r="AH11" s="525"/>
      <c r="AI11" s="525"/>
      <c r="AJ11" s="525"/>
    </row>
    <row r="12" spans="2:37" ht="14.25">
      <c r="D12" s="1121" t="s">
        <v>552</v>
      </c>
      <c r="E12" s="1121"/>
      <c r="F12" s="1121"/>
      <c r="G12" s="1121"/>
      <c r="H12" s="1121"/>
    </row>
    <row r="13" spans="2:37" ht="14.65" thickBot="1">
      <c r="C13" s="512"/>
      <c r="D13" s="522">
        <v>2018</v>
      </c>
      <c r="E13" s="522">
        <v>2019</v>
      </c>
      <c r="F13" s="513">
        <v>2020</v>
      </c>
      <c r="G13" s="513">
        <v>2021</v>
      </c>
      <c r="H13" s="513">
        <v>2022</v>
      </c>
      <c r="I13" s="513"/>
      <c r="J13" s="530" t="s">
        <v>553</v>
      </c>
      <c r="L13" s="523" t="s">
        <v>548</v>
      </c>
      <c r="M13" s="523" t="s">
        <v>549</v>
      </c>
      <c r="O13" s="509" t="s">
        <v>554</v>
      </c>
    </row>
    <row r="14" spans="2:37" ht="13.5" thickBot="1">
      <c r="C14" s="527" t="s">
        <v>460</v>
      </c>
      <c r="D14" s="538"/>
      <c r="E14" s="538"/>
      <c r="F14" s="539">
        <f>DCF!D9/DCF!D40</f>
        <v>-5.1030074677286166E-2</v>
      </c>
      <c r="G14" s="539">
        <f>DCF!E9/DCF!E40</f>
        <v>-4.8703505037996253E-2</v>
      </c>
      <c r="H14" s="539">
        <f>DCF!F9/DCF!F40</f>
        <v>-4.7424509813480495E-2</v>
      </c>
      <c r="J14" s="514">
        <f>AVERAGE(D14:H14)</f>
        <v>-4.9052696509587636E-2</v>
      </c>
      <c r="L14" s="524">
        <f>J14</f>
        <v>-4.9052696509587636E-2</v>
      </c>
      <c r="M14" s="524">
        <f>L14</f>
        <v>-4.9052696509587636E-2</v>
      </c>
      <c r="AK14" s="515"/>
    </row>
    <row r="15" spans="2:37" ht="13.5" thickBot="1">
      <c r="C15" s="527" t="s">
        <v>462</v>
      </c>
      <c r="D15" s="536"/>
      <c r="E15" s="536"/>
      <c r="F15" s="539">
        <f>DCF!D10/DCF!D38</f>
        <v>-8.8983513484004809E-2</v>
      </c>
      <c r="G15" s="539">
        <f>DCF!E10/DCF!E38</f>
        <v>-7.3266631560470419E-2</v>
      </c>
      <c r="H15" s="539">
        <f>DCF!F10/DCF!F38</f>
        <v>-8.2029971860480333E-2</v>
      </c>
      <c r="J15" s="514">
        <f t="shared" ref="J15:J26" si="1">AVERAGE(D15:H15)</f>
        <v>-8.1426705634985178E-2</v>
      </c>
      <c r="L15" s="524">
        <f t="shared" ref="L15:L26" si="2">J15</f>
        <v>-8.1426705634985178E-2</v>
      </c>
      <c r="M15" s="524">
        <f>L15</f>
        <v>-8.1426705634985178E-2</v>
      </c>
    </row>
    <row r="16" spans="2:37" ht="13.5" thickBot="1">
      <c r="C16" s="527" t="s">
        <v>464</v>
      </c>
      <c r="D16" s="538"/>
      <c r="E16" s="538"/>
      <c r="F16" s="539">
        <f>+DCF!D11/DCF!D6</f>
        <v>-6.0798802731269292E-3</v>
      </c>
      <c r="G16" s="539">
        <f>+DCF!E11/DCF!E6</f>
        <v>-4.6776885482700033E-3</v>
      </c>
      <c r="H16" s="539">
        <f>+DCF!F11/DCF!F6</f>
        <v>-4.4506157050462234E-3</v>
      </c>
      <c r="J16" s="514">
        <f t="shared" si="1"/>
        <v>-5.0693948421477184E-3</v>
      </c>
      <c r="L16" s="524">
        <f t="shared" si="2"/>
        <v>-5.0693948421477184E-3</v>
      </c>
      <c r="M16" s="524">
        <f>L16</f>
        <v>-5.0693948421477184E-3</v>
      </c>
      <c r="O16" s="557"/>
    </row>
    <row r="17" spans="2:13" ht="12.6" customHeight="1" thickBot="1">
      <c r="C17" s="527" t="s">
        <v>466</v>
      </c>
      <c r="D17" s="536"/>
      <c r="E17" s="536"/>
      <c r="F17" s="539">
        <f>DCF!D16/DCF!D15</f>
        <v>-0.23444736512704969</v>
      </c>
      <c r="G17" s="539">
        <f>DCF!E16/DCF!E15</f>
        <v>-0.23120326308633582</v>
      </c>
      <c r="H17" s="539">
        <f>DCF!F16/DCF!F15</f>
        <v>-0.2307311379151781</v>
      </c>
      <c r="J17" s="514">
        <f>AVERAGE(D17:H17)</f>
        <v>-0.23212725537618786</v>
      </c>
      <c r="L17" s="524">
        <f t="shared" si="2"/>
        <v>-0.23212725537618786</v>
      </c>
      <c r="M17" s="524">
        <f>L17</f>
        <v>-0.23212725537618786</v>
      </c>
    </row>
    <row r="18" spans="2:13" ht="13.5" thickBot="1">
      <c r="C18" s="527" t="s">
        <v>468</v>
      </c>
      <c r="D18" s="545">
        <f>H36</f>
        <v>4.2746079619327276E-2</v>
      </c>
      <c r="E18" s="538">
        <f>G36</f>
        <v>4.24257101597467E-2</v>
      </c>
      <c r="F18" s="539">
        <f>F36</f>
        <v>3.3115866792704285E-2</v>
      </c>
      <c r="G18" s="539">
        <f>E36</f>
        <v>2.3099663281809263E-2</v>
      </c>
      <c r="H18" s="539">
        <f>D36</f>
        <v>2.398449272764689E-2</v>
      </c>
      <c r="J18" s="514">
        <f>AVERAGE(D18:H18)</f>
        <v>3.3074362516246882E-2</v>
      </c>
      <c r="L18" s="524">
        <f>J18</f>
        <v>3.3074362516246882E-2</v>
      </c>
      <c r="M18" s="524" cm="1">
        <f t="array" ref="M18">-AVERAGE('Fin. Data'!B14:M14/'Fin. Data'!B58:M58)</f>
        <v>3.8521454611073737E-2</v>
      </c>
    </row>
    <row r="19" spans="2:13" ht="13.5" thickBot="1">
      <c r="C19" s="527" t="s">
        <v>470</v>
      </c>
      <c r="D19" s="536"/>
      <c r="E19" s="536"/>
      <c r="F19" s="539"/>
      <c r="G19" s="539"/>
      <c r="H19" s="539"/>
      <c r="J19" s="514"/>
      <c r="L19" s="524">
        <f t="shared" si="2"/>
        <v>0</v>
      </c>
      <c r="M19" s="524">
        <f t="shared" ref="M19" si="3">L19</f>
        <v>0</v>
      </c>
    </row>
    <row r="20" spans="2:13" ht="13.5" thickBot="1">
      <c r="C20" s="527" t="s">
        <v>472</v>
      </c>
      <c r="D20" s="538"/>
      <c r="E20" s="538"/>
      <c r="F20" s="539"/>
      <c r="G20" s="539"/>
      <c r="H20" s="539"/>
      <c r="J20" s="514"/>
      <c r="L20" s="524">
        <f t="shared" si="2"/>
        <v>0</v>
      </c>
      <c r="M20" s="524">
        <f>L20</f>
        <v>0</v>
      </c>
    </row>
    <row r="21" spans="2:13" ht="13.5" thickBot="1">
      <c r="C21" s="527" t="s">
        <v>474</v>
      </c>
      <c r="D21" s="539">
        <f>+Inputs!F62/(Inputs!F6-Inputs!G6)</f>
        <v>-0.54607579208945956</v>
      </c>
      <c r="E21" s="539">
        <f>+Inputs!E62/(Inputs!E6-Inputs!F6)</f>
        <v>-3.5960199004975126</v>
      </c>
      <c r="F21" s="539">
        <f>+Inputs!D62/(Inputs!D6-Inputs!E6)</f>
        <v>-0.79306487695749439</v>
      </c>
      <c r="G21" s="539">
        <f>+Inputs!C62/(Inputs!C6-Inputs!D6)</f>
        <v>-0.18473971058071792</v>
      </c>
      <c r="H21" s="539">
        <f>+Inputs!B62/(Inputs!B6-Inputs!C6)</f>
        <v>-1.314090626939789</v>
      </c>
      <c r="J21" s="514">
        <f>AVERAGE(D21:H21)</f>
        <v>-1.2867981814129947</v>
      </c>
      <c r="L21" s="524">
        <f t="shared" si="2"/>
        <v>-1.2867981814129947</v>
      </c>
      <c r="M21" s="524">
        <f>L21</f>
        <v>-1.2867981814129947</v>
      </c>
    </row>
    <row r="22" spans="2:13" ht="13.5" thickBot="1">
      <c r="C22" s="527" t="s">
        <v>476</v>
      </c>
      <c r="D22" s="539"/>
      <c r="E22" s="539"/>
      <c r="F22" s="539"/>
      <c r="G22" s="539"/>
      <c r="H22" s="539"/>
      <c r="J22" s="514"/>
      <c r="L22" s="524">
        <f t="shared" si="2"/>
        <v>0</v>
      </c>
      <c r="M22" s="524">
        <f>L22</f>
        <v>0</v>
      </c>
    </row>
    <row r="23" spans="2:13" ht="12.6" customHeight="1" thickBot="1">
      <c r="C23" s="527" t="s">
        <v>555</v>
      </c>
      <c r="D23" s="539">
        <f>+'Fin. Data'!F32/'Fin. Data'!F5</f>
        <v>-0.13821324591366543</v>
      </c>
      <c r="E23" s="539">
        <f>+'Fin. Data'!E32/'Fin. Data'!E5</f>
        <v>-0.14284739284739284</v>
      </c>
      <c r="F23" s="539">
        <f>+'Fin. Data'!D32/'Fin. Data'!D5</f>
        <v>-0.15837308639665762</v>
      </c>
      <c r="G23" s="539">
        <f>+'Fin. Data'!C32/'Fin. Data'!C5</f>
        <v>-0.508049366453863</v>
      </c>
      <c r="H23" s="539">
        <f>+'Fin. Data'!B32/'Fin. Data'!B5</f>
        <v>-0.19541783900317902</v>
      </c>
      <c r="J23" s="514">
        <f t="shared" si="1"/>
        <v>-0.22858018612295158</v>
      </c>
      <c r="L23" s="524">
        <f t="shared" si="2"/>
        <v>-0.22858018612295158</v>
      </c>
      <c r="M23" s="524" cm="1">
        <f t="array" ref="M23">AVERAGE('Fin. Data'!B32:M32/'Fin. Data'!B5:M5)</f>
        <v>-0.18627613189249589</v>
      </c>
    </row>
    <row r="24" spans="2:13" ht="13.5" thickBot="1">
      <c r="C24" s="527" t="s">
        <v>480</v>
      </c>
      <c r="D24" s="539">
        <f>'Fin. Data'!F33/'Fin. Data'!F5</f>
        <v>-1.7575632531731658E-3</v>
      </c>
      <c r="E24" s="539">
        <f>'Fin. Data'!E33/'Fin. Data'!E5</f>
        <v>-2.1991688658355325E-4</v>
      </c>
      <c r="F24" s="539">
        <f>'Fin. Data'!D33/'Fin. Data'!D5</f>
        <v>-4.0532535154179528E-3</v>
      </c>
      <c r="G24" s="539">
        <f>'Fin. Data'!C33/'Fin. Data'!C5</f>
        <v>-3.0423686317948104E-2</v>
      </c>
      <c r="H24" s="539">
        <f>'Fin. Data'!B33/'Fin. Data'!B5</f>
        <v>1.8124017977856543E-3</v>
      </c>
      <c r="J24" s="514">
        <f t="shared" si="1"/>
        <v>-6.9284036350674245E-3</v>
      </c>
      <c r="L24" s="524">
        <f t="shared" si="2"/>
        <v>-6.9284036350674245E-3</v>
      </c>
      <c r="M24" s="524" cm="1">
        <f t="array" ref="M24">AVERAGE('Fin. Data'!B33:M33/'Fin. Data'!B5:M5)</f>
        <v>-1.4145907462386075E-2</v>
      </c>
    </row>
    <row r="25" spans="2:13" ht="13.5" thickBot="1">
      <c r="C25" s="527" t="s">
        <v>140</v>
      </c>
      <c r="D25" s="539">
        <f>-'Fin. Data'!F27/'Fin. Data'!F23</f>
        <v>0.60926491676538441</v>
      </c>
      <c r="E25" s="539">
        <f>-'Fin. Data'!E27/'Fin. Data'!E23</f>
        <v>0.50616535273903374</v>
      </c>
      <c r="F25" s="539">
        <f>-'Fin. Data'!D27/'Fin. Data'!D23</f>
        <v>0.55766296054065834</v>
      </c>
      <c r="G25" s="539">
        <f>-'Fin. Data'!C27/'Fin. Data'!C23</f>
        <v>0.46180033601556281</v>
      </c>
      <c r="H25" s="539">
        <f>-'Fin. Data'!B27/'Fin. Data'!B23</f>
        <v>0.49682729446385876</v>
      </c>
      <c r="J25" s="514">
        <f>AVERAGE(D25:H25)</f>
        <v>0.52634417210489959</v>
      </c>
      <c r="L25" s="524">
        <f t="shared" si="2"/>
        <v>0.52634417210489959</v>
      </c>
      <c r="M25" s="524" cm="1">
        <f t="array" ref="M25">-AVERAGE('Fin. Data'!B27:M27/'Fin. Data'!B23:M23)</f>
        <v>0.5026589325885652</v>
      </c>
    </row>
    <row r="26" spans="2:13" ht="13.15">
      <c r="C26" s="527" t="s">
        <v>482</v>
      </c>
      <c r="D26" s="539">
        <f>-'Fin. Data'!F28/'Fin. Data'!F23</f>
        <v>0</v>
      </c>
      <c r="E26" s="539">
        <f>-'Fin. Data'!E28/'Fin. Data'!E23</f>
        <v>0</v>
      </c>
      <c r="F26" s="539">
        <f>-'Fin. Data'!D28/'Fin. Data'!D23</f>
        <v>0</v>
      </c>
      <c r="G26" s="539">
        <f>-'Fin. Data'!C28/'Fin. Data'!C23</f>
        <v>0</v>
      </c>
      <c r="H26" s="539">
        <f>-'Fin. Data'!B28/'Fin. Data'!B23</f>
        <v>0</v>
      </c>
      <c r="J26" s="514">
        <f t="shared" si="1"/>
        <v>0</v>
      </c>
      <c r="L26" s="524">
        <f t="shared" si="2"/>
        <v>0</v>
      </c>
      <c r="M26" s="524">
        <f>L26</f>
        <v>0</v>
      </c>
    </row>
    <row r="29" spans="2:13" s="508" customFormat="1" ht="13.9">
      <c r="C29" s="516" t="s">
        <v>556</v>
      </c>
    </row>
    <row r="32" spans="2:13" ht="14.65" thickBot="1">
      <c r="B32" s="1116" t="s">
        <v>557</v>
      </c>
      <c r="C32" s="1116"/>
    </row>
    <row r="33" spans="2:16" ht="13.9" thickTop="1" thickBot="1">
      <c r="D33" s="773">
        <v>2022</v>
      </c>
      <c r="E33" s="773">
        <v>2021</v>
      </c>
      <c r="F33" s="773">
        <v>2020</v>
      </c>
      <c r="G33" s="773">
        <v>2019</v>
      </c>
      <c r="H33" s="773">
        <v>2018</v>
      </c>
      <c r="I33" s="773">
        <v>2017</v>
      </c>
      <c r="J33" s="773">
        <v>2016</v>
      </c>
      <c r="K33" s="773">
        <v>2015</v>
      </c>
      <c r="L33" s="773">
        <v>2014</v>
      </c>
      <c r="M33" s="773">
        <v>2013</v>
      </c>
      <c r="N33" s="779" t="s">
        <v>558</v>
      </c>
    </row>
    <row r="34" spans="2:16" ht="14.25">
      <c r="B34" s="774" t="s">
        <v>559</v>
      </c>
      <c r="D34" s="775">
        <v>-3613</v>
      </c>
      <c r="E34" s="775">
        <v>-3485</v>
      </c>
      <c r="F34" s="775">
        <v>-4274</v>
      </c>
      <c r="G34" s="775">
        <v>-4730</v>
      </c>
      <c r="H34" s="775">
        <v>-4833</v>
      </c>
      <c r="I34" s="775">
        <v>-4733</v>
      </c>
      <c r="J34" s="775">
        <v>-4376</v>
      </c>
      <c r="K34" s="775">
        <v>-4920</v>
      </c>
      <c r="L34" s="775">
        <v>-4915</v>
      </c>
      <c r="M34" s="775">
        <v>-2667</v>
      </c>
    </row>
    <row r="35" spans="2:16" ht="14.25">
      <c r="B35" s="774" t="s">
        <v>560</v>
      </c>
      <c r="D35" s="776">
        <f>'Fin. Data'!B58</f>
        <v>150639</v>
      </c>
      <c r="E35" s="776">
        <f>'Fin. Data'!C58</f>
        <v>150868</v>
      </c>
      <c r="F35" s="776">
        <f>'Fin. Data'!D58</f>
        <v>129062</v>
      </c>
      <c r="G35" s="776">
        <f>'Fin. Data'!E58</f>
        <v>111489</v>
      </c>
      <c r="H35" s="776">
        <f>'Fin. Data'!F58</f>
        <v>113063</v>
      </c>
      <c r="I35" s="776">
        <f>'Fin. Data'!G58</f>
        <v>117095</v>
      </c>
      <c r="J35" s="776">
        <f>'Fin. Data'!H58</f>
        <v>108078</v>
      </c>
      <c r="K35" s="776">
        <f>'Fin. Data'!I58</f>
        <v>109729</v>
      </c>
      <c r="L35" s="776">
        <f>'Fin. Data'!J58</f>
        <v>113271</v>
      </c>
      <c r="M35" s="776">
        <f>'Fin. Data'!K58</f>
        <v>93591</v>
      </c>
    </row>
    <row r="36" spans="2:16">
      <c r="D36" s="777">
        <f>-D34/D35</f>
        <v>2.398449272764689E-2</v>
      </c>
      <c r="E36" s="777">
        <f t="shared" ref="E36:M36" si="4">-E34/E35</f>
        <v>2.3099663281809263E-2</v>
      </c>
      <c r="F36" s="777">
        <f t="shared" si="4"/>
        <v>3.3115866792704285E-2</v>
      </c>
      <c r="G36" s="777">
        <f t="shared" si="4"/>
        <v>4.24257101597467E-2</v>
      </c>
      <c r="H36" s="777">
        <f t="shared" si="4"/>
        <v>4.2746079619327276E-2</v>
      </c>
      <c r="I36" s="777">
        <f t="shared" si="4"/>
        <v>4.04201716554934E-2</v>
      </c>
      <c r="J36" s="777">
        <f t="shared" si="4"/>
        <v>4.0489276263439365E-2</v>
      </c>
      <c r="K36" s="777">
        <f t="shared" si="4"/>
        <v>4.4837736605637522E-2</v>
      </c>
      <c r="L36" s="777">
        <f t="shared" si="4"/>
        <v>4.3391512390638383E-2</v>
      </c>
      <c r="M36" s="777">
        <f t="shared" si="4"/>
        <v>2.8496329775298906E-2</v>
      </c>
    </row>
    <row r="39" spans="2:16" ht="14.25">
      <c r="B39" s="774" t="s">
        <v>561</v>
      </c>
      <c r="D39" s="778">
        <f>'Fin. Data'!B58/'Fin. Data'!B19</f>
        <v>3.2610785183902324</v>
      </c>
      <c r="E39" s="778">
        <f>'Fin. Data'!C58/'Fin. Data'!C19</f>
        <v>3.1208472963468621</v>
      </c>
      <c r="F39" s="778">
        <f>'Fin. Data'!D58/'Fin. Data'!D19</f>
        <v>2.7994880916229232</v>
      </c>
      <c r="G39" s="778">
        <f>'Fin. Data'!E58/'Fin. Data'!E19</f>
        <v>2.2308954477238618</v>
      </c>
      <c r="H39" s="778">
        <f>'Fin. Data'!F58/'Fin. Data'!F19</f>
        <v>3.0147721515612083</v>
      </c>
      <c r="I39" s="778">
        <f>'Fin. Data'!G58/'Fin. Data'!G19</f>
        <v>2.5194182068550037</v>
      </c>
      <c r="J39" s="778">
        <f>'Fin. Data'!H58/'Fin. Data'!H19</f>
        <v>2.4187181093903858</v>
      </c>
      <c r="K39" s="778">
        <f>'Fin. Data'!I58/'Fin. Data'!I19</f>
        <v>2.2404189721706107</v>
      </c>
      <c r="L39" s="778">
        <f>'Fin. Data'!J58/'Fin. Data'!J19</f>
        <v>3.1866032746300568</v>
      </c>
      <c r="M39" s="778">
        <f>'Fin. Data'!K58/'Fin. Data'!K19</f>
        <v>1.9258199925922876</v>
      </c>
      <c r="N39" s="556">
        <f>AVERAGE(D39:M39)</f>
        <v>2.6718060061283433</v>
      </c>
    </row>
    <row r="40" spans="2:16">
      <c r="B40"/>
    </row>
    <row r="41" spans="2:16">
      <c r="C41"/>
      <c r="D41"/>
      <c r="E41"/>
      <c r="F41"/>
      <c r="G41"/>
      <c r="H41"/>
      <c r="I41"/>
      <c r="J41"/>
      <c r="K41"/>
      <c r="L41"/>
      <c r="M41"/>
      <c r="N41"/>
      <c r="O41" s="556">
        <v>2.9</v>
      </c>
      <c r="P41" s="509" t="s">
        <v>562</v>
      </c>
    </row>
    <row r="42" spans="2:16" ht="13.15">
      <c r="B42" s="1122" t="s">
        <v>563</v>
      </c>
      <c r="C42" s="1122"/>
      <c r="D42"/>
      <c r="E42"/>
      <c r="F42"/>
      <c r="G42"/>
      <c r="H42"/>
      <c r="I42"/>
      <c r="O42" s="509">
        <v>2.5</v>
      </c>
      <c r="P42" s="509" t="s">
        <v>564</v>
      </c>
    </row>
    <row r="43" spans="2:16">
      <c r="B43" s="1123" t="s">
        <v>565</v>
      </c>
      <c r="C43" s="1124"/>
      <c r="D43" s="547"/>
      <c r="E43" s="547"/>
      <c r="F43" s="547"/>
      <c r="G43" s="547"/>
      <c r="H43" s="547"/>
      <c r="I43" s="548">
        <v>0.02</v>
      </c>
      <c r="O43" s="758">
        <v>2.2000000000000002</v>
      </c>
      <c r="P43" s="509" t="s">
        <v>566</v>
      </c>
    </row>
    <row r="44" spans="2:16">
      <c r="B44" s="1125" t="s">
        <v>567</v>
      </c>
      <c r="C44" s="1118"/>
      <c r="D44" s="549"/>
      <c r="E44" s="549"/>
      <c r="F44" s="549"/>
      <c r="G44" s="549"/>
      <c r="H44" s="549"/>
      <c r="I44" s="550">
        <v>4.87E-2</v>
      </c>
    </row>
    <row r="45" spans="2:16">
      <c r="B45" s="1125" t="s">
        <v>568</v>
      </c>
      <c r="C45" s="1118"/>
      <c r="D45" s="549"/>
      <c r="E45" s="549"/>
      <c r="F45" s="549"/>
      <c r="G45" s="549"/>
      <c r="H45" s="549"/>
      <c r="I45" s="550">
        <v>4.7199999999999999E-2</v>
      </c>
    </row>
    <row r="46" spans="2:16">
      <c r="B46" s="1117" t="s">
        <v>569</v>
      </c>
      <c r="C46" s="1118"/>
      <c r="D46" s="549"/>
      <c r="E46" s="549"/>
      <c r="F46" s="549"/>
      <c r="G46" s="549"/>
      <c r="H46" s="549"/>
      <c r="I46" s="550">
        <v>0</v>
      </c>
    </row>
    <row r="47" spans="2:16" ht="13.15">
      <c r="B47" s="1119" t="s">
        <v>570</v>
      </c>
      <c r="C47" s="1120"/>
      <c r="D47" s="551"/>
      <c r="E47" s="551"/>
      <c r="F47" s="551"/>
      <c r="G47" s="551"/>
      <c r="H47" s="551"/>
      <c r="I47" s="552">
        <f>I43+I45+I46</f>
        <v>6.7199999999999996E-2</v>
      </c>
    </row>
    <row r="48" spans="2:16" ht="13.15">
      <c r="B48" s="1119" t="s">
        <v>571</v>
      </c>
      <c r="C48" s="1120"/>
      <c r="D48" s="551"/>
      <c r="E48" s="551"/>
      <c r="F48" s="551"/>
      <c r="G48" s="551"/>
      <c r="H48" s="551"/>
      <c r="I48" s="552">
        <f>I46+I44+I43</f>
        <v>6.8699999999999997E-2</v>
      </c>
    </row>
    <row r="66" spans="2:2">
      <c r="B66" s="517"/>
    </row>
    <row r="67" spans="2:2">
      <c r="B67" s="517"/>
    </row>
    <row r="68" spans="2:2">
      <c r="B68" s="517"/>
    </row>
  </sheetData>
  <mergeCells count="9">
    <mergeCell ref="B32:C32"/>
    <mergeCell ref="B46:C46"/>
    <mergeCell ref="B47:C47"/>
    <mergeCell ref="B48:C48"/>
    <mergeCell ref="D12:H12"/>
    <mergeCell ref="B42:C42"/>
    <mergeCell ref="B43:C43"/>
    <mergeCell ref="B44:C44"/>
    <mergeCell ref="B45:C45"/>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showGridLines="0" workbookViewId="0">
      <selection activeCell="A23" sqref="A23"/>
    </sheetView>
  </sheetViews>
  <sheetFormatPr defaultColWidth="11.42578125" defaultRowHeight="12.75"/>
  <cols>
    <col min="1" max="1" width="36.140625" style="11" customWidth="1"/>
    <col min="2" max="10" width="12.42578125" style="47" customWidth="1"/>
    <col min="11" max="12" width="12.42578125" style="56" customWidth="1"/>
    <col min="13" max="13" width="12.140625" style="56" bestFit="1" customWidth="1"/>
    <col min="14" max="16384" width="11.42578125" style="46"/>
  </cols>
  <sheetData>
    <row r="1" spans="1:25" ht="15">
      <c r="A1" s="1127" t="e" vm="1">
        <f>Inputs!H3</f>
        <v>#VALUE!</v>
      </c>
      <c r="B1" s="1127"/>
      <c r="C1" s="1127"/>
      <c r="D1" s="1127"/>
      <c r="E1" s="1127"/>
      <c r="F1" s="1127"/>
      <c r="G1" s="1127"/>
      <c r="H1" s="1127"/>
      <c r="I1" s="1127"/>
      <c r="J1" s="1127"/>
      <c r="K1" s="1127"/>
      <c r="L1" s="1127"/>
      <c r="M1" s="1127"/>
    </row>
    <row r="2" spans="1:25" ht="11.65">
      <c r="A2" s="1128" t="str">
        <f>Inputs!G2</f>
        <v>Figures in Millions of USD</v>
      </c>
      <c r="B2" s="1128"/>
      <c r="C2" s="1128"/>
      <c r="D2" s="1128"/>
      <c r="E2" s="1128"/>
      <c r="F2" s="1128"/>
      <c r="G2" s="1128"/>
      <c r="H2" s="1128"/>
      <c r="I2" s="1128"/>
      <c r="J2" s="1128"/>
      <c r="K2" s="1128"/>
      <c r="L2" s="1128"/>
      <c r="M2" s="1128"/>
    </row>
    <row r="3" spans="1:25" ht="20.65">
      <c r="A3" s="1126" t="s">
        <v>572</v>
      </c>
      <c r="B3" s="1126"/>
      <c r="C3" s="1126"/>
      <c r="D3" s="1126"/>
      <c r="E3" s="1126"/>
      <c r="F3" s="1126"/>
      <c r="G3" s="1126"/>
      <c r="H3" s="1126"/>
      <c r="I3" s="1126"/>
      <c r="J3" s="1126"/>
      <c r="K3" s="1126"/>
      <c r="L3" s="1126"/>
      <c r="M3" s="1126"/>
    </row>
    <row r="4" spans="1:25">
      <c r="A4" s="135"/>
      <c r="B4" s="59">
        <f>OP!J19</f>
        <v>2022</v>
      </c>
      <c r="C4" s="48">
        <f>B4-1</f>
        <v>2021</v>
      </c>
      <c r="D4" s="48">
        <f t="shared" ref="D4:M4" si="0">C4-1</f>
        <v>2020</v>
      </c>
      <c r="E4" s="48">
        <f t="shared" si="0"/>
        <v>2019</v>
      </c>
      <c r="F4" s="48">
        <f t="shared" si="0"/>
        <v>2018</v>
      </c>
      <c r="G4" s="48">
        <f t="shared" si="0"/>
        <v>2017</v>
      </c>
      <c r="H4" s="48">
        <f t="shared" si="0"/>
        <v>2016</v>
      </c>
      <c r="I4" s="48">
        <f t="shared" si="0"/>
        <v>2015</v>
      </c>
      <c r="J4" s="48">
        <f>I4-1</f>
        <v>2014</v>
      </c>
      <c r="K4" s="48">
        <f t="shared" si="0"/>
        <v>2013</v>
      </c>
      <c r="L4" s="48">
        <f t="shared" si="0"/>
        <v>2012</v>
      </c>
      <c r="M4" s="48">
        <f t="shared" si="0"/>
        <v>2011</v>
      </c>
    </row>
    <row r="5" spans="1:25">
      <c r="A5" s="136" t="s">
        <v>129</v>
      </c>
      <c r="B5" s="61">
        <f>_xlfn.XLOOKUP($A5,Inputs!$A:$A,Inputs!B:B,,0)</f>
        <v>136835</v>
      </c>
      <c r="C5" s="61">
        <f>_xlfn.XLOOKUP($A5,Inputs!$A:$A,Inputs!C:C,,0)</f>
        <v>133613</v>
      </c>
      <c r="D5" s="61">
        <f>_xlfn.XLOOKUP($A5,Inputs!$A:$A,Inputs!D:D,,0)</f>
        <v>128292</v>
      </c>
      <c r="E5" s="61">
        <f>_xlfn.XLOOKUP($A5,Inputs!$A:$A,Inputs!E:E,,0)</f>
        <v>131868</v>
      </c>
      <c r="F5" s="61">
        <f>_xlfn.XLOOKUP($A5,Inputs!$A:$A,Inputs!F:F,,0)</f>
        <v>130863</v>
      </c>
      <c r="G5" s="61">
        <f>_xlfn.XLOOKUP($A5,Inputs!$A:$A,Inputs!G:G,,0)</f>
        <v>126034</v>
      </c>
      <c r="H5" s="61">
        <f>_xlfn.XLOOKUP($A5,Inputs!$A:$A,Inputs!H:H,,0)</f>
        <v>125980</v>
      </c>
      <c r="I5" s="61">
        <f>_xlfn.XLOOKUP($A5,Inputs!$A:$A,Inputs!I:I,,0)</f>
        <v>131620</v>
      </c>
      <c r="J5" s="61">
        <f>_xlfn.XLOOKUP($A5,Inputs!$A:$A,Inputs!J:J,,0)</f>
        <v>127079</v>
      </c>
      <c r="K5" s="61">
        <f>_xlfn.XLOOKUP($A5,Inputs!$A:$A,Inputs!K:K,,0)</f>
        <v>120550</v>
      </c>
      <c r="L5" s="61">
        <f>_xlfn.XLOOKUP($A5,Inputs!$A:$A,Inputs!L:L,,0)</f>
        <v>115846</v>
      </c>
      <c r="M5" s="62">
        <f>_xlfn.XLOOKUP($A5,Inputs!$A:$A,Inputs!M:M,,0)</f>
        <v>110875</v>
      </c>
    </row>
    <row r="6" spans="1:25" ht="13.15">
      <c r="A6" s="137" t="s">
        <v>573</v>
      </c>
      <c r="B6" s="64">
        <f t="shared" ref="B6:L6" si="1">IFERROR(B5/C5-1,"-")</f>
        <v>2.4114420004041515E-2</v>
      </c>
      <c r="C6" s="64">
        <f>IFERROR(C5/D5-1,"-")</f>
        <v>4.1475696068344003E-2</v>
      </c>
      <c r="D6" s="64">
        <f t="shared" si="1"/>
        <v>-2.7118027118027133E-2</v>
      </c>
      <c r="E6" s="64">
        <f t="shared" si="1"/>
        <v>7.6797872584306592E-3</v>
      </c>
      <c r="F6" s="64">
        <f t="shared" si="1"/>
        <v>3.8315057841534772E-2</v>
      </c>
      <c r="G6" s="64">
        <f t="shared" si="1"/>
        <v>4.2863946658200369E-4</v>
      </c>
      <c r="H6" s="64">
        <f t="shared" si="1"/>
        <v>-4.2850630603251783E-2</v>
      </c>
      <c r="I6" s="64">
        <f t="shared" si="1"/>
        <v>3.5733677476215586E-2</v>
      </c>
      <c r="J6" s="64">
        <f t="shared" si="1"/>
        <v>5.4160099543757667E-2</v>
      </c>
      <c r="K6" s="64">
        <f t="shared" si="1"/>
        <v>4.0605631614384574E-2</v>
      </c>
      <c r="L6" s="64">
        <f t="shared" si="1"/>
        <v>4.4834272829763266E-2</v>
      </c>
      <c r="M6" s="65" t="str">
        <f>IFERROR(M5/#REF!-1,"-")</f>
        <v>-</v>
      </c>
      <c r="N6" s="363"/>
    </row>
    <row r="7" spans="1:25">
      <c r="A7" s="136" t="s">
        <v>574</v>
      </c>
      <c r="B7" s="61">
        <f>_xlfn.XLOOKUP($A7,Inputs!$A:$A,Inputs!B:B,,0)</f>
        <v>77702</v>
      </c>
      <c r="C7" s="61">
        <f>_xlfn.XLOOKUP($A7,Inputs!$A:$A,Inputs!C:C,,0)</f>
        <v>77312</v>
      </c>
      <c r="D7" s="61">
        <f>_xlfn.XLOOKUP($A7,Inputs!$A:$A,Inputs!D:D,,0)</f>
        <v>77091</v>
      </c>
      <c r="E7" s="61">
        <f>_xlfn.XLOOKUP($A7,Inputs!$A:$A,Inputs!E:E,,0)</f>
        <v>77142</v>
      </c>
      <c r="F7" s="61">
        <f>_xlfn.XLOOKUP($A7,Inputs!$A:$A,Inputs!F:F,,0)</f>
        <v>75658</v>
      </c>
      <c r="G7" s="61">
        <f>_xlfn.XLOOKUP($A7,Inputs!$A:$A,Inputs!G:G,,0)</f>
        <v>73142</v>
      </c>
      <c r="H7" s="61">
        <f>_xlfn.XLOOKUP($A7,Inputs!$A:$A,Inputs!H:H,,0)</f>
        <v>73279</v>
      </c>
      <c r="I7" s="61">
        <f>_xlfn.XLOOKUP($A7,Inputs!$A:$A,Inputs!I:I,,0)</f>
        <v>79063</v>
      </c>
      <c r="J7" s="61">
        <f>_xlfn.XLOOKUP($A7,Inputs!$A:$A,Inputs!J:J,,0)</f>
        <v>77175</v>
      </c>
      <c r="K7" s="61">
        <f>_xlfn.XLOOKUP($A7,Inputs!$A:$A,Inputs!K:K,,0)</f>
        <v>75663</v>
      </c>
      <c r="L7" s="61">
        <f>_xlfn.XLOOKUP($A7,Inputs!$A:$A,Inputs!L:L,,0)</f>
        <v>69611</v>
      </c>
      <c r="M7" s="62">
        <f>_xlfn.XLOOKUP($A7,Inputs!$A:$A,Inputs!M:M,,0)</f>
        <v>65000</v>
      </c>
    </row>
    <row r="8" spans="1:25" ht="13.15">
      <c r="A8" s="137" t="s">
        <v>575</v>
      </c>
      <c r="B8" s="64">
        <f>IFERROR(B7/B$5,"-")</f>
        <v>0.56785179230460048</v>
      </c>
      <c r="C8" s="64">
        <f t="shared" ref="C8:M8" si="2">IFERROR(C7/C$5,"-")</f>
        <v>0.57862633127016083</v>
      </c>
      <c r="D8" s="64">
        <f t="shared" si="2"/>
        <v>0.60090262837901043</v>
      </c>
      <c r="E8" s="64">
        <f t="shared" si="2"/>
        <v>0.58499408499408501</v>
      </c>
      <c r="F8" s="64">
        <f t="shared" si="2"/>
        <v>0.57814661134163214</v>
      </c>
      <c r="G8" s="64">
        <f t="shared" si="2"/>
        <v>0.58033546503324496</v>
      </c>
      <c r="H8" s="64">
        <f t="shared" si="2"/>
        <v>0.58167169391966977</v>
      </c>
      <c r="I8" s="64">
        <f t="shared" si="2"/>
        <v>0.60069138428810209</v>
      </c>
      <c r="J8" s="64">
        <f t="shared" si="2"/>
        <v>0.60729939643843589</v>
      </c>
      <c r="K8" s="64">
        <f t="shared" si="2"/>
        <v>0.62764827872252182</v>
      </c>
      <c r="L8" s="64">
        <f t="shared" si="2"/>
        <v>0.60089256426635362</v>
      </c>
      <c r="M8" s="65">
        <f t="shared" si="2"/>
        <v>0.58624577226606533</v>
      </c>
    </row>
    <row r="9" spans="1:25">
      <c r="A9" s="136" t="s">
        <v>576</v>
      </c>
      <c r="B9" s="61">
        <f t="shared" ref="B9:M9" si="3">B5-B11</f>
        <v>106368</v>
      </c>
      <c r="C9" s="61">
        <f t="shared" si="3"/>
        <v>101165</v>
      </c>
      <c r="D9" s="61">
        <f t="shared" si="3"/>
        <v>99494</v>
      </c>
      <c r="E9" s="61">
        <f t="shared" si="3"/>
        <v>101490</v>
      </c>
      <c r="F9" s="61">
        <f t="shared" si="3"/>
        <v>108585</v>
      </c>
      <c r="G9" s="61">
        <f t="shared" si="3"/>
        <v>98609</v>
      </c>
      <c r="H9" s="61">
        <f t="shared" si="3"/>
        <v>98921</v>
      </c>
      <c r="I9" s="61">
        <f t="shared" si="3"/>
        <v>98560</v>
      </c>
      <c r="J9" s="61">
        <f t="shared" si="3"/>
        <v>107480</v>
      </c>
      <c r="K9" s="61">
        <f t="shared" si="3"/>
        <v>88582</v>
      </c>
      <c r="L9" s="61">
        <f t="shared" si="3"/>
        <v>102686</v>
      </c>
      <c r="M9" s="62">
        <f t="shared" si="3"/>
        <v>97995</v>
      </c>
    </row>
    <row r="10" spans="1:25" ht="13.15">
      <c r="A10" s="137" t="s">
        <v>575</v>
      </c>
      <c r="B10" s="64">
        <f>IFERROR(B9/B$5,"-")</f>
        <v>0.77734497752767928</v>
      </c>
      <c r="C10" s="64">
        <f t="shared" ref="C10:M10" si="4">IFERROR(C9/C$5,"-")</f>
        <v>0.75714937917717584</v>
      </c>
      <c r="D10" s="64">
        <f t="shared" si="4"/>
        <v>0.77552770242883418</v>
      </c>
      <c r="E10" s="64">
        <f t="shared" si="4"/>
        <v>0.76963326963326961</v>
      </c>
      <c r="F10" s="64">
        <f t="shared" si="4"/>
        <v>0.82976089498177485</v>
      </c>
      <c r="G10" s="64">
        <f t="shared" si="4"/>
        <v>0.78239998730501292</v>
      </c>
      <c r="H10" s="64">
        <f t="shared" si="4"/>
        <v>0.78521193840292114</v>
      </c>
      <c r="I10" s="64">
        <f t="shared" si="4"/>
        <v>0.74882236742136454</v>
      </c>
      <c r="J10" s="64">
        <f t="shared" si="4"/>
        <v>0.84577310177133913</v>
      </c>
      <c r="K10" s="64">
        <f t="shared" si="4"/>
        <v>0.73481542928245547</v>
      </c>
      <c r="L10" s="64">
        <f t="shared" si="4"/>
        <v>0.88640091155499545</v>
      </c>
      <c r="M10" s="65">
        <f t="shared" si="4"/>
        <v>0.88383314543404734</v>
      </c>
    </row>
    <row r="11" spans="1:25">
      <c r="A11" s="136" t="s">
        <v>277</v>
      </c>
      <c r="B11" s="61">
        <f>_xlfn.XLOOKUP($A11,Inputs!$A:$A,Inputs!B:B,,0)</f>
        <v>30467</v>
      </c>
      <c r="C11" s="61">
        <f>_xlfn.XLOOKUP($A11,Inputs!$A:$A,Inputs!C:C,,0)</f>
        <v>32448</v>
      </c>
      <c r="D11" s="61">
        <f>_xlfn.XLOOKUP($A11,Inputs!$A:$A,Inputs!D:D,,0)</f>
        <v>28798</v>
      </c>
      <c r="E11" s="61">
        <f>_xlfn.XLOOKUP($A11,Inputs!$A:$A,Inputs!E:E,,0)</f>
        <v>30378</v>
      </c>
      <c r="F11" s="61">
        <f>_xlfn.XLOOKUP($A11,Inputs!$A:$A,Inputs!F:F,,0)</f>
        <v>22278</v>
      </c>
      <c r="G11" s="61">
        <f>_xlfn.XLOOKUP($A11,Inputs!$A:$A,Inputs!G:G,,0)</f>
        <v>27425</v>
      </c>
      <c r="H11" s="61">
        <f>_xlfn.XLOOKUP($A11,Inputs!$A:$A,Inputs!H:H,,0)</f>
        <v>27059</v>
      </c>
      <c r="I11" s="61">
        <f>_xlfn.XLOOKUP($A11,Inputs!$A:$A,Inputs!I:I,,0)</f>
        <v>33060</v>
      </c>
      <c r="J11" s="61">
        <f>_xlfn.XLOOKUP($A11,Inputs!$A:$A,Inputs!J:J,,0)</f>
        <v>19599</v>
      </c>
      <c r="K11" s="61">
        <f>_xlfn.XLOOKUP($A11,Inputs!$A:$A,Inputs!K:K,,0)</f>
        <v>31968</v>
      </c>
      <c r="L11" s="61">
        <f>_xlfn.XLOOKUP($A11,Inputs!$A:$A,Inputs!L:L,,0)</f>
        <v>13160</v>
      </c>
      <c r="M11" s="62">
        <f>_xlfn.XLOOKUP($A11,Inputs!$A:$A,Inputs!M:M,,0)</f>
        <v>12880</v>
      </c>
    </row>
    <row r="12" spans="1:25" ht="13.15">
      <c r="A12" s="137" t="s">
        <v>130</v>
      </c>
      <c r="B12" s="64">
        <f t="shared" ref="B12:M12" si="5">IFERROR(B11/B$5,"-")</f>
        <v>0.22265502247232069</v>
      </c>
      <c r="C12" s="64">
        <f t="shared" si="5"/>
        <v>0.24285062082282413</v>
      </c>
      <c r="D12" s="64">
        <f t="shared" si="5"/>
        <v>0.22447229757116577</v>
      </c>
      <c r="E12" s="64">
        <f t="shared" si="5"/>
        <v>0.23036673036673036</v>
      </c>
      <c r="F12" s="64">
        <f t="shared" si="5"/>
        <v>0.17023910501822517</v>
      </c>
      <c r="G12" s="64">
        <f t="shared" si="5"/>
        <v>0.21760001269498708</v>
      </c>
      <c r="H12" s="64">
        <f t="shared" si="5"/>
        <v>0.21478806159707889</v>
      </c>
      <c r="I12" s="64">
        <f t="shared" si="5"/>
        <v>0.25117763257863546</v>
      </c>
      <c r="J12" s="64">
        <f t="shared" si="5"/>
        <v>0.15422689822866092</v>
      </c>
      <c r="K12" s="64">
        <f t="shared" si="5"/>
        <v>0.26518457071754459</v>
      </c>
      <c r="L12" s="64">
        <f t="shared" si="5"/>
        <v>0.11359908844500458</v>
      </c>
      <c r="M12" s="65">
        <f t="shared" si="5"/>
        <v>0.11616685456595265</v>
      </c>
    </row>
    <row r="13" spans="1:25" ht="13.15">
      <c r="A13" s="136" t="s">
        <v>577</v>
      </c>
      <c r="B13" s="64">
        <f t="shared" ref="B13" si="6">IFERROR(B12/C12-1,"-")</f>
        <v>-8.3160579462703943E-2</v>
      </c>
      <c r="C13" s="64">
        <f t="shared" ref="C13" si="7">IFERROR(C12/D12-1,"-")</f>
        <v>8.1873458108262964E-2</v>
      </c>
      <c r="D13" s="64">
        <f t="shared" ref="D13" si="8">IFERROR(D12/E12-1,"-")</f>
        <v>-2.5587170448532204E-2</v>
      </c>
      <c r="E13" s="64">
        <f t="shared" ref="E13" si="9">IFERROR(E12/F12-1,"-")</f>
        <v>0.35319514480570224</v>
      </c>
      <c r="F13" s="64">
        <f t="shared" ref="F13" si="10">IFERROR(F12/G12-1,"-")</f>
        <v>-0.21765121743420268</v>
      </c>
      <c r="G13" s="64">
        <f t="shared" ref="G13" si="11">IFERROR(G12/H12-1,"-")</f>
        <v>1.3091747637180795E-2</v>
      </c>
      <c r="H13" s="64">
        <f t="shared" ref="H13" si="12">IFERROR(H12/I12-1,"-")</f>
        <v>-0.14487584188120006</v>
      </c>
      <c r="I13" s="64">
        <f t="shared" ref="I13" si="13">IFERROR(I12/J12-1,"-")</f>
        <v>0.62862403033116032</v>
      </c>
      <c r="J13" s="64">
        <f t="shared" ref="J13" si="14">IFERROR(J12/K12-1,"-")</f>
        <v>-0.41841677360281926</v>
      </c>
      <c r="K13" s="64">
        <f t="shared" ref="K13" si="15">IFERROR(K12/L12-1,"-")</f>
        <v>1.334389952837741</v>
      </c>
      <c r="L13" s="64">
        <f t="shared" ref="L13" si="16">IFERROR(L12/M12-1,"-")</f>
        <v>-2.2104120237586788E-2</v>
      </c>
      <c r="M13" s="65" t="str">
        <f>IFERROR(M12/#REF!-1,"-")</f>
        <v>-</v>
      </c>
    </row>
    <row r="14" spans="1:25">
      <c r="A14" s="138" t="s">
        <v>278</v>
      </c>
      <c r="B14" s="61">
        <f>_xlfn.XLOOKUP($A14,Inputs!$A:$A,Inputs!B:B,,0)</f>
        <v>-3569</v>
      </c>
      <c r="C14" s="61">
        <f>_xlfn.XLOOKUP($A14,Inputs!$A:$A,Inputs!C:C,,0)</f>
        <v>-3340</v>
      </c>
      <c r="D14" s="61">
        <f>_xlfn.XLOOKUP($A14,Inputs!$A:$A,Inputs!D:D,,0)</f>
        <v>-4247</v>
      </c>
      <c r="E14" s="61">
        <f>_xlfn.XLOOKUP($A14,Inputs!$A:$A,Inputs!E:E,,0)</f>
        <v>-4730</v>
      </c>
      <c r="F14" s="61">
        <f>_xlfn.XLOOKUP($A14,Inputs!$A:$A,Inputs!F:F,,0)</f>
        <v>-4833</v>
      </c>
      <c r="G14" s="61">
        <f>_xlfn.XLOOKUP($A14,Inputs!$A:$A,Inputs!G:G,,0)</f>
        <v>-4733</v>
      </c>
      <c r="H14" s="61">
        <f>_xlfn.XLOOKUP($A14,Inputs!$A:$A,Inputs!H:H,,0)</f>
        <v>-4376</v>
      </c>
      <c r="I14" s="61">
        <f>_xlfn.XLOOKUP($A14,Inputs!$A:$A,Inputs!I:I,,0)</f>
        <v>-4920</v>
      </c>
      <c r="J14" s="61">
        <f>_xlfn.XLOOKUP($A14,Inputs!$A:$A,Inputs!J:J,,0)</f>
        <v>-4915</v>
      </c>
      <c r="K14" s="61">
        <f>_xlfn.XLOOKUP($A14,Inputs!$A:$A,Inputs!K:K,,0)</f>
        <v>-2667</v>
      </c>
      <c r="L14" s="61">
        <f>_xlfn.XLOOKUP($A14,Inputs!$A:$A,Inputs!L:L,,0)</f>
        <v>-2571</v>
      </c>
      <c r="M14" s="62">
        <f>_xlfn.XLOOKUP($A14,Inputs!$A:$A,Inputs!M:M,,0)</f>
        <v>-2827</v>
      </c>
    </row>
    <row r="15" spans="1:25">
      <c r="A15" s="136" t="s">
        <v>578</v>
      </c>
      <c r="B15" s="61">
        <f>_xlfn.XLOOKUP($A15,Inputs!$A:$A,Inputs!B:B,,0)</f>
        <v>1373</v>
      </c>
      <c r="C15" s="61">
        <f>_xlfn.XLOOKUP($A15,Inputs!$A:$A,Inputs!C:C,,0)</f>
        <v>312</v>
      </c>
      <c r="D15" s="61">
        <f>_xlfn.XLOOKUP($A15,Inputs!$A:$A,Inputs!D:D,,0)</f>
        <v>-584</v>
      </c>
      <c r="E15" s="61">
        <f>_xlfn.XLOOKUP($A15,Inputs!$A:$A,Inputs!E:E,,0)</f>
        <v>-2915</v>
      </c>
      <c r="F15" s="61">
        <f>_xlfn.XLOOKUP($A15,Inputs!$A:$A,Inputs!F:F,,0)</f>
        <v>2178</v>
      </c>
      <c r="G15" s="61">
        <f>_xlfn.XLOOKUP($A15,Inputs!$A:$A,Inputs!G:G,,0)</f>
        <v>-2098</v>
      </c>
      <c r="H15" s="61">
        <f>_xlfn.XLOOKUP($A15,Inputs!$A:$A,Inputs!H:H,,0)</f>
        <v>-1697</v>
      </c>
      <c r="I15" s="61">
        <f>_xlfn.XLOOKUP($A15,Inputs!$A:$A,Inputs!I:I,,0)</f>
        <v>100</v>
      </c>
      <c r="J15" s="61">
        <f>_xlfn.XLOOKUP($A15,Inputs!$A:$A,Inputs!J:J,,0)</f>
        <v>586</v>
      </c>
      <c r="K15" s="61">
        <f>_xlfn.XLOOKUP($A15,Inputs!$A:$A,Inputs!K:K,,0)</f>
        <v>-24</v>
      </c>
      <c r="L15" s="61">
        <f>_xlfn.XLOOKUP($A15,Inputs!$A:$A,Inputs!L:L,,0)</f>
        <v>-692</v>
      </c>
      <c r="M15" s="62">
        <f>_xlfn.XLOOKUP($A15,Inputs!$A:$A,Inputs!M:M,,0)</f>
        <v>430</v>
      </c>
    </row>
    <row r="16" spans="1:25">
      <c r="A16" s="138" t="s">
        <v>68</v>
      </c>
      <c r="B16" s="61">
        <f>B11-B15</f>
        <v>29094</v>
      </c>
      <c r="C16" s="61">
        <f t="shared" ref="C16:M16" si="17">C11-C15</f>
        <v>32136</v>
      </c>
      <c r="D16" s="61">
        <f t="shared" si="17"/>
        <v>29382</v>
      </c>
      <c r="E16" s="61">
        <f t="shared" si="17"/>
        <v>33293</v>
      </c>
      <c r="F16" s="61">
        <f t="shared" si="17"/>
        <v>20100</v>
      </c>
      <c r="G16" s="61">
        <f t="shared" si="17"/>
        <v>29523</v>
      </c>
      <c r="H16" s="61">
        <f t="shared" si="17"/>
        <v>28756</v>
      </c>
      <c r="I16" s="61">
        <f t="shared" si="17"/>
        <v>32960</v>
      </c>
      <c r="J16" s="61">
        <f t="shared" si="17"/>
        <v>19013</v>
      </c>
      <c r="K16" s="61">
        <f t="shared" si="17"/>
        <v>31992</v>
      </c>
      <c r="L16" s="61">
        <f t="shared" si="17"/>
        <v>13852</v>
      </c>
      <c r="M16" s="62">
        <f t="shared" si="17"/>
        <v>12450</v>
      </c>
      <c r="N16" s="58"/>
      <c r="O16" s="58"/>
      <c r="P16" s="58"/>
      <c r="Q16" s="58"/>
      <c r="R16" s="58"/>
      <c r="S16" s="58"/>
      <c r="T16" s="58"/>
      <c r="U16" s="58"/>
      <c r="V16" s="58"/>
      <c r="W16" s="58"/>
      <c r="X16" s="58"/>
      <c r="Y16" s="58"/>
    </row>
    <row r="17" spans="1:18">
      <c r="A17" s="136" t="s">
        <v>63</v>
      </c>
      <c r="B17" s="61">
        <f>_xlfn.XLOOKUP($A17,Inputs!$A:$A,Inputs!B:B,,0)</f>
        <v>17099</v>
      </c>
      <c r="C17" s="61">
        <f>_xlfn.XLOOKUP($A17,Inputs!$A:$A,Inputs!C:C,,0)</f>
        <v>16206</v>
      </c>
      <c r="D17" s="61">
        <f>_xlfn.XLOOKUP($A17,Inputs!$A:$A,Inputs!D:D,,0)</f>
        <v>16720</v>
      </c>
      <c r="E17" s="61">
        <f>_xlfn.XLOOKUP($A17,Inputs!$A:$A,Inputs!E:E,,0)</f>
        <v>16682</v>
      </c>
      <c r="F17" s="61">
        <f>_xlfn.XLOOKUP($A17,Inputs!$A:$A,Inputs!F:F,,0)</f>
        <v>17403</v>
      </c>
      <c r="G17" s="61">
        <f>_xlfn.XLOOKUP($A17,Inputs!$A:$A,Inputs!G:G,,0)</f>
        <v>16954</v>
      </c>
      <c r="H17" s="61">
        <f>_xlfn.XLOOKUP($A17,Inputs!$A:$A,Inputs!H:H,,0)</f>
        <v>15928</v>
      </c>
      <c r="I17" s="61">
        <f>_xlfn.XLOOKUP($A17,Inputs!$A:$A,Inputs!I:I,,0)</f>
        <v>16017</v>
      </c>
      <c r="J17" s="61">
        <f>_xlfn.XLOOKUP($A17,Inputs!$A:$A,Inputs!J:J,,0)</f>
        <v>16533</v>
      </c>
      <c r="K17" s="61">
        <f>_xlfn.XLOOKUP($A17,Inputs!$A:$A,Inputs!K:K,,0)</f>
        <v>16606</v>
      </c>
      <c r="L17" s="61">
        <f>_xlfn.XLOOKUP($A17,Inputs!$A:$A,Inputs!L:L,,0)</f>
        <v>16460</v>
      </c>
      <c r="M17" s="62">
        <f>_xlfn.XLOOKUP($A17,Inputs!$A:$A,Inputs!M:M,,0)</f>
        <v>16496</v>
      </c>
      <c r="N17" s="283"/>
    </row>
    <row r="18" spans="1:18">
      <c r="A18" s="138" t="s">
        <v>579</v>
      </c>
      <c r="B18" s="61">
        <f>_xlfn.XLOOKUP($A18,Inputs!$A:$A,Inputs!B:B,,0)</f>
        <v>-1566</v>
      </c>
      <c r="C18" s="61">
        <f>_xlfn.XLOOKUP($A18,Inputs!$A:$A,Inputs!C:C,,0)</f>
        <v>-6116</v>
      </c>
      <c r="D18" s="61">
        <f>_xlfn.XLOOKUP($A18,Inputs!$A:$A,Inputs!D:D,,0)</f>
        <v>2752</v>
      </c>
      <c r="E18" s="61">
        <f>_xlfn.XLOOKUP($A18,Inputs!$A:$A,Inputs!E:E,,0)</f>
        <v>-3950</v>
      </c>
      <c r="F18" s="61">
        <f>_xlfn.XLOOKUP($A18,Inputs!$A:$A,Inputs!F:F,,0)</f>
        <v>-836</v>
      </c>
      <c r="G18" s="61">
        <f>_xlfn.XLOOKUP($A18,Inputs!$A:$A,Inputs!G:G,,0)</f>
        <v>1622</v>
      </c>
      <c r="H18" s="61">
        <f>_xlfn.XLOOKUP($A18,Inputs!$A:$A,Inputs!H:H,,0)</f>
        <v>10417</v>
      </c>
      <c r="I18" s="61">
        <f>_xlfn.XLOOKUP($A18,Inputs!$A:$A,Inputs!I:I,,0)</f>
        <v>-8156</v>
      </c>
      <c r="J18" s="61">
        <f>_xlfn.XLOOKUP($A18,Inputs!$A:$A,Inputs!J:J,,0)</f>
        <v>498</v>
      </c>
      <c r="K18" s="61">
        <f>_xlfn.XLOOKUP($A18,Inputs!$A:$A,Inputs!K:K,,0)</f>
        <v>-770</v>
      </c>
      <c r="L18" s="61">
        <f>_xlfn.XLOOKUP($A18,Inputs!$A:$A,Inputs!L:L,,0)</f>
        <v>4370</v>
      </c>
      <c r="M18" s="62">
        <f>_xlfn.XLOOKUP($A18,Inputs!$A:$A,Inputs!M:M,,0)</f>
        <v>0</v>
      </c>
    </row>
    <row r="19" spans="1:18">
      <c r="A19" s="136" t="s">
        <v>59</v>
      </c>
      <c r="B19" s="61">
        <f>B11-B15+B17</f>
        <v>46193</v>
      </c>
      <c r="C19" s="61">
        <f t="shared" ref="C19:M19" si="18">C11-C15+C17</f>
        <v>48342</v>
      </c>
      <c r="D19" s="61">
        <f t="shared" si="18"/>
        <v>46102</v>
      </c>
      <c r="E19" s="61">
        <f t="shared" si="18"/>
        <v>49975</v>
      </c>
      <c r="F19" s="61">
        <f t="shared" si="18"/>
        <v>37503</v>
      </c>
      <c r="G19" s="61">
        <f t="shared" si="18"/>
        <v>46477</v>
      </c>
      <c r="H19" s="61">
        <f t="shared" si="18"/>
        <v>44684</v>
      </c>
      <c r="I19" s="61">
        <f t="shared" si="18"/>
        <v>48977</v>
      </c>
      <c r="J19" s="61">
        <f t="shared" si="18"/>
        <v>35546</v>
      </c>
      <c r="K19" s="61">
        <f t="shared" si="18"/>
        <v>48598</v>
      </c>
      <c r="L19" s="61">
        <f t="shared" si="18"/>
        <v>30312</v>
      </c>
      <c r="M19" s="62">
        <f t="shared" si="18"/>
        <v>28946</v>
      </c>
    </row>
    <row r="20" spans="1:18" ht="13.15">
      <c r="A20" s="137" t="s">
        <v>580</v>
      </c>
      <c r="B20" s="64">
        <f t="shared" ref="B20" si="19">IFERROR(B19/B$5,"-")</f>
        <v>0.33758175905287391</v>
      </c>
      <c r="C20" s="64">
        <f t="shared" ref="C20" si="20">IFERROR(C19/C$5,"-")</f>
        <v>0.36180611168074961</v>
      </c>
      <c r="D20" s="64">
        <f t="shared" ref="D20" si="21">IFERROR(D19/D$5,"-")</f>
        <v>0.35935210301499704</v>
      </c>
      <c r="E20" s="64">
        <f t="shared" ref="E20" si="22">IFERROR(E19/E$5,"-")</f>
        <v>0.37897746231079565</v>
      </c>
      <c r="F20" s="64">
        <f t="shared" ref="F20" si="23">IFERROR(F19/F$5,"-")</f>
        <v>0.28658215079892713</v>
      </c>
      <c r="G20" s="64">
        <f t="shared" ref="G20" si="24">IFERROR(G19/G$5,"-")</f>
        <v>0.36876557119507436</v>
      </c>
      <c r="H20" s="64">
        <f t="shared" ref="H20" si="25">IFERROR(H19/H$5,"-")</f>
        <v>0.35469122082870297</v>
      </c>
      <c r="I20" s="64">
        <f t="shared" ref="I20" si="26">IFERROR(I19/I$5,"-")</f>
        <v>0.37210910196018843</v>
      </c>
      <c r="J20" s="64">
        <f t="shared" ref="J20" si="27">IFERROR(J19/J$5,"-")</f>
        <v>0.27971576735731318</v>
      </c>
      <c r="K20" s="64">
        <f t="shared" ref="K20" si="28">IFERROR(K19/K$5,"-")</f>
        <v>0.40313562836997097</v>
      </c>
      <c r="L20" s="64">
        <f t="shared" ref="L20" si="29">IFERROR(L19/L$5,"-")</f>
        <v>0.26165771800493759</v>
      </c>
      <c r="M20" s="65">
        <f t="shared" ref="M20" si="30">IFERROR(M19/M$5,"-")</f>
        <v>0.26106877113866966</v>
      </c>
      <c r="P20" s="283"/>
      <c r="Q20" s="283"/>
      <c r="R20" s="283"/>
    </row>
    <row r="21" spans="1:18">
      <c r="A21" s="136" t="s">
        <v>279</v>
      </c>
      <c r="B21" s="61">
        <f>_xlfn.XLOOKUP($A21,Inputs!$A:$A,Inputs!B:B,,0)</f>
        <v>-6523</v>
      </c>
      <c r="C21" s="61">
        <f>_xlfn.XLOOKUP($A21,Inputs!$A:$A,Inputs!C:C,,0)</f>
        <v>-6802</v>
      </c>
      <c r="D21" s="61">
        <f>_xlfn.XLOOKUP($A21,Inputs!$A:$A,Inputs!D:D,,0)</f>
        <v>-5619</v>
      </c>
      <c r="E21" s="61">
        <f>_xlfn.XLOOKUP($A21,Inputs!$A:$A,Inputs!E:E,,0)</f>
        <v>-2945</v>
      </c>
      <c r="F21" s="61">
        <f>_xlfn.XLOOKUP($A21,Inputs!$A:$A,Inputs!F:F,,0)</f>
        <v>-3584</v>
      </c>
      <c r="G21" s="61">
        <f>_xlfn.XLOOKUP($A21,Inputs!$A:$A,Inputs!G:G,,0)</f>
        <v>9956</v>
      </c>
      <c r="H21" s="61">
        <f>_xlfn.XLOOKUP($A21,Inputs!$A:$A,Inputs!H:H,,0)</f>
        <v>-7378</v>
      </c>
      <c r="I21" s="61">
        <f>_xlfn.XLOOKUP($A21,Inputs!$A:$A,Inputs!I:I,,0)</f>
        <v>-9865</v>
      </c>
      <c r="J21" s="61">
        <f>_xlfn.XLOOKUP($A21,Inputs!$A:$A,Inputs!J:J,,0)</f>
        <v>-3314</v>
      </c>
      <c r="K21" s="61">
        <f>_xlfn.XLOOKUP($A21,Inputs!$A:$A,Inputs!K:K,,0)</f>
        <v>-5730</v>
      </c>
      <c r="L21" s="61">
        <f>_xlfn.XLOOKUP($A21,Inputs!$A:$A,Inputs!L:L,,0)</f>
        <v>660</v>
      </c>
      <c r="M21" s="62">
        <f>_xlfn.XLOOKUP($A21,Inputs!$A:$A,Inputs!M:M,,0)</f>
        <v>-285</v>
      </c>
    </row>
    <row r="22" spans="1:18" ht="13.15">
      <c r="A22" s="137" t="s">
        <v>581</v>
      </c>
      <c r="B22" s="64">
        <f t="shared" ref="B22" si="31">IFERROR(B21/B$5,"-")</f>
        <v>-4.7670552124821866E-2</v>
      </c>
      <c r="C22" s="64">
        <f t="shared" ref="C22" si="32">IFERROR(C21/C$5,"-")</f>
        <v>-5.0908220008532103E-2</v>
      </c>
      <c r="D22" s="64">
        <f t="shared" ref="D22" si="33">IFERROR(D21/D$5,"-")</f>
        <v>-4.3798522121410534E-2</v>
      </c>
      <c r="E22" s="64">
        <f t="shared" ref="E22" si="34">IFERROR(E21/E$5,"-")</f>
        <v>-2.2332938999605666E-2</v>
      </c>
      <c r="F22" s="64">
        <f t="shared" ref="F22" si="35">IFERROR(F21/F$5,"-")</f>
        <v>-2.7387420432054898E-2</v>
      </c>
      <c r="G22" s="64">
        <f t="shared" ref="G22" si="36">IFERROR(G21/G$5,"-")</f>
        <v>7.8994557024295031E-2</v>
      </c>
      <c r="H22" s="64">
        <f t="shared" ref="H22" si="37">IFERROR(H21/H$5,"-")</f>
        <v>-5.8564851563740278E-2</v>
      </c>
      <c r="I22" s="64">
        <f t="shared" ref="I22" si="38">IFERROR(I21/I$5,"-")</f>
        <v>-7.4950615407992707E-2</v>
      </c>
      <c r="J22" s="64">
        <f t="shared" ref="J22" si="39">IFERROR(J21/J$5,"-")</f>
        <v>-2.607826627530906E-2</v>
      </c>
      <c r="K22" s="64">
        <f t="shared" ref="K22" si="40">IFERROR(K21/K$5,"-")</f>
        <v>-4.7532144338448774E-2</v>
      </c>
      <c r="L22" s="64">
        <f t="shared" ref="L22" si="41">IFERROR(L21/L$5,"-")</f>
        <v>5.6972187214060048E-3</v>
      </c>
      <c r="M22" s="65">
        <f t="shared" ref="M22" si="42">IFERROR(M21/M$5,"-")</f>
        <v>-2.5704622322435173E-3</v>
      </c>
    </row>
    <row r="23" spans="1:18">
      <c r="A23" s="136" t="s">
        <v>72</v>
      </c>
      <c r="B23" s="61">
        <f>_xlfn.XLOOKUP($A23,Inputs!$A:$A,Inputs!B:B,,0)</f>
        <v>21748</v>
      </c>
      <c r="C23" s="61">
        <f>_xlfn.XLOOKUP($A23,Inputs!$A:$A,Inputs!C:C,,0)</f>
        <v>22618</v>
      </c>
      <c r="D23" s="61">
        <f>_xlfn.XLOOKUP($A23,Inputs!$A:$A,Inputs!D:D,,0)</f>
        <v>18348</v>
      </c>
      <c r="E23" s="61">
        <f>_xlfn.XLOOKUP($A23,Inputs!$A:$A,Inputs!E:E,,0)</f>
        <v>19788</v>
      </c>
      <c r="F23" s="61">
        <f>_xlfn.XLOOKUP($A23,Inputs!$A:$A,Inputs!F:F,,0)</f>
        <v>16039</v>
      </c>
      <c r="G23" s="61">
        <f>_xlfn.XLOOKUP($A23,Inputs!$A:$A,Inputs!G:G,,0)</f>
        <v>30550</v>
      </c>
      <c r="H23" s="61">
        <f>_xlfn.XLOOKUP($A23,Inputs!$A:$A,Inputs!H:H,,0)</f>
        <v>13608</v>
      </c>
      <c r="I23" s="61">
        <f>_xlfn.XLOOKUP($A23,Inputs!$A:$A,Inputs!I:I,,0)</f>
        <v>18375</v>
      </c>
      <c r="J23" s="61">
        <f>_xlfn.XLOOKUP($A23,Inputs!$A:$A,Inputs!J:J,,0)</f>
        <v>11956</v>
      </c>
      <c r="K23" s="61">
        <f>_xlfn.XLOOKUP($A23,Inputs!$A:$A,Inputs!K:K,,0)</f>
        <v>23547</v>
      </c>
      <c r="L23" s="61">
        <f>_xlfn.XLOOKUP($A23,Inputs!$A:$A,Inputs!L:L,,0)</f>
        <v>10557</v>
      </c>
      <c r="M23" s="62">
        <f>_xlfn.XLOOKUP($A23,Inputs!$A:$A,Inputs!M:M,,0)</f>
        <v>10198</v>
      </c>
    </row>
    <row r="24" spans="1:18" ht="13.15">
      <c r="A24" s="137" t="s">
        <v>241</v>
      </c>
      <c r="B24" s="64">
        <f t="shared" ref="B24" si="43">IFERROR(B23/B$5,"-")</f>
        <v>0.15893594475097744</v>
      </c>
      <c r="C24" s="64">
        <f t="shared" ref="C24" si="44">IFERROR(C23/C$5,"-")</f>
        <v>0.16927993533563351</v>
      </c>
      <c r="D24" s="64">
        <f t="shared" ref="D24" si="45">IFERROR(D23/D$5,"-")</f>
        <v>0.14301749134786268</v>
      </c>
      <c r="E24" s="64">
        <f t="shared" ref="E24" si="46">IFERROR(E23/E$5,"-")</f>
        <v>0.15005915005915005</v>
      </c>
      <c r="F24" s="64">
        <f t="shared" ref="F24" si="47">IFERROR(F23/F$5,"-")</f>
        <v>0.12256329138106264</v>
      </c>
      <c r="G24" s="64">
        <f t="shared" ref="G24" si="48">IFERROR(G23/G$5,"-")</f>
        <v>0.24239490931018615</v>
      </c>
      <c r="H24" s="64">
        <f t="shared" ref="H24" si="49">IFERROR(H23/H$5,"-")</f>
        <v>0.10801714557866328</v>
      </c>
      <c r="I24" s="64">
        <f t="shared" ref="I24" si="50">IFERROR(I23/I$5,"-")</f>
        <v>0.13960644278984957</v>
      </c>
      <c r="J24" s="64">
        <f t="shared" ref="J24" si="51">IFERROR(J23/J$5,"-")</f>
        <v>9.4083208083160869E-2</v>
      </c>
      <c r="K24" s="64">
        <f t="shared" ref="K24" si="52">IFERROR(K23/K$5,"-")</f>
        <v>0.19532973869763584</v>
      </c>
      <c r="L24" s="64">
        <f t="shared" ref="L24" si="53">IFERROR(L23/L$5,"-")</f>
        <v>9.1129603093762404E-2</v>
      </c>
      <c r="M24" s="65">
        <f t="shared" ref="M24" si="54">IFERROR(M23/M$5,"-")</f>
        <v>9.1977452085682074E-2</v>
      </c>
    </row>
    <row r="25" spans="1:18" ht="13.15">
      <c r="A25" s="136" t="s">
        <v>573</v>
      </c>
      <c r="B25" s="64">
        <f t="shared" ref="B25" si="55">IFERROR(B24/C24-1,"-")</f>
        <v>-6.1105827835690629E-2</v>
      </c>
      <c r="C25" s="64">
        <f t="shared" ref="C25" si="56">IFERROR(C24/D24-1,"-")</f>
        <v>0.18363099324608112</v>
      </c>
      <c r="D25" s="64">
        <f t="shared" ref="D25" si="57">IFERROR(D24/E24-1,"-")</f>
        <v>-4.6925886948657958E-2</v>
      </c>
      <c r="E25" s="64">
        <f t="shared" ref="E25" si="58">IFERROR(E24/F24-1,"-")</f>
        <v>0.22434008069022715</v>
      </c>
      <c r="F25" s="64">
        <f t="shared" ref="F25" si="59">IFERROR(F24/G24-1,"-")</f>
        <v>-0.49436524170471852</v>
      </c>
      <c r="G25" s="64">
        <f t="shared" ref="G25" si="60">IFERROR(G24/H24-1,"-")</f>
        <v>1.2440410548866292</v>
      </c>
      <c r="H25" s="64">
        <f t="shared" ref="H25" si="61">IFERROR(H24/I24-1,"-")</f>
        <v>-0.22627392103054911</v>
      </c>
      <c r="I25" s="64">
        <f t="shared" ref="I25" si="62">IFERROR(I24/J24-1,"-")</f>
        <v>0.48386142048271119</v>
      </c>
      <c r="J25" s="64">
        <f t="shared" ref="J25" si="63">IFERROR(J24/K24-1,"-")</f>
        <v>-0.51833648726270676</v>
      </c>
      <c r="K25" s="64">
        <f t="shared" ref="K25" si="64">IFERROR(K24/L24-1,"-")</f>
        <v>1.1434279538852254</v>
      </c>
      <c r="L25" s="64">
        <f t="shared" ref="L25" si="65">IFERROR(L24/M24-1,"-")</f>
        <v>-9.2180091173851286E-3</v>
      </c>
      <c r="M25" s="65" t="str">
        <f>IFERROR(M24/#REF!-1,"-")</f>
        <v>-</v>
      </c>
    </row>
    <row r="26" spans="1:18">
      <c r="A26" s="137" t="s">
        <v>582</v>
      </c>
      <c r="B26" s="67">
        <f>B39-C39</f>
        <v>-316</v>
      </c>
      <c r="C26" s="67">
        <f t="shared" ref="C26:M26" si="66">C39-D39</f>
        <v>-19250</v>
      </c>
      <c r="D26" s="67">
        <f t="shared" si="66"/>
        <v>19577</v>
      </c>
      <c r="E26" s="67">
        <f t="shared" si="66"/>
        <v>-151</v>
      </c>
      <c r="F26" s="67">
        <f t="shared" si="66"/>
        <v>666</v>
      </c>
      <c r="G26" s="67">
        <f t="shared" si="66"/>
        <v>-801</v>
      </c>
      <c r="H26" s="67">
        <f t="shared" si="66"/>
        <v>-1590</v>
      </c>
      <c r="I26" s="67">
        <f t="shared" si="66"/>
        <v>-6128</v>
      </c>
      <c r="J26" s="67">
        <f t="shared" si="66"/>
        <v>-42930</v>
      </c>
      <c r="K26" s="67">
        <f t="shared" si="66"/>
        <v>50435</v>
      </c>
      <c r="L26" s="67">
        <f t="shared" si="66"/>
        <v>-10269</v>
      </c>
      <c r="M26" s="62">
        <f t="shared" si="66"/>
        <v>13362</v>
      </c>
    </row>
    <row r="27" spans="1:18">
      <c r="A27" s="136" t="s">
        <v>140</v>
      </c>
      <c r="B27" s="61">
        <f>_xlfn.XLOOKUP($A27,Inputs!$A:$A,Inputs!B:B,,0)</f>
        <v>-10805</v>
      </c>
      <c r="C27" s="61">
        <f>_xlfn.XLOOKUP($A27,Inputs!$A:$A,Inputs!C:C,,0)</f>
        <v>-10445</v>
      </c>
      <c r="D27" s="61">
        <f>_xlfn.XLOOKUP($A27,Inputs!$A:$A,Inputs!D:D,,0)</f>
        <v>-10232</v>
      </c>
      <c r="E27" s="61">
        <f>_xlfn.XLOOKUP($A27,Inputs!$A:$A,Inputs!E:E,,0)</f>
        <v>-10016</v>
      </c>
      <c r="F27" s="61">
        <f>_xlfn.XLOOKUP($A27,Inputs!$A:$A,Inputs!F:F,,0)</f>
        <v>-9772</v>
      </c>
      <c r="G27" s="61">
        <f>_xlfn.XLOOKUP($A27,Inputs!$A:$A,Inputs!G:G,,0)</f>
        <v>-9472</v>
      </c>
      <c r="H27" s="61">
        <f>_xlfn.XLOOKUP($A27,Inputs!$A:$A,Inputs!H:H,,0)</f>
        <v>-9262</v>
      </c>
      <c r="I27" s="61">
        <f>_xlfn.XLOOKUP($A27,Inputs!$A:$A,Inputs!I:I,,0)</f>
        <v>-8538</v>
      </c>
      <c r="J27" s="61">
        <f>_xlfn.XLOOKUP($A27,Inputs!$A:$A,Inputs!J:J,,0)</f>
        <v>-7803</v>
      </c>
      <c r="K27" s="61">
        <f>_xlfn.XLOOKUP($A27,Inputs!$A:$A,Inputs!K:K,,0)</f>
        <v>-5936</v>
      </c>
      <c r="L27" s="61">
        <f>_xlfn.XLOOKUP($A27,Inputs!$A:$A,Inputs!L:L,,0)</f>
        <v>-5230</v>
      </c>
      <c r="M27" s="62">
        <f>_xlfn.XLOOKUP($A27,Inputs!$A:$A,Inputs!M:M,,0)</f>
        <v>-5555</v>
      </c>
      <c r="N27" s="757"/>
      <c r="O27" s="757"/>
      <c r="P27" s="757"/>
      <c r="Q27" s="757"/>
      <c r="R27" s="757"/>
    </row>
    <row r="28" spans="1:18">
      <c r="A28" s="138" t="s">
        <v>583</v>
      </c>
      <c r="B28" s="61">
        <f>_xlfn.XLOOKUP($A28,Inputs!$A:$A,Inputs!B:B,,0)</f>
        <v>0</v>
      </c>
      <c r="C28" s="61">
        <f>_xlfn.XLOOKUP($A28,Inputs!$A:$A,Inputs!C:C,,0)</f>
        <v>0</v>
      </c>
      <c r="D28" s="61">
        <f>_xlfn.XLOOKUP($A28,Inputs!$A:$A,Inputs!D:D,,0)</f>
        <v>0</v>
      </c>
      <c r="E28" s="61">
        <f>_xlfn.XLOOKUP($A28,Inputs!$A:$A,Inputs!E:E,,0)</f>
        <v>0</v>
      </c>
      <c r="F28" s="61">
        <f>_xlfn.XLOOKUP($A28,Inputs!$A:$A,Inputs!F:F,,0)</f>
        <v>0</v>
      </c>
      <c r="G28" s="61">
        <f>_xlfn.XLOOKUP($A28,Inputs!$A:$A,Inputs!G:G,,0)</f>
        <v>0</v>
      </c>
      <c r="H28" s="61">
        <f>_xlfn.XLOOKUP($A28,Inputs!$A:$A,Inputs!H:H,,0)</f>
        <v>0</v>
      </c>
      <c r="I28" s="61">
        <f>_xlfn.XLOOKUP($A28,Inputs!$A:$A,Inputs!I:I,,0)</f>
        <v>-5134</v>
      </c>
      <c r="J28" s="61">
        <f>_xlfn.XLOOKUP($A28,Inputs!$A:$A,Inputs!J:J,,0)</f>
        <v>0</v>
      </c>
      <c r="K28" s="61">
        <f>_xlfn.XLOOKUP($A28,Inputs!$A:$A,Inputs!K:K,,0)</f>
        <v>-153</v>
      </c>
      <c r="L28" s="61">
        <f>_xlfn.XLOOKUP($A28,Inputs!$A:$A,Inputs!L:L,,0)</f>
        <v>0</v>
      </c>
      <c r="M28" s="62">
        <f>_xlfn.XLOOKUP($A28,Inputs!$A:$A,Inputs!M:M,,0)</f>
        <v>0</v>
      </c>
    </row>
    <row r="29" spans="1:18">
      <c r="A29" s="136" t="s">
        <v>132</v>
      </c>
      <c r="B29" s="67">
        <f>SUM(B26:B28)</f>
        <v>-11121</v>
      </c>
      <c r="C29" s="67">
        <f t="shared" ref="C29:M29" si="67">SUM(C26:C28)</f>
        <v>-29695</v>
      </c>
      <c r="D29" s="67">
        <f t="shared" si="67"/>
        <v>9345</v>
      </c>
      <c r="E29" s="67">
        <f t="shared" si="67"/>
        <v>-10167</v>
      </c>
      <c r="F29" s="67">
        <f t="shared" si="67"/>
        <v>-9106</v>
      </c>
      <c r="G29" s="67">
        <f t="shared" si="67"/>
        <v>-10273</v>
      </c>
      <c r="H29" s="67">
        <f t="shared" si="67"/>
        <v>-10852</v>
      </c>
      <c r="I29" s="67">
        <f t="shared" si="67"/>
        <v>-19800</v>
      </c>
      <c r="J29" s="67">
        <f t="shared" si="67"/>
        <v>-50733</v>
      </c>
      <c r="K29" s="67">
        <f t="shared" si="67"/>
        <v>44346</v>
      </c>
      <c r="L29" s="67">
        <f t="shared" si="67"/>
        <v>-15499</v>
      </c>
      <c r="M29" s="62">
        <f t="shared" si="67"/>
        <v>7807</v>
      </c>
    </row>
    <row r="30" spans="1:18">
      <c r="A30" s="138" t="s">
        <v>584</v>
      </c>
      <c r="B30" s="67">
        <f>+B29-(B58-C29)</f>
        <v>-191455</v>
      </c>
      <c r="C30" s="67">
        <f t="shared" ref="C30:M30" si="68">+C29-(C58-D29)</f>
        <v>-171218</v>
      </c>
      <c r="D30" s="67">
        <f t="shared" si="68"/>
        <v>-129884</v>
      </c>
      <c r="E30" s="67">
        <f t="shared" si="68"/>
        <v>-130762</v>
      </c>
      <c r="F30" s="67">
        <f t="shared" si="68"/>
        <v>-132442</v>
      </c>
      <c r="G30" s="67">
        <f t="shared" si="68"/>
        <v>-138220</v>
      </c>
      <c r="H30" s="67">
        <f t="shared" si="68"/>
        <v>-138730</v>
      </c>
      <c r="I30" s="67">
        <f t="shared" si="68"/>
        <v>-180262</v>
      </c>
      <c r="J30" s="67">
        <f t="shared" si="68"/>
        <v>-119658</v>
      </c>
      <c r="K30" s="67">
        <f t="shared" si="68"/>
        <v>-64744</v>
      </c>
      <c r="L30" s="67">
        <f t="shared" si="68"/>
        <v>-59679</v>
      </c>
      <c r="M30" s="62">
        <f t="shared" si="68"/>
        <v>-47345</v>
      </c>
    </row>
    <row r="31" spans="1:18">
      <c r="A31" s="136" t="s">
        <v>585</v>
      </c>
      <c r="B31" s="67">
        <f>+B30+B33</f>
        <v>-191207</v>
      </c>
      <c r="C31" s="67">
        <f t="shared" ref="C31:L31" si="69">+C30+C33</f>
        <v>-175283</v>
      </c>
      <c r="D31" s="67">
        <f t="shared" si="69"/>
        <v>-130404</v>
      </c>
      <c r="E31" s="67">
        <f t="shared" si="69"/>
        <v>-130791</v>
      </c>
      <c r="F31" s="67">
        <f t="shared" si="69"/>
        <v>-132672</v>
      </c>
      <c r="G31" s="67">
        <f t="shared" si="69"/>
        <v>-144100</v>
      </c>
      <c r="H31" s="67">
        <f t="shared" si="69"/>
        <v>-142495</v>
      </c>
      <c r="I31" s="67">
        <f t="shared" si="69"/>
        <v>-183807</v>
      </c>
      <c r="J31" s="67">
        <f t="shared" si="69"/>
        <v>-119843</v>
      </c>
      <c r="K31" s="67">
        <f t="shared" si="69"/>
        <v>-65238</v>
      </c>
      <c r="L31" s="67">
        <f t="shared" si="69"/>
        <v>-60592</v>
      </c>
      <c r="M31" s="62">
        <f t="shared" ref="M31" si="70">+M30+M33</f>
        <v>-49363</v>
      </c>
    </row>
    <row r="32" spans="1:18">
      <c r="A32" s="138" t="s">
        <v>137</v>
      </c>
      <c r="B32" s="61">
        <f>_xlfn.XLOOKUP($A32,Inputs!$A:$A,Inputs!B:B,,0)</f>
        <v>-26740</v>
      </c>
      <c r="C32" s="61">
        <f>_xlfn.XLOOKUP($A32,Inputs!$A:$A,Inputs!C:C,,0)</f>
        <v>-67882</v>
      </c>
      <c r="D32" s="61">
        <f>_xlfn.XLOOKUP($A32,Inputs!$A:$A,Inputs!D:D,,0)</f>
        <v>-20318</v>
      </c>
      <c r="E32" s="61">
        <f>_xlfn.XLOOKUP($A32,Inputs!$A:$A,Inputs!E:E,,0)</f>
        <v>-18837</v>
      </c>
      <c r="F32" s="61">
        <f>_xlfn.XLOOKUP($A32,Inputs!$A:$A,Inputs!F:F,,0)</f>
        <v>-18087</v>
      </c>
      <c r="G32" s="61">
        <f>_xlfn.XLOOKUP($A32,Inputs!$A:$A,Inputs!G:G,,0)</f>
        <v>-17830</v>
      </c>
      <c r="H32" s="61">
        <f>_xlfn.XLOOKUP($A32,Inputs!$A:$A,Inputs!H:H,,0)</f>
        <v>-17593</v>
      </c>
      <c r="I32" s="61">
        <f>_xlfn.XLOOKUP($A32,Inputs!$A:$A,Inputs!I:I,,0)</f>
        <v>-27717</v>
      </c>
      <c r="J32" s="61">
        <f>_xlfn.XLOOKUP($A32,Inputs!$A:$A,Inputs!J:J,,0)</f>
        <v>-17545</v>
      </c>
      <c r="K32" s="61">
        <f>_xlfn.XLOOKUP($A32,Inputs!$A:$A,Inputs!K:K,,0)</f>
        <v>-17184</v>
      </c>
      <c r="L32" s="61">
        <f>_xlfn.XLOOKUP($A32,Inputs!$A:$A,Inputs!L:L,,0)</f>
        <v>-20110</v>
      </c>
      <c r="M32" s="62">
        <f>_xlfn.XLOOKUP($A32,Inputs!$A:$A,Inputs!M:M,,0)</f>
        <v>-16244</v>
      </c>
    </row>
    <row r="33" spans="1:13">
      <c r="A33" s="136" t="s">
        <v>138</v>
      </c>
      <c r="B33" s="61">
        <f>_xlfn.XLOOKUP($A33,Inputs!$A:$A,Inputs!B:B,,0)</f>
        <v>248</v>
      </c>
      <c r="C33" s="61">
        <f>_xlfn.XLOOKUP($A33,Inputs!$A:$A,Inputs!C:C,,0)</f>
        <v>-4065</v>
      </c>
      <c r="D33" s="61">
        <f>_xlfn.XLOOKUP($A33,Inputs!$A:$A,Inputs!D:D,,0)</f>
        <v>-520</v>
      </c>
      <c r="E33" s="61">
        <f>_xlfn.XLOOKUP($A33,Inputs!$A:$A,Inputs!E:E,,0)</f>
        <v>-29</v>
      </c>
      <c r="F33" s="61">
        <f>_xlfn.XLOOKUP($A33,Inputs!$A:$A,Inputs!F:F,,0)</f>
        <v>-230</v>
      </c>
      <c r="G33" s="61">
        <f>_xlfn.XLOOKUP($A33,Inputs!$A:$A,Inputs!G:G,,0)</f>
        <v>-5880</v>
      </c>
      <c r="H33" s="61">
        <f>_xlfn.XLOOKUP($A33,Inputs!$A:$A,Inputs!H:H,,0)</f>
        <v>-3765</v>
      </c>
      <c r="I33" s="61">
        <f>_xlfn.XLOOKUP($A33,Inputs!$A:$A,Inputs!I:I,,0)</f>
        <v>-3545</v>
      </c>
      <c r="J33" s="61">
        <f>_xlfn.XLOOKUP($A33,Inputs!$A:$A,Inputs!J:J,,0)</f>
        <v>-185</v>
      </c>
      <c r="K33" s="61">
        <f>_xlfn.XLOOKUP($A33,Inputs!$A:$A,Inputs!K:K,,0)</f>
        <v>-494</v>
      </c>
      <c r="L33" s="61">
        <f>_xlfn.XLOOKUP($A33,Inputs!$A:$A,Inputs!L:L,,0)</f>
        <v>-913</v>
      </c>
      <c r="M33" s="62">
        <f>_xlfn.XLOOKUP($A33,Inputs!$A:$A,Inputs!M:M,,0)</f>
        <v>-2018</v>
      </c>
    </row>
    <row r="34" spans="1:13">
      <c r="A34" s="137" t="s">
        <v>133</v>
      </c>
      <c r="B34" s="67">
        <f t="shared" ref="B34:M34" si="71">+B32+B33</f>
        <v>-26492</v>
      </c>
      <c r="C34" s="67">
        <f>+C32+C33</f>
        <v>-71947</v>
      </c>
      <c r="D34" s="67">
        <f t="shared" si="71"/>
        <v>-20838</v>
      </c>
      <c r="E34" s="67">
        <f t="shared" si="71"/>
        <v>-18866</v>
      </c>
      <c r="F34" s="67">
        <f t="shared" si="71"/>
        <v>-18317</v>
      </c>
      <c r="G34" s="67">
        <f t="shared" si="71"/>
        <v>-23710</v>
      </c>
      <c r="H34" s="67">
        <f t="shared" si="71"/>
        <v>-21358</v>
      </c>
      <c r="I34" s="67">
        <f t="shared" si="71"/>
        <v>-31262</v>
      </c>
      <c r="J34" s="67">
        <f t="shared" si="71"/>
        <v>-17730</v>
      </c>
      <c r="K34" s="67">
        <f t="shared" si="71"/>
        <v>-17678</v>
      </c>
      <c r="L34" s="67">
        <f t="shared" si="71"/>
        <v>-21023</v>
      </c>
      <c r="M34" s="68">
        <f t="shared" si="71"/>
        <v>-18262</v>
      </c>
    </row>
    <row r="35" spans="1:13">
      <c r="A35" s="136" t="s">
        <v>131</v>
      </c>
      <c r="B35" s="67">
        <f t="shared" ref="B35:M35" si="72">+B27+B28</f>
        <v>-10805</v>
      </c>
      <c r="C35" s="67">
        <f t="shared" si="72"/>
        <v>-10445</v>
      </c>
      <c r="D35" s="67">
        <f t="shared" si="72"/>
        <v>-10232</v>
      </c>
      <c r="E35" s="67">
        <f t="shared" si="72"/>
        <v>-10016</v>
      </c>
      <c r="F35" s="67">
        <f t="shared" si="72"/>
        <v>-9772</v>
      </c>
      <c r="G35" s="67">
        <f t="shared" si="72"/>
        <v>-9472</v>
      </c>
      <c r="H35" s="67">
        <f t="shared" si="72"/>
        <v>-9262</v>
      </c>
      <c r="I35" s="67">
        <f t="shared" si="72"/>
        <v>-13672</v>
      </c>
      <c r="J35" s="67">
        <f t="shared" si="72"/>
        <v>-7803</v>
      </c>
      <c r="K35" s="67">
        <f t="shared" si="72"/>
        <v>-6089</v>
      </c>
      <c r="L35" s="67">
        <f t="shared" si="72"/>
        <v>-5230</v>
      </c>
      <c r="M35" s="68">
        <f t="shared" si="72"/>
        <v>-5555</v>
      </c>
    </row>
    <row r="36" spans="1:13" ht="13.15">
      <c r="A36" s="138" t="s">
        <v>586</v>
      </c>
      <c r="B36" s="64">
        <f>IFERROR(B35/B23,"-")</f>
        <v>-0.49682729446385876</v>
      </c>
      <c r="C36" s="64">
        <f t="shared" ref="C36:M36" si="73">IFERROR(C35/C23,"-")</f>
        <v>-0.46180033601556281</v>
      </c>
      <c r="D36" s="64">
        <f t="shared" si="73"/>
        <v>-0.55766296054065834</v>
      </c>
      <c r="E36" s="64">
        <f t="shared" si="73"/>
        <v>-0.50616535273903374</v>
      </c>
      <c r="F36" s="64">
        <f t="shared" si="73"/>
        <v>-0.60926491676538441</v>
      </c>
      <c r="G36" s="64">
        <f t="shared" si="73"/>
        <v>-0.31004909983633389</v>
      </c>
      <c r="H36" s="64">
        <f t="shared" si="73"/>
        <v>-0.68062904174015282</v>
      </c>
      <c r="I36" s="64">
        <f t="shared" si="73"/>
        <v>-0.74405442176870751</v>
      </c>
      <c r="J36" s="64">
        <f t="shared" si="73"/>
        <v>-0.65264302442288391</v>
      </c>
      <c r="K36" s="64">
        <f t="shared" si="73"/>
        <v>-0.25858920456958423</v>
      </c>
      <c r="L36" s="64">
        <f t="shared" si="73"/>
        <v>-0.49540589182532918</v>
      </c>
      <c r="M36" s="65">
        <f t="shared" si="73"/>
        <v>-0.5447146499313591</v>
      </c>
    </row>
    <row r="37" spans="1:13">
      <c r="A37" s="7"/>
      <c r="B37" s="51"/>
      <c r="C37" s="51"/>
      <c r="D37" s="51"/>
      <c r="E37" s="51"/>
      <c r="F37" s="51"/>
      <c r="G37" s="51"/>
      <c r="H37" s="51"/>
      <c r="I37" s="51"/>
      <c r="J37" s="51"/>
      <c r="K37" s="51"/>
      <c r="L37" s="51"/>
      <c r="M37" s="51"/>
    </row>
    <row r="38" spans="1:13" ht="20.65">
      <c r="A38" s="1126" t="s">
        <v>587</v>
      </c>
      <c r="B38" s="1126"/>
      <c r="C38" s="1126"/>
      <c r="D38" s="1126"/>
      <c r="E38" s="1126"/>
      <c r="F38" s="1126"/>
      <c r="G38" s="1126"/>
      <c r="H38" s="1126"/>
      <c r="I38" s="1126"/>
      <c r="J38" s="1126"/>
      <c r="K38" s="1126"/>
      <c r="L38" s="1126"/>
      <c r="M38" s="1126"/>
    </row>
    <row r="39" spans="1:13">
      <c r="A39" s="139" t="s">
        <v>281</v>
      </c>
      <c r="B39" s="61">
        <f>_xlfn.XLOOKUP($A39,Inputs!$A:$A,Inputs!B:B,,0)</f>
        <v>2605</v>
      </c>
      <c r="C39" s="61">
        <f>_xlfn.XLOOKUP($A39,Inputs!$A:$A,Inputs!C:C,,0)</f>
        <v>2921</v>
      </c>
      <c r="D39" s="61">
        <f>_xlfn.XLOOKUP($A39,Inputs!$A:$A,Inputs!D:D,,0)</f>
        <v>22171</v>
      </c>
      <c r="E39" s="61">
        <f>_xlfn.XLOOKUP($A39,Inputs!$A:$A,Inputs!E:E,,0)</f>
        <v>2594</v>
      </c>
      <c r="F39" s="61">
        <f>_xlfn.XLOOKUP($A39,Inputs!$A:$A,Inputs!F:F,,0)</f>
        <v>2745</v>
      </c>
      <c r="G39" s="61">
        <f>_xlfn.XLOOKUP($A39,Inputs!$A:$A,Inputs!G:G,,0)</f>
        <v>2079</v>
      </c>
      <c r="H39" s="61">
        <f>_xlfn.XLOOKUP($A39,Inputs!$A:$A,Inputs!H:H,,0)</f>
        <v>2880</v>
      </c>
      <c r="I39" s="61">
        <f>_xlfn.XLOOKUP($A39,Inputs!$A:$A,Inputs!I:I,,0)</f>
        <v>4470</v>
      </c>
      <c r="J39" s="61">
        <f>_xlfn.XLOOKUP($A39,Inputs!$A:$A,Inputs!J:J,,0)</f>
        <v>10598</v>
      </c>
      <c r="K39" s="61">
        <f>_xlfn.XLOOKUP($A39,Inputs!$A:$A,Inputs!K:K,,0)</f>
        <v>53528</v>
      </c>
      <c r="L39" s="61">
        <f>_xlfn.XLOOKUP($A39,Inputs!$A:$A,Inputs!L:L,,0)</f>
        <v>3093</v>
      </c>
      <c r="M39" s="62">
        <f>_xlfn.XLOOKUP($A39,Inputs!$A:$A,Inputs!M:M,,0)</f>
        <v>13362</v>
      </c>
    </row>
    <row r="40" spans="1:13">
      <c r="A40" s="137" t="s">
        <v>588</v>
      </c>
      <c r="B40" s="61">
        <f>_xlfn.XLOOKUP($A40,Inputs!$A:$A,Inputs!B:B,,0)</f>
        <v>24506</v>
      </c>
      <c r="C40" s="61">
        <f>_xlfn.XLOOKUP($A40,Inputs!$A:$A,Inputs!C:C,,0)</f>
        <v>24585</v>
      </c>
      <c r="D40" s="61">
        <f>_xlfn.XLOOKUP($A40,Inputs!$A:$A,Inputs!D:D,,0)</f>
        <v>24650</v>
      </c>
      <c r="E40" s="61">
        <f>_xlfn.XLOOKUP($A40,Inputs!$A:$A,Inputs!E:E,,0)</f>
        <v>26277</v>
      </c>
      <c r="F40" s="61">
        <f>_xlfn.XLOOKUP($A40,Inputs!$A:$A,Inputs!F:F,,0)</f>
        <v>25859</v>
      </c>
      <c r="G40" s="61">
        <f>_xlfn.XLOOKUP($A40,Inputs!$A:$A,Inputs!G:G,,0)</f>
        <v>23493</v>
      </c>
      <c r="H40" s="61">
        <f>_xlfn.XLOOKUP($A40,Inputs!$A:$A,Inputs!H:H,,0)</f>
        <v>17513</v>
      </c>
      <c r="I40" s="61">
        <f>_xlfn.XLOOKUP($A40,Inputs!$A:$A,Inputs!I:I,,0)</f>
        <v>13457</v>
      </c>
      <c r="J40" s="61">
        <f>_xlfn.XLOOKUP($A40,Inputs!$A:$A,Inputs!J:J,,0)</f>
        <v>13993</v>
      </c>
      <c r="K40" s="61">
        <f>_xlfn.XLOOKUP($A40,Inputs!$A:$A,Inputs!K:K,,0)</f>
        <v>12439</v>
      </c>
      <c r="L40" s="61">
        <f>_xlfn.XLOOKUP($A40,Inputs!$A:$A,Inputs!L:L,,0)</f>
        <v>12576</v>
      </c>
      <c r="M40" s="62">
        <f>_xlfn.XLOOKUP($A40,Inputs!$A:$A,Inputs!M:M,,0)</f>
        <v>11776</v>
      </c>
    </row>
    <row r="41" spans="1:13">
      <c r="A41" s="139" t="s">
        <v>283</v>
      </c>
      <c r="B41" s="61">
        <f>_xlfn.XLOOKUP($A41,Inputs!$A:$A,Inputs!B:B,,0)</f>
        <v>2388</v>
      </c>
      <c r="C41" s="61">
        <f>_xlfn.XLOOKUP($A41,Inputs!$A:$A,Inputs!C:C,,0)</f>
        <v>3055</v>
      </c>
      <c r="D41" s="61">
        <f>_xlfn.XLOOKUP($A41,Inputs!$A:$A,Inputs!D:D,,0)</f>
        <v>1796</v>
      </c>
      <c r="E41" s="61">
        <f>_xlfn.XLOOKUP($A41,Inputs!$A:$A,Inputs!E:E,,0)</f>
        <v>1422</v>
      </c>
      <c r="F41" s="61">
        <f>_xlfn.XLOOKUP($A41,Inputs!$A:$A,Inputs!F:F,,0)</f>
        <v>1336</v>
      </c>
      <c r="G41" s="61">
        <f>_xlfn.XLOOKUP($A41,Inputs!$A:$A,Inputs!G:G,,0)</f>
        <v>1034</v>
      </c>
      <c r="H41" s="61">
        <f>_xlfn.XLOOKUP($A41,Inputs!$A:$A,Inputs!H:H,,0)</f>
        <v>1202</v>
      </c>
      <c r="I41" s="61">
        <f>_xlfn.XLOOKUP($A41,Inputs!$A:$A,Inputs!I:I,,0)</f>
        <v>1252</v>
      </c>
      <c r="J41" s="61">
        <f>_xlfn.XLOOKUP($A41,Inputs!$A:$A,Inputs!J:J,,0)</f>
        <v>1153</v>
      </c>
      <c r="K41" s="61">
        <f>_xlfn.XLOOKUP($A41,Inputs!$A:$A,Inputs!K:K,,0)</f>
        <v>1020</v>
      </c>
      <c r="L41" s="61">
        <f>_xlfn.XLOOKUP($A41,Inputs!$A:$A,Inputs!L:L,,0)</f>
        <v>1075</v>
      </c>
      <c r="M41" s="62">
        <f>_xlfn.XLOOKUP($A41,Inputs!$A:$A,Inputs!M:M,,0)</f>
        <v>940</v>
      </c>
    </row>
    <row r="42" spans="1:13">
      <c r="A42" s="137" t="s">
        <v>589</v>
      </c>
      <c r="B42" s="61">
        <f>_xlfn.XLOOKUP($A42,Inputs!$A:$A,Inputs!B:B,,0)</f>
        <v>133564</v>
      </c>
      <c r="C42" s="61">
        <f>_xlfn.XLOOKUP($A42,Inputs!$A:$A,Inputs!C:C,,0)</f>
        <v>127579</v>
      </c>
      <c r="D42" s="61">
        <f>_xlfn.XLOOKUP($A42,Inputs!$A:$A,Inputs!D:D,,0)</f>
        <v>117364</v>
      </c>
      <c r="E42" s="61">
        <f>_xlfn.XLOOKUP($A42,Inputs!$A:$A,Inputs!E:E,,0)</f>
        <v>114609</v>
      </c>
      <c r="F42" s="61">
        <f>_xlfn.XLOOKUP($A42,Inputs!$A:$A,Inputs!F:F,,0)</f>
        <v>89286</v>
      </c>
      <c r="G42" s="61">
        <f>_xlfn.XLOOKUP($A42,Inputs!$A:$A,Inputs!G:G,,0)</f>
        <v>88568</v>
      </c>
      <c r="H42" s="61">
        <f>_xlfn.XLOOKUP($A42,Inputs!$A:$A,Inputs!H:H,,0)</f>
        <v>84751</v>
      </c>
      <c r="I42" s="61">
        <f>_xlfn.XLOOKUP($A42,Inputs!$A:$A,Inputs!I:I,,0)</f>
        <v>83541</v>
      </c>
      <c r="J42" s="61">
        <f>_xlfn.XLOOKUP($A42,Inputs!$A:$A,Inputs!J:J,,0)</f>
        <v>89947</v>
      </c>
      <c r="K42" s="61">
        <f>_xlfn.XLOOKUP($A42,Inputs!$A:$A,Inputs!K:K,,0)</f>
        <v>88956</v>
      </c>
      <c r="L42" s="61">
        <f>_xlfn.XLOOKUP($A42,Inputs!$A:$A,Inputs!L:L,,0)</f>
        <v>88642</v>
      </c>
      <c r="M42" s="62">
        <f>_xlfn.XLOOKUP($A42,Inputs!$A:$A,Inputs!M:M,,0)</f>
        <v>88434</v>
      </c>
    </row>
    <row r="43" spans="1:13">
      <c r="A43" s="139" t="s">
        <v>590</v>
      </c>
      <c r="B43" s="61">
        <f>_xlfn.XLOOKUP($A43,Inputs!$A:$A,Inputs!B:B,,0)</f>
        <v>189416</v>
      </c>
      <c r="C43" s="61">
        <f>_xlfn.XLOOKUP($A43,Inputs!$A:$A,Inputs!C:C,,0)</f>
        <v>179512</v>
      </c>
      <c r="D43" s="61">
        <f>_xlfn.XLOOKUP($A43,Inputs!$A:$A,Inputs!D:D,,0)</f>
        <v>127380</v>
      </c>
      <c r="E43" s="61">
        <f>_xlfn.XLOOKUP($A43,Inputs!$A:$A,Inputs!E:E,,0)</f>
        <v>123573</v>
      </c>
      <c r="F43" s="61">
        <f>_xlfn.XLOOKUP($A43,Inputs!$A:$A,Inputs!F:F,,0)</f>
        <v>144932</v>
      </c>
      <c r="G43" s="61">
        <f>_xlfn.XLOOKUP($A43,Inputs!$A:$A,Inputs!G:G,,0)</f>
        <v>140930</v>
      </c>
      <c r="H43" s="61">
        <f>_xlfn.XLOOKUP($A43,Inputs!$A:$A,Inputs!H:H,,0)</f>
        <v>136724</v>
      </c>
      <c r="I43" s="61">
        <f>_xlfn.XLOOKUP($A43,Inputs!$A:$A,Inputs!I:I,,0)</f>
        <v>140659</v>
      </c>
      <c r="J43" s="61">
        <f>_xlfn.XLOOKUP($A43,Inputs!$A:$A,Inputs!J:J,,0)</f>
        <v>116123</v>
      </c>
      <c r="K43" s="61">
        <f>_xlfn.XLOOKUP($A43,Inputs!$A:$A,Inputs!K:K,,0)</f>
        <v>114723</v>
      </c>
      <c r="L43" s="61">
        <f>_xlfn.XLOOKUP($A43,Inputs!$A:$A,Inputs!L:L,,0)</f>
        <v>116435</v>
      </c>
      <c r="M43" s="62">
        <f>_xlfn.XLOOKUP($A43,Inputs!$A:$A,Inputs!M:M,,0)</f>
        <v>112501</v>
      </c>
    </row>
    <row r="44" spans="1:13" ht="13.15">
      <c r="A44" s="140" t="s">
        <v>47</v>
      </c>
      <c r="B44" s="71">
        <f>_xlfn.XLOOKUP($A44,Inputs!$A:$A,Inputs!B:B,,0)</f>
        <v>379680</v>
      </c>
      <c r="C44" s="71">
        <f>_xlfn.XLOOKUP($A44,Inputs!$A:$A,Inputs!C:C,,0)</f>
        <v>366596</v>
      </c>
      <c r="D44" s="71">
        <f>_xlfn.XLOOKUP($A44,Inputs!$A:$A,Inputs!D:D,,0)</f>
        <v>316481</v>
      </c>
      <c r="E44" s="71">
        <f>_xlfn.XLOOKUP($A44,Inputs!$A:$A,Inputs!E:E,,0)</f>
        <v>291727</v>
      </c>
      <c r="F44" s="71">
        <f>_xlfn.XLOOKUP($A44,Inputs!$A:$A,Inputs!F:F,,0)</f>
        <v>264829</v>
      </c>
      <c r="G44" s="71">
        <f>_xlfn.XLOOKUP($A44,Inputs!$A:$A,Inputs!G:G,,0)</f>
        <v>257143</v>
      </c>
      <c r="H44" s="71">
        <f>_xlfn.XLOOKUP($A44,Inputs!$A:$A,Inputs!H:H,,0)</f>
        <v>244180</v>
      </c>
      <c r="I44" s="71">
        <f>_xlfn.XLOOKUP($A44,Inputs!$A:$A,Inputs!I:I,,0)</f>
        <v>244175</v>
      </c>
      <c r="J44" s="71">
        <f>_xlfn.XLOOKUP($A44,Inputs!$A:$A,Inputs!J:J,,0)</f>
        <v>232616</v>
      </c>
      <c r="K44" s="71">
        <f>_xlfn.XLOOKUP($A44,Inputs!$A:$A,Inputs!K:K,,0)</f>
        <v>274098</v>
      </c>
      <c r="L44" s="71">
        <f>_xlfn.XLOOKUP($A44,Inputs!$A:$A,Inputs!L:L,,0)</f>
        <v>225222</v>
      </c>
      <c r="M44" s="71">
        <f>_xlfn.XLOOKUP($A44,Inputs!$A:$A,Inputs!M:M,,0)</f>
        <v>230461</v>
      </c>
    </row>
    <row r="45" spans="1:13">
      <c r="B45"/>
      <c r="C45"/>
      <c r="D45"/>
      <c r="E45"/>
      <c r="F45"/>
      <c r="G45"/>
      <c r="H45"/>
      <c r="I45"/>
      <c r="J45"/>
      <c r="K45"/>
      <c r="L45"/>
      <c r="M45"/>
    </row>
    <row r="46" spans="1:13">
      <c r="B46"/>
      <c r="C46"/>
      <c r="D46"/>
      <c r="E46"/>
      <c r="F46"/>
      <c r="G46"/>
      <c r="H46"/>
      <c r="I46"/>
      <c r="J46"/>
      <c r="K46"/>
      <c r="L46"/>
      <c r="M46"/>
    </row>
    <row r="47" spans="1:13" ht="20.65">
      <c r="A47" s="1126" t="s">
        <v>591</v>
      </c>
      <c r="B47" s="1126"/>
      <c r="C47" s="1126"/>
      <c r="D47" s="1126"/>
      <c r="E47" s="1126"/>
      <c r="F47" s="1126"/>
      <c r="G47" s="1126"/>
      <c r="H47" s="1126"/>
      <c r="I47" s="1126"/>
      <c r="J47" s="1126"/>
      <c r="K47" s="1126"/>
      <c r="L47" s="1126"/>
      <c r="M47" s="1126"/>
    </row>
    <row r="48" spans="1:13" ht="13.15">
      <c r="A48" s="141" t="s">
        <v>287</v>
      </c>
      <c r="B48" s="71">
        <f>_xlfn.XLOOKUP($A48,Inputs!$A:$A,Inputs!B:B,,0)</f>
        <v>50171</v>
      </c>
      <c r="C48" s="71">
        <f>_xlfn.XLOOKUP($A48,Inputs!$A:$A,Inputs!C:C,,0)</f>
        <v>47160</v>
      </c>
      <c r="D48" s="71">
        <f>_xlfn.XLOOKUP($A48,Inputs!$A:$A,Inputs!D:D,,0)</f>
        <v>39660</v>
      </c>
      <c r="E48" s="71">
        <f>_xlfn.XLOOKUP($A48,Inputs!$A:$A,Inputs!E:E,,0)</f>
        <v>44868</v>
      </c>
      <c r="F48" s="71">
        <f>_xlfn.XLOOKUP($A48,Inputs!$A:$A,Inputs!F:F,,0)</f>
        <v>37930</v>
      </c>
      <c r="G48" s="71">
        <f>_xlfn.XLOOKUP($A48,Inputs!$A:$A,Inputs!G:G,,0)</f>
        <v>33037</v>
      </c>
      <c r="H48" s="71">
        <f>_xlfn.XLOOKUP($A48,Inputs!$A:$A,Inputs!H:H,,0)</f>
        <v>30340</v>
      </c>
      <c r="I48" s="71">
        <f>_xlfn.XLOOKUP($A48,Inputs!$A:$A,Inputs!I:I,,0)</f>
        <v>35052</v>
      </c>
      <c r="J48" s="71">
        <f>_xlfn.XLOOKUP($A48,Inputs!$A:$A,Inputs!J:J,,0)</f>
        <v>27987</v>
      </c>
      <c r="K48" s="71">
        <f>_xlfn.XLOOKUP($A48,Inputs!$A:$A,Inputs!K:K,,0)</f>
        <v>27050</v>
      </c>
      <c r="L48" s="71">
        <f>_xlfn.XLOOKUP($A48,Inputs!$A:$A,Inputs!L:L,,0)</f>
        <v>26956</v>
      </c>
      <c r="M48" s="71">
        <f>_xlfn.XLOOKUP($A48,Inputs!$A:$A,Inputs!M:M,,0)</f>
        <v>30761</v>
      </c>
    </row>
    <row r="49" spans="1:13">
      <c r="A49" s="142" t="s">
        <v>592</v>
      </c>
      <c r="B49" s="61">
        <f>_xlfn.XLOOKUP($A49,Inputs!$A:$A,Inputs!B:B,,0)</f>
        <v>150</v>
      </c>
      <c r="C49" s="61">
        <f>_xlfn.XLOOKUP($A49,Inputs!$A:$A,Inputs!C:C,,0)</f>
        <v>0</v>
      </c>
      <c r="D49" s="61">
        <f>_xlfn.XLOOKUP($A49,Inputs!$A:$A,Inputs!D:D,,0)</f>
        <v>320</v>
      </c>
      <c r="E49" s="61">
        <f>_xlfn.XLOOKUP($A49,Inputs!$A:$A,Inputs!E:E,,0)</f>
        <v>0</v>
      </c>
      <c r="F49" s="61">
        <f>_xlfn.XLOOKUP($A49,Inputs!$A:$A,Inputs!F:F,,0)</f>
        <v>150</v>
      </c>
      <c r="G49" s="61">
        <f>_xlfn.XLOOKUP($A49,Inputs!$A:$A,Inputs!G:G,,0)</f>
        <v>150</v>
      </c>
      <c r="H49" s="61">
        <f>_xlfn.XLOOKUP($A49,Inputs!$A:$A,Inputs!H:H,,0)</f>
        <v>168</v>
      </c>
      <c r="I49" s="61">
        <f>_xlfn.XLOOKUP($A49,Inputs!$A:$A,Inputs!I:I,,0)</f>
        <v>0</v>
      </c>
      <c r="J49" s="61">
        <f>_xlfn.XLOOKUP($A49,Inputs!$A:$A,Inputs!J:J,,0)</f>
        <v>338</v>
      </c>
      <c r="K49" s="61">
        <f>_xlfn.XLOOKUP($A49,Inputs!$A:$A,Inputs!K:K,,0)</f>
        <v>447</v>
      </c>
      <c r="L49" s="61">
        <f>_xlfn.XLOOKUP($A49,Inputs!$A:$A,Inputs!L:L,,0)</f>
        <v>500</v>
      </c>
      <c r="M49" s="61">
        <f>_xlfn.XLOOKUP($A49,Inputs!$A:$A,Inputs!M:M,,0)</f>
        <v>1934</v>
      </c>
    </row>
    <row r="50" spans="1:13">
      <c r="A50" s="136" t="s">
        <v>593</v>
      </c>
      <c r="B50" s="61">
        <f>_xlfn.XLOOKUP($A50,Inputs!$A:$A,Inputs!B:B,,0)</f>
        <v>9813</v>
      </c>
      <c r="C50" s="61">
        <f>_xlfn.XLOOKUP($A50,Inputs!$A:$A,Inputs!C:C,,0)</f>
        <v>7443</v>
      </c>
      <c r="D50" s="61">
        <f>_xlfn.XLOOKUP($A50,Inputs!$A:$A,Inputs!D:D,,0)</f>
        <v>5569</v>
      </c>
      <c r="E50" s="61">
        <f>_xlfn.XLOOKUP($A50,Inputs!$A:$A,Inputs!E:E,,0)</f>
        <v>10777</v>
      </c>
      <c r="F50" s="61">
        <f>_xlfn.XLOOKUP($A50,Inputs!$A:$A,Inputs!F:F,,0)</f>
        <v>7040</v>
      </c>
      <c r="G50" s="61">
        <f>_xlfn.XLOOKUP($A50,Inputs!$A:$A,Inputs!G:G,,0)</f>
        <v>3303</v>
      </c>
      <c r="H50" s="61">
        <f>_xlfn.XLOOKUP($A50,Inputs!$A:$A,Inputs!H:H,,0)</f>
        <v>2477</v>
      </c>
      <c r="I50" s="61">
        <f>_xlfn.XLOOKUP($A50,Inputs!$A:$A,Inputs!I:I,,0)</f>
        <v>6489</v>
      </c>
      <c r="J50" s="61">
        <f>_xlfn.XLOOKUP($A50,Inputs!$A:$A,Inputs!J:J,,0)</f>
        <v>2397</v>
      </c>
      <c r="K50" s="61">
        <f>_xlfn.XLOOKUP($A50,Inputs!$A:$A,Inputs!K:K,,0)</f>
        <v>3486</v>
      </c>
      <c r="L50" s="61">
        <f>_xlfn.XLOOKUP($A50,Inputs!$A:$A,Inputs!L:L,,0)</f>
        <v>3869</v>
      </c>
      <c r="M50" s="61">
        <f>_xlfn.XLOOKUP($A50,Inputs!$A:$A,Inputs!M:M,,0)</f>
        <v>2915</v>
      </c>
    </row>
    <row r="51" spans="1:13">
      <c r="A51" s="137" t="s">
        <v>594</v>
      </c>
      <c r="B51" s="61">
        <f>_xlfn.XLOOKUP($A51,Inputs!$A:$A,Inputs!B:B,,0)</f>
        <v>31458</v>
      </c>
      <c r="C51" s="61">
        <f>_xlfn.XLOOKUP($A51,Inputs!$A:$A,Inputs!C:C,,0)</f>
        <v>31677</v>
      </c>
      <c r="D51" s="61">
        <f>_xlfn.XLOOKUP($A51,Inputs!$A:$A,Inputs!D:D,,0)</f>
        <v>27104</v>
      </c>
      <c r="E51" s="61">
        <f>_xlfn.XLOOKUP($A51,Inputs!$A:$A,Inputs!E:E,,0)</f>
        <v>26366</v>
      </c>
      <c r="F51" s="61">
        <f>_xlfn.XLOOKUP($A51,Inputs!$A:$A,Inputs!F:F,,0)</f>
        <v>23508</v>
      </c>
      <c r="G51" s="61">
        <f>_xlfn.XLOOKUP($A51,Inputs!$A:$A,Inputs!G:G,,0)</f>
        <v>22521</v>
      </c>
      <c r="H51" s="61">
        <f>_xlfn.XLOOKUP($A51,Inputs!$A:$A,Inputs!H:H,,0)</f>
        <v>20611</v>
      </c>
      <c r="I51" s="61">
        <f>_xlfn.XLOOKUP($A51,Inputs!$A:$A,Inputs!I:I,,0)</f>
        <v>28563</v>
      </c>
      <c r="J51" s="61">
        <f>_xlfn.XLOOKUP($A51,Inputs!$A:$A,Inputs!J:J,,0)</f>
        <v>19654</v>
      </c>
      <c r="K51" s="61">
        <f>_xlfn.XLOOKUP($A51,Inputs!$A:$A,Inputs!K:K,,0)</f>
        <v>18163</v>
      </c>
      <c r="L51" s="61">
        <f>_xlfn.XLOOKUP($A51,Inputs!$A:$A,Inputs!L:L,,0)</f>
        <v>18133</v>
      </c>
      <c r="M51" s="61">
        <f>_xlfn.XLOOKUP($A51,Inputs!$A:$A,Inputs!M:M,,0)</f>
        <v>21718</v>
      </c>
    </row>
    <row r="52" spans="1:13" ht="13.15">
      <c r="A52" s="141" t="s">
        <v>595</v>
      </c>
      <c r="B52" s="71">
        <f>_xlfn.XLOOKUP($A52,Inputs!$A:$A,Inputs!B:B,,0)</f>
        <v>238365</v>
      </c>
      <c r="C52" s="71">
        <f>_xlfn.XLOOKUP($A52,Inputs!$A:$A,Inputs!C:C,,0)</f>
        <v>237646</v>
      </c>
      <c r="D52" s="71">
        <f>_xlfn.XLOOKUP($A52,Inputs!$A:$A,Inputs!D:D,,0)</f>
        <v>208979</v>
      </c>
      <c r="E52" s="71">
        <f>_xlfn.XLOOKUP($A52,Inputs!$A:$A,Inputs!E:E,,0)</f>
        <v>185464</v>
      </c>
      <c r="F52" s="71">
        <f>_xlfn.XLOOKUP($A52,Inputs!$A:$A,Inputs!F:F,,0)</f>
        <v>173754</v>
      </c>
      <c r="G52" s="71">
        <f>_xlfn.XLOOKUP($A52,Inputs!$A:$A,Inputs!G:G,,0)</f>
        <v>181010</v>
      </c>
      <c r="H52" s="71">
        <f>_xlfn.XLOOKUP($A52,Inputs!$A:$A,Inputs!H:H,,0)</f>
        <v>191316</v>
      </c>
      <c r="I52" s="71">
        <f>_xlfn.XLOOKUP($A52,Inputs!$A:$A,Inputs!I:I,,0)</f>
        <v>192695</v>
      </c>
      <c r="J52" s="71">
        <f>_xlfn.XLOOKUP($A52,Inputs!$A:$A,Inputs!J:J,,0)</f>
        <v>192331</v>
      </c>
      <c r="K52" s="71">
        <f>_xlfn.XLOOKUP($A52,Inputs!$A:$A,Inputs!K:K,,0)</f>
        <v>208212</v>
      </c>
      <c r="L52" s="71">
        <f>_xlfn.XLOOKUP($A52,Inputs!$A:$A,Inputs!L:L,,0)</f>
        <v>165109</v>
      </c>
      <c r="M52" s="71">
        <f>_xlfn.XLOOKUP($A52,Inputs!$A:$A,Inputs!M:M,,0)</f>
        <v>163730</v>
      </c>
    </row>
    <row r="53" spans="1:13">
      <c r="A53" s="142" t="s">
        <v>596</v>
      </c>
      <c r="B53" s="61">
        <f>_xlfn.XLOOKUP($A53,Inputs!$A:$A,Inputs!B:B,,0)</f>
        <v>139509</v>
      </c>
      <c r="C53" s="61">
        <f>_xlfn.XLOOKUP($A53,Inputs!$A:$A,Inputs!C:C,,0)</f>
        <v>142500</v>
      </c>
      <c r="D53" s="61">
        <f>_xlfn.XLOOKUP($A53,Inputs!$A:$A,Inputs!D:D,,0)</f>
        <v>122257</v>
      </c>
      <c r="E53" s="61">
        <f>_xlfn.XLOOKUP($A53,Inputs!$A:$A,Inputs!E:E,,0)</f>
        <v>99932</v>
      </c>
      <c r="F53" s="61">
        <f>_xlfn.XLOOKUP($A53,Inputs!$A:$A,Inputs!F:F,,0)</f>
        <v>105284</v>
      </c>
      <c r="G53" s="61">
        <f>_xlfn.XLOOKUP($A53,Inputs!$A:$A,Inputs!G:G,,0)</f>
        <v>113004</v>
      </c>
      <c r="H53" s="61">
        <f>_xlfn.XLOOKUP($A53,Inputs!$A:$A,Inputs!H:H,,0)</f>
        <v>104818</v>
      </c>
      <c r="I53" s="61">
        <f>_xlfn.XLOOKUP($A53,Inputs!$A:$A,Inputs!I:I,,0)</f>
        <v>103240</v>
      </c>
      <c r="J53" s="61">
        <f>_xlfn.XLOOKUP($A53,Inputs!$A:$A,Inputs!J:J,,0)</f>
        <v>110536</v>
      </c>
      <c r="K53" s="61">
        <f>_xlfn.XLOOKUP($A53,Inputs!$A:$A,Inputs!K:K,,0)</f>
        <v>89547</v>
      </c>
      <c r="L53" s="61">
        <f>_xlfn.XLOOKUP($A53,Inputs!$A:$A,Inputs!L:L,,0)</f>
        <v>47618</v>
      </c>
      <c r="M53" s="61">
        <f>_xlfn.XLOOKUP($A53,Inputs!$A:$A,Inputs!M:M,,0)</f>
        <v>50303</v>
      </c>
    </row>
    <row r="54" spans="1:13">
      <c r="A54" s="136" t="s">
        <v>597</v>
      </c>
      <c r="B54" s="61">
        <f>_xlfn.XLOOKUP($A54,Inputs!$A:$A,Inputs!B:B,,0)</f>
        <v>1167</v>
      </c>
      <c r="C54" s="61">
        <f>_xlfn.XLOOKUP($A54,Inputs!$A:$A,Inputs!C:C,,0)</f>
        <v>925</v>
      </c>
      <c r="D54" s="61">
        <f>_xlfn.XLOOKUP($A54,Inputs!$A:$A,Inputs!D:D,,0)</f>
        <v>916</v>
      </c>
      <c r="E54" s="61">
        <f>_xlfn.XLOOKUP($A54,Inputs!$A:$A,Inputs!E:E,,0)</f>
        <v>780</v>
      </c>
      <c r="F54" s="61">
        <f>_xlfn.XLOOKUP($A54,Inputs!$A:$A,Inputs!F:F,,0)</f>
        <v>589</v>
      </c>
      <c r="G54" s="61">
        <f>_xlfn.XLOOKUP($A54,Inputs!$A:$A,Inputs!G:G,,0)</f>
        <v>638</v>
      </c>
      <c r="H54" s="61">
        <f>_xlfn.XLOOKUP($A54,Inputs!$A:$A,Inputs!H:H,,0)</f>
        <v>615</v>
      </c>
      <c r="I54" s="546">
        <f>_xlfn.XLOOKUP($A54,Inputs!$A:$A,Inputs!I:I,,0)</f>
        <v>0</v>
      </c>
      <c r="J54" s="61">
        <f>_xlfn.XLOOKUP($A54,Inputs!$A:$A,Inputs!J:J,,0)</f>
        <v>0</v>
      </c>
      <c r="K54" s="61">
        <f>_xlfn.XLOOKUP($A54,Inputs!$A:$A,Inputs!K:K,,0)</f>
        <v>111</v>
      </c>
      <c r="L54" s="61">
        <f>_xlfn.XLOOKUP($A54,Inputs!$A:$A,Inputs!L:L,,0)</f>
        <v>0</v>
      </c>
      <c r="M54" s="61">
        <f>_xlfn.XLOOKUP($A54,Inputs!$A:$A,Inputs!M:M,,0)</f>
        <v>0</v>
      </c>
    </row>
    <row r="55" spans="1:13">
      <c r="A55" s="137" t="s">
        <v>598</v>
      </c>
      <c r="B55" s="61">
        <f>_xlfn.XLOOKUP($A55,Inputs!$A:$A,Inputs!B:B,,0)</f>
        <v>97689</v>
      </c>
      <c r="C55" s="61">
        <f>_xlfn.XLOOKUP($A55,Inputs!$A:$A,Inputs!C:C,,0)</f>
        <v>94221</v>
      </c>
      <c r="D55" s="61">
        <f>_xlfn.XLOOKUP($A55,Inputs!$A:$A,Inputs!D:D,,0)</f>
        <v>85806</v>
      </c>
      <c r="E55" s="61">
        <f>_xlfn.XLOOKUP($A55,Inputs!$A:$A,Inputs!E:E,,0)</f>
        <v>84752</v>
      </c>
      <c r="F55" s="61">
        <f>_xlfn.XLOOKUP($A55,Inputs!$A:$A,Inputs!F:F,,0)</f>
        <v>67881</v>
      </c>
      <c r="G55" s="61">
        <f>_xlfn.XLOOKUP($A55,Inputs!$A:$A,Inputs!G:G,,0)</f>
        <v>67368</v>
      </c>
      <c r="H55" s="61">
        <f>_xlfn.XLOOKUP($A55,Inputs!$A:$A,Inputs!H:H,,0)</f>
        <v>85883</v>
      </c>
      <c r="I55" s="61">
        <f>_xlfn.XLOOKUP($A55,Inputs!$A:$A,Inputs!I:I,,0)</f>
        <v>89455</v>
      </c>
      <c r="J55" s="61">
        <f>_xlfn.XLOOKUP($A55,Inputs!$A:$A,Inputs!J:J,,0)</f>
        <v>81795</v>
      </c>
      <c r="K55" s="61">
        <f>_xlfn.XLOOKUP($A55,Inputs!$A:$A,Inputs!K:K,,0)</f>
        <v>118554</v>
      </c>
      <c r="L55" s="61">
        <f>_xlfn.XLOOKUP($A55,Inputs!$A:$A,Inputs!L:L,,0)</f>
        <v>117491</v>
      </c>
      <c r="M55" s="61">
        <f>_xlfn.XLOOKUP($A55,Inputs!$A:$A,Inputs!M:M,,0)</f>
        <v>113427</v>
      </c>
    </row>
    <row r="56" spans="1:13" ht="13.15">
      <c r="A56" s="141" t="s">
        <v>53</v>
      </c>
      <c r="B56" s="71">
        <f>_xlfn.XLOOKUP($A56,Inputs!$A:$A,Inputs!B:B,,0)</f>
        <v>288536</v>
      </c>
      <c r="C56" s="71">
        <f>_xlfn.XLOOKUP($A56,Inputs!$A:$A,Inputs!C:C,,0)</f>
        <v>284806</v>
      </c>
      <c r="D56" s="71">
        <f>_xlfn.XLOOKUP($A56,Inputs!$A:$A,Inputs!D:D,,0)</f>
        <v>248639</v>
      </c>
      <c r="E56" s="71">
        <f>_xlfn.XLOOKUP($A56,Inputs!$A:$A,Inputs!E:E,,0)</f>
        <v>230332</v>
      </c>
      <c r="F56" s="71">
        <f>_xlfn.XLOOKUP($A56,Inputs!$A:$A,Inputs!F:F,,0)</f>
        <v>211684</v>
      </c>
      <c r="G56" s="71">
        <f>_xlfn.XLOOKUP($A56,Inputs!$A:$A,Inputs!G:G,,0)</f>
        <v>214047</v>
      </c>
      <c r="H56" s="71">
        <f>_xlfn.XLOOKUP($A56,Inputs!$A:$A,Inputs!H:H,,0)</f>
        <v>221656</v>
      </c>
      <c r="I56" s="71">
        <f>_xlfn.XLOOKUP($A56,Inputs!$A:$A,Inputs!I:I,,0)</f>
        <v>227747</v>
      </c>
      <c r="J56" s="71">
        <f>_xlfn.XLOOKUP($A56,Inputs!$A:$A,Inputs!J:J,,0)</f>
        <v>220318</v>
      </c>
      <c r="K56" s="71">
        <f>_xlfn.XLOOKUP($A56,Inputs!$A:$A,Inputs!K:K,,0)</f>
        <v>235262</v>
      </c>
      <c r="L56" s="71">
        <f>_xlfn.XLOOKUP($A56,Inputs!$A:$A,Inputs!L:L,,0)</f>
        <v>192065</v>
      </c>
      <c r="M56" s="71">
        <f>_xlfn.XLOOKUP($A56,Inputs!$A:$A,Inputs!M:M,,0)</f>
        <v>194491</v>
      </c>
    </row>
    <row r="57" spans="1:13">
      <c r="B57"/>
      <c r="C57"/>
      <c r="D57"/>
      <c r="E57"/>
      <c r="F57"/>
      <c r="G57"/>
      <c r="H57"/>
      <c r="I57"/>
      <c r="J57"/>
      <c r="K57"/>
      <c r="L57"/>
      <c r="M57"/>
    </row>
    <row r="58" spans="1:13" ht="13.15">
      <c r="A58" s="141" t="s">
        <v>288</v>
      </c>
      <c r="B58" s="71">
        <f>B49+B53+B50+B54</f>
        <v>150639</v>
      </c>
      <c r="C58" s="71">
        <f t="shared" ref="C58:M58" si="74">C49+C53+C50+C54</f>
        <v>150868</v>
      </c>
      <c r="D58" s="71">
        <f t="shared" si="74"/>
        <v>129062</v>
      </c>
      <c r="E58" s="71">
        <f t="shared" si="74"/>
        <v>111489</v>
      </c>
      <c r="F58" s="71">
        <f t="shared" si="74"/>
        <v>113063</v>
      </c>
      <c r="G58" s="71">
        <f t="shared" si="74"/>
        <v>117095</v>
      </c>
      <c r="H58" s="71">
        <f t="shared" si="74"/>
        <v>108078</v>
      </c>
      <c r="I58" s="71">
        <f t="shared" si="74"/>
        <v>109729</v>
      </c>
      <c r="J58" s="71">
        <f t="shared" si="74"/>
        <v>113271</v>
      </c>
      <c r="K58" s="71">
        <f t="shared" si="74"/>
        <v>93591</v>
      </c>
      <c r="L58" s="71">
        <f>L49+L53+L50+L54</f>
        <v>51987</v>
      </c>
      <c r="M58" s="71">
        <f t="shared" si="74"/>
        <v>55152</v>
      </c>
    </row>
    <row r="59" spans="1:13" ht="13.15">
      <c r="A59" s="142" t="s">
        <v>76</v>
      </c>
      <c r="B59" s="64">
        <f>IFERROR(B58/B44,"-")</f>
        <v>0.3967525284450063</v>
      </c>
      <c r="C59" s="64">
        <f t="shared" ref="C59:M59" si="75">IFERROR(C58/C44,"-")</f>
        <v>0.41153749631747211</v>
      </c>
      <c r="D59" s="64">
        <f t="shared" si="75"/>
        <v>0.40780331204716869</v>
      </c>
      <c r="E59" s="64">
        <f t="shared" si="75"/>
        <v>0.38216894562381953</v>
      </c>
      <c r="F59" s="64">
        <f t="shared" si="75"/>
        <v>0.42692831978370949</v>
      </c>
      <c r="G59" s="64">
        <f t="shared" si="75"/>
        <v>0.4553691914615603</v>
      </c>
      <c r="H59" s="64">
        <f t="shared" si="75"/>
        <v>0.44261610287492831</v>
      </c>
      <c r="I59" s="64">
        <f t="shared" si="75"/>
        <v>0.44938671035118255</v>
      </c>
      <c r="J59" s="64">
        <f t="shared" si="75"/>
        <v>0.48694414829590399</v>
      </c>
      <c r="K59" s="64">
        <f t="shared" si="75"/>
        <v>0.34145086793774487</v>
      </c>
      <c r="L59" s="64">
        <f t="shared" si="75"/>
        <v>0.23082558542238324</v>
      </c>
      <c r="M59" s="64">
        <f t="shared" si="75"/>
        <v>0.23931164058126972</v>
      </c>
    </row>
    <row r="60" spans="1:13" ht="13.15">
      <c r="A60" s="141" t="s">
        <v>599</v>
      </c>
      <c r="B60" s="71">
        <f>B58-B39</f>
        <v>148034</v>
      </c>
      <c r="C60" s="71">
        <f t="shared" ref="C60:M60" si="76">C58-C39</f>
        <v>147947</v>
      </c>
      <c r="D60" s="71">
        <f t="shared" si="76"/>
        <v>106891</v>
      </c>
      <c r="E60" s="71">
        <f t="shared" si="76"/>
        <v>108895</v>
      </c>
      <c r="F60" s="71">
        <f t="shared" si="76"/>
        <v>110318</v>
      </c>
      <c r="G60" s="71">
        <f t="shared" si="76"/>
        <v>115016</v>
      </c>
      <c r="H60" s="71">
        <f t="shared" si="76"/>
        <v>105198</v>
      </c>
      <c r="I60" s="71">
        <f t="shared" si="76"/>
        <v>105259</v>
      </c>
      <c r="J60" s="71">
        <f t="shared" si="76"/>
        <v>102673</v>
      </c>
      <c r="K60" s="71">
        <f t="shared" si="76"/>
        <v>40063</v>
      </c>
      <c r="L60" s="71">
        <f t="shared" si="76"/>
        <v>48894</v>
      </c>
      <c r="M60" s="71">
        <f t="shared" si="76"/>
        <v>41790</v>
      </c>
    </row>
    <row r="61" spans="1:13">
      <c r="B61"/>
      <c r="C61"/>
      <c r="D61"/>
      <c r="E61"/>
      <c r="F61"/>
      <c r="G61"/>
      <c r="H61"/>
      <c r="I61"/>
      <c r="J61"/>
      <c r="K61"/>
      <c r="L61"/>
      <c r="M61"/>
    </row>
    <row r="62" spans="1:13" s="52" customFormat="1" ht="13.15">
      <c r="A62" s="141" t="s">
        <v>600</v>
      </c>
      <c r="B62" s="71">
        <f>_xlfn.XLOOKUP($A62,Inputs!$A:$A,Inputs!B:B,,0)</f>
        <v>1319</v>
      </c>
      <c r="C62" s="71">
        <f>_xlfn.XLOOKUP($A62,Inputs!$A:$A,Inputs!C:C,,0)</f>
        <v>1410</v>
      </c>
      <c r="D62" s="71">
        <f>_xlfn.XLOOKUP($A62,Inputs!$A:$A,Inputs!D:D,,0)</f>
        <v>1430</v>
      </c>
      <c r="E62" s="71">
        <f>_xlfn.XLOOKUP($A62,Inputs!$A:$A,Inputs!E:E,,0)</f>
        <v>1440</v>
      </c>
      <c r="F62" s="71">
        <f>_xlfn.XLOOKUP($A62,Inputs!$A:$A,Inputs!F:F,,0)</f>
        <v>1565</v>
      </c>
      <c r="G62" s="71">
        <f>_xlfn.XLOOKUP($A62,Inputs!$A:$A,Inputs!G:G,,0)</f>
        <v>1591</v>
      </c>
      <c r="H62" s="71">
        <f>_xlfn.XLOOKUP($A62,Inputs!$A:$A,Inputs!H:H,,0)</f>
        <v>1508</v>
      </c>
      <c r="I62" s="71">
        <f>_xlfn.XLOOKUP($A62,Inputs!$A:$A,Inputs!I:I,,0)</f>
        <v>1414</v>
      </c>
      <c r="J62" s="71">
        <f>_xlfn.XLOOKUP($A62,Inputs!$A:$A,Inputs!J:J,,0)</f>
        <v>1378</v>
      </c>
      <c r="K62" s="71">
        <f>_xlfn.XLOOKUP($A62,Inputs!$A:$A,Inputs!K:K,,0)</f>
        <v>56580</v>
      </c>
      <c r="L62" s="71">
        <f>_xlfn.XLOOKUP($A62,Inputs!$A:$A,Inputs!L:L,,0)</f>
        <v>52375</v>
      </c>
      <c r="M62" s="71">
        <f>_xlfn.XLOOKUP($A62,Inputs!$A:$A,Inputs!M:M,,0)</f>
        <v>49938</v>
      </c>
    </row>
    <row r="63" spans="1:13">
      <c r="B63"/>
      <c r="C63"/>
      <c r="D63"/>
      <c r="E63"/>
      <c r="F63"/>
      <c r="G63"/>
      <c r="H63"/>
      <c r="I63"/>
      <c r="J63"/>
      <c r="K63"/>
      <c r="L63"/>
      <c r="M63"/>
    </row>
    <row r="64" spans="1:13" ht="13.15">
      <c r="A64" s="141" t="s">
        <v>601</v>
      </c>
      <c r="B64" s="71">
        <f>_xlfn.XLOOKUP($A64,Inputs!$A:$A,Inputs!B:B,,0)</f>
        <v>89825</v>
      </c>
      <c r="C64" s="71">
        <f>_xlfn.XLOOKUP($A64,Inputs!$A:$A,Inputs!C:C,,0)</f>
        <v>80380</v>
      </c>
      <c r="D64" s="71">
        <f>_xlfn.XLOOKUP($A64,Inputs!$A:$A,Inputs!D:D,,0)</f>
        <v>66412</v>
      </c>
      <c r="E64" s="71">
        <f>_xlfn.XLOOKUP($A64,Inputs!$A:$A,Inputs!E:E,,0)</f>
        <v>59955</v>
      </c>
      <c r="F64" s="71">
        <f>_xlfn.XLOOKUP($A64,Inputs!$A:$A,Inputs!F:F,,0)</f>
        <v>51580</v>
      </c>
      <c r="G64" s="71">
        <f>_xlfn.XLOOKUP($A64,Inputs!$A:$A,Inputs!G:G,,0)</f>
        <v>41505</v>
      </c>
      <c r="H64" s="71">
        <f>_xlfn.XLOOKUP($A64,Inputs!$A:$A,Inputs!H:H,,0)</f>
        <v>21016</v>
      </c>
      <c r="I64" s="71">
        <f>_xlfn.XLOOKUP($A64,Inputs!$A:$A,Inputs!I:I,,0)</f>
        <v>15014</v>
      </c>
      <c r="J64" s="71">
        <f>_xlfn.XLOOKUP($A64,Inputs!$A:$A,Inputs!J:J,,0)</f>
        <v>10920</v>
      </c>
      <c r="K64" s="71">
        <f>_xlfn.XLOOKUP($A64,Inputs!$A:$A,Inputs!K:K,,0)</f>
        <v>-17744</v>
      </c>
      <c r="L64" s="71">
        <f>_xlfn.XLOOKUP($A64,Inputs!$A:$A,Inputs!L:L,,0)</f>
        <v>-19218</v>
      </c>
      <c r="M64" s="71">
        <f>_xlfn.XLOOKUP($A64,Inputs!$A:$A,Inputs!M:M,,0)</f>
        <v>-13968</v>
      </c>
    </row>
    <row r="65" spans="1:235">
      <c r="K65" s="47"/>
      <c r="L65" s="47"/>
      <c r="M65" s="47"/>
    </row>
    <row r="66" spans="1:235" ht="20.65">
      <c r="A66" s="1126" t="s">
        <v>134</v>
      </c>
      <c r="B66" s="1126"/>
      <c r="C66" s="1126"/>
      <c r="D66" s="1126"/>
      <c r="E66" s="1126"/>
      <c r="F66" s="1126"/>
      <c r="G66" s="1126"/>
      <c r="H66" s="1126"/>
      <c r="I66" s="1126"/>
      <c r="J66" s="1126"/>
      <c r="K66" s="1126"/>
      <c r="L66" s="1126"/>
      <c r="M66" s="1126"/>
    </row>
    <row r="67" spans="1:235" ht="13.15">
      <c r="A67" s="141" t="s">
        <v>135</v>
      </c>
      <c r="B67" s="71">
        <f>_xlfn.XLOOKUP($A67,Inputs!$A:$A,Inputs!B:B,,0)</f>
        <v>37141</v>
      </c>
      <c r="C67" s="71">
        <f>_xlfn.XLOOKUP($A67,Inputs!$A:$A,Inputs!C:C,,0)</f>
        <v>39539</v>
      </c>
      <c r="D67" s="71">
        <f>_xlfn.XLOOKUP($A67,Inputs!$A:$A,Inputs!D:D,,0)</f>
        <v>41768</v>
      </c>
      <c r="E67" s="71">
        <f>_xlfn.XLOOKUP($A67,Inputs!$A:$A,Inputs!E:E,,0)</f>
        <v>35746</v>
      </c>
      <c r="F67" s="71">
        <f>_xlfn.XLOOKUP($A67,Inputs!$A:$A,Inputs!F:F,,0)</f>
        <v>34339</v>
      </c>
      <c r="G67" s="71">
        <f>_xlfn.XLOOKUP($A67,Inputs!$A:$A,Inputs!G:G,,0)</f>
        <v>24318</v>
      </c>
      <c r="H67" s="71">
        <f>_xlfn.XLOOKUP($A67,Inputs!$A:$A,Inputs!H:H,,0)</f>
        <v>21689</v>
      </c>
      <c r="I67" s="71">
        <f>_xlfn.XLOOKUP($A67,Inputs!$A:$A,Inputs!I:I,,0)</f>
        <v>39027</v>
      </c>
      <c r="J67" s="71">
        <f>_xlfn.XLOOKUP($A67,Inputs!$A:$A,Inputs!J:J,,0)</f>
        <v>30631</v>
      </c>
      <c r="K67" s="71">
        <f>_xlfn.XLOOKUP($A67,Inputs!$A:$A,Inputs!K:K,,0)</f>
        <v>38818</v>
      </c>
      <c r="L67" s="71">
        <f>_xlfn.XLOOKUP($A67,Inputs!$A:$A,Inputs!L:L,,0)</f>
        <v>31486</v>
      </c>
      <c r="M67" s="71">
        <f>_xlfn.XLOOKUP($A67,Inputs!$A:$A,Inputs!M:M,,0)</f>
        <v>29780</v>
      </c>
    </row>
    <row r="68" spans="1:235" ht="13.15">
      <c r="A68" s="141" t="s">
        <v>136</v>
      </c>
      <c r="B68" s="71">
        <f>_xlfn.XLOOKUP($A68,Inputs!$A:$A,Inputs!B:B,,0)</f>
        <v>-28662</v>
      </c>
      <c r="C68" s="71">
        <f>_xlfn.XLOOKUP($A68,Inputs!$A:$A,Inputs!C:C,,0)</f>
        <v>-67153</v>
      </c>
      <c r="D68" s="71">
        <f>_xlfn.XLOOKUP($A68,Inputs!$A:$A,Inputs!D:D,,0)</f>
        <v>-23512</v>
      </c>
      <c r="E68" s="71">
        <f>_xlfn.XLOOKUP($A68,Inputs!$A:$A,Inputs!E:E,,0)</f>
        <v>-17581</v>
      </c>
      <c r="F68" s="71">
        <f>_xlfn.XLOOKUP($A68,Inputs!$A:$A,Inputs!F:F,,0)</f>
        <v>-17934</v>
      </c>
      <c r="G68" s="71">
        <f>_xlfn.XLOOKUP($A68,Inputs!$A:$A,Inputs!G:G,,0)</f>
        <v>-18456</v>
      </c>
      <c r="H68" s="71">
        <f>_xlfn.XLOOKUP($A68,Inputs!$A:$A,Inputs!H:H,,0)</f>
        <v>-9874</v>
      </c>
      <c r="I68" s="71">
        <f>_xlfn.XLOOKUP($A68,Inputs!$A:$A,Inputs!I:I,,0)</f>
        <v>-30043</v>
      </c>
      <c r="J68" s="71">
        <f>_xlfn.XLOOKUP($A68,Inputs!$A:$A,Inputs!J:J,,0)</f>
        <v>-15856</v>
      </c>
      <c r="K68" s="71">
        <f>_xlfn.XLOOKUP($A68,Inputs!$A:$A,Inputs!K:K,,0)</f>
        <v>-14833</v>
      </c>
      <c r="L68" s="71">
        <f>_xlfn.XLOOKUP($A68,Inputs!$A:$A,Inputs!L:L,,0)</f>
        <v>-20502</v>
      </c>
      <c r="M68" s="71">
        <f>_xlfn.XLOOKUP($A68,Inputs!$A:$A,Inputs!M:M,,0)</f>
        <v>-17250</v>
      </c>
    </row>
    <row r="69" spans="1:235">
      <c r="A69" s="137" t="s">
        <v>137</v>
      </c>
      <c r="B69" s="61">
        <f>_xlfn.XLOOKUP($A69,Inputs!$A:$A,Inputs!B:B,,0)</f>
        <v>-26740</v>
      </c>
      <c r="C69" s="61">
        <f>_xlfn.XLOOKUP($A69,Inputs!$A:$A,Inputs!C:C,,0)</f>
        <v>-67882</v>
      </c>
      <c r="D69" s="61">
        <f>_xlfn.XLOOKUP($A69,Inputs!$A:$A,Inputs!D:D,,0)</f>
        <v>-20318</v>
      </c>
      <c r="E69" s="61">
        <f>_xlfn.XLOOKUP($A69,Inputs!$A:$A,Inputs!E:E,,0)</f>
        <v>-18837</v>
      </c>
      <c r="F69" s="61">
        <f>_xlfn.XLOOKUP($A69,Inputs!$A:$A,Inputs!F:F,,0)</f>
        <v>-18087</v>
      </c>
      <c r="G69" s="61">
        <f>_xlfn.XLOOKUP($A69,Inputs!$A:$A,Inputs!G:G,,0)</f>
        <v>-17830</v>
      </c>
      <c r="H69" s="61">
        <f>_xlfn.XLOOKUP($A69,Inputs!$A:$A,Inputs!H:H,,0)</f>
        <v>-17593</v>
      </c>
      <c r="I69" s="61">
        <f>_xlfn.XLOOKUP($A69,Inputs!$A:$A,Inputs!I:I,,0)</f>
        <v>-27717</v>
      </c>
      <c r="J69" s="61">
        <f>_xlfn.XLOOKUP($A69,Inputs!$A:$A,Inputs!J:J,,0)</f>
        <v>-17545</v>
      </c>
      <c r="K69" s="61">
        <f>_xlfn.XLOOKUP($A69,Inputs!$A:$A,Inputs!K:K,,0)</f>
        <v>-17184</v>
      </c>
      <c r="L69" s="61">
        <f>_xlfn.XLOOKUP($A69,Inputs!$A:$A,Inputs!L:L,,0)</f>
        <v>-20110</v>
      </c>
      <c r="M69" s="61">
        <f>_xlfn.XLOOKUP($A69,Inputs!$A:$A,Inputs!M:M,,0)</f>
        <v>-16244</v>
      </c>
    </row>
    <row r="70" spans="1:235">
      <c r="A70" s="137" t="s">
        <v>138</v>
      </c>
      <c r="B70" s="61">
        <f>_xlfn.XLOOKUP($A70,Inputs!$A:$A,Inputs!B:B,,0)</f>
        <v>248</v>
      </c>
      <c r="C70" s="61">
        <f>_xlfn.XLOOKUP($A70,Inputs!$A:$A,Inputs!C:C,,0)</f>
        <v>-4065</v>
      </c>
      <c r="D70" s="61">
        <f>_xlfn.XLOOKUP($A70,Inputs!$A:$A,Inputs!D:D,,0)</f>
        <v>-520</v>
      </c>
      <c r="E70" s="61">
        <f>_xlfn.XLOOKUP($A70,Inputs!$A:$A,Inputs!E:E,,0)</f>
        <v>-29</v>
      </c>
      <c r="F70" s="61">
        <f>_xlfn.XLOOKUP($A70,Inputs!$A:$A,Inputs!F:F,,0)</f>
        <v>-230</v>
      </c>
      <c r="G70" s="61">
        <f>_xlfn.XLOOKUP($A70,Inputs!$A:$A,Inputs!G:G,,0)</f>
        <v>-5880</v>
      </c>
      <c r="H70" s="61">
        <f>_xlfn.XLOOKUP($A70,Inputs!$A:$A,Inputs!H:H,,0)</f>
        <v>-3765</v>
      </c>
      <c r="I70" s="61">
        <f>_xlfn.XLOOKUP($A70,Inputs!$A:$A,Inputs!I:I,,0)</f>
        <v>-3545</v>
      </c>
      <c r="J70" s="61">
        <f>_xlfn.XLOOKUP($A70,Inputs!$A:$A,Inputs!J:J,,0)</f>
        <v>-185</v>
      </c>
      <c r="K70" s="61">
        <f>_xlfn.XLOOKUP($A70,Inputs!$A:$A,Inputs!K:K,,0)</f>
        <v>-494</v>
      </c>
      <c r="L70" s="61">
        <f>_xlfn.XLOOKUP($A70,Inputs!$A:$A,Inputs!L:L,,0)</f>
        <v>-913</v>
      </c>
      <c r="M70" s="61">
        <f>_xlfn.XLOOKUP($A70,Inputs!$A:$A,Inputs!M:M,,0)</f>
        <v>-2018</v>
      </c>
      <c r="IA70" s="47"/>
    </row>
    <row r="71" spans="1:235" ht="13.15">
      <c r="A71" s="141" t="s">
        <v>139</v>
      </c>
      <c r="B71" s="71">
        <f>_xlfn.XLOOKUP($A71,Inputs!$A:$A,Inputs!B:B,,0)</f>
        <v>-8529</v>
      </c>
      <c r="C71" s="71">
        <f>_xlfn.XLOOKUP($A71,Inputs!$A:$A,Inputs!C:C,,0)</f>
        <v>8277</v>
      </c>
      <c r="D71" s="71">
        <f>_xlfn.XLOOKUP($A71,Inputs!$A:$A,Inputs!D:D,,0)</f>
        <v>1325</v>
      </c>
      <c r="E71" s="71">
        <f>_xlfn.XLOOKUP($A71,Inputs!$A:$A,Inputs!E:E,,0)</f>
        <v>-18164</v>
      </c>
      <c r="F71" s="71">
        <f>_xlfn.XLOOKUP($A71,Inputs!$A:$A,Inputs!F:F,,0)</f>
        <v>-15377</v>
      </c>
      <c r="G71" s="71">
        <f>_xlfn.XLOOKUP($A71,Inputs!$A:$A,Inputs!G:G,,0)</f>
        <v>-6151</v>
      </c>
      <c r="H71" s="71">
        <f>_xlfn.XLOOKUP($A71,Inputs!$A:$A,Inputs!H:H,,0)</f>
        <v>-13376</v>
      </c>
      <c r="I71" s="71">
        <f>_xlfn.XLOOKUP($A71,Inputs!$A:$A,Inputs!I:I,,0)</f>
        <v>-15112</v>
      </c>
      <c r="J71" s="71">
        <f>_xlfn.XLOOKUP($A71,Inputs!$A:$A,Inputs!J:J,,0)</f>
        <v>-57705</v>
      </c>
      <c r="K71" s="71">
        <f>_xlfn.XLOOKUP($A71,Inputs!$A:$A,Inputs!K:K,,0)</f>
        <v>26450</v>
      </c>
      <c r="L71" s="71">
        <f>_xlfn.XLOOKUP($A71,Inputs!$A:$A,Inputs!L:L,,0)</f>
        <v>-21253</v>
      </c>
      <c r="M71" s="71">
        <f>_xlfn.XLOOKUP($A71,Inputs!$A:$A,Inputs!M:M,,0)</f>
        <v>-5836</v>
      </c>
      <c r="IA71" s="47"/>
    </row>
    <row r="72" spans="1:235">
      <c r="A72" s="137" t="s">
        <v>140</v>
      </c>
      <c r="B72" s="61">
        <f>_xlfn.XLOOKUP($A72,Inputs!$A:$A,Inputs!B:B,,0)</f>
        <v>-10805</v>
      </c>
      <c r="C72" s="61">
        <f>_xlfn.XLOOKUP($A72,Inputs!$A:$A,Inputs!C:C,,0)</f>
        <v>-10445</v>
      </c>
      <c r="D72" s="61">
        <f>_xlfn.XLOOKUP($A72,Inputs!$A:$A,Inputs!D:D,,0)</f>
        <v>-10232</v>
      </c>
      <c r="E72" s="61">
        <f>_xlfn.XLOOKUP($A72,Inputs!$A:$A,Inputs!E:E,,0)</f>
        <v>-10016</v>
      </c>
      <c r="F72" s="61">
        <f>_xlfn.XLOOKUP($A72,Inputs!$A:$A,Inputs!F:F,,0)</f>
        <v>-9772</v>
      </c>
      <c r="G72" s="61">
        <f>_xlfn.XLOOKUP($A72,Inputs!$A:$A,Inputs!G:G,,0)</f>
        <v>-9472</v>
      </c>
      <c r="H72" s="61">
        <f>_xlfn.XLOOKUP($A72,Inputs!$A:$A,Inputs!H:H,,0)</f>
        <v>-9262</v>
      </c>
      <c r="I72" s="61">
        <f>_xlfn.XLOOKUP($A72,Inputs!$A:$A,Inputs!I:I,,0)</f>
        <v>-8538</v>
      </c>
      <c r="J72" s="61">
        <f>_xlfn.XLOOKUP($A72,Inputs!$A:$A,Inputs!J:J,,0)</f>
        <v>-7803</v>
      </c>
      <c r="K72" s="61">
        <f>_xlfn.XLOOKUP($A72,Inputs!$A:$A,Inputs!K:K,,0)</f>
        <v>-5936</v>
      </c>
      <c r="L72" s="61">
        <f>_xlfn.XLOOKUP($A72,Inputs!$A:$A,Inputs!L:L,,0)</f>
        <v>-5230</v>
      </c>
      <c r="M72" s="61">
        <f>_xlfn.XLOOKUP($A72,Inputs!$A:$A,Inputs!M:M,,0)</f>
        <v>-5555</v>
      </c>
      <c r="IA72" s="47"/>
    </row>
    <row r="73" spans="1:235">
      <c r="A73" s="137" t="s">
        <v>583</v>
      </c>
      <c r="B73" s="61">
        <f>_xlfn.XLOOKUP($A73,Inputs!$A:$A,Inputs!B:B,,0)</f>
        <v>0</v>
      </c>
      <c r="C73" s="61">
        <f>_xlfn.XLOOKUP($A73,Inputs!$A:$A,Inputs!C:C,,0)</f>
        <v>0</v>
      </c>
      <c r="D73" s="61">
        <f>_xlfn.XLOOKUP($A73,Inputs!$A:$A,Inputs!D:D,,0)</f>
        <v>0</v>
      </c>
      <c r="E73" s="61">
        <f>_xlfn.XLOOKUP($A73,Inputs!$A:$A,Inputs!E:E,,0)</f>
        <v>0</v>
      </c>
      <c r="F73" s="61">
        <f>_xlfn.XLOOKUP($A73,Inputs!$A:$A,Inputs!F:F,,0)</f>
        <v>0</v>
      </c>
      <c r="G73" s="61">
        <f>_xlfn.XLOOKUP($A73,Inputs!$A:$A,Inputs!G:G,,0)</f>
        <v>0</v>
      </c>
      <c r="H73" s="61">
        <f>_xlfn.XLOOKUP($A73,Inputs!$A:$A,Inputs!H:H,,0)</f>
        <v>0</v>
      </c>
      <c r="I73" s="61">
        <f>_xlfn.XLOOKUP($A73,Inputs!$A:$A,Inputs!I:I,,0)</f>
        <v>-5134</v>
      </c>
      <c r="J73" s="61">
        <f>_xlfn.XLOOKUP($A73,Inputs!$A:$A,Inputs!J:J,,0)</f>
        <v>0</v>
      </c>
      <c r="K73" s="61">
        <f>_xlfn.XLOOKUP($A73,Inputs!$A:$A,Inputs!K:K,,0)</f>
        <v>-153</v>
      </c>
      <c r="L73" s="61">
        <f>_xlfn.XLOOKUP($A73,Inputs!$A:$A,Inputs!L:L,,0)</f>
        <v>0</v>
      </c>
      <c r="M73" s="61">
        <f>_xlfn.XLOOKUP($A73,Inputs!$A:$A,Inputs!M:M,,0)</f>
        <v>0</v>
      </c>
    </row>
    <row r="74" spans="1:235" ht="13.15">
      <c r="A74" s="141" t="s">
        <v>143</v>
      </c>
      <c r="B74" s="71">
        <f>_xlfn.XLOOKUP($A74,Inputs!$A:$A,Inputs!B:B,,0)</f>
        <v>0</v>
      </c>
      <c r="C74" s="71">
        <f>_xlfn.XLOOKUP($A74,Inputs!$A:$A,Inputs!C:C,,0)</f>
        <v>0</v>
      </c>
      <c r="D74" s="71">
        <f>_xlfn.XLOOKUP($A74,Inputs!$A:$A,Inputs!D:D,,0)</f>
        <v>0</v>
      </c>
      <c r="E74" s="71">
        <f>_xlfn.XLOOKUP($A74,Inputs!$A:$A,Inputs!E:E,,0)</f>
        <v>0</v>
      </c>
      <c r="F74" s="71">
        <f>_xlfn.XLOOKUP($A74,Inputs!$A:$A,Inputs!F:F,,0)</f>
        <v>0</v>
      </c>
      <c r="G74" s="71">
        <f>_xlfn.XLOOKUP($A74,Inputs!$A:$A,Inputs!G:G,,0)</f>
        <v>0</v>
      </c>
      <c r="H74" s="71">
        <f>_xlfn.XLOOKUP($A74,Inputs!$A:$A,Inputs!H:H,,0)</f>
        <v>0</v>
      </c>
      <c r="I74" s="71">
        <f>_xlfn.XLOOKUP($A74,Inputs!$A:$A,Inputs!I:I,,0)</f>
        <v>0</v>
      </c>
      <c r="J74" s="71">
        <f>_xlfn.XLOOKUP($A74,Inputs!$A:$A,Inputs!J:J,,0)</f>
        <v>0</v>
      </c>
      <c r="K74" s="71">
        <f>_xlfn.XLOOKUP($A74,Inputs!$A:$A,Inputs!K:K,,0)</f>
        <v>0</v>
      </c>
      <c r="L74" s="71">
        <f>_xlfn.XLOOKUP($A74,Inputs!$A:$A,Inputs!L:L,,0)</f>
        <v>0</v>
      </c>
      <c r="M74" s="71">
        <f>_xlfn.XLOOKUP($A74,Inputs!$A:$A,Inputs!M:M,,0)</f>
        <v>0</v>
      </c>
    </row>
    <row r="75" spans="1:235" ht="13.15">
      <c r="A75" s="141" t="s">
        <v>602</v>
      </c>
      <c r="B75" s="71">
        <f>_xlfn.XLOOKUP($A75,Inputs!$A:$A,Inputs!B:B,,0)</f>
        <v>-50</v>
      </c>
      <c r="C75" s="71">
        <f>_xlfn.XLOOKUP($A75,Inputs!$A:$A,Inputs!C:C,,0)</f>
        <v>-19337</v>
      </c>
      <c r="D75" s="71">
        <f>_xlfn.XLOOKUP($A75,Inputs!$A:$A,Inputs!D:D,,0)</f>
        <v>19581</v>
      </c>
      <c r="E75" s="71">
        <f>_xlfn.XLOOKUP($A75,Inputs!$A:$A,Inputs!E:E,,0)</f>
        <v>1</v>
      </c>
      <c r="F75" s="71">
        <f>_xlfn.XLOOKUP($A75,Inputs!$A:$A,Inputs!F:F,,0)</f>
        <v>1028</v>
      </c>
      <c r="G75" s="71">
        <f>_xlfn.XLOOKUP($A75,Inputs!$A:$A,Inputs!G:G,,0)</f>
        <v>-289</v>
      </c>
      <c r="H75" s="71">
        <f>_xlfn.XLOOKUP($A75,Inputs!$A:$A,Inputs!H:H,,0)</f>
        <v>-1561</v>
      </c>
      <c r="I75" s="71">
        <f>_xlfn.XLOOKUP($A75,Inputs!$A:$A,Inputs!I:I,,0)</f>
        <v>-6128</v>
      </c>
      <c r="J75" s="71">
        <f>_xlfn.XLOOKUP($A75,Inputs!$A:$A,Inputs!J:J,,0)</f>
        <v>-42930</v>
      </c>
      <c r="K75" s="71">
        <f>_xlfn.XLOOKUP($A75,Inputs!$A:$A,Inputs!K:K,,0)</f>
        <v>50435</v>
      </c>
      <c r="L75" s="71">
        <f>_xlfn.XLOOKUP($A75,Inputs!$A:$A,Inputs!L:L,,0)</f>
        <v>-10269</v>
      </c>
      <c r="M75" s="71">
        <f>_xlfn.XLOOKUP($A75,Inputs!$A:$A,Inputs!M:M,,0)</f>
        <v>6694</v>
      </c>
    </row>
    <row r="76" spans="1:235">
      <c r="K76" s="47"/>
      <c r="L76" s="47"/>
      <c r="M76" s="47"/>
    </row>
    <row r="77" spans="1:235" ht="20.65">
      <c r="A77" s="1126" t="s">
        <v>603</v>
      </c>
      <c r="B77" s="1126"/>
      <c r="C77" s="1126"/>
      <c r="D77" s="1126"/>
      <c r="E77" s="1126"/>
      <c r="F77" s="1126"/>
      <c r="G77" s="1126"/>
      <c r="H77" s="1126"/>
      <c r="I77" s="1126"/>
      <c r="J77" s="1126"/>
      <c r="K77" s="1126"/>
      <c r="L77" s="1126"/>
      <c r="M77" s="1126"/>
    </row>
    <row r="78" spans="1:235">
      <c r="A78" s="136" t="s">
        <v>604</v>
      </c>
      <c r="B78" s="61" t="e">
        <f>_xlfn.XLOOKUP($A78,Inputs!$A:$A,Inputs!B:B,,0)</f>
        <v>#N/A</v>
      </c>
      <c r="C78" s="61" t="e">
        <f>_xlfn.XLOOKUP($A78,Inputs!$A:$A,Inputs!C:C,,0)</f>
        <v>#N/A</v>
      </c>
      <c r="D78" s="61" t="e">
        <f>_xlfn.XLOOKUP($A78,Inputs!$A:$A,Inputs!D:D,,0)</f>
        <v>#N/A</v>
      </c>
      <c r="E78" s="61" t="e">
        <f>_xlfn.XLOOKUP($A78,Inputs!$A:$A,Inputs!E:E,,0)</f>
        <v>#N/A</v>
      </c>
      <c r="F78" s="61" t="e">
        <f>_xlfn.XLOOKUP($A78,Inputs!$A:$A,Inputs!F:F,,0)</f>
        <v>#N/A</v>
      </c>
      <c r="G78" s="61" t="e">
        <f>_xlfn.XLOOKUP($A78,Inputs!$A:$A,Inputs!G:G,,0)</f>
        <v>#N/A</v>
      </c>
      <c r="H78" s="61" t="e">
        <f>_xlfn.XLOOKUP($A78,Inputs!$A:$A,Inputs!H:H,,0)</f>
        <v>#N/A</v>
      </c>
      <c r="I78" s="61" t="e">
        <f>_xlfn.XLOOKUP($A78,Inputs!$A:$A,Inputs!I:I,,0)</f>
        <v>#N/A</v>
      </c>
      <c r="J78" s="61" t="e">
        <f>_xlfn.XLOOKUP($A78,Inputs!$A:$A,Inputs!J:J,,0)</f>
        <v>#N/A</v>
      </c>
      <c r="K78" s="61" t="e">
        <f>_xlfn.XLOOKUP($A78,Inputs!$A:$A,Inputs!K:K,,0)</f>
        <v>#N/A</v>
      </c>
      <c r="L78" s="61" t="e">
        <f>_xlfn.XLOOKUP($A78,Inputs!$A:$A,Inputs!L:L,,0)</f>
        <v>#N/A</v>
      </c>
      <c r="M78" s="61" t="e">
        <f>_xlfn.XLOOKUP($A78,Inputs!$A:$A,Inputs!M:M,,0)</f>
        <v>#N/A</v>
      </c>
    </row>
    <row r="79" spans="1:235">
      <c r="A79" s="142" t="s">
        <v>605</v>
      </c>
      <c r="B79" s="61" t="e">
        <f>_xlfn.XLOOKUP($A79,Inputs!$A:$A,Inputs!B:B,,0)</f>
        <v>#N/A</v>
      </c>
      <c r="C79" s="61" t="e">
        <f>_xlfn.XLOOKUP($A79,Inputs!$A:$A,Inputs!C:C,,0)</f>
        <v>#N/A</v>
      </c>
      <c r="D79" s="61" t="e">
        <f>_xlfn.XLOOKUP($A79,Inputs!$A:$A,Inputs!D:D,,0)</f>
        <v>#N/A</v>
      </c>
      <c r="E79" s="61" t="e">
        <f>_xlfn.XLOOKUP($A79,Inputs!$A:$A,Inputs!E:E,,0)</f>
        <v>#N/A</v>
      </c>
      <c r="F79" s="61" t="e">
        <f>_xlfn.XLOOKUP($A79,Inputs!$A:$A,Inputs!F:F,,0)</f>
        <v>#N/A</v>
      </c>
      <c r="G79" s="61" t="e">
        <f>_xlfn.XLOOKUP($A79,Inputs!$A:$A,Inputs!G:G,,0)</f>
        <v>#N/A</v>
      </c>
      <c r="H79" s="61" t="e">
        <f>_xlfn.XLOOKUP($A79,Inputs!$A:$A,Inputs!H:H,,0)</f>
        <v>#N/A</v>
      </c>
      <c r="I79" s="61" t="e">
        <f>_xlfn.XLOOKUP($A79,Inputs!$A:$A,Inputs!I:I,,0)</f>
        <v>#N/A</v>
      </c>
      <c r="J79" s="61" t="e">
        <f>_xlfn.XLOOKUP($A79,Inputs!$A:$A,Inputs!J:J,,0)</f>
        <v>#N/A</v>
      </c>
      <c r="K79" s="61" t="e">
        <f>_xlfn.XLOOKUP($A79,Inputs!$A:$A,Inputs!K:K,,0)</f>
        <v>#N/A</v>
      </c>
      <c r="L79" s="61" t="e">
        <f>_xlfn.XLOOKUP($A79,Inputs!$A:$A,Inputs!L:L,,0)</f>
        <v>#N/A</v>
      </c>
      <c r="M79" s="61" t="e">
        <f>_xlfn.XLOOKUP($A79,Inputs!$A:$A,Inputs!M:M,,0)</f>
        <v>#N/A</v>
      </c>
    </row>
    <row r="80" spans="1:235">
      <c r="A80" s="136" t="s">
        <v>51</v>
      </c>
      <c r="B80" s="61">
        <f>_xlfn.XLOOKUP($A80,Inputs!$A:$A,Inputs!B:B,,0)</f>
        <v>0.99970000000000003</v>
      </c>
      <c r="C80" s="61" t="str">
        <f>_xlfn.XLOOKUP($A80,Inputs!$A:$A,Inputs!C:C,,0)</f>
        <v>Yahoo finance</v>
      </c>
      <c r="D80" s="61">
        <f>_xlfn.XLOOKUP($A80,Inputs!$A:$A,Inputs!D:D,,0)</f>
        <v>0</v>
      </c>
      <c r="E80" s="61">
        <f>_xlfn.XLOOKUP($A80,Inputs!$A:$A,Inputs!E:E,,0)</f>
        <v>0</v>
      </c>
      <c r="F80" s="61">
        <f>_xlfn.XLOOKUP($A80,Inputs!$A:$A,Inputs!F:F,,0)</f>
        <v>0</v>
      </c>
      <c r="G80" s="61">
        <f>_xlfn.XLOOKUP($A80,Inputs!$A:$A,Inputs!G:G,,0)</f>
        <v>0</v>
      </c>
      <c r="H80" s="61">
        <f>_xlfn.XLOOKUP($A80,Inputs!$A:$A,Inputs!H:H,,0)</f>
        <v>0</v>
      </c>
      <c r="I80" s="61">
        <f>_xlfn.XLOOKUP($A80,Inputs!$A:$A,Inputs!I:I,,0)</f>
        <v>0</v>
      </c>
      <c r="J80" s="61">
        <f>_xlfn.XLOOKUP($A80,Inputs!$A:$A,Inputs!J:J,,0)</f>
        <v>0</v>
      </c>
      <c r="K80" s="61">
        <f>_xlfn.XLOOKUP($A80,Inputs!$A:$A,Inputs!K:K,,0)</f>
        <v>0</v>
      </c>
      <c r="L80" s="61">
        <f>_xlfn.XLOOKUP($A80,Inputs!$A:$A,Inputs!L:L,,0)</f>
        <v>0</v>
      </c>
      <c r="M80" s="61">
        <f>_xlfn.XLOOKUP($A80,Inputs!$A:$A,Inputs!M:M,,0)</f>
        <v>0</v>
      </c>
    </row>
    <row r="81" spans="1:13">
      <c r="A81" s="142" t="s">
        <v>56</v>
      </c>
      <c r="B81" s="61">
        <f>_xlfn.XLOOKUP($A81,Inputs!$A:$A,Inputs!B:B,,0)</f>
        <v>2.9999999999999997E-4</v>
      </c>
      <c r="C81" s="61" t="str">
        <f>_xlfn.XLOOKUP($A81,Inputs!$A:$A,Inputs!C:C,,0)</f>
        <v>Yahoo finance</v>
      </c>
      <c r="D81" s="61">
        <f>_xlfn.XLOOKUP($A81,Inputs!$A:$A,Inputs!D:D,,0)</f>
        <v>0</v>
      </c>
      <c r="E81" s="61">
        <f>_xlfn.XLOOKUP($A81,Inputs!$A:$A,Inputs!E:E,,0)</f>
        <v>0</v>
      </c>
      <c r="F81" s="61">
        <f>_xlfn.XLOOKUP($A81,Inputs!$A:$A,Inputs!F:F,,0)</f>
        <v>0</v>
      </c>
      <c r="G81" s="61">
        <f>_xlfn.XLOOKUP($A81,Inputs!$A:$A,Inputs!G:G,,0)</f>
        <v>0</v>
      </c>
      <c r="H81" s="61">
        <f>_xlfn.XLOOKUP($A81,Inputs!$A:$A,Inputs!H:H,,0)</f>
        <v>0</v>
      </c>
      <c r="I81" s="61">
        <f>_xlfn.XLOOKUP($A81,Inputs!$A:$A,Inputs!I:I,,0)</f>
        <v>0</v>
      </c>
      <c r="J81" s="61">
        <f>_xlfn.XLOOKUP($A81,Inputs!$A:$A,Inputs!J:J,,0)</f>
        <v>0</v>
      </c>
      <c r="K81" s="61">
        <f>_xlfn.XLOOKUP($A81,Inputs!$A:$A,Inputs!K:K,,0)</f>
        <v>0</v>
      </c>
      <c r="L81" s="61">
        <f>_xlfn.XLOOKUP($A81,Inputs!$A:$A,Inputs!L:L,,0)</f>
        <v>0</v>
      </c>
      <c r="M81" s="61">
        <f>_xlfn.XLOOKUP($A81,Inputs!$A:$A,Inputs!M:M,,0)</f>
        <v>0</v>
      </c>
    </row>
    <row r="82" spans="1:13">
      <c r="A82" s="136" t="s">
        <v>606</v>
      </c>
      <c r="B82" s="61" t="str">
        <f>_xlfn.XLOOKUP($A82,Inputs!$A:$A,Inputs!B:B,,0)</f>
        <v>BBB+</v>
      </c>
      <c r="C82" s="61" t="str">
        <f>_xlfn.XLOOKUP($A82,Inputs!$A:$A,Inputs!C:C,,0)</f>
        <v>10-K</v>
      </c>
      <c r="D82" s="61">
        <f>_xlfn.XLOOKUP($A82,Inputs!$A:$A,Inputs!D:D,,0)</f>
        <v>0</v>
      </c>
      <c r="E82" s="61">
        <f>_xlfn.XLOOKUP($A82,Inputs!$A:$A,Inputs!E:E,,0)</f>
        <v>0</v>
      </c>
      <c r="F82" s="61">
        <f>_xlfn.XLOOKUP($A82,Inputs!$A:$A,Inputs!F:F,,0)</f>
        <v>0</v>
      </c>
      <c r="G82" s="61">
        <f>_xlfn.XLOOKUP($A82,Inputs!$A:$A,Inputs!G:G,,0)</f>
        <v>0</v>
      </c>
      <c r="H82" s="61">
        <f>_xlfn.XLOOKUP($A82,Inputs!$A:$A,Inputs!H:H,,0)</f>
        <v>0</v>
      </c>
      <c r="I82" s="61">
        <f>_xlfn.XLOOKUP($A82,Inputs!$A:$A,Inputs!I:I,,0)</f>
        <v>0</v>
      </c>
      <c r="J82" s="61">
        <f>_xlfn.XLOOKUP($A82,Inputs!$A:$A,Inputs!J:J,,0)</f>
        <v>0</v>
      </c>
      <c r="K82" s="61">
        <f>_xlfn.XLOOKUP($A82,Inputs!$A:$A,Inputs!K:K,,0)</f>
        <v>0</v>
      </c>
      <c r="L82" s="61">
        <f>_xlfn.XLOOKUP($A82,Inputs!$A:$A,Inputs!L:L,,0)</f>
        <v>0</v>
      </c>
      <c r="M82" s="61">
        <f>_xlfn.XLOOKUP($A82,Inputs!$A:$A,Inputs!M:M,,0)</f>
        <v>0</v>
      </c>
    </row>
    <row r="83" spans="1:13">
      <c r="A83" s="136" t="s">
        <v>607</v>
      </c>
      <c r="B83" s="61" t="e">
        <f>_xlfn.XLOOKUP($A83,Inputs!$A:$A,Inputs!B:B,,0)</f>
        <v>#N/A</v>
      </c>
      <c r="C83" s="61" t="e">
        <f>_xlfn.XLOOKUP($A83,Inputs!$A:$A,Inputs!C:C,,0)</f>
        <v>#N/A</v>
      </c>
      <c r="D83" s="61" t="e">
        <f>_xlfn.XLOOKUP($A83,Inputs!$A:$A,Inputs!D:D,,0)</f>
        <v>#N/A</v>
      </c>
      <c r="E83" s="61" t="e">
        <f>_xlfn.XLOOKUP($A83,Inputs!$A:$A,Inputs!E:E,,0)</f>
        <v>#N/A</v>
      </c>
      <c r="F83" s="61" t="e">
        <f>_xlfn.XLOOKUP($A83,Inputs!$A:$A,Inputs!F:F,,0)</f>
        <v>#N/A</v>
      </c>
      <c r="G83" s="61" t="e">
        <f>_xlfn.XLOOKUP($A83,Inputs!$A:$A,Inputs!G:G,,0)</f>
        <v>#N/A</v>
      </c>
      <c r="H83" s="61" t="e">
        <f>_xlfn.XLOOKUP($A83,Inputs!$A:$A,Inputs!H:H,,0)</f>
        <v>#N/A</v>
      </c>
      <c r="I83" s="61" t="e">
        <f>_xlfn.XLOOKUP($A83,Inputs!$A:$A,Inputs!I:I,,0)</f>
        <v>#N/A</v>
      </c>
      <c r="J83" s="61" t="e">
        <f>_xlfn.XLOOKUP($A83,Inputs!$A:$A,Inputs!J:J,,0)</f>
        <v>#N/A</v>
      </c>
      <c r="K83" s="61" t="e">
        <f>_xlfn.XLOOKUP($A83,Inputs!$A:$A,Inputs!K:K,,0)</f>
        <v>#N/A</v>
      </c>
      <c r="L83" s="61" t="e">
        <f>_xlfn.XLOOKUP($A83,Inputs!$A:$A,Inputs!L:L,,0)</f>
        <v>#N/A</v>
      </c>
      <c r="M83" s="61" t="e">
        <f>_xlfn.XLOOKUP($A83,Inputs!$A:$A,Inputs!M:M,,0)</f>
        <v>#N/A</v>
      </c>
    </row>
    <row r="84" spans="1:13">
      <c r="A84" s="142" t="s">
        <v>608</v>
      </c>
      <c r="B84" s="61">
        <f>_xlfn.XLOOKUP($A84,Inputs!$A:$A,Inputs!B:B,,0)</f>
        <v>0</v>
      </c>
      <c r="C84" s="61" t="str">
        <f>_xlfn.XLOOKUP($A84,Inputs!$A:$A,Inputs!C:C,,0)</f>
        <v>Yahoo Finance</v>
      </c>
      <c r="D84" s="61">
        <f>_xlfn.XLOOKUP($A84,Inputs!$A:$A,Inputs!D:D,,0)</f>
        <v>0</v>
      </c>
      <c r="E84" s="61">
        <f>_xlfn.XLOOKUP($A84,Inputs!$A:$A,Inputs!E:E,,0)</f>
        <v>0</v>
      </c>
      <c r="F84" s="61">
        <f>_xlfn.XLOOKUP($A84,Inputs!$A:$A,Inputs!F:F,,0)</f>
        <v>0</v>
      </c>
      <c r="G84" s="61">
        <f>_xlfn.XLOOKUP($A84,Inputs!$A:$A,Inputs!G:G,,0)</f>
        <v>0</v>
      </c>
      <c r="H84" s="61">
        <f>_xlfn.XLOOKUP($A84,Inputs!$A:$A,Inputs!H:H,,0)</f>
        <v>0</v>
      </c>
      <c r="I84" s="61">
        <f>_xlfn.XLOOKUP($A84,Inputs!$A:$A,Inputs!I:I,,0)</f>
        <v>0</v>
      </c>
      <c r="J84" s="61">
        <f>_xlfn.XLOOKUP($A84,Inputs!$A:$A,Inputs!J:J,,0)</f>
        <v>0</v>
      </c>
      <c r="K84" s="61">
        <f>_xlfn.XLOOKUP($A84,Inputs!$A:$A,Inputs!K:K,,0)</f>
        <v>0</v>
      </c>
      <c r="L84" s="61">
        <f>_xlfn.XLOOKUP($A84,Inputs!$A:$A,Inputs!L:L,,0)</f>
        <v>0</v>
      </c>
      <c r="M84" s="61">
        <f>_xlfn.XLOOKUP($A84,Inputs!$A:$A,Inputs!M:M,,0)</f>
        <v>0</v>
      </c>
    </row>
    <row r="85" spans="1:13">
      <c r="B85" s="50"/>
      <c r="C85" s="50"/>
      <c r="D85" s="50"/>
      <c r="E85" s="50"/>
      <c r="F85" s="50"/>
      <c r="G85" s="50"/>
      <c r="H85" s="50"/>
      <c r="I85" s="50"/>
      <c r="J85" s="50"/>
      <c r="K85" s="50"/>
      <c r="L85" s="50"/>
      <c r="M85" s="50"/>
    </row>
    <row r="86" spans="1:13">
      <c r="B86" s="48">
        <v>2020</v>
      </c>
      <c r="C86" s="48">
        <v>2021</v>
      </c>
      <c r="D86" s="48">
        <v>2022</v>
      </c>
      <c r="G86" s="48"/>
      <c r="H86" s="50"/>
      <c r="I86" s="50"/>
      <c r="J86" s="50"/>
      <c r="K86" s="50"/>
      <c r="L86" s="50"/>
      <c r="M86" s="50"/>
    </row>
    <row r="87" spans="1:13">
      <c r="A87" s="136" t="s">
        <v>609</v>
      </c>
      <c r="B87" s="67">
        <v>0</v>
      </c>
      <c r="C87" s="67">
        <v>0</v>
      </c>
      <c r="D87" s="68">
        <v>0</v>
      </c>
      <c r="G87" s="50"/>
      <c r="H87" s="50"/>
      <c r="I87" s="50"/>
      <c r="J87" s="50"/>
      <c r="K87" s="50"/>
      <c r="L87" s="50"/>
      <c r="M87" s="50"/>
    </row>
    <row r="88" spans="1:13">
      <c r="A88" s="142" t="s">
        <v>78</v>
      </c>
      <c r="B88" s="67">
        <v>0</v>
      </c>
      <c r="C88" s="67">
        <v>0</v>
      </c>
      <c r="D88" s="68">
        <v>0</v>
      </c>
    </row>
    <row r="90" spans="1:13" ht="13.15">
      <c r="A90" s="14" t="s">
        <v>610</v>
      </c>
      <c r="B90" s="48" t="s">
        <v>611</v>
      </c>
      <c r="C90" s="48" t="s">
        <v>612</v>
      </c>
      <c r="D90" s="48" t="s">
        <v>613</v>
      </c>
      <c r="E90" s="48" t="s">
        <v>614</v>
      </c>
      <c r="G90" s="48"/>
    </row>
    <row r="91" spans="1:13">
      <c r="B91" s="75" t="e">
        <f>VLOOKUP($A91,Inputs!$A$5:$M$98,MATCH(B$4,Inputs!$B$5:$M$5,0)+1,FALSE)</f>
        <v>#N/A</v>
      </c>
      <c r="C91" s="75" t="e">
        <f>VLOOKUP($A91,Inputs!$A$5:$M$98,MATCH(C$4,Inputs!$B$5:$M$5,0)+1,FALSE)</f>
        <v>#N/A</v>
      </c>
      <c r="D91" s="75" t="e">
        <f>VLOOKUP($A91,Inputs!$A$5:$M$98,MATCH(D$4,Inputs!$B$5:$M$5,0)+1,FALSE)</f>
        <v>#N/A</v>
      </c>
      <c r="E91" s="75" t="e">
        <f>VLOOKUP($A91,Inputs!$A$5:$M$98,MATCH(E$4,Inputs!$B$5:$M$5,0)+1,FALSE)</f>
        <v>#N/A</v>
      </c>
    </row>
    <row r="92" spans="1:13">
      <c r="B92" s="76"/>
      <c r="C92" s="76"/>
      <c r="D92" s="2"/>
      <c r="E92" s="76"/>
      <c r="F92" s="2"/>
    </row>
    <row r="93" spans="1:13">
      <c r="B93" s="76"/>
      <c r="C93" s="76"/>
      <c r="D93" s="2"/>
      <c r="E93" s="76"/>
      <c r="F93" s="2"/>
    </row>
    <row r="94" spans="1:13">
      <c r="B94" s="76"/>
      <c r="C94" s="76"/>
      <c r="D94" s="2"/>
      <c r="E94" s="76"/>
      <c r="F94" s="2"/>
    </row>
    <row r="95" spans="1:13">
      <c r="B95" s="76"/>
      <c r="C95" s="76"/>
      <c r="D95" s="2"/>
      <c r="E95" s="76"/>
      <c r="F95" s="2"/>
    </row>
    <row r="96" spans="1:13">
      <c r="B96" s="76"/>
      <c r="C96" s="76"/>
      <c r="D96" s="2"/>
      <c r="E96" s="76"/>
      <c r="F96" s="2"/>
    </row>
    <row r="97" spans="2:6">
      <c r="B97" s="76"/>
      <c r="C97" s="76"/>
      <c r="D97" s="2"/>
      <c r="E97" s="76"/>
      <c r="F97" s="2"/>
    </row>
    <row r="98" spans="2:6">
      <c r="B98" s="76"/>
      <c r="C98" s="76"/>
      <c r="D98" s="2"/>
      <c r="E98" s="76"/>
      <c r="F98" s="2"/>
    </row>
    <row r="99" spans="2:6">
      <c r="B99" s="76"/>
      <c r="C99" s="76"/>
      <c r="D99" s="2"/>
      <c r="E99" s="76"/>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3C43-E167-4BFD-BD9D-9D0FA5A01626}">
  <sheetPr>
    <tabColor rgb="FFFFFF00"/>
  </sheetPr>
  <dimension ref="A1:IB88"/>
  <sheetViews>
    <sheetView showGridLines="0" workbookViewId="0">
      <selection sqref="A1:M1"/>
    </sheetView>
  </sheetViews>
  <sheetFormatPr defaultColWidth="11.42578125" defaultRowHeight="11.65"/>
  <cols>
    <col min="1" max="1" width="36.140625" style="47" customWidth="1"/>
    <col min="2" max="10" width="12.42578125" style="47" customWidth="1"/>
    <col min="11" max="12" width="12.42578125" style="56" customWidth="1"/>
    <col min="13" max="13" width="12.140625" style="56" bestFit="1" customWidth="1"/>
    <col min="14" max="16384" width="11.42578125" style="46"/>
  </cols>
  <sheetData>
    <row r="1" spans="1:14" ht="15">
      <c r="A1" s="1127" t="e" vm="1">
        <f>Inputs!H3</f>
        <v>#VALUE!</v>
      </c>
      <c r="B1" s="1127"/>
      <c r="C1" s="1127"/>
      <c r="D1" s="1127"/>
      <c r="E1" s="1127"/>
      <c r="F1" s="1127"/>
      <c r="G1" s="1127"/>
      <c r="H1" s="1127"/>
      <c r="I1" s="1127"/>
      <c r="J1" s="1127"/>
      <c r="K1" s="1127"/>
      <c r="L1" s="1127"/>
      <c r="M1" s="1127"/>
    </row>
    <row r="2" spans="1:14" ht="12" customHeight="1">
      <c r="A2" s="1128" t="str">
        <f>Inputs!G2</f>
        <v>Figures in Millions of USD</v>
      </c>
      <c r="B2" s="1128"/>
      <c r="C2" s="1128"/>
      <c r="D2" s="1128"/>
      <c r="E2" s="1128"/>
      <c r="F2" s="1128"/>
      <c r="G2" s="1128"/>
      <c r="H2" s="1128"/>
      <c r="I2" s="1128"/>
      <c r="J2" s="1128"/>
      <c r="K2" s="1128"/>
      <c r="L2" s="1128"/>
      <c r="M2" s="1128"/>
    </row>
    <row r="3" spans="1:14" ht="20.65">
      <c r="A3" s="1126" t="s">
        <v>572</v>
      </c>
      <c r="B3" s="1126"/>
      <c r="C3" s="1126"/>
      <c r="D3" s="1126"/>
      <c r="E3" s="1126"/>
      <c r="F3" s="1126"/>
      <c r="G3" s="1126"/>
      <c r="H3" s="1126"/>
      <c r="I3" s="1126"/>
      <c r="J3" s="1126"/>
      <c r="K3" s="1126"/>
      <c r="L3" s="1126"/>
      <c r="M3" s="1126"/>
    </row>
    <row r="4" spans="1:14">
      <c r="A4" s="58"/>
      <c r="B4" s="59">
        <f>OP!J19</f>
        <v>2022</v>
      </c>
      <c r="C4" s="48">
        <f>B4-1</f>
        <v>2021</v>
      </c>
      <c r="D4" s="48">
        <f t="shared" ref="D4:M4" si="0">C4-1</f>
        <v>2020</v>
      </c>
      <c r="E4" s="48">
        <f t="shared" si="0"/>
        <v>2019</v>
      </c>
      <c r="F4" s="48">
        <f t="shared" si="0"/>
        <v>2018</v>
      </c>
      <c r="G4" s="48">
        <f t="shared" si="0"/>
        <v>2017</v>
      </c>
      <c r="H4" s="48">
        <f t="shared" si="0"/>
        <v>2016</v>
      </c>
      <c r="I4" s="48">
        <f t="shared" si="0"/>
        <v>2015</v>
      </c>
      <c r="J4" s="48">
        <f t="shared" si="0"/>
        <v>2014</v>
      </c>
      <c r="K4" s="48">
        <f t="shared" si="0"/>
        <v>2013</v>
      </c>
      <c r="L4" s="48">
        <f t="shared" si="0"/>
        <v>2012</v>
      </c>
      <c r="M4" s="48">
        <f t="shared" si="0"/>
        <v>2011</v>
      </c>
      <c r="N4" s="51"/>
    </row>
    <row r="5" spans="1:14" ht="12.75">
      <c r="A5" s="60" t="s">
        <v>129</v>
      </c>
      <c r="B5" s="61">
        <f>_xlfn.XLOOKUP($A5,Inputs!$A:$A,Inputs!B:B,,0)</f>
        <v>136835</v>
      </c>
      <c r="C5" s="61">
        <f>_xlfn.XLOOKUP($A5,Inputs!$A:$A,Inputs!C:C,,0)</f>
        <v>133613</v>
      </c>
      <c r="D5" s="61">
        <f>_xlfn.XLOOKUP($A5,Inputs!$A:$A,Inputs!D:D,,0)</f>
        <v>128292</v>
      </c>
      <c r="E5" s="61">
        <f>_xlfn.XLOOKUP($A5,Inputs!$A:$A,Inputs!E:E,,0)</f>
        <v>131868</v>
      </c>
      <c r="F5" s="61">
        <f>_xlfn.XLOOKUP($A5,Inputs!$A:$A,Inputs!F:F,,0)</f>
        <v>130863</v>
      </c>
      <c r="G5" s="61">
        <f>_xlfn.XLOOKUP($A5,Inputs!$A:$A,Inputs!G:G,,0)</f>
        <v>126034</v>
      </c>
      <c r="H5" s="61">
        <f>_xlfn.XLOOKUP($A5,Inputs!$A:$A,Inputs!H:H,,0)</f>
        <v>125980</v>
      </c>
      <c r="I5" s="61">
        <f>_xlfn.XLOOKUP($A5,Inputs!$A:$A,Inputs!I:I,,0)</f>
        <v>131620</v>
      </c>
      <c r="J5" s="61">
        <f>_xlfn.XLOOKUP($A5,Inputs!$A:$A,Inputs!J:J,,0)</f>
        <v>127079</v>
      </c>
      <c r="K5" s="61">
        <f>_xlfn.XLOOKUP($A5,Inputs!$A:$A,Inputs!K:K,,0)</f>
        <v>120550</v>
      </c>
      <c r="L5" s="61">
        <f>_xlfn.XLOOKUP($A5,Inputs!$A:$A,Inputs!L:L,,0)</f>
        <v>115846</v>
      </c>
      <c r="M5" s="62">
        <f>_xlfn.XLOOKUP($A5,Inputs!$A:$A,Inputs!M:M,,0)</f>
        <v>110875</v>
      </c>
      <c r="N5" s="51"/>
    </row>
    <row r="6" spans="1:14" ht="13.15">
      <c r="A6" s="63" t="s">
        <v>573</v>
      </c>
      <c r="B6" s="64">
        <f t="shared" ref="B6:M6" si="1">IFERROR(B5/C5-1,"-")</f>
        <v>2.4114420004041515E-2</v>
      </c>
      <c r="C6" s="64">
        <f t="shared" si="1"/>
        <v>4.1475696068344003E-2</v>
      </c>
      <c r="D6" s="64">
        <f t="shared" si="1"/>
        <v>-2.7118027118027133E-2</v>
      </c>
      <c r="E6" s="64">
        <f t="shared" si="1"/>
        <v>7.6797872584306592E-3</v>
      </c>
      <c r="F6" s="64">
        <f t="shared" si="1"/>
        <v>3.8315057841534772E-2</v>
      </c>
      <c r="G6" s="64">
        <f t="shared" si="1"/>
        <v>4.2863946658200369E-4</v>
      </c>
      <c r="H6" s="64">
        <f t="shared" si="1"/>
        <v>-4.2850630603251783E-2</v>
      </c>
      <c r="I6" s="64">
        <f t="shared" si="1"/>
        <v>3.5733677476215586E-2</v>
      </c>
      <c r="J6" s="64">
        <f t="shared" si="1"/>
        <v>5.4160099543757667E-2</v>
      </c>
      <c r="K6" s="64">
        <f t="shared" si="1"/>
        <v>4.0605631614384574E-2</v>
      </c>
      <c r="L6" s="64">
        <f t="shared" si="1"/>
        <v>4.4834272829763266E-2</v>
      </c>
      <c r="M6" s="65" t="str">
        <f t="shared" si="1"/>
        <v>-</v>
      </c>
      <c r="N6" s="51"/>
    </row>
    <row r="7" spans="1:14" ht="12.75">
      <c r="A7" s="60" t="s">
        <v>574</v>
      </c>
      <c r="B7" s="61">
        <f>_xlfn.XLOOKUP($A7,Inputs!$A:$A,Inputs!B:B,,0)</f>
        <v>77702</v>
      </c>
      <c r="C7" s="61">
        <f>_xlfn.XLOOKUP($A7,Inputs!$A:$A,Inputs!C:C,,0)</f>
        <v>77312</v>
      </c>
      <c r="D7" s="61">
        <f>_xlfn.XLOOKUP($A7,Inputs!$A:$A,Inputs!D:D,,0)</f>
        <v>77091</v>
      </c>
      <c r="E7" s="61">
        <f>_xlfn.XLOOKUP($A7,Inputs!$A:$A,Inputs!E:E,,0)</f>
        <v>77142</v>
      </c>
      <c r="F7" s="61">
        <f>_xlfn.XLOOKUP($A7,Inputs!$A:$A,Inputs!F:F,,0)</f>
        <v>75658</v>
      </c>
      <c r="G7" s="61">
        <f>_xlfn.XLOOKUP($A7,Inputs!$A:$A,Inputs!G:G,,0)</f>
        <v>73142</v>
      </c>
      <c r="H7" s="61">
        <f>_xlfn.XLOOKUP($A7,Inputs!$A:$A,Inputs!H:H,,0)</f>
        <v>73279</v>
      </c>
      <c r="I7" s="61">
        <f>_xlfn.XLOOKUP($A7,Inputs!$A:$A,Inputs!I:I,,0)</f>
        <v>79063</v>
      </c>
      <c r="J7" s="61">
        <f>_xlfn.XLOOKUP($A7,Inputs!$A:$A,Inputs!J:J,,0)</f>
        <v>77175</v>
      </c>
      <c r="K7" s="61">
        <f>_xlfn.XLOOKUP($A7,Inputs!$A:$A,Inputs!K:K,,0)</f>
        <v>75663</v>
      </c>
      <c r="L7" s="61">
        <f>_xlfn.XLOOKUP($A7,Inputs!$A:$A,Inputs!L:L,,0)</f>
        <v>69611</v>
      </c>
      <c r="M7" s="62">
        <f>_xlfn.XLOOKUP($A7,Inputs!$A:$A,Inputs!M:M,,0)</f>
        <v>65000</v>
      </c>
      <c r="N7" s="51"/>
    </row>
    <row r="8" spans="1:14" ht="13.15">
      <c r="A8" s="63" t="s">
        <v>575</v>
      </c>
      <c r="B8" s="64">
        <f>IFERROR(B7/B$5,"-")</f>
        <v>0.56785179230460048</v>
      </c>
      <c r="C8" s="64">
        <f t="shared" ref="C8:M8" si="2">IFERROR(C7/C$5,"-")</f>
        <v>0.57862633127016083</v>
      </c>
      <c r="D8" s="64">
        <f t="shared" si="2"/>
        <v>0.60090262837901043</v>
      </c>
      <c r="E8" s="64">
        <f t="shared" si="2"/>
        <v>0.58499408499408501</v>
      </c>
      <c r="F8" s="64">
        <f t="shared" si="2"/>
        <v>0.57814661134163214</v>
      </c>
      <c r="G8" s="64">
        <f t="shared" si="2"/>
        <v>0.58033546503324496</v>
      </c>
      <c r="H8" s="64">
        <f t="shared" si="2"/>
        <v>0.58167169391966977</v>
      </c>
      <c r="I8" s="64">
        <f t="shared" si="2"/>
        <v>0.60069138428810209</v>
      </c>
      <c r="J8" s="64">
        <f t="shared" si="2"/>
        <v>0.60729939643843589</v>
      </c>
      <c r="K8" s="64">
        <f t="shared" si="2"/>
        <v>0.62764827872252182</v>
      </c>
      <c r="L8" s="64">
        <f t="shared" si="2"/>
        <v>0.60089256426635362</v>
      </c>
      <c r="M8" s="65">
        <f t="shared" si="2"/>
        <v>0.58624577226606533</v>
      </c>
      <c r="N8" s="51"/>
    </row>
    <row r="9" spans="1:14" ht="12.75">
      <c r="A9" s="60" t="s">
        <v>576</v>
      </c>
      <c r="B9" s="61">
        <f t="shared" ref="B9:M9" si="3">B5-B11</f>
        <v>106368</v>
      </c>
      <c r="C9" s="61">
        <f t="shared" si="3"/>
        <v>101165</v>
      </c>
      <c r="D9" s="61">
        <f t="shared" si="3"/>
        <v>99494</v>
      </c>
      <c r="E9" s="61">
        <f t="shared" si="3"/>
        <v>101490</v>
      </c>
      <c r="F9" s="61">
        <f t="shared" si="3"/>
        <v>108585</v>
      </c>
      <c r="G9" s="61">
        <f t="shared" si="3"/>
        <v>98609</v>
      </c>
      <c r="H9" s="61">
        <f t="shared" si="3"/>
        <v>98921</v>
      </c>
      <c r="I9" s="61">
        <f t="shared" si="3"/>
        <v>98560</v>
      </c>
      <c r="J9" s="61">
        <f t="shared" si="3"/>
        <v>107480</v>
      </c>
      <c r="K9" s="61">
        <f t="shared" si="3"/>
        <v>88582</v>
      </c>
      <c r="L9" s="61">
        <f t="shared" si="3"/>
        <v>102686</v>
      </c>
      <c r="M9" s="62">
        <f t="shared" si="3"/>
        <v>97995</v>
      </c>
      <c r="N9" s="51"/>
    </row>
    <row r="10" spans="1:14" ht="13.15">
      <c r="A10" s="63" t="s">
        <v>575</v>
      </c>
      <c r="B10" s="64">
        <f>IFERROR(B9/B$5,"-")</f>
        <v>0.77734497752767928</v>
      </c>
      <c r="C10" s="64">
        <f t="shared" ref="C10:M10" si="4">IFERROR(C9/C$5,"-")</f>
        <v>0.75714937917717584</v>
      </c>
      <c r="D10" s="64">
        <f t="shared" si="4"/>
        <v>0.77552770242883418</v>
      </c>
      <c r="E10" s="64">
        <f t="shared" si="4"/>
        <v>0.76963326963326961</v>
      </c>
      <c r="F10" s="64">
        <f t="shared" si="4"/>
        <v>0.82976089498177485</v>
      </c>
      <c r="G10" s="64">
        <f t="shared" si="4"/>
        <v>0.78239998730501292</v>
      </c>
      <c r="H10" s="64">
        <f t="shared" si="4"/>
        <v>0.78521193840292114</v>
      </c>
      <c r="I10" s="64">
        <f t="shared" si="4"/>
        <v>0.74882236742136454</v>
      </c>
      <c r="J10" s="64">
        <f t="shared" si="4"/>
        <v>0.84577310177133913</v>
      </c>
      <c r="K10" s="64">
        <f t="shared" si="4"/>
        <v>0.73481542928245547</v>
      </c>
      <c r="L10" s="64">
        <f t="shared" si="4"/>
        <v>0.88640091155499545</v>
      </c>
      <c r="M10" s="65">
        <f t="shared" si="4"/>
        <v>0.88383314543404734</v>
      </c>
      <c r="N10" s="51"/>
    </row>
    <row r="11" spans="1:14" ht="12.75">
      <c r="A11" s="60" t="s">
        <v>277</v>
      </c>
      <c r="B11" s="61">
        <f>_xlfn.XLOOKUP($A11,Inputs!$A:$A,Inputs!B:B,,0)</f>
        <v>30467</v>
      </c>
      <c r="C11" s="61">
        <f>_xlfn.XLOOKUP($A11,Inputs!$A:$A,Inputs!C:C,,0)</f>
        <v>32448</v>
      </c>
      <c r="D11" s="61">
        <f>_xlfn.XLOOKUP($A11,Inputs!$A:$A,Inputs!D:D,,0)</f>
        <v>28798</v>
      </c>
      <c r="E11" s="61">
        <f>_xlfn.XLOOKUP($A11,Inputs!$A:$A,Inputs!E:E,,0)</f>
        <v>30378</v>
      </c>
      <c r="F11" s="61">
        <f>_xlfn.XLOOKUP($A11,Inputs!$A:$A,Inputs!F:F,,0)</f>
        <v>22278</v>
      </c>
      <c r="G11" s="61">
        <f>_xlfn.XLOOKUP($A11,Inputs!$A:$A,Inputs!G:G,,0)</f>
        <v>27425</v>
      </c>
      <c r="H11" s="61">
        <f>_xlfn.XLOOKUP($A11,Inputs!$A:$A,Inputs!H:H,,0)</f>
        <v>27059</v>
      </c>
      <c r="I11" s="61">
        <f>_xlfn.XLOOKUP($A11,Inputs!$A:$A,Inputs!I:I,,0)</f>
        <v>33060</v>
      </c>
      <c r="J11" s="61">
        <f>_xlfn.XLOOKUP($A11,Inputs!$A:$A,Inputs!J:J,,0)</f>
        <v>19599</v>
      </c>
      <c r="K11" s="61">
        <f>_xlfn.XLOOKUP($A11,Inputs!$A:$A,Inputs!K:K,,0)</f>
        <v>31968</v>
      </c>
      <c r="L11" s="61">
        <f>_xlfn.XLOOKUP($A11,Inputs!$A:$A,Inputs!L:L,,0)</f>
        <v>13160</v>
      </c>
      <c r="M11" s="62">
        <f>_xlfn.XLOOKUP($A11,Inputs!$A:$A,Inputs!M:M,,0)</f>
        <v>12880</v>
      </c>
      <c r="N11" s="51"/>
    </row>
    <row r="12" spans="1:14" ht="13.15">
      <c r="A12" s="63" t="s">
        <v>575</v>
      </c>
      <c r="B12" s="64">
        <f t="shared" ref="B12:M12" si="5">IFERROR(B11/B$5,"-")</f>
        <v>0.22265502247232069</v>
      </c>
      <c r="C12" s="64">
        <f t="shared" si="5"/>
        <v>0.24285062082282413</v>
      </c>
      <c r="D12" s="64">
        <f t="shared" si="5"/>
        <v>0.22447229757116577</v>
      </c>
      <c r="E12" s="64">
        <f t="shared" si="5"/>
        <v>0.23036673036673036</v>
      </c>
      <c r="F12" s="64">
        <f t="shared" si="5"/>
        <v>0.17023910501822517</v>
      </c>
      <c r="G12" s="64">
        <f t="shared" si="5"/>
        <v>0.21760001269498708</v>
      </c>
      <c r="H12" s="64">
        <f t="shared" si="5"/>
        <v>0.21478806159707889</v>
      </c>
      <c r="I12" s="64">
        <f t="shared" si="5"/>
        <v>0.25117763257863546</v>
      </c>
      <c r="J12" s="64">
        <f t="shared" si="5"/>
        <v>0.15422689822866092</v>
      </c>
      <c r="K12" s="64">
        <f t="shared" si="5"/>
        <v>0.26518457071754459</v>
      </c>
      <c r="L12" s="64">
        <f t="shared" si="5"/>
        <v>0.11359908844500458</v>
      </c>
      <c r="M12" s="65">
        <f t="shared" si="5"/>
        <v>0.11616685456595265</v>
      </c>
      <c r="N12" s="51"/>
    </row>
    <row r="13" spans="1:14" ht="13.15">
      <c r="A13" s="60" t="s">
        <v>577</v>
      </c>
      <c r="B13" s="64">
        <f t="shared" ref="B13:M13" si="6">IFERROR(B12/C12-1,"-")</f>
        <v>-8.3160579462703943E-2</v>
      </c>
      <c r="C13" s="64">
        <f t="shared" si="6"/>
        <v>8.1873458108262964E-2</v>
      </c>
      <c r="D13" s="64">
        <f t="shared" si="6"/>
        <v>-2.5587170448532204E-2</v>
      </c>
      <c r="E13" s="64">
        <f t="shared" si="6"/>
        <v>0.35319514480570224</v>
      </c>
      <c r="F13" s="64">
        <f t="shared" si="6"/>
        <v>-0.21765121743420268</v>
      </c>
      <c r="G13" s="64">
        <f t="shared" si="6"/>
        <v>1.3091747637180795E-2</v>
      </c>
      <c r="H13" s="64">
        <f t="shared" si="6"/>
        <v>-0.14487584188120006</v>
      </c>
      <c r="I13" s="64">
        <f t="shared" si="6"/>
        <v>0.62862403033116032</v>
      </c>
      <c r="J13" s="64">
        <f t="shared" si="6"/>
        <v>-0.41841677360281926</v>
      </c>
      <c r="K13" s="64">
        <f t="shared" si="6"/>
        <v>1.334389952837741</v>
      </c>
      <c r="L13" s="64">
        <f t="shared" si="6"/>
        <v>-2.2104120237586788E-2</v>
      </c>
      <c r="M13" s="65" t="str">
        <f t="shared" si="6"/>
        <v>-</v>
      </c>
      <c r="N13" s="51"/>
    </row>
    <row r="14" spans="1:14" ht="12.75">
      <c r="A14" s="66" t="s">
        <v>278</v>
      </c>
      <c r="B14" s="61">
        <f>_xlfn.XLOOKUP($A14,Inputs!$A:$A,Inputs!B:B,,0)</f>
        <v>-3569</v>
      </c>
      <c r="C14" s="61">
        <f>_xlfn.XLOOKUP($A14,Inputs!$A:$A,Inputs!C:C,,0)</f>
        <v>-3340</v>
      </c>
      <c r="D14" s="61">
        <f>_xlfn.XLOOKUP($A14,Inputs!$A:$A,Inputs!D:D,,0)</f>
        <v>-4247</v>
      </c>
      <c r="E14" s="61">
        <f>_xlfn.XLOOKUP($A14,Inputs!$A:$A,Inputs!E:E,,0)</f>
        <v>-4730</v>
      </c>
      <c r="F14" s="61">
        <f>_xlfn.XLOOKUP($A14,Inputs!$A:$A,Inputs!F:F,,0)</f>
        <v>-4833</v>
      </c>
      <c r="G14" s="61">
        <f>_xlfn.XLOOKUP($A14,Inputs!$A:$A,Inputs!G:G,,0)</f>
        <v>-4733</v>
      </c>
      <c r="H14" s="61">
        <f>_xlfn.XLOOKUP($A14,Inputs!$A:$A,Inputs!H:H,,0)</f>
        <v>-4376</v>
      </c>
      <c r="I14" s="61">
        <f>_xlfn.XLOOKUP($A14,Inputs!$A:$A,Inputs!I:I,,0)</f>
        <v>-4920</v>
      </c>
      <c r="J14" s="61">
        <f>_xlfn.XLOOKUP($A14,Inputs!$A:$A,Inputs!J:J,,0)</f>
        <v>-4915</v>
      </c>
      <c r="K14" s="61">
        <f>_xlfn.XLOOKUP($A14,Inputs!$A:$A,Inputs!K:K,,0)</f>
        <v>-2667</v>
      </c>
      <c r="L14" s="61">
        <f>_xlfn.XLOOKUP($A14,Inputs!$A:$A,Inputs!L:L,,0)</f>
        <v>-2571</v>
      </c>
      <c r="M14" s="62">
        <f>_xlfn.XLOOKUP($A14,Inputs!$A:$A,Inputs!M:M,,0)</f>
        <v>-2827</v>
      </c>
      <c r="N14" s="51"/>
    </row>
    <row r="15" spans="1:14" ht="12.75">
      <c r="A15" s="60" t="s">
        <v>578</v>
      </c>
      <c r="B15" s="61">
        <f>_xlfn.XLOOKUP($A15,Inputs!$A:$A,Inputs!B:B,,0)</f>
        <v>1373</v>
      </c>
      <c r="C15" s="61">
        <f>_xlfn.XLOOKUP($A15,Inputs!$A:$A,Inputs!C:C,,0)</f>
        <v>312</v>
      </c>
      <c r="D15" s="61">
        <f>_xlfn.XLOOKUP($A15,Inputs!$A:$A,Inputs!D:D,,0)</f>
        <v>-584</v>
      </c>
      <c r="E15" s="61">
        <f>_xlfn.XLOOKUP($A15,Inputs!$A:$A,Inputs!E:E,,0)</f>
        <v>-2915</v>
      </c>
      <c r="F15" s="61">
        <f>_xlfn.XLOOKUP($A15,Inputs!$A:$A,Inputs!F:F,,0)</f>
        <v>2178</v>
      </c>
      <c r="G15" s="61">
        <f>_xlfn.XLOOKUP($A15,Inputs!$A:$A,Inputs!G:G,,0)</f>
        <v>-2098</v>
      </c>
      <c r="H15" s="61">
        <f>_xlfn.XLOOKUP($A15,Inputs!$A:$A,Inputs!H:H,,0)</f>
        <v>-1697</v>
      </c>
      <c r="I15" s="61">
        <f>_xlfn.XLOOKUP($A15,Inputs!$A:$A,Inputs!I:I,,0)</f>
        <v>100</v>
      </c>
      <c r="J15" s="61">
        <f>_xlfn.XLOOKUP($A15,Inputs!$A:$A,Inputs!J:J,,0)</f>
        <v>586</v>
      </c>
      <c r="K15" s="61">
        <f>_xlfn.XLOOKUP($A15,Inputs!$A:$A,Inputs!K:K,,0)</f>
        <v>-24</v>
      </c>
      <c r="L15" s="61">
        <f>_xlfn.XLOOKUP($A15,Inputs!$A:$A,Inputs!L:L,,0)</f>
        <v>-692</v>
      </c>
      <c r="M15" s="62">
        <f>_xlfn.XLOOKUP($A15,Inputs!$A:$A,Inputs!M:M,,0)</f>
        <v>430</v>
      </c>
      <c r="N15" s="51"/>
    </row>
    <row r="16" spans="1:14" ht="12.75">
      <c r="A16" s="66" t="s">
        <v>68</v>
      </c>
      <c r="B16" s="61">
        <f>B11-B15</f>
        <v>29094</v>
      </c>
      <c r="C16" s="61">
        <f t="shared" ref="C16:M16" si="7">C11-C15</f>
        <v>32136</v>
      </c>
      <c r="D16" s="61">
        <f t="shared" si="7"/>
        <v>29382</v>
      </c>
      <c r="E16" s="61">
        <f t="shared" si="7"/>
        <v>33293</v>
      </c>
      <c r="F16" s="61">
        <f t="shared" si="7"/>
        <v>20100</v>
      </c>
      <c r="G16" s="61">
        <f t="shared" si="7"/>
        <v>29523</v>
      </c>
      <c r="H16" s="61">
        <f t="shared" si="7"/>
        <v>28756</v>
      </c>
      <c r="I16" s="61">
        <f t="shared" si="7"/>
        <v>32960</v>
      </c>
      <c r="J16" s="61">
        <f t="shared" si="7"/>
        <v>19013</v>
      </c>
      <c r="K16" s="61">
        <f t="shared" si="7"/>
        <v>31992</v>
      </c>
      <c r="L16" s="61">
        <f t="shared" si="7"/>
        <v>13852</v>
      </c>
      <c r="M16" s="62">
        <f t="shared" si="7"/>
        <v>12450</v>
      </c>
      <c r="N16" s="51"/>
    </row>
    <row r="17" spans="1:14" ht="12.75">
      <c r="A17" s="60" t="s">
        <v>615</v>
      </c>
      <c r="B17" s="61">
        <f>'Fin. Data'!B17</f>
        <v>17099</v>
      </c>
      <c r="C17" s="61">
        <f>'Fin. Data'!C17</f>
        <v>16206</v>
      </c>
      <c r="D17" s="61">
        <f>'Fin. Data'!D17</f>
        <v>16720</v>
      </c>
      <c r="E17" s="61">
        <f>'Fin. Data'!E17</f>
        <v>16682</v>
      </c>
      <c r="F17" s="61">
        <f>'Fin. Data'!F17</f>
        <v>17403</v>
      </c>
      <c r="G17" s="61">
        <f>'Fin. Data'!G17</f>
        <v>16954</v>
      </c>
      <c r="H17" s="61">
        <f>'Fin. Data'!H17</f>
        <v>15928</v>
      </c>
      <c r="I17" s="61">
        <f>'Fin. Data'!I17</f>
        <v>16017</v>
      </c>
      <c r="J17" s="61">
        <f>'Fin. Data'!J17</f>
        <v>16533</v>
      </c>
      <c r="K17" s="61">
        <f>'Fin. Data'!K17</f>
        <v>16606</v>
      </c>
      <c r="L17" s="61">
        <f>'Fin. Data'!L17</f>
        <v>16460</v>
      </c>
      <c r="M17" s="62">
        <f>'Fin. Data'!M17</f>
        <v>16496</v>
      </c>
      <c r="N17" s="51"/>
    </row>
    <row r="18" spans="1:14" ht="12.75">
      <c r="A18" s="66" t="s">
        <v>579</v>
      </c>
      <c r="B18" s="61">
        <f>_xlfn.XLOOKUP($A18,Inputs!$A:$A,Inputs!B:B,,0)</f>
        <v>-1566</v>
      </c>
      <c r="C18" s="61">
        <f>_xlfn.XLOOKUP($A18,Inputs!$A:$A,Inputs!C:C,,0)</f>
        <v>-6116</v>
      </c>
      <c r="D18" s="61">
        <f>_xlfn.XLOOKUP($A18,Inputs!$A:$A,Inputs!D:D,,0)</f>
        <v>2752</v>
      </c>
      <c r="E18" s="61">
        <f>_xlfn.XLOOKUP($A18,Inputs!$A:$A,Inputs!E:E,,0)</f>
        <v>-3950</v>
      </c>
      <c r="F18" s="61">
        <f>_xlfn.XLOOKUP($A18,Inputs!$A:$A,Inputs!F:F,,0)</f>
        <v>-836</v>
      </c>
      <c r="G18" s="61">
        <f>_xlfn.XLOOKUP($A18,Inputs!$A:$A,Inputs!G:G,,0)</f>
        <v>1622</v>
      </c>
      <c r="H18" s="61">
        <f>_xlfn.XLOOKUP($A18,Inputs!$A:$A,Inputs!H:H,,0)</f>
        <v>10417</v>
      </c>
      <c r="I18" s="61">
        <f>_xlfn.XLOOKUP($A18,Inputs!$A:$A,Inputs!I:I,,0)</f>
        <v>-8156</v>
      </c>
      <c r="J18" s="61">
        <f>_xlfn.XLOOKUP($A18,Inputs!$A:$A,Inputs!J:J,,0)</f>
        <v>498</v>
      </c>
      <c r="K18" s="61">
        <f>_xlfn.XLOOKUP($A18,Inputs!$A:$A,Inputs!K:K,,0)</f>
        <v>-770</v>
      </c>
      <c r="L18" s="61">
        <f>_xlfn.XLOOKUP($A18,Inputs!$A:$A,Inputs!L:L,,0)</f>
        <v>4370</v>
      </c>
      <c r="M18" s="62">
        <f>_xlfn.XLOOKUP($A18,Inputs!$A:$A,Inputs!M:M,,0)</f>
        <v>0</v>
      </c>
      <c r="N18" s="51"/>
    </row>
    <row r="19" spans="1:14" ht="12.75">
      <c r="A19" s="60" t="s">
        <v>59</v>
      </c>
      <c r="B19" s="61">
        <f>B11-B15+B17</f>
        <v>46193</v>
      </c>
      <c r="C19" s="61">
        <f t="shared" ref="C19:M19" si="8">C11-C15+C17</f>
        <v>48342</v>
      </c>
      <c r="D19" s="61">
        <f t="shared" si="8"/>
        <v>46102</v>
      </c>
      <c r="E19" s="61">
        <f t="shared" si="8"/>
        <v>49975</v>
      </c>
      <c r="F19" s="61">
        <f t="shared" si="8"/>
        <v>37503</v>
      </c>
      <c r="G19" s="61">
        <f t="shared" si="8"/>
        <v>46477</v>
      </c>
      <c r="H19" s="61">
        <f t="shared" si="8"/>
        <v>44684</v>
      </c>
      <c r="I19" s="61">
        <f t="shared" si="8"/>
        <v>48977</v>
      </c>
      <c r="J19" s="61">
        <f t="shared" si="8"/>
        <v>35546</v>
      </c>
      <c r="K19" s="61">
        <f t="shared" si="8"/>
        <v>48598</v>
      </c>
      <c r="L19" s="61">
        <f t="shared" si="8"/>
        <v>30312</v>
      </c>
      <c r="M19" s="62">
        <f t="shared" si="8"/>
        <v>28946</v>
      </c>
      <c r="N19" s="51"/>
    </row>
    <row r="20" spans="1:14" ht="13.15">
      <c r="A20" s="63" t="s">
        <v>575</v>
      </c>
      <c r="B20" s="64">
        <f t="shared" ref="B20:M20" si="9">IFERROR(B19/B$5,"-")</f>
        <v>0.33758175905287391</v>
      </c>
      <c r="C20" s="64">
        <f t="shared" si="9"/>
        <v>0.36180611168074961</v>
      </c>
      <c r="D20" s="64">
        <f t="shared" si="9"/>
        <v>0.35935210301499704</v>
      </c>
      <c r="E20" s="64">
        <f t="shared" si="9"/>
        <v>0.37897746231079565</v>
      </c>
      <c r="F20" s="64">
        <f t="shared" si="9"/>
        <v>0.28658215079892713</v>
      </c>
      <c r="G20" s="64">
        <f t="shared" si="9"/>
        <v>0.36876557119507436</v>
      </c>
      <c r="H20" s="64">
        <f t="shared" si="9"/>
        <v>0.35469122082870297</v>
      </c>
      <c r="I20" s="64">
        <f t="shared" si="9"/>
        <v>0.37210910196018843</v>
      </c>
      <c r="J20" s="64">
        <f t="shared" si="9"/>
        <v>0.27971576735731318</v>
      </c>
      <c r="K20" s="64">
        <f t="shared" si="9"/>
        <v>0.40313562836997097</v>
      </c>
      <c r="L20" s="64">
        <f t="shared" si="9"/>
        <v>0.26165771800493759</v>
      </c>
      <c r="M20" s="65">
        <f t="shared" si="9"/>
        <v>0.26106877113866966</v>
      </c>
      <c r="N20" s="51"/>
    </row>
    <row r="21" spans="1:14" ht="12.75">
      <c r="A21" s="60" t="s">
        <v>279</v>
      </c>
      <c r="B21" s="61">
        <f>_xlfn.XLOOKUP($A21,Inputs!$A:$A,Inputs!B:B,,0)</f>
        <v>-6523</v>
      </c>
      <c r="C21" s="61">
        <f>_xlfn.XLOOKUP($A21,Inputs!$A:$A,Inputs!C:C,,0)</f>
        <v>-6802</v>
      </c>
      <c r="D21" s="61">
        <f>_xlfn.XLOOKUP($A21,Inputs!$A:$A,Inputs!D:D,,0)</f>
        <v>-5619</v>
      </c>
      <c r="E21" s="61">
        <f>_xlfn.XLOOKUP($A21,Inputs!$A:$A,Inputs!E:E,,0)</f>
        <v>-2945</v>
      </c>
      <c r="F21" s="61">
        <f>_xlfn.XLOOKUP($A21,Inputs!$A:$A,Inputs!F:F,,0)</f>
        <v>-3584</v>
      </c>
      <c r="G21" s="61">
        <f>_xlfn.XLOOKUP($A21,Inputs!$A:$A,Inputs!G:G,,0)</f>
        <v>9956</v>
      </c>
      <c r="H21" s="61">
        <f>_xlfn.XLOOKUP($A21,Inputs!$A:$A,Inputs!H:H,,0)</f>
        <v>-7378</v>
      </c>
      <c r="I21" s="61">
        <f>_xlfn.XLOOKUP($A21,Inputs!$A:$A,Inputs!I:I,,0)</f>
        <v>-9865</v>
      </c>
      <c r="J21" s="61">
        <f>_xlfn.XLOOKUP($A21,Inputs!$A:$A,Inputs!J:J,,0)</f>
        <v>-3314</v>
      </c>
      <c r="K21" s="61">
        <f>_xlfn.XLOOKUP($A21,Inputs!$A:$A,Inputs!K:K,,0)</f>
        <v>-5730</v>
      </c>
      <c r="L21" s="61">
        <f>_xlfn.XLOOKUP($A21,Inputs!$A:$A,Inputs!L:L,,0)</f>
        <v>660</v>
      </c>
      <c r="M21" s="62">
        <f>_xlfn.XLOOKUP($A21,Inputs!$A:$A,Inputs!M:M,,0)</f>
        <v>-285</v>
      </c>
      <c r="N21" s="51"/>
    </row>
    <row r="22" spans="1:14" ht="13.15">
      <c r="A22" s="63" t="s">
        <v>581</v>
      </c>
      <c r="B22" s="64">
        <f t="shared" ref="B22:M22" si="10">IFERROR(B21/B$5,"-")</f>
        <v>-4.7670552124821866E-2</v>
      </c>
      <c r="C22" s="64">
        <f t="shared" si="10"/>
        <v>-5.0908220008532103E-2</v>
      </c>
      <c r="D22" s="64">
        <f t="shared" si="10"/>
        <v>-4.3798522121410534E-2</v>
      </c>
      <c r="E22" s="64">
        <f t="shared" si="10"/>
        <v>-2.2332938999605666E-2</v>
      </c>
      <c r="F22" s="64">
        <f t="shared" si="10"/>
        <v>-2.7387420432054898E-2</v>
      </c>
      <c r="G22" s="64">
        <f t="shared" si="10"/>
        <v>7.8994557024295031E-2</v>
      </c>
      <c r="H22" s="64">
        <f t="shared" si="10"/>
        <v>-5.8564851563740278E-2</v>
      </c>
      <c r="I22" s="64">
        <f t="shared" si="10"/>
        <v>-7.4950615407992707E-2</v>
      </c>
      <c r="J22" s="64">
        <f t="shared" si="10"/>
        <v>-2.607826627530906E-2</v>
      </c>
      <c r="K22" s="64">
        <f t="shared" si="10"/>
        <v>-4.7532144338448774E-2</v>
      </c>
      <c r="L22" s="64">
        <f t="shared" si="10"/>
        <v>5.6972187214060048E-3</v>
      </c>
      <c r="M22" s="65">
        <f t="shared" si="10"/>
        <v>-2.5704622322435173E-3</v>
      </c>
      <c r="N22" s="51"/>
    </row>
    <row r="23" spans="1:14" ht="12.75">
      <c r="A23" s="60" t="s">
        <v>419</v>
      </c>
      <c r="B23" s="61">
        <f>_xlfn.XLOOKUP($A23,Inputs!$A:$A,Inputs!B:B,,0)</f>
        <v>21748</v>
      </c>
      <c r="C23" s="61">
        <f>_xlfn.XLOOKUP($A23,Inputs!$A:$A,Inputs!C:C,,0)</f>
        <v>22618</v>
      </c>
      <c r="D23" s="61">
        <f>_xlfn.XLOOKUP($A23,Inputs!$A:$A,Inputs!D:D,,0)</f>
        <v>18348</v>
      </c>
      <c r="E23" s="61">
        <f>_xlfn.XLOOKUP($A23,Inputs!$A:$A,Inputs!E:E,,0)</f>
        <v>19788</v>
      </c>
      <c r="F23" s="61">
        <f>_xlfn.XLOOKUP($A23,Inputs!$A:$A,Inputs!F:F,,0)</f>
        <v>16039</v>
      </c>
      <c r="G23" s="61">
        <f>_xlfn.XLOOKUP($A23,Inputs!$A:$A,Inputs!G:G,,0)</f>
        <v>30550</v>
      </c>
      <c r="H23" s="61">
        <f>_xlfn.XLOOKUP($A23,Inputs!$A:$A,Inputs!H:H,,0)</f>
        <v>13608</v>
      </c>
      <c r="I23" s="61">
        <f>_xlfn.XLOOKUP($A23,Inputs!$A:$A,Inputs!I:I,,0)</f>
        <v>18375</v>
      </c>
      <c r="J23" s="61">
        <f>_xlfn.XLOOKUP($A23,Inputs!$A:$A,Inputs!J:J,,0)</f>
        <v>11956</v>
      </c>
      <c r="K23" s="61">
        <f>_xlfn.XLOOKUP($A23,Inputs!$A:$A,Inputs!K:K,,0)</f>
        <v>23547</v>
      </c>
      <c r="L23" s="61">
        <f>_xlfn.XLOOKUP($A23,Inputs!$A:$A,Inputs!L:L,,0)</f>
        <v>10557</v>
      </c>
      <c r="M23" s="62">
        <f>_xlfn.XLOOKUP($A23,Inputs!$A:$A,Inputs!M:M,,0)</f>
        <v>10198</v>
      </c>
      <c r="N23" s="51"/>
    </row>
    <row r="24" spans="1:14" ht="13.15">
      <c r="A24" s="63" t="s">
        <v>575</v>
      </c>
      <c r="B24" s="64">
        <f t="shared" ref="B24:M24" si="11">IFERROR(B23/B$5,"-")</f>
        <v>0.15893594475097744</v>
      </c>
      <c r="C24" s="64">
        <f t="shared" si="11"/>
        <v>0.16927993533563351</v>
      </c>
      <c r="D24" s="64">
        <f t="shared" si="11"/>
        <v>0.14301749134786268</v>
      </c>
      <c r="E24" s="64">
        <f t="shared" si="11"/>
        <v>0.15005915005915005</v>
      </c>
      <c r="F24" s="64">
        <f t="shared" si="11"/>
        <v>0.12256329138106264</v>
      </c>
      <c r="G24" s="64">
        <f t="shared" si="11"/>
        <v>0.24239490931018615</v>
      </c>
      <c r="H24" s="64">
        <f t="shared" si="11"/>
        <v>0.10801714557866328</v>
      </c>
      <c r="I24" s="64">
        <f t="shared" si="11"/>
        <v>0.13960644278984957</v>
      </c>
      <c r="J24" s="64">
        <f t="shared" si="11"/>
        <v>9.4083208083160869E-2</v>
      </c>
      <c r="K24" s="64">
        <f t="shared" si="11"/>
        <v>0.19532973869763584</v>
      </c>
      <c r="L24" s="64">
        <f t="shared" si="11"/>
        <v>9.1129603093762404E-2</v>
      </c>
      <c r="M24" s="65">
        <f t="shared" si="11"/>
        <v>9.1977452085682074E-2</v>
      </c>
      <c r="N24" s="51"/>
    </row>
    <row r="25" spans="1:14" ht="13.15">
      <c r="A25" s="60" t="s">
        <v>573</v>
      </c>
      <c r="B25" s="64">
        <f t="shared" ref="B25:M25" si="12">IFERROR(B24/C24-1,"-")</f>
        <v>-6.1105827835690629E-2</v>
      </c>
      <c r="C25" s="64">
        <f t="shared" si="12"/>
        <v>0.18363099324608112</v>
      </c>
      <c r="D25" s="64">
        <f t="shared" si="12"/>
        <v>-4.6925886948657958E-2</v>
      </c>
      <c r="E25" s="64">
        <f t="shared" si="12"/>
        <v>0.22434008069022715</v>
      </c>
      <c r="F25" s="64">
        <f t="shared" si="12"/>
        <v>-0.49436524170471852</v>
      </c>
      <c r="G25" s="64">
        <f t="shared" si="12"/>
        <v>1.2440410548866292</v>
      </c>
      <c r="H25" s="64">
        <f t="shared" si="12"/>
        <v>-0.22627392103054911</v>
      </c>
      <c r="I25" s="64">
        <f t="shared" si="12"/>
        <v>0.48386142048271119</v>
      </c>
      <c r="J25" s="64">
        <f t="shared" si="12"/>
        <v>-0.51833648726270676</v>
      </c>
      <c r="K25" s="64">
        <f t="shared" si="12"/>
        <v>1.1434279538852254</v>
      </c>
      <c r="L25" s="64">
        <f t="shared" si="12"/>
        <v>-9.2180091173851286E-3</v>
      </c>
      <c r="M25" s="65" t="str">
        <f t="shared" si="12"/>
        <v>-</v>
      </c>
      <c r="N25" s="51"/>
    </row>
    <row r="26" spans="1:14" ht="12.75">
      <c r="A26" s="63" t="s">
        <v>582</v>
      </c>
      <c r="B26" s="67">
        <f>B39-C39</f>
        <v>-316</v>
      </c>
      <c r="C26" s="67">
        <f t="shared" ref="C26:M26" si="13">C39-D39</f>
        <v>-19250</v>
      </c>
      <c r="D26" s="67">
        <f t="shared" si="13"/>
        <v>19577</v>
      </c>
      <c r="E26" s="67">
        <f t="shared" si="13"/>
        <v>-151</v>
      </c>
      <c r="F26" s="67">
        <f t="shared" si="13"/>
        <v>666</v>
      </c>
      <c r="G26" s="67">
        <f t="shared" si="13"/>
        <v>-801</v>
      </c>
      <c r="H26" s="67">
        <f t="shared" si="13"/>
        <v>-1590</v>
      </c>
      <c r="I26" s="67">
        <f t="shared" si="13"/>
        <v>-6128</v>
      </c>
      <c r="J26" s="67">
        <f t="shared" si="13"/>
        <v>-42930</v>
      </c>
      <c r="K26" s="67">
        <f t="shared" si="13"/>
        <v>50435</v>
      </c>
      <c r="L26" s="67">
        <f t="shared" si="13"/>
        <v>-10269</v>
      </c>
      <c r="M26" s="68">
        <f t="shared" si="13"/>
        <v>13362</v>
      </c>
      <c r="N26" s="51"/>
    </row>
    <row r="27" spans="1:14" ht="12.75">
      <c r="A27" s="60" t="s">
        <v>140</v>
      </c>
      <c r="B27" s="61">
        <f>_xlfn.XLOOKUP($A27,Inputs!$A:$A,Inputs!B:B,,0)</f>
        <v>-10805</v>
      </c>
      <c r="C27" s="61">
        <f>_xlfn.XLOOKUP($A27,Inputs!$A:$A,Inputs!C:C,,0)</f>
        <v>-10445</v>
      </c>
      <c r="D27" s="61">
        <f>_xlfn.XLOOKUP($A27,Inputs!$A:$A,Inputs!D:D,,0)</f>
        <v>-10232</v>
      </c>
      <c r="E27" s="61">
        <f>_xlfn.XLOOKUP($A27,Inputs!$A:$A,Inputs!E:E,,0)</f>
        <v>-10016</v>
      </c>
      <c r="F27" s="61">
        <f>_xlfn.XLOOKUP($A27,Inputs!$A:$A,Inputs!F:F,,0)</f>
        <v>-9772</v>
      </c>
      <c r="G27" s="61">
        <f>_xlfn.XLOOKUP($A27,Inputs!$A:$A,Inputs!G:G,,0)</f>
        <v>-9472</v>
      </c>
      <c r="H27" s="61">
        <f>_xlfn.XLOOKUP($A27,Inputs!$A:$A,Inputs!H:H,,0)</f>
        <v>-9262</v>
      </c>
      <c r="I27" s="61">
        <f>_xlfn.XLOOKUP($A27,Inputs!$A:$A,Inputs!I:I,,0)</f>
        <v>-8538</v>
      </c>
      <c r="J27" s="61">
        <f>_xlfn.XLOOKUP($A27,Inputs!$A:$A,Inputs!J:J,,0)</f>
        <v>-7803</v>
      </c>
      <c r="K27" s="61">
        <f>_xlfn.XLOOKUP($A27,Inputs!$A:$A,Inputs!K:K,,0)</f>
        <v>-5936</v>
      </c>
      <c r="L27" s="61">
        <f>_xlfn.XLOOKUP($A27,Inputs!$A:$A,Inputs!L:L,,0)</f>
        <v>-5230</v>
      </c>
      <c r="M27" s="62">
        <f>_xlfn.XLOOKUP($A27,Inputs!$A:$A,Inputs!M:M,,0)</f>
        <v>-5555</v>
      </c>
      <c r="N27" s="51"/>
    </row>
    <row r="28" spans="1:14" ht="12.75">
      <c r="A28" s="66" t="s">
        <v>583</v>
      </c>
      <c r="B28" s="61">
        <f>_xlfn.XLOOKUP($A28,Inputs!$A:$A,Inputs!B:B,,0)</f>
        <v>0</v>
      </c>
      <c r="C28" s="61">
        <f>_xlfn.XLOOKUP($A28,Inputs!$A:$A,Inputs!C:C,,0)</f>
        <v>0</v>
      </c>
      <c r="D28" s="61">
        <f>_xlfn.XLOOKUP($A28,Inputs!$A:$A,Inputs!D:D,,0)</f>
        <v>0</v>
      </c>
      <c r="E28" s="61">
        <f>_xlfn.XLOOKUP($A28,Inputs!$A:$A,Inputs!E:E,,0)</f>
        <v>0</v>
      </c>
      <c r="F28" s="61">
        <f>_xlfn.XLOOKUP($A28,Inputs!$A:$A,Inputs!F:F,,0)</f>
        <v>0</v>
      </c>
      <c r="G28" s="61">
        <f>_xlfn.XLOOKUP($A28,Inputs!$A:$A,Inputs!G:G,,0)</f>
        <v>0</v>
      </c>
      <c r="H28" s="61">
        <f>_xlfn.XLOOKUP($A28,Inputs!$A:$A,Inputs!H:H,,0)</f>
        <v>0</v>
      </c>
      <c r="I28" s="61">
        <f>_xlfn.XLOOKUP($A28,Inputs!$A:$A,Inputs!I:I,,0)</f>
        <v>-5134</v>
      </c>
      <c r="J28" s="61">
        <f>_xlfn.XLOOKUP($A28,Inputs!$A:$A,Inputs!J:J,,0)</f>
        <v>0</v>
      </c>
      <c r="K28" s="61">
        <f>_xlfn.XLOOKUP($A28,Inputs!$A:$A,Inputs!K:K,,0)</f>
        <v>-153</v>
      </c>
      <c r="L28" s="61">
        <f>_xlfn.XLOOKUP($A28,Inputs!$A:$A,Inputs!L:L,,0)</f>
        <v>0</v>
      </c>
      <c r="M28" s="62">
        <f>_xlfn.XLOOKUP($A28,Inputs!$A:$A,Inputs!M:M,,0)</f>
        <v>0</v>
      </c>
      <c r="N28" s="51"/>
    </row>
    <row r="29" spans="1:14" ht="12.75">
      <c r="A29" s="60" t="s">
        <v>616</v>
      </c>
      <c r="B29" s="67">
        <f t="shared" ref="B29:M29" si="14">SUM(B26:B28)</f>
        <v>-11121</v>
      </c>
      <c r="C29" s="67">
        <f t="shared" si="14"/>
        <v>-29695</v>
      </c>
      <c r="D29" s="67">
        <f t="shared" si="14"/>
        <v>9345</v>
      </c>
      <c r="E29" s="67">
        <f t="shared" si="14"/>
        <v>-10167</v>
      </c>
      <c r="F29" s="67">
        <f t="shared" si="14"/>
        <v>-9106</v>
      </c>
      <c r="G29" s="67">
        <f t="shared" si="14"/>
        <v>-10273</v>
      </c>
      <c r="H29" s="67">
        <f t="shared" si="14"/>
        <v>-10852</v>
      </c>
      <c r="I29" s="67">
        <f t="shared" si="14"/>
        <v>-19800</v>
      </c>
      <c r="J29" s="67">
        <f t="shared" si="14"/>
        <v>-50733</v>
      </c>
      <c r="K29" s="67">
        <f t="shared" si="14"/>
        <v>44346</v>
      </c>
      <c r="L29" s="67">
        <f t="shared" si="14"/>
        <v>-15499</v>
      </c>
      <c r="M29" s="68">
        <f t="shared" si="14"/>
        <v>7807</v>
      </c>
      <c r="N29" s="51"/>
    </row>
    <row r="30" spans="1:14" ht="12.75">
      <c r="A30" s="66" t="s">
        <v>584</v>
      </c>
      <c r="B30" s="67">
        <f t="shared" ref="B30:M30" si="15">+B29-(B58-C29)</f>
        <v>-180475</v>
      </c>
      <c r="C30" s="67">
        <f t="shared" si="15"/>
        <v>-162850</v>
      </c>
      <c r="D30" s="67">
        <f t="shared" si="15"/>
        <v>-123399</v>
      </c>
      <c r="E30" s="67">
        <f t="shared" si="15"/>
        <v>-119205</v>
      </c>
      <c r="F30" s="67">
        <f t="shared" si="15"/>
        <v>-124813</v>
      </c>
      <c r="G30" s="67">
        <f t="shared" si="15"/>
        <v>-134279</v>
      </c>
      <c r="H30" s="67">
        <f t="shared" si="15"/>
        <v>-135638</v>
      </c>
      <c r="I30" s="67">
        <f t="shared" si="15"/>
        <v>-173773</v>
      </c>
      <c r="J30" s="67">
        <f t="shared" si="15"/>
        <v>-117261</v>
      </c>
      <c r="K30" s="67">
        <f t="shared" si="15"/>
        <v>-61147</v>
      </c>
      <c r="L30" s="67">
        <f t="shared" si="15"/>
        <v>-55810</v>
      </c>
      <c r="M30" s="68">
        <f t="shared" si="15"/>
        <v>-44430</v>
      </c>
      <c r="N30" s="51"/>
    </row>
    <row r="31" spans="1:14" ht="12.75">
      <c r="A31" s="60" t="s">
        <v>585</v>
      </c>
      <c r="B31" s="67">
        <f t="shared" ref="B31:M31" si="16">+B30+B33</f>
        <v>-180227</v>
      </c>
      <c r="C31" s="67">
        <f t="shared" si="16"/>
        <v>-166915</v>
      </c>
      <c r="D31" s="67">
        <f t="shared" si="16"/>
        <v>-123919</v>
      </c>
      <c r="E31" s="67">
        <f t="shared" si="16"/>
        <v>-119234</v>
      </c>
      <c r="F31" s="67">
        <f t="shared" si="16"/>
        <v>-125043</v>
      </c>
      <c r="G31" s="67">
        <f t="shared" si="16"/>
        <v>-140159</v>
      </c>
      <c r="H31" s="67">
        <f t="shared" si="16"/>
        <v>-139403</v>
      </c>
      <c r="I31" s="67">
        <f t="shared" si="16"/>
        <v>-177318</v>
      </c>
      <c r="J31" s="67">
        <f t="shared" si="16"/>
        <v>-117446</v>
      </c>
      <c r="K31" s="67">
        <f t="shared" si="16"/>
        <v>-61641</v>
      </c>
      <c r="L31" s="67">
        <f t="shared" si="16"/>
        <v>-56723</v>
      </c>
      <c r="M31" s="68">
        <f t="shared" si="16"/>
        <v>-46448</v>
      </c>
      <c r="N31" s="51"/>
    </row>
    <row r="32" spans="1:14" ht="12.75">
      <c r="A32" s="66" t="s">
        <v>137</v>
      </c>
      <c r="B32" s="61">
        <f>_xlfn.XLOOKUP($A32,Inputs!$A:$A,Inputs!B:B,,0)</f>
        <v>-26740</v>
      </c>
      <c r="C32" s="61">
        <f>_xlfn.XLOOKUP($A32,Inputs!$A:$A,Inputs!C:C,,0)</f>
        <v>-67882</v>
      </c>
      <c r="D32" s="61">
        <f>_xlfn.XLOOKUP($A32,Inputs!$A:$A,Inputs!D:D,,0)</f>
        <v>-20318</v>
      </c>
      <c r="E32" s="61">
        <f>_xlfn.XLOOKUP($A32,Inputs!$A:$A,Inputs!E:E,,0)</f>
        <v>-18837</v>
      </c>
      <c r="F32" s="61">
        <f>_xlfn.XLOOKUP($A32,Inputs!$A:$A,Inputs!F:F,,0)</f>
        <v>-18087</v>
      </c>
      <c r="G32" s="61">
        <f>_xlfn.XLOOKUP($A32,Inputs!$A:$A,Inputs!G:G,,0)</f>
        <v>-17830</v>
      </c>
      <c r="H32" s="61">
        <f>_xlfn.XLOOKUP($A32,Inputs!$A:$A,Inputs!H:H,,0)</f>
        <v>-17593</v>
      </c>
      <c r="I32" s="61">
        <f>_xlfn.XLOOKUP($A32,Inputs!$A:$A,Inputs!I:I,,0)</f>
        <v>-27717</v>
      </c>
      <c r="J32" s="61">
        <f>_xlfn.XLOOKUP($A32,Inputs!$A:$A,Inputs!J:J,,0)</f>
        <v>-17545</v>
      </c>
      <c r="K32" s="61">
        <f>_xlfn.XLOOKUP($A32,Inputs!$A:$A,Inputs!K:K,,0)</f>
        <v>-17184</v>
      </c>
      <c r="L32" s="61">
        <f>_xlfn.XLOOKUP($A32,Inputs!$A:$A,Inputs!L:L,,0)</f>
        <v>-20110</v>
      </c>
      <c r="M32" s="62">
        <f>_xlfn.XLOOKUP($A32,Inputs!$A:$A,Inputs!M:M,,0)</f>
        <v>-16244</v>
      </c>
      <c r="N32" s="51"/>
    </row>
    <row r="33" spans="1:14" ht="12.75">
      <c r="A33" s="60" t="s">
        <v>138</v>
      </c>
      <c r="B33" s="61">
        <f>_xlfn.XLOOKUP($A33,Inputs!$A:$A,Inputs!B:B,,0)</f>
        <v>248</v>
      </c>
      <c r="C33" s="61">
        <f>_xlfn.XLOOKUP($A33,Inputs!$A:$A,Inputs!C:C,,0)</f>
        <v>-4065</v>
      </c>
      <c r="D33" s="61">
        <f>_xlfn.XLOOKUP($A33,Inputs!$A:$A,Inputs!D:D,,0)</f>
        <v>-520</v>
      </c>
      <c r="E33" s="61">
        <f>_xlfn.XLOOKUP($A33,Inputs!$A:$A,Inputs!E:E,,0)</f>
        <v>-29</v>
      </c>
      <c r="F33" s="61">
        <f>_xlfn.XLOOKUP($A33,Inputs!$A:$A,Inputs!F:F,,0)</f>
        <v>-230</v>
      </c>
      <c r="G33" s="61">
        <f>_xlfn.XLOOKUP($A33,Inputs!$A:$A,Inputs!G:G,,0)</f>
        <v>-5880</v>
      </c>
      <c r="H33" s="61">
        <f>_xlfn.XLOOKUP($A33,Inputs!$A:$A,Inputs!H:H,,0)</f>
        <v>-3765</v>
      </c>
      <c r="I33" s="61">
        <f>_xlfn.XLOOKUP($A33,Inputs!$A:$A,Inputs!I:I,,0)</f>
        <v>-3545</v>
      </c>
      <c r="J33" s="61">
        <f>_xlfn.XLOOKUP($A33,Inputs!$A:$A,Inputs!J:J,,0)</f>
        <v>-185</v>
      </c>
      <c r="K33" s="61">
        <f>_xlfn.XLOOKUP($A33,Inputs!$A:$A,Inputs!K:K,,0)</f>
        <v>-494</v>
      </c>
      <c r="L33" s="61">
        <f>_xlfn.XLOOKUP($A33,Inputs!$A:$A,Inputs!L:L,,0)</f>
        <v>-913</v>
      </c>
      <c r="M33" s="62">
        <f>_xlfn.XLOOKUP($A33,Inputs!$A:$A,Inputs!M:M,,0)</f>
        <v>-2018</v>
      </c>
      <c r="N33" s="51"/>
    </row>
    <row r="34" spans="1:14" ht="12.75">
      <c r="A34" s="63" t="s">
        <v>133</v>
      </c>
      <c r="B34" s="67">
        <f t="shared" ref="B34:M34" si="17">+B32+B33</f>
        <v>-26492</v>
      </c>
      <c r="C34" s="67">
        <f t="shared" si="17"/>
        <v>-71947</v>
      </c>
      <c r="D34" s="67">
        <f t="shared" si="17"/>
        <v>-20838</v>
      </c>
      <c r="E34" s="67">
        <f t="shared" si="17"/>
        <v>-18866</v>
      </c>
      <c r="F34" s="67">
        <f t="shared" si="17"/>
        <v>-18317</v>
      </c>
      <c r="G34" s="67">
        <f t="shared" si="17"/>
        <v>-23710</v>
      </c>
      <c r="H34" s="67">
        <f t="shared" si="17"/>
        <v>-21358</v>
      </c>
      <c r="I34" s="67">
        <f t="shared" si="17"/>
        <v>-31262</v>
      </c>
      <c r="J34" s="67">
        <f t="shared" si="17"/>
        <v>-17730</v>
      </c>
      <c r="K34" s="67">
        <f t="shared" si="17"/>
        <v>-17678</v>
      </c>
      <c r="L34" s="67">
        <f t="shared" si="17"/>
        <v>-21023</v>
      </c>
      <c r="M34" s="68">
        <f t="shared" si="17"/>
        <v>-18262</v>
      </c>
      <c r="N34" s="51"/>
    </row>
    <row r="35" spans="1:14" ht="12.75">
      <c r="A35" s="60" t="s">
        <v>131</v>
      </c>
      <c r="B35" s="67">
        <f t="shared" ref="B35:M35" si="18">+B27+B28</f>
        <v>-10805</v>
      </c>
      <c r="C35" s="67">
        <f t="shared" si="18"/>
        <v>-10445</v>
      </c>
      <c r="D35" s="67">
        <f t="shared" si="18"/>
        <v>-10232</v>
      </c>
      <c r="E35" s="67">
        <f t="shared" si="18"/>
        <v>-10016</v>
      </c>
      <c r="F35" s="67">
        <f t="shared" si="18"/>
        <v>-9772</v>
      </c>
      <c r="G35" s="67">
        <f t="shared" si="18"/>
        <v>-9472</v>
      </c>
      <c r="H35" s="67">
        <f t="shared" si="18"/>
        <v>-9262</v>
      </c>
      <c r="I35" s="67">
        <f t="shared" si="18"/>
        <v>-13672</v>
      </c>
      <c r="J35" s="67">
        <f t="shared" si="18"/>
        <v>-7803</v>
      </c>
      <c r="K35" s="67">
        <f t="shared" si="18"/>
        <v>-6089</v>
      </c>
      <c r="L35" s="67">
        <f t="shared" si="18"/>
        <v>-5230</v>
      </c>
      <c r="M35" s="68">
        <f t="shared" si="18"/>
        <v>-5555</v>
      </c>
      <c r="N35" s="51"/>
    </row>
    <row r="36" spans="1:14" ht="13.15">
      <c r="A36" s="66" t="s">
        <v>586</v>
      </c>
      <c r="B36" s="64">
        <f>IFERROR(B35/B23,"-")</f>
        <v>-0.49682729446385876</v>
      </c>
      <c r="C36" s="64">
        <f t="shared" ref="C36:M36" si="19">IFERROR(C35/C23,"-")</f>
        <v>-0.46180033601556281</v>
      </c>
      <c r="D36" s="64">
        <f t="shared" si="19"/>
        <v>-0.55766296054065834</v>
      </c>
      <c r="E36" s="64">
        <f t="shared" si="19"/>
        <v>-0.50616535273903374</v>
      </c>
      <c r="F36" s="64">
        <f t="shared" si="19"/>
        <v>-0.60926491676538441</v>
      </c>
      <c r="G36" s="64">
        <f t="shared" si="19"/>
        <v>-0.31004909983633389</v>
      </c>
      <c r="H36" s="64">
        <f t="shared" si="19"/>
        <v>-0.68062904174015282</v>
      </c>
      <c r="I36" s="64">
        <f t="shared" si="19"/>
        <v>-0.74405442176870751</v>
      </c>
      <c r="J36" s="64">
        <f t="shared" si="19"/>
        <v>-0.65264302442288391</v>
      </c>
      <c r="K36" s="64">
        <f t="shared" si="19"/>
        <v>-0.25858920456958423</v>
      </c>
      <c r="L36" s="64">
        <f t="shared" si="19"/>
        <v>-0.49540589182532918</v>
      </c>
      <c r="M36" s="65">
        <f t="shared" si="19"/>
        <v>-0.5447146499313591</v>
      </c>
      <c r="N36" s="51"/>
    </row>
    <row r="37" spans="1:14" ht="9.4">
      <c r="A37" s="51"/>
      <c r="B37" s="51"/>
      <c r="C37" s="51"/>
      <c r="D37" s="51"/>
      <c r="E37" s="51"/>
      <c r="F37" s="51"/>
      <c r="G37" s="51"/>
      <c r="H37" s="51"/>
      <c r="I37" s="51"/>
      <c r="J37" s="51"/>
      <c r="K37" s="51"/>
      <c r="L37" s="51"/>
      <c r="M37" s="51"/>
      <c r="N37" s="51"/>
    </row>
    <row r="38" spans="1:14" ht="20.65">
      <c r="A38" s="1126" t="s">
        <v>587</v>
      </c>
      <c r="B38" s="1126"/>
      <c r="C38" s="1126"/>
      <c r="D38" s="1126"/>
      <c r="E38" s="1126"/>
      <c r="F38" s="1126"/>
      <c r="G38" s="1126"/>
      <c r="H38" s="1126"/>
      <c r="I38" s="1126"/>
      <c r="J38" s="1126"/>
      <c r="K38" s="1126"/>
      <c r="L38" s="1126"/>
      <c r="M38" s="1126"/>
      <c r="N38" s="51"/>
    </row>
    <row r="39" spans="1:14" ht="12.75">
      <c r="A39" s="69" t="s">
        <v>281</v>
      </c>
      <c r="B39" s="61">
        <f>_xlfn.XLOOKUP($A39,Inputs!$A:$A,Inputs!B:B,,0)</f>
        <v>2605</v>
      </c>
      <c r="C39" s="61">
        <f>_xlfn.XLOOKUP($A39,Inputs!$A:$A,Inputs!C:C,,0)</f>
        <v>2921</v>
      </c>
      <c r="D39" s="61">
        <f>_xlfn.XLOOKUP($A39,Inputs!$A:$A,Inputs!D:D,,0)</f>
        <v>22171</v>
      </c>
      <c r="E39" s="61">
        <f>_xlfn.XLOOKUP($A39,Inputs!$A:$A,Inputs!E:E,,0)</f>
        <v>2594</v>
      </c>
      <c r="F39" s="61">
        <f>_xlfn.XLOOKUP($A39,Inputs!$A:$A,Inputs!F:F,,0)</f>
        <v>2745</v>
      </c>
      <c r="G39" s="61">
        <f>_xlfn.XLOOKUP($A39,Inputs!$A:$A,Inputs!G:G,,0)</f>
        <v>2079</v>
      </c>
      <c r="H39" s="61">
        <f>_xlfn.XLOOKUP($A39,Inputs!$A:$A,Inputs!H:H,,0)</f>
        <v>2880</v>
      </c>
      <c r="I39" s="61">
        <f>_xlfn.XLOOKUP($A39,Inputs!$A:$A,Inputs!I:I,,0)</f>
        <v>4470</v>
      </c>
      <c r="J39" s="61">
        <f>_xlfn.XLOOKUP($A39,Inputs!$A:$A,Inputs!J:J,,0)</f>
        <v>10598</v>
      </c>
      <c r="K39" s="61">
        <f>_xlfn.XLOOKUP($A39,Inputs!$A:$A,Inputs!K:K,,0)</f>
        <v>53528</v>
      </c>
      <c r="L39" s="61">
        <f>_xlfn.XLOOKUP($A39,Inputs!$A:$A,Inputs!L:L,,0)</f>
        <v>3093</v>
      </c>
      <c r="M39" s="62">
        <f>_xlfn.XLOOKUP($A39,Inputs!$A:$A,Inputs!M:M,,0)</f>
        <v>13362</v>
      </c>
      <c r="N39" s="51"/>
    </row>
    <row r="40" spans="1:14" ht="12.75">
      <c r="A40" s="63" t="s">
        <v>588</v>
      </c>
      <c r="B40" s="61">
        <f>_xlfn.XLOOKUP($A40,Inputs!$A:$A,Inputs!B:B,,0)</f>
        <v>24506</v>
      </c>
      <c r="C40" s="61">
        <f>_xlfn.XLOOKUP($A40,Inputs!$A:$A,Inputs!C:C,,0)</f>
        <v>24585</v>
      </c>
      <c r="D40" s="61">
        <f>_xlfn.XLOOKUP($A40,Inputs!$A:$A,Inputs!D:D,,0)</f>
        <v>24650</v>
      </c>
      <c r="E40" s="61">
        <f>_xlfn.XLOOKUP($A40,Inputs!$A:$A,Inputs!E:E,,0)</f>
        <v>26277</v>
      </c>
      <c r="F40" s="61">
        <f>_xlfn.XLOOKUP($A40,Inputs!$A:$A,Inputs!F:F,,0)</f>
        <v>25859</v>
      </c>
      <c r="G40" s="61">
        <f>_xlfn.XLOOKUP($A40,Inputs!$A:$A,Inputs!G:G,,0)</f>
        <v>23493</v>
      </c>
      <c r="H40" s="61">
        <f>_xlfn.XLOOKUP($A40,Inputs!$A:$A,Inputs!H:H,,0)</f>
        <v>17513</v>
      </c>
      <c r="I40" s="61">
        <f>_xlfn.XLOOKUP($A40,Inputs!$A:$A,Inputs!I:I,,0)</f>
        <v>13457</v>
      </c>
      <c r="J40" s="61">
        <f>_xlfn.XLOOKUP($A40,Inputs!$A:$A,Inputs!J:J,,0)</f>
        <v>13993</v>
      </c>
      <c r="K40" s="61">
        <f>_xlfn.XLOOKUP($A40,Inputs!$A:$A,Inputs!K:K,,0)</f>
        <v>12439</v>
      </c>
      <c r="L40" s="61">
        <f>_xlfn.XLOOKUP($A40,Inputs!$A:$A,Inputs!L:L,,0)</f>
        <v>12576</v>
      </c>
      <c r="M40" s="62">
        <f>_xlfn.XLOOKUP($A40,Inputs!$A:$A,Inputs!M:M,,0)</f>
        <v>11776</v>
      </c>
      <c r="N40" s="51"/>
    </row>
    <row r="41" spans="1:14" ht="12.75">
      <c r="A41" s="69" t="s">
        <v>283</v>
      </c>
      <c r="B41" s="61">
        <f>_xlfn.XLOOKUP($A41,Inputs!$A:$A,Inputs!B:B,,0)</f>
        <v>2388</v>
      </c>
      <c r="C41" s="61">
        <f>_xlfn.XLOOKUP($A41,Inputs!$A:$A,Inputs!C:C,,0)</f>
        <v>3055</v>
      </c>
      <c r="D41" s="61">
        <f>_xlfn.XLOOKUP($A41,Inputs!$A:$A,Inputs!D:D,,0)</f>
        <v>1796</v>
      </c>
      <c r="E41" s="61">
        <f>_xlfn.XLOOKUP($A41,Inputs!$A:$A,Inputs!E:E,,0)</f>
        <v>1422</v>
      </c>
      <c r="F41" s="61">
        <f>_xlfn.XLOOKUP($A41,Inputs!$A:$A,Inputs!F:F,,0)</f>
        <v>1336</v>
      </c>
      <c r="G41" s="61">
        <f>_xlfn.XLOOKUP($A41,Inputs!$A:$A,Inputs!G:G,,0)</f>
        <v>1034</v>
      </c>
      <c r="H41" s="61">
        <f>_xlfn.XLOOKUP($A41,Inputs!$A:$A,Inputs!H:H,,0)</f>
        <v>1202</v>
      </c>
      <c r="I41" s="61">
        <f>_xlfn.XLOOKUP($A41,Inputs!$A:$A,Inputs!I:I,,0)</f>
        <v>1252</v>
      </c>
      <c r="J41" s="61">
        <f>_xlfn.XLOOKUP($A41,Inputs!$A:$A,Inputs!J:J,,0)</f>
        <v>1153</v>
      </c>
      <c r="K41" s="61">
        <f>_xlfn.XLOOKUP($A41,Inputs!$A:$A,Inputs!K:K,,0)</f>
        <v>1020</v>
      </c>
      <c r="L41" s="61">
        <f>_xlfn.XLOOKUP($A41,Inputs!$A:$A,Inputs!L:L,,0)</f>
        <v>1075</v>
      </c>
      <c r="M41" s="62">
        <f>_xlfn.XLOOKUP($A41,Inputs!$A:$A,Inputs!M:M,,0)</f>
        <v>940</v>
      </c>
      <c r="N41" s="51"/>
    </row>
    <row r="42" spans="1:14" ht="12.75">
      <c r="A42" s="63" t="s">
        <v>589</v>
      </c>
      <c r="B42" s="61">
        <f>_xlfn.XLOOKUP($A42,Inputs!$A:$A,Inputs!B:B,,0)</f>
        <v>133564</v>
      </c>
      <c r="C42" s="61">
        <f>_xlfn.XLOOKUP($A42,Inputs!$A:$A,Inputs!C:C,,0)</f>
        <v>127579</v>
      </c>
      <c r="D42" s="61">
        <f>_xlfn.XLOOKUP($A42,Inputs!$A:$A,Inputs!D:D,,0)</f>
        <v>117364</v>
      </c>
      <c r="E42" s="61">
        <f>_xlfn.XLOOKUP($A42,Inputs!$A:$A,Inputs!E:E,,0)</f>
        <v>114609</v>
      </c>
      <c r="F42" s="61">
        <f>_xlfn.XLOOKUP($A42,Inputs!$A:$A,Inputs!F:F,,0)</f>
        <v>89286</v>
      </c>
      <c r="G42" s="61">
        <f>_xlfn.XLOOKUP($A42,Inputs!$A:$A,Inputs!G:G,,0)</f>
        <v>88568</v>
      </c>
      <c r="H42" s="61">
        <f>_xlfn.XLOOKUP($A42,Inputs!$A:$A,Inputs!H:H,,0)</f>
        <v>84751</v>
      </c>
      <c r="I42" s="61">
        <f>_xlfn.XLOOKUP($A42,Inputs!$A:$A,Inputs!I:I,,0)</f>
        <v>83541</v>
      </c>
      <c r="J42" s="61">
        <f>_xlfn.XLOOKUP($A42,Inputs!$A:$A,Inputs!J:J,,0)</f>
        <v>89947</v>
      </c>
      <c r="K42" s="61">
        <f>_xlfn.XLOOKUP($A42,Inputs!$A:$A,Inputs!K:K,,0)</f>
        <v>88956</v>
      </c>
      <c r="L42" s="61">
        <f>_xlfn.XLOOKUP($A42,Inputs!$A:$A,Inputs!L:L,,0)</f>
        <v>88642</v>
      </c>
      <c r="M42" s="62">
        <f>_xlfn.XLOOKUP($A42,Inputs!$A:$A,Inputs!M:M,,0)</f>
        <v>88434</v>
      </c>
      <c r="N42" s="51"/>
    </row>
    <row r="43" spans="1:14" ht="12.75">
      <c r="A43" s="69" t="s">
        <v>590</v>
      </c>
      <c r="B43" s="61">
        <f>_xlfn.XLOOKUP($A43,Inputs!$A:$A,Inputs!B:B,,0)</f>
        <v>189416</v>
      </c>
      <c r="C43" s="61">
        <f>_xlfn.XLOOKUP($A43,Inputs!$A:$A,Inputs!C:C,,0)</f>
        <v>179512</v>
      </c>
      <c r="D43" s="61">
        <f>_xlfn.XLOOKUP($A43,Inputs!$A:$A,Inputs!D:D,,0)</f>
        <v>127380</v>
      </c>
      <c r="E43" s="61">
        <f>_xlfn.XLOOKUP($A43,Inputs!$A:$A,Inputs!E:E,,0)</f>
        <v>123573</v>
      </c>
      <c r="F43" s="61">
        <f>_xlfn.XLOOKUP($A43,Inputs!$A:$A,Inputs!F:F,,0)</f>
        <v>144932</v>
      </c>
      <c r="G43" s="61">
        <f>_xlfn.XLOOKUP($A43,Inputs!$A:$A,Inputs!G:G,,0)</f>
        <v>140930</v>
      </c>
      <c r="H43" s="61">
        <f>_xlfn.XLOOKUP($A43,Inputs!$A:$A,Inputs!H:H,,0)</f>
        <v>136724</v>
      </c>
      <c r="I43" s="61">
        <f>_xlfn.XLOOKUP($A43,Inputs!$A:$A,Inputs!I:I,,0)</f>
        <v>140659</v>
      </c>
      <c r="J43" s="61">
        <f>_xlfn.XLOOKUP($A43,Inputs!$A:$A,Inputs!J:J,,0)</f>
        <v>116123</v>
      </c>
      <c r="K43" s="61">
        <f>_xlfn.XLOOKUP($A43,Inputs!$A:$A,Inputs!K:K,,0)</f>
        <v>114723</v>
      </c>
      <c r="L43" s="61">
        <f>_xlfn.XLOOKUP($A43,Inputs!$A:$A,Inputs!L:L,,0)</f>
        <v>116435</v>
      </c>
      <c r="M43" s="62">
        <f>_xlfn.XLOOKUP($A43,Inputs!$A:$A,Inputs!M:M,,0)</f>
        <v>112501</v>
      </c>
      <c r="N43" s="51"/>
    </row>
    <row r="44" spans="1:14" ht="13.15">
      <c r="A44" s="70" t="s">
        <v>47</v>
      </c>
      <c r="B44" s="71">
        <f>_xlfn.XLOOKUP($A44,Inputs!$A:$A,Inputs!B:B,,0)</f>
        <v>379680</v>
      </c>
      <c r="C44" s="71">
        <f>_xlfn.XLOOKUP($A44,Inputs!$A:$A,Inputs!C:C,,0)</f>
        <v>366596</v>
      </c>
      <c r="D44" s="71">
        <f>_xlfn.XLOOKUP($A44,Inputs!$A:$A,Inputs!D:D,,0)</f>
        <v>316481</v>
      </c>
      <c r="E44" s="71">
        <f>_xlfn.XLOOKUP($A44,Inputs!$A:$A,Inputs!E:E,,0)</f>
        <v>291727</v>
      </c>
      <c r="F44" s="71">
        <f>_xlfn.XLOOKUP($A44,Inputs!$A:$A,Inputs!F:F,,0)</f>
        <v>264829</v>
      </c>
      <c r="G44" s="71">
        <f>_xlfn.XLOOKUP($A44,Inputs!$A:$A,Inputs!G:G,,0)</f>
        <v>257143</v>
      </c>
      <c r="H44" s="71">
        <f>_xlfn.XLOOKUP($A44,Inputs!$A:$A,Inputs!H:H,,0)</f>
        <v>244180</v>
      </c>
      <c r="I44" s="71">
        <f>_xlfn.XLOOKUP($A44,Inputs!$A:$A,Inputs!I:I,,0)</f>
        <v>244175</v>
      </c>
      <c r="J44" s="71">
        <f>_xlfn.XLOOKUP($A44,Inputs!$A:$A,Inputs!J:J,,0)</f>
        <v>232616</v>
      </c>
      <c r="K44" s="71">
        <f>_xlfn.XLOOKUP($A44,Inputs!$A:$A,Inputs!K:K,,0)</f>
        <v>274098</v>
      </c>
      <c r="L44" s="71">
        <f>_xlfn.XLOOKUP($A44,Inputs!$A:$A,Inputs!L:L,,0)</f>
        <v>225222</v>
      </c>
      <c r="M44" s="71">
        <f>_xlfn.XLOOKUP($A44,Inputs!$A:$A,Inputs!M:M,,0)</f>
        <v>230461</v>
      </c>
      <c r="N44" s="51"/>
    </row>
    <row r="45" spans="1:14" ht="12.75">
      <c r="B45"/>
      <c r="C45"/>
      <c r="D45"/>
      <c r="E45"/>
      <c r="F45"/>
      <c r="G45"/>
      <c r="H45"/>
      <c r="I45"/>
      <c r="J45"/>
      <c r="K45"/>
      <c r="L45"/>
      <c r="M45"/>
      <c r="N45" s="51"/>
    </row>
    <row r="46" spans="1:14" ht="12.75">
      <c r="B46"/>
      <c r="C46"/>
      <c r="D46"/>
      <c r="E46"/>
      <c r="F46"/>
      <c r="G46"/>
      <c r="H46"/>
      <c r="I46"/>
      <c r="J46"/>
      <c r="K46"/>
      <c r="L46"/>
      <c r="M46"/>
      <c r="N46" s="51"/>
    </row>
    <row r="47" spans="1:14" ht="20.65">
      <c r="A47" s="1126" t="s">
        <v>591</v>
      </c>
      <c r="B47" s="1126"/>
      <c r="C47" s="1126"/>
      <c r="D47" s="1126"/>
      <c r="E47" s="1126"/>
      <c r="F47" s="1126"/>
      <c r="G47" s="1126"/>
      <c r="H47" s="1126"/>
      <c r="I47" s="1126"/>
      <c r="J47" s="1126"/>
      <c r="K47" s="1126"/>
      <c r="L47" s="1126"/>
      <c r="M47" s="1126"/>
      <c r="N47" s="51"/>
    </row>
    <row r="48" spans="1:14" ht="13.15">
      <c r="A48" s="73" t="s">
        <v>287</v>
      </c>
      <c r="B48" s="71">
        <f>_xlfn.XLOOKUP($A48,Inputs!$A:$A,Inputs!B:B,,0)</f>
        <v>50171</v>
      </c>
      <c r="C48" s="71">
        <f>_xlfn.XLOOKUP($A48,Inputs!$A:$A,Inputs!C:C,,0)</f>
        <v>47160</v>
      </c>
      <c r="D48" s="71">
        <f>_xlfn.XLOOKUP($A48,Inputs!$A:$A,Inputs!D:D,,0)</f>
        <v>39660</v>
      </c>
      <c r="E48" s="71">
        <f>_xlfn.XLOOKUP($A48,Inputs!$A:$A,Inputs!E:E,,0)</f>
        <v>44868</v>
      </c>
      <c r="F48" s="71">
        <f>_xlfn.XLOOKUP($A48,Inputs!$A:$A,Inputs!F:F,,0)</f>
        <v>37930</v>
      </c>
      <c r="G48" s="71">
        <f>_xlfn.XLOOKUP($A48,Inputs!$A:$A,Inputs!G:G,,0)</f>
        <v>33037</v>
      </c>
      <c r="H48" s="71">
        <f>_xlfn.XLOOKUP($A48,Inputs!$A:$A,Inputs!H:H,,0)</f>
        <v>30340</v>
      </c>
      <c r="I48" s="71">
        <f>_xlfn.XLOOKUP($A48,Inputs!$A:$A,Inputs!I:I,,0)</f>
        <v>35052</v>
      </c>
      <c r="J48" s="71">
        <f>_xlfn.XLOOKUP($A48,Inputs!$A:$A,Inputs!J:J,,0)</f>
        <v>27987</v>
      </c>
      <c r="K48" s="71">
        <f>_xlfn.XLOOKUP($A48,Inputs!$A:$A,Inputs!K:K,,0)</f>
        <v>27050</v>
      </c>
      <c r="L48" s="71">
        <f>_xlfn.XLOOKUP($A48,Inputs!$A:$A,Inputs!L:L,,0)</f>
        <v>26956</v>
      </c>
      <c r="M48" s="71">
        <f>_xlfn.XLOOKUP($A48,Inputs!$A:$A,Inputs!M:M,,0)</f>
        <v>30761</v>
      </c>
      <c r="N48" s="51"/>
    </row>
    <row r="49" spans="1:14" ht="12.75">
      <c r="A49" s="74" t="s">
        <v>592</v>
      </c>
      <c r="B49" s="61">
        <f>_xlfn.XLOOKUP($A49,Inputs!$A:$A,Inputs!B:B,,0)</f>
        <v>150</v>
      </c>
      <c r="C49" s="61">
        <f>_xlfn.XLOOKUP($A49,Inputs!$A:$A,Inputs!C:C,,0)</f>
        <v>0</v>
      </c>
      <c r="D49" s="61">
        <f>_xlfn.XLOOKUP($A49,Inputs!$A:$A,Inputs!D:D,,0)</f>
        <v>320</v>
      </c>
      <c r="E49" s="61">
        <f>_xlfn.XLOOKUP($A49,Inputs!$A:$A,Inputs!E:E,,0)</f>
        <v>0</v>
      </c>
      <c r="F49" s="61">
        <f>_xlfn.XLOOKUP($A49,Inputs!$A:$A,Inputs!F:F,,0)</f>
        <v>150</v>
      </c>
      <c r="G49" s="61">
        <f>_xlfn.XLOOKUP($A49,Inputs!$A:$A,Inputs!G:G,,0)</f>
        <v>150</v>
      </c>
      <c r="H49" s="61">
        <f>_xlfn.XLOOKUP($A49,Inputs!$A:$A,Inputs!H:H,,0)</f>
        <v>168</v>
      </c>
      <c r="I49" s="61">
        <f>_xlfn.XLOOKUP($A49,Inputs!$A:$A,Inputs!I:I,,0)</f>
        <v>0</v>
      </c>
      <c r="J49" s="61">
        <f>_xlfn.XLOOKUP($A49,Inputs!$A:$A,Inputs!J:J,,0)</f>
        <v>338</v>
      </c>
      <c r="K49" s="61">
        <f>_xlfn.XLOOKUP($A49,Inputs!$A:$A,Inputs!K:K,,0)</f>
        <v>447</v>
      </c>
      <c r="L49" s="61">
        <f>_xlfn.XLOOKUP($A49,Inputs!$A:$A,Inputs!L:L,,0)</f>
        <v>500</v>
      </c>
      <c r="M49" s="61">
        <f>_xlfn.XLOOKUP($A49,Inputs!$A:$A,Inputs!M:M,,0)</f>
        <v>1934</v>
      </c>
      <c r="N49" s="51"/>
    </row>
    <row r="50" spans="1:14" ht="12.75">
      <c r="A50" s="60" t="s">
        <v>593</v>
      </c>
      <c r="B50" s="61">
        <f>_xlfn.XLOOKUP($A50,Inputs!$A:$A,Inputs!B:B,,0)</f>
        <v>9813</v>
      </c>
      <c r="C50" s="61">
        <f>_xlfn.XLOOKUP($A50,Inputs!$A:$A,Inputs!C:C,,0)</f>
        <v>7443</v>
      </c>
      <c r="D50" s="61">
        <f>_xlfn.XLOOKUP($A50,Inputs!$A:$A,Inputs!D:D,,0)</f>
        <v>5569</v>
      </c>
      <c r="E50" s="61">
        <f>_xlfn.XLOOKUP($A50,Inputs!$A:$A,Inputs!E:E,,0)</f>
        <v>10777</v>
      </c>
      <c r="F50" s="61">
        <f>_xlfn.XLOOKUP($A50,Inputs!$A:$A,Inputs!F:F,,0)</f>
        <v>7040</v>
      </c>
      <c r="G50" s="61">
        <f>_xlfn.XLOOKUP($A50,Inputs!$A:$A,Inputs!G:G,,0)</f>
        <v>3303</v>
      </c>
      <c r="H50" s="61">
        <f>_xlfn.XLOOKUP($A50,Inputs!$A:$A,Inputs!H:H,,0)</f>
        <v>2477</v>
      </c>
      <c r="I50" s="61">
        <f>_xlfn.XLOOKUP($A50,Inputs!$A:$A,Inputs!I:I,,0)</f>
        <v>6489</v>
      </c>
      <c r="J50" s="61">
        <f>_xlfn.XLOOKUP($A50,Inputs!$A:$A,Inputs!J:J,,0)</f>
        <v>2397</v>
      </c>
      <c r="K50" s="61">
        <f>_xlfn.XLOOKUP($A50,Inputs!$A:$A,Inputs!K:K,,0)</f>
        <v>3486</v>
      </c>
      <c r="L50" s="61">
        <f>_xlfn.XLOOKUP($A50,Inputs!$A:$A,Inputs!L:L,,0)</f>
        <v>3869</v>
      </c>
      <c r="M50" s="61">
        <f>_xlfn.XLOOKUP($A50,Inputs!$A:$A,Inputs!M:M,,0)</f>
        <v>2915</v>
      </c>
      <c r="N50" s="51"/>
    </row>
    <row r="51" spans="1:14" ht="12.75">
      <c r="A51" s="63" t="s">
        <v>594</v>
      </c>
      <c r="B51" s="61">
        <f>_xlfn.XLOOKUP($A51,Inputs!$A:$A,Inputs!B:B,,0)</f>
        <v>31458</v>
      </c>
      <c r="C51" s="61">
        <f>_xlfn.XLOOKUP($A51,Inputs!$A:$A,Inputs!C:C,,0)</f>
        <v>31677</v>
      </c>
      <c r="D51" s="61">
        <f>_xlfn.XLOOKUP($A51,Inputs!$A:$A,Inputs!D:D,,0)</f>
        <v>27104</v>
      </c>
      <c r="E51" s="61">
        <f>_xlfn.XLOOKUP($A51,Inputs!$A:$A,Inputs!E:E,,0)</f>
        <v>26366</v>
      </c>
      <c r="F51" s="61">
        <f>_xlfn.XLOOKUP($A51,Inputs!$A:$A,Inputs!F:F,,0)</f>
        <v>23508</v>
      </c>
      <c r="G51" s="61">
        <f>_xlfn.XLOOKUP($A51,Inputs!$A:$A,Inputs!G:G,,0)</f>
        <v>22521</v>
      </c>
      <c r="H51" s="61">
        <f>_xlfn.XLOOKUP($A51,Inputs!$A:$A,Inputs!H:H,,0)</f>
        <v>20611</v>
      </c>
      <c r="I51" s="61">
        <f>_xlfn.XLOOKUP($A51,Inputs!$A:$A,Inputs!I:I,,0)</f>
        <v>28563</v>
      </c>
      <c r="J51" s="61">
        <f>_xlfn.XLOOKUP($A51,Inputs!$A:$A,Inputs!J:J,,0)</f>
        <v>19654</v>
      </c>
      <c r="K51" s="61">
        <f>_xlfn.XLOOKUP($A51,Inputs!$A:$A,Inputs!K:K,,0)</f>
        <v>18163</v>
      </c>
      <c r="L51" s="61">
        <f>_xlfn.XLOOKUP($A51,Inputs!$A:$A,Inputs!L:L,,0)</f>
        <v>18133</v>
      </c>
      <c r="M51" s="61">
        <f>_xlfn.XLOOKUP($A51,Inputs!$A:$A,Inputs!M:M,,0)</f>
        <v>21718</v>
      </c>
      <c r="N51" s="51"/>
    </row>
    <row r="52" spans="1:14" ht="13.15">
      <c r="A52" s="73" t="s">
        <v>595</v>
      </c>
      <c r="B52" s="71">
        <f>_xlfn.XLOOKUP($A52,Inputs!$A:$A,Inputs!B:B,,0)</f>
        <v>238365</v>
      </c>
      <c r="C52" s="71">
        <f>_xlfn.XLOOKUP($A52,Inputs!$A:$A,Inputs!C:C,,0)</f>
        <v>237646</v>
      </c>
      <c r="D52" s="71">
        <f>_xlfn.XLOOKUP($A52,Inputs!$A:$A,Inputs!D:D,,0)</f>
        <v>208979</v>
      </c>
      <c r="E52" s="71">
        <f>_xlfn.XLOOKUP($A52,Inputs!$A:$A,Inputs!E:E,,0)</f>
        <v>185464</v>
      </c>
      <c r="F52" s="71">
        <f>_xlfn.XLOOKUP($A52,Inputs!$A:$A,Inputs!F:F,,0)</f>
        <v>173754</v>
      </c>
      <c r="G52" s="71">
        <f>_xlfn.XLOOKUP($A52,Inputs!$A:$A,Inputs!G:G,,0)</f>
        <v>181010</v>
      </c>
      <c r="H52" s="71">
        <f>_xlfn.XLOOKUP($A52,Inputs!$A:$A,Inputs!H:H,,0)</f>
        <v>191316</v>
      </c>
      <c r="I52" s="71">
        <f>_xlfn.XLOOKUP($A52,Inputs!$A:$A,Inputs!I:I,,0)</f>
        <v>192695</v>
      </c>
      <c r="J52" s="71">
        <f>_xlfn.XLOOKUP($A52,Inputs!$A:$A,Inputs!J:J,,0)</f>
        <v>192331</v>
      </c>
      <c r="K52" s="71">
        <f>_xlfn.XLOOKUP($A52,Inputs!$A:$A,Inputs!K:K,,0)</f>
        <v>208212</v>
      </c>
      <c r="L52" s="71">
        <f>_xlfn.XLOOKUP($A52,Inputs!$A:$A,Inputs!L:L,,0)</f>
        <v>165109</v>
      </c>
      <c r="M52" s="71">
        <f>_xlfn.XLOOKUP($A52,Inputs!$A:$A,Inputs!M:M,,0)</f>
        <v>163730</v>
      </c>
      <c r="N52" s="51"/>
    </row>
    <row r="53" spans="1:14" ht="12.75">
      <c r="A53" s="74" t="s">
        <v>596</v>
      </c>
      <c r="B53" s="61">
        <f>_xlfn.XLOOKUP($A53,Inputs!$A:$A,Inputs!B:B,,0)</f>
        <v>139509</v>
      </c>
      <c r="C53" s="61">
        <f>_xlfn.XLOOKUP($A53,Inputs!$A:$A,Inputs!C:C,,0)</f>
        <v>142500</v>
      </c>
      <c r="D53" s="61">
        <f>_xlfn.XLOOKUP($A53,Inputs!$A:$A,Inputs!D:D,,0)</f>
        <v>122257</v>
      </c>
      <c r="E53" s="61">
        <f>_xlfn.XLOOKUP($A53,Inputs!$A:$A,Inputs!E:E,,0)</f>
        <v>99932</v>
      </c>
      <c r="F53" s="61">
        <f>_xlfn.XLOOKUP($A53,Inputs!$A:$A,Inputs!F:F,,0)</f>
        <v>105284</v>
      </c>
      <c r="G53" s="61">
        <f>_xlfn.XLOOKUP($A53,Inputs!$A:$A,Inputs!G:G,,0)</f>
        <v>113004</v>
      </c>
      <c r="H53" s="61">
        <f>_xlfn.XLOOKUP($A53,Inputs!$A:$A,Inputs!H:H,,0)</f>
        <v>104818</v>
      </c>
      <c r="I53" s="61">
        <f>_xlfn.XLOOKUP($A53,Inputs!$A:$A,Inputs!I:I,,0)</f>
        <v>103240</v>
      </c>
      <c r="J53" s="61">
        <f>_xlfn.XLOOKUP($A53,Inputs!$A:$A,Inputs!J:J,,0)</f>
        <v>110536</v>
      </c>
      <c r="K53" s="61">
        <f>_xlfn.XLOOKUP($A53,Inputs!$A:$A,Inputs!K:K,,0)</f>
        <v>89547</v>
      </c>
      <c r="L53" s="61">
        <f>_xlfn.XLOOKUP($A53,Inputs!$A:$A,Inputs!L:L,,0)</f>
        <v>47618</v>
      </c>
      <c r="M53" s="61">
        <f>_xlfn.XLOOKUP($A53,Inputs!$A:$A,Inputs!M:M,,0)</f>
        <v>50303</v>
      </c>
      <c r="N53" s="51"/>
    </row>
    <row r="54" spans="1:14" ht="12.75">
      <c r="A54" s="60" t="s">
        <v>597</v>
      </c>
      <c r="B54" s="61">
        <f>_xlfn.XLOOKUP($A54,Inputs!$A:$A,Inputs!B:B,,0)</f>
        <v>1167</v>
      </c>
      <c r="C54" s="61">
        <f>_xlfn.XLOOKUP($A54,Inputs!$A:$A,Inputs!C:C,,0)</f>
        <v>925</v>
      </c>
      <c r="D54" s="61">
        <f>_xlfn.XLOOKUP($A54,Inputs!$A:$A,Inputs!D:D,,0)</f>
        <v>916</v>
      </c>
      <c r="E54" s="61">
        <f>_xlfn.XLOOKUP($A54,Inputs!$A:$A,Inputs!E:E,,0)</f>
        <v>780</v>
      </c>
      <c r="F54" s="61">
        <f>_xlfn.XLOOKUP($A54,Inputs!$A:$A,Inputs!F:F,,0)</f>
        <v>589</v>
      </c>
      <c r="G54" s="61">
        <f>_xlfn.XLOOKUP($A54,Inputs!$A:$A,Inputs!G:G,,0)</f>
        <v>638</v>
      </c>
      <c r="H54" s="61">
        <f>_xlfn.XLOOKUP($A54,Inputs!$A:$A,Inputs!H:H,,0)</f>
        <v>615</v>
      </c>
      <c r="I54" s="61">
        <f>_xlfn.XLOOKUP($A54,Inputs!$A:$A,Inputs!I:I,,0)</f>
        <v>0</v>
      </c>
      <c r="J54" s="61">
        <f>_xlfn.XLOOKUP($A54,Inputs!$A:$A,Inputs!J:J,,0)</f>
        <v>0</v>
      </c>
      <c r="K54" s="61">
        <f>_xlfn.XLOOKUP($A54,Inputs!$A:$A,Inputs!K:K,,0)</f>
        <v>111</v>
      </c>
      <c r="L54" s="61">
        <f>_xlfn.XLOOKUP($A54,Inputs!$A:$A,Inputs!L:L,,0)</f>
        <v>0</v>
      </c>
      <c r="M54" s="61">
        <f>_xlfn.XLOOKUP($A54,Inputs!$A:$A,Inputs!M:M,,0)</f>
        <v>0</v>
      </c>
      <c r="N54" s="51"/>
    </row>
    <row r="55" spans="1:14" ht="12.75">
      <c r="A55" s="63" t="s">
        <v>598</v>
      </c>
      <c r="B55" s="61">
        <f>_xlfn.XLOOKUP($A55,Inputs!$A:$A,Inputs!B:B,,0)</f>
        <v>97689</v>
      </c>
      <c r="C55" s="61">
        <f>_xlfn.XLOOKUP($A55,Inputs!$A:$A,Inputs!C:C,,0)</f>
        <v>94221</v>
      </c>
      <c r="D55" s="61">
        <f>_xlfn.XLOOKUP($A55,Inputs!$A:$A,Inputs!D:D,,0)</f>
        <v>85806</v>
      </c>
      <c r="E55" s="61">
        <f>_xlfn.XLOOKUP($A55,Inputs!$A:$A,Inputs!E:E,,0)</f>
        <v>84752</v>
      </c>
      <c r="F55" s="61">
        <f>_xlfn.XLOOKUP($A55,Inputs!$A:$A,Inputs!F:F,,0)</f>
        <v>67881</v>
      </c>
      <c r="G55" s="61">
        <f>_xlfn.XLOOKUP($A55,Inputs!$A:$A,Inputs!G:G,,0)</f>
        <v>67368</v>
      </c>
      <c r="H55" s="61">
        <f>_xlfn.XLOOKUP($A55,Inputs!$A:$A,Inputs!H:H,,0)</f>
        <v>85883</v>
      </c>
      <c r="I55" s="61">
        <f>_xlfn.XLOOKUP($A55,Inputs!$A:$A,Inputs!I:I,,0)</f>
        <v>89455</v>
      </c>
      <c r="J55" s="61">
        <f>_xlfn.XLOOKUP($A55,Inputs!$A:$A,Inputs!J:J,,0)</f>
        <v>81795</v>
      </c>
      <c r="K55" s="61">
        <f>_xlfn.XLOOKUP($A55,Inputs!$A:$A,Inputs!K:K,,0)</f>
        <v>118554</v>
      </c>
      <c r="L55" s="61">
        <f>_xlfn.XLOOKUP($A55,Inputs!$A:$A,Inputs!L:L,,0)</f>
        <v>117491</v>
      </c>
      <c r="M55" s="61">
        <f>_xlfn.XLOOKUP($A55,Inputs!$A:$A,Inputs!M:M,,0)</f>
        <v>113427</v>
      </c>
      <c r="N55" s="51"/>
    </row>
    <row r="56" spans="1:14" ht="13.15">
      <c r="A56" s="73" t="s">
        <v>53</v>
      </c>
      <c r="B56" s="71">
        <f>_xlfn.XLOOKUP($A56,Inputs!$A:$A,Inputs!B:B,,0)</f>
        <v>288536</v>
      </c>
      <c r="C56" s="71">
        <f>_xlfn.XLOOKUP($A56,Inputs!$A:$A,Inputs!C:C,,0)</f>
        <v>284806</v>
      </c>
      <c r="D56" s="71">
        <f>_xlfn.XLOOKUP($A56,Inputs!$A:$A,Inputs!D:D,,0)</f>
        <v>248639</v>
      </c>
      <c r="E56" s="71">
        <f>_xlfn.XLOOKUP($A56,Inputs!$A:$A,Inputs!E:E,,0)</f>
        <v>230332</v>
      </c>
      <c r="F56" s="71">
        <f>_xlfn.XLOOKUP($A56,Inputs!$A:$A,Inputs!F:F,,0)</f>
        <v>211684</v>
      </c>
      <c r="G56" s="71">
        <f>_xlfn.XLOOKUP($A56,Inputs!$A:$A,Inputs!G:G,,0)</f>
        <v>214047</v>
      </c>
      <c r="H56" s="71">
        <f>_xlfn.XLOOKUP($A56,Inputs!$A:$A,Inputs!H:H,,0)</f>
        <v>221656</v>
      </c>
      <c r="I56" s="71">
        <f>_xlfn.XLOOKUP($A56,Inputs!$A:$A,Inputs!I:I,,0)</f>
        <v>227747</v>
      </c>
      <c r="J56" s="71">
        <f>_xlfn.XLOOKUP($A56,Inputs!$A:$A,Inputs!J:J,,0)</f>
        <v>220318</v>
      </c>
      <c r="K56" s="71">
        <f>_xlfn.XLOOKUP($A56,Inputs!$A:$A,Inputs!K:K,,0)</f>
        <v>235262</v>
      </c>
      <c r="L56" s="71">
        <f>_xlfn.XLOOKUP($A56,Inputs!$A:$A,Inputs!L:L,,0)</f>
        <v>192065</v>
      </c>
      <c r="M56" s="71">
        <f>_xlfn.XLOOKUP($A56,Inputs!$A:$A,Inputs!M:M,,0)</f>
        <v>194491</v>
      </c>
      <c r="N56" s="51"/>
    </row>
    <row r="57" spans="1:14" ht="12.75">
      <c r="B57"/>
      <c r="C57"/>
      <c r="D57"/>
      <c r="E57"/>
      <c r="F57"/>
      <c r="G57"/>
      <c r="H57"/>
      <c r="I57"/>
      <c r="J57"/>
      <c r="K57"/>
      <c r="L57"/>
      <c r="M57"/>
      <c r="N57" s="51"/>
    </row>
    <row r="58" spans="1:14" ht="13.15">
      <c r="A58" s="73" t="s">
        <v>560</v>
      </c>
      <c r="B58" s="71">
        <f t="shared" ref="B58:M58" si="20">B49+B53</f>
        <v>139659</v>
      </c>
      <c r="C58" s="71">
        <f t="shared" si="20"/>
        <v>142500</v>
      </c>
      <c r="D58" s="71">
        <f t="shared" si="20"/>
        <v>122577</v>
      </c>
      <c r="E58" s="71">
        <f t="shared" si="20"/>
        <v>99932</v>
      </c>
      <c r="F58" s="71">
        <f t="shared" si="20"/>
        <v>105434</v>
      </c>
      <c r="G58" s="71">
        <f t="shared" si="20"/>
        <v>113154</v>
      </c>
      <c r="H58" s="71">
        <f t="shared" si="20"/>
        <v>104986</v>
      </c>
      <c r="I58" s="71">
        <f t="shared" si="20"/>
        <v>103240</v>
      </c>
      <c r="J58" s="71">
        <f t="shared" si="20"/>
        <v>110874</v>
      </c>
      <c r="K58" s="71">
        <f t="shared" si="20"/>
        <v>89994</v>
      </c>
      <c r="L58" s="71">
        <f t="shared" si="20"/>
        <v>48118</v>
      </c>
      <c r="M58" s="72">
        <f t="shared" si="20"/>
        <v>52237</v>
      </c>
      <c r="N58" s="51"/>
    </row>
    <row r="59" spans="1:14" ht="13.15">
      <c r="A59" s="74" t="s">
        <v>76</v>
      </c>
      <c r="B59" s="64">
        <f>IFERROR(B58/B44,"-")</f>
        <v>0.36783343868520857</v>
      </c>
      <c r="C59" s="64">
        <f t="shared" ref="C59:M59" si="21">IFERROR(C58/C44,"-")</f>
        <v>0.38871127890102458</v>
      </c>
      <c r="D59" s="64">
        <f t="shared" si="21"/>
        <v>0.38731235050445367</v>
      </c>
      <c r="E59" s="64">
        <f t="shared" si="21"/>
        <v>0.34255314043609264</v>
      </c>
      <c r="F59" s="64">
        <f t="shared" si="21"/>
        <v>0.39812105169751044</v>
      </c>
      <c r="G59" s="64">
        <f t="shared" si="21"/>
        <v>0.44004308886495064</v>
      </c>
      <c r="H59" s="64">
        <f t="shared" si="21"/>
        <v>0.42995331312965845</v>
      </c>
      <c r="I59" s="64">
        <f t="shared" si="21"/>
        <v>0.42281150813965396</v>
      </c>
      <c r="J59" s="64">
        <f t="shared" si="21"/>
        <v>0.47663961206451833</v>
      </c>
      <c r="K59" s="64">
        <f t="shared" si="21"/>
        <v>0.3283278243547928</v>
      </c>
      <c r="L59" s="64">
        <f t="shared" si="21"/>
        <v>0.21364697942474536</v>
      </c>
      <c r="M59" s="64">
        <f t="shared" si="21"/>
        <v>0.22666307965339039</v>
      </c>
      <c r="N59" s="51"/>
    </row>
    <row r="60" spans="1:14" ht="12.75">
      <c r="B60"/>
      <c r="C60"/>
      <c r="D60"/>
      <c r="E60"/>
      <c r="F60"/>
      <c r="G60"/>
      <c r="H60"/>
      <c r="I60"/>
      <c r="J60"/>
      <c r="K60"/>
      <c r="L60"/>
      <c r="M60"/>
      <c r="N60" s="51"/>
    </row>
    <row r="61" spans="1:14" s="52" customFormat="1" ht="13.15">
      <c r="A61" s="73" t="s">
        <v>600</v>
      </c>
      <c r="B61" s="71">
        <f>_xlfn.XLOOKUP($A61,Inputs!$A:$A,Inputs!B:B,,0)</f>
        <v>1319</v>
      </c>
      <c r="C61" s="71">
        <f>_xlfn.XLOOKUP($A61,Inputs!$A:$A,Inputs!C:C,,0)</f>
        <v>1410</v>
      </c>
      <c r="D61" s="71">
        <f>_xlfn.XLOOKUP($A61,Inputs!$A:$A,Inputs!D:D,,0)</f>
        <v>1430</v>
      </c>
      <c r="E61" s="71">
        <f>_xlfn.XLOOKUP($A61,Inputs!$A:$A,Inputs!E:E,,0)</f>
        <v>1440</v>
      </c>
      <c r="F61" s="71">
        <f>_xlfn.XLOOKUP($A61,Inputs!$A:$A,Inputs!F:F,,0)</f>
        <v>1565</v>
      </c>
      <c r="G61" s="71">
        <f>_xlfn.XLOOKUP($A61,Inputs!$A:$A,Inputs!G:G,,0)</f>
        <v>1591</v>
      </c>
      <c r="H61" s="71">
        <f>_xlfn.XLOOKUP($A61,Inputs!$A:$A,Inputs!H:H,,0)</f>
        <v>1508</v>
      </c>
      <c r="I61" s="71">
        <f>_xlfn.XLOOKUP($A61,Inputs!$A:$A,Inputs!I:I,,0)</f>
        <v>1414</v>
      </c>
      <c r="J61" s="71">
        <f>_xlfn.XLOOKUP($A61,Inputs!$A:$A,Inputs!J:J,,0)</f>
        <v>1378</v>
      </c>
      <c r="K61" s="71">
        <f>_xlfn.XLOOKUP($A61,Inputs!$A:$A,Inputs!K:K,,0)</f>
        <v>56580</v>
      </c>
      <c r="L61" s="71">
        <f>_xlfn.XLOOKUP($A61,Inputs!$A:$A,Inputs!L:L,,0)</f>
        <v>52375</v>
      </c>
      <c r="M61" s="71">
        <f>_xlfn.XLOOKUP($A61,Inputs!$A:$A,Inputs!M:M,,0)</f>
        <v>49938</v>
      </c>
      <c r="N61" s="53"/>
    </row>
    <row r="62" spans="1:14" ht="12.75">
      <c r="B62"/>
      <c r="C62"/>
      <c r="D62"/>
      <c r="E62"/>
      <c r="F62"/>
      <c r="G62"/>
      <c r="H62"/>
      <c r="I62"/>
      <c r="J62"/>
      <c r="K62"/>
      <c r="L62"/>
      <c r="M62"/>
      <c r="N62" s="51"/>
    </row>
    <row r="63" spans="1:14" ht="13.15">
      <c r="A63" s="73" t="s">
        <v>601</v>
      </c>
      <c r="B63" s="71">
        <f>_xlfn.XLOOKUP($A63,Inputs!$A:$A,Inputs!B:B,,0)</f>
        <v>89825</v>
      </c>
      <c r="C63" s="71">
        <f>_xlfn.XLOOKUP($A63,Inputs!$A:$A,Inputs!C:C,,0)</f>
        <v>80380</v>
      </c>
      <c r="D63" s="71">
        <f>_xlfn.XLOOKUP($A63,Inputs!$A:$A,Inputs!D:D,,0)</f>
        <v>66412</v>
      </c>
      <c r="E63" s="71">
        <f>_xlfn.XLOOKUP($A63,Inputs!$A:$A,Inputs!E:E,,0)</f>
        <v>59955</v>
      </c>
      <c r="F63" s="71">
        <f>_xlfn.XLOOKUP($A63,Inputs!$A:$A,Inputs!F:F,,0)</f>
        <v>51580</v>
      </c>
      <c r="G63" s="71">
        <f>_xlfn.XLOOKUP($A63,Inputs!$A:$A,Inputs!G:G,,0)</f>
        <v>41505</v>
      </c>
      <c r="H63" s="71">
        <f>_xlfn.XLOOKUP($A63,Inputs!$A:$A,Inputs!H:H,,0)</f>
        <v>21016</v>
      </c>
      <c r="I63" s="71">
        <f>_xlfn.XLOOKUP($A63,Inputs!$A:$A,Inputs!I:I,,0)</f>
        <v>15014</v>
      </c>
      <c r="J63" s="71">
        <f>_xlfn.XLOOKUP($A63,Inputs!$A:$A,Inputs!J:J,,0)</f>
        <v>10920</v>
      </c>
      <c r="K63" s="71">
        <f>_xlfn.XLOOKUP($A63,Inputs!$A:$A,Inputs!K:K,,0)</f>
        <v>-17744</v>
      </c>
      <c r="L63" s="71">
        <f>_xlfn.XLOOKUP($A63,Inputs!$A:$A,Inputs!L:L,,0)</f>
        <v>-19218</v>
      </c>
      <c r="M63" s="71">
        <f>_xlfn.XLOOKUP($A63,Inputs!$A:$A,Inputs!M:M,,0)</f>
        <v>-13968</v>
      </c>
      <c r="N63" s="51"/>
    </row>
    <row r="64" spans="1:14" ht="12" customHeight="1">
      <c r="K64" s="47"/>
      <c r="L64" s="47"/>
      <c r="M64" s="47"/>
      <c r="N64" s="51"/>
    </row>
    <row r="65" spans="1:236" ht="12" customHeight="1">
      <c r="K65" s="47"/>
      <c r="L65" s="47"/>
      <c r="M65" s="47"/>
      <c r="N65" s="51"/>
    </row>
    <row r="66" spans="1:236" ht="20.65">
      <c r="A66" s="1126" t="s">
        <v>603</v>
      </c>
      <c r="B66" s="1126"/>
      <c r="C66" s="1126"/>
      <c r="D66" s="1126"/>
      <c r="E66" s="1126"/>
      <c r="F66" s="1126"/>
      <c r="G66" s="1126"/>
      <c r="H66" s="1126"/>
      <c r="I66" s="1126"/>
      <c r="J66" s="1126"/>
      <c r="K66" s="1126"/>
      <c r="L66" s="1126"/>
      <c r="M66" s="1126"/>
    </row>
    <row r="67" spans="1:236" ht="12.75">
      <c r="A67" s="60" t="s">
        <v>604</v>
      </c>
      <c r="B67" s="61" t="e">
        <f>_xlfn.XLOOKUP($A67,Inputs!$A:$A,Inputs!B:B,,0)</f>
        <v>#N/A</v>
      </c>
      <c r="C67" s="61" t="e">
        <f>_xlfn.XLOOKUP($A67,Inputs!$A:$A,Inputs!C:C,,0)</f>
        <v>#N/A</v>
      </c>
      <c r="D67" s="61" t="e">
        <f>_xlfn.XLOOKUP($A67,Inputs!$A:$A,Inputs!D:D,,0)</f>
        <v>#N/A</v>
      </c>
      <c r="E67" s="61" t="e">
        <f>_xlfn.XLOOKUP($A67,Inputs!$A:$A,Inputs!E:E,,0)</f>
        <v>#N/A</v>
      </c>
      <c r="F67" s="61" t="e">
        <f>_xlfn.XLOOKUP($A67,Inputs!$A:$A,Inputs!F:F,,0)</f>
        <v>#N/A</v>
      </c>
      <c r="G67" s="61" t="e">
        <f>_xlfn.XLOOKUP($A67,Inputs!$A:$A,Inputs!G:G,,0)</f>
        <v>#N/A</v>
      </c>
      <c r="H67" s="61" t="e">
        <f>_xlfn.XLOOKUP($A67,Inputs!$A:$A,Inputs!H:H,,0)</f>
        <v>#N/A</v>
      </c>
      <c r="I67" s="61" t="e">
        <f>_xlfn.XLOOKUP($A67,Inputs!$A:$A,Inputs!I:I,,0)</f>
        <v>#N/A</v>
      </c>
      <c r="J67" s="61" t="e">
        <f>_xlfn.XLOOKUP($A67,Inputs!$A:$A,Inputs!J:J,,0)</f>
        <v>#N/A</v>
      </c>
      <c r="K67" s="61" t="e">
        <f>_xlfn.XLOOKUP($A67,Inputs!$A:$A,Inputs!K:K,,0)</f>
        <v>#N/A</v>
      </c>
      <c r="L67" s="61" t="e">
        <f>_xlfn.XLOOKUP($A67,Inputs!$A:$A,Inputs!L:L,,0)</f>
        <v>#N/A</v>
      </c>
      <c r="M67" s="61" t="e">
        <f>_xlfn.XLOOKUP($A67,Inputs!$A:$A,Inputs!M:M,,0)</f>
        <v>#N/A</v>
      </c>
    </row>
    <row r="68" spans="1:236" ht="12.75">
      <c r="A68" s="74" t="s">
        <v>605</v>
      </c>
      <c r="B68" s="61" t="e">
        <f>_xlfn.XLOOKUP($A68,Inputs!$A:$A,Inputs!B:B,,0)</f>
        <v>#N/A</v>
      </c>
      <c r="C68" s="61" t="e">
        <f>_xlfn.XLOOKUP($A68,Inputs!$A:$A,Inputs!C:C,,0)</f>
        <v>#N/A</v>
      </c>
      <c r="D68" s="61" t="e">
        <f>_xlfn.XLOOKUP($A68,Inputs!$A:$A,Inputs!D:D,,0)</f>
        <v>#N/A</v>
      </c>
      <c r="E68" s="61" t="e">
        <f>_xlfn.XLOOKUP($A68,Inputs!$A:$A,Inputs!E:E,,0)</f>
        <v>#N/A</v>
      </c>
      <c r="F68" s="61" t="e">
        <f>_xlfn.XLOOKUP($A68,Inputs!$A:$A,Inputs!F:F,,0)</f>
        <v>#N/A</v>
      </c>
      <c r="G68" s="61" t="e">
        <f>_xlfn.XLOOKUP($A68,Inputs!$A:$A,Inputs!G:G,,0)</f>
        <v>#N/A</v>
      </c>
      <c r="H68" s="61" t="e">
        <f>_xlfn.XLOOKUP($A68,Inputs!$A:$A,Inputs!H:H,,0)</f>
        <v>#N/A</v>
      </c>
      <c r="I68" s="61" t="e">
        <f>_xlfn.XLOOKUP($A68,Inputs!$A:$A,Inputs!I:I,,0)</f>
        <v>#N/A</v>
      </c>
      <c r="J68" s="61" t="e">
        <f>_xlfn.XLOOKUP($A68,Inputs!$A:$A,Inputs!J:J,,0)</f>
        <v>#N/A</v>
      </c>
      <c r="K68" s="61" t="e">
        <f>_xlfn.XLOOKUP($A68,Inputs!$A:$A,Inputs!K:K,,0)</f>
        <v>#N/A</v>
      </c>
      <c r="L68" s="61" t="e">
        <f>_xlfn.XLOOKUP($A68,Inputs!$A:$A,Inputs!L:L,,0)</f>
        <v>#N/A</v>
      </c>
      <c r="M68" s="61" t="e">
        <f>_xlfn.XLOOKUP($A68,Inputs!$A:$A,Inputs!M:M,,0)</f>
        <v>#N/A</v>
      </c>
    </row>
    <row r="69" spans="1:236" ht="12.75">
      <c r="A69" s="60" t="s">
        <v>51</v>
      </c>
      <c r="B69" s="61">
        <f>_xlfn.XLOOKUP($A69,Inputs!$A:$A,Inputs!B:B,,0)</f>
        <v>0.99970000000000003</v>
      </c>
      <c r="C69" s="61" t="str">
        <f>_xlfn.XLOOKUP($A69,Inputs!$A:$A,Inputs!C:C,,0)</f>
        <v>Yahoo finance</v>
      </c>
      <c r="D69" s="61">
        <f>_xlfn.XLOOKUP($A69,Inputs!$A:$A,Inputs!D:D,,0)</f>
        <v>0</v>
      </c>
      <c r="E69" s="61">
        <f>_xlfn.XLOOKUP($A69,Inputs!$A:$A,Inputs!E:E,,0)</f>
        <v>0</v>
      </c>
      <c r="F69" s="61">
        <f>_xlfn.XLOOKUP($A69,Inputs!$A:$A,Inputs!F:F,,0)</f>
        <v>0</v>
      </c>
      <c r="G69" s="61">
        <f>_xlfn.XLOOKUP($A69,Inputs!$A:$A,Inputs!G:G,,0)</f>
        <v>0</v>
      </c>
      <c r="H69" s="61">
        <f>_xlfn.XLOOKUP($A69,Inputs!$A:$A,Inputs!H:H,,0)</f>
        <v>0</v>
      </c>
      <c r="I69" s="61">
        <f>_xlfn.XLOOKUP($A69,Inputs!$A:$A,Inputs!I:I,,0)</f>
        <v>0</v>
      </c>
      <c r="J69" s="61">
        <f>_xlfn.XLOOKUP($A69,Inputs!$A:$A,Inputs!J:J,,0)</f>
        <v>0</v>
      </c>
      <c r="K69" s="61">
        <f>_xlfn.XLOOKUP($A69,Inputs!$A:$A,Inputs!K:K,,0)</f>
        <v>0</v>
      </c>
      <c r="L69" s="61">
        <f>_xlfn.XLOOKUP($A69,Inputs!$A:$A,Inputs!L:L,,0)</f>
        <v>0</v>
      </c>
      <c r="M69" s="61">
        <f>_xlfn.XLOOKUP($A69,Inputs!$A:$A,Inputs!M:M,,0)</f>
        <v>0</v>
      </c>
    </row>
    <row r="70" spans="1:236" ht="12.75">
      <c r="A70" s="74" t="s">
        <v>56</v>
      </c>
      <c r="B70" s="61">
        <f>_xlfn.XLOOKUP($A70,Inputs!$A:$A,Inputs!B:B,,0)</f>
        <v>2.9999999999999997E-4</v>
      </c>
      <c r="C70" s="61" t="str">
        <f>_xlfn.XLOOKUP($A70,Inputs!$A:$A,Inputs!C:C,,0)</f>
        <v>Yahoo finance</v>
      </c>
      <c r="D70" s="61">
        <f>_xlfn.XLOOKUP($A70,Inputs!$A:$A,Inputs!D:D,,0)</f>
        <v>0</v>
      </c>
      <c r="E70" s="61">
        <f>_xlfn.XLOOKUP($A70,Inputs!$A:$A,Inputs!E:E,,0)</f>
        <v>0</v>
      </c>
      <c r="F70" s="61">
        <f>_xlfn.XLOOKUP($A70,Inputs!$A:$A,Inputs!F:F,,0)</f>
        <v>0</v>
      </c>
      <c r="G70" s="61">
        <f>_xlfn.XLOOKUP($A70,Inputs!$A:$A,Inputs!G:G,,0)</f>
        <v>0</v>
      </c>
      <c r="H70" s="61">
        <f>_xlfn.XLOOKUP($A70,Inputs!$A:$A,Inputs!H:H,,0)</f>
        <v>0</v>
      </c>
      <c r="I70" s="61">
        <f>_xlfn.XLOOKUP($A70,Inputs!$A:$A,Inputs!I:I,,0)</f>
        <v>0</v>
      </c>
      <c r="J70" s="61">
        <f>_xlfn.XLOOKUP($A70,Inputs!$A:$A,Inputs!J:J,,0)</f>
        <v>0</v>
      </c>
      <c r="K70" s="61">
        <f>_xlfn.XLOOKUP($A70,Inputs!$A:$A,Inputs!K:K,,0)</f>
        <v>0</v>
      </c>
      <c r="L70" s="61">
        <f>_xlfn.XLOOKUP($A70,Inputs!$A:$A,Inputs!L:L,,0)</f>
        <v>0</v>
      </c>
      <c r="M70" s="61">
        <f>_xlfn.XLOOKUP($A70,Inputs!$A:$A,Inputs!M:M,,0)</f>
        <v>0</v>
      </c>
    </row>
    <row r="71" spans="1:236" ht="12.75">
      <c r="A71" s="60" t="s">
        <v>606</v>
      </c>
      <c r="B71" s="61" t="str">
        <f>_xlfn.XLOOKUP($A71,Inputs!$A:$A,Inputs!B:B,,0)</f>
        <v>BBB+</v>
      </c>
      <c r="C71" s="61" t="str">
        <f>_xlfn.XLOOKUP($A71,Inputs!$A:$A,Inputs!C:C,,0)</f>
        <v>10-K</v>
      </c>
      <c r="D71" s="61">
        <f>_xlfn.XLOOKUP($A71,Inputs!$A:$A,Inputs!D:D,,0)</f>
        <v>0</v>
      </c>
      <c r="E71" s="61">
        <f>_xlfn.XLOOKUP($A71,Inputs!$A:$A,Inputs!E:E,,0)</f>
        <v>0</v>
      </c>
      <c r="F71" s="61">
        <f>_xlfn.XLOOKUP($A71,Inputs!$A:$A,Inputs!F:F,,0)</f>
        <v>0</v>
      </c>
      <c r="G71" s="61">
        <f>_xlfn.XLOOKUP($A71,Inputs!$A:$A,Inputs!G:G,,0)</f>
        <v>0</v>
      </c>
      <c r="H71" s="61">
        <f>_xlfn.XLOOKUP($A71,Inputs!$A:$A,Inputs!H:H,,0)</f>
        <v>0</v>
      </c>
      <c r="I71" s="61">
        <f>_xlfn.XLOOKUP($A71,Inputs!$A:$A,Inputs!I:I,,0)</f>
        <v>0</v>
      </c>
      <c r="J71" s="61">
        <f>_xlfn.XLOOKUP($A71,Inputs!$A:$A,Inputs!J:J,,0)</f>
        <v>0</v>
      </c>
      <c r="K71" s="61">
        <f>_xlfn.XLOOKUP($A71,Inputs!$A:$A,Inputs!K:K,,0)</f>
        <v>0</v>
      </c>
      <c r="L71" s="61">
        <f>_xlfn.XLOOKUP($A71,Inputs!$A:$A,Inputs!L:L,,0)</f>
        <v>0</v>
      </c>
      <c r="M71" s="61">
        <f>_xlfn.XLOOKUP($A71,Inputs!$A:$A,Inputs!M:M,,0)</f>
        <v>0</v>
      </c>
    </row>
    <row r="72" spans="1:236" ht="12.75">
      <c r="A72" s="60" t="s">
        <v>607</v>
      </c>
      <c r="B72" s="61" t="e">
        <f>_xlfn.XLOOKUP($A72,Inputs!$A:$A,Inputs!B:B,,0)</f>
        <v>#N/A</v>
      </c>
      <c r="C72" s="61" t="e">
        <f>_xlfn.XLOOKUP($A72,Inputs!$A:$A,Inputs!C:C,,0)</f>
        <v>#N/A</v>
      </c>
      <c r="D72" s="61" t="e">
        <f>_xlfn.XLOOKUP($A72,Inputs!$A:$A,Inputs!D:D,,0)</f>
        <v>#N/A</v>
      </c>
      <c r="E72" s="61" t="e">
        <f>_xlfn.XLOOKUP($A72,Inputs!$A:$A,Inputs!E:E,,0)</f>
        <v>#N/A</v>
      </c>
      <c r="F72" s="61" t="e">
        <f>_xlfn.XLOOKUP($A72,Inputs!$A:$A,Inputs!F:F,,0)</f>
        <v>#N/A</v>
      </c>
      <c r="G72" s="61" t="e">
        <f>_xlfn.XLOOKUP($A72,Inputs!$A:$A,Inputs!G:G,,0)</f>
        <v>#N/A</v>
      </c>
      <c r="H72" s="61" t="e">
        <f>_xlfn.XLOOKUP($A72,Inputs!$A:$A,Inputs!H:H,,0)</f>
        <v>#N/A</v>
      </c>
      <c r="I72" s="61" t="e">
        <f>_xlfn.XLOOKUP($A72,Inputs!$A:$A,Inputs!I:I,,0)</f>
        <v>#N/A</v>
      </c>
      <c r="J72" s="61" t="e">
        <f>_xlfn.XLOOKUP($A72,Inputs!$A:$A,Inputs!J:J,,0)</f>
        <v>#N/A</v>
      </c>
      <c r="K72" s="61" t="e">
        <f>_xlfn.XLOOKUP($A72,Inputs!$A:$A,Inputs!K:K,,0)</f>
        <v>#N/A</v>
      </c>
      <c r="L72" s="61" t="e">
        <f>_xlfn.XLOOKUP($A72,Inputs!$A:$A,Inputs!L:L,,0)</f>
        <v>#N/A</v>
      </c>
      <c r="M72" s="61" t="e">
        <f>_xlfn.XLOOKUP($A72,Inputs!$A:$A,Inputs!M:M,,0)</f>
        <v>#N/A</v>
      </c>
    </row>
    <row r="73" spans="1:236" ht="12.75">
      <c r="A73" s="74" t="s">
        <v>608</v>
      </c>
      <c r="B73" s="61">
        <f>_xlfn.XLOOKUP($A73,Inputs!$A:$A,Inputs!B:B,,0)</f>
        <v>0</v>
      </c>
      <c r="C73" s="61" t="str">
        <f>_xlfn.XLOOKUP($A73,Inputs!$A:$A,Inputs!C:C,,0)</f>
        <v>Yahoo Finance</v>
      </c>
      <c r="D73" s="61">
        <f>_xlfn.XLOOKUP($A73,Inputs!$A:$A,Inputs!D:D,,0)</f>
        <v>0</v>
      </c>
      <c r="E73" s="61">
        <f>_xlfn.XLOOKUP($A73,Inputs!$A:$A,Inputs!E:E,,0)</f>
        <v>0</v>
      </c>
      <c r="F73" s="61">
        <f>_xlfn.XLOOKUP($A73,Inputs!$A:$A,Inputs!F:F,,0)</f>
        <v>0</v>
      </c>
      <c r="G73" s="61">
        <f>_xlfn.XLOOKUP($A73,Inputs!$A:$A,Inputs!G:G,,0)</f>
        <v>0</v>
      </c>
      <c r="H73" s="61">
        <f>_xlfn.XLOOKUP($A73,Inputs!$A:$A,Inputs!H:H,,0)</f>
        <v>0</v>
      </c>
      <c r="I73" s="61">
        <f>_xlfn.XLOOKUP($A73,Inputs!$A:$A,Inputs!I:I,,0)</f>
        <v>0</v>
      </c>
      <c r="J73" s="61">
        <f>_xlfn.XLOOKUP($A73,Inputs!$A:$A,Inputs!J:J,,0)</f>
        <v>0</v>
      </c>
      <c r="K73" s="61">
        <f>_xlfn.XLOOKUP($A73,Inputs!$A:$A,Inputs!K:K,,0)</f>
        <v>0</v>
      </c>
      <c r="L73" s="61">
        <f>_xlfn.XLOOKUP($A73,Inputs!$A:$A,Inputs!L:L,,0)</f>
        <v>0</v>
      </c>
      <c r="M73" s="61">
        <f>_xlfn.XLOOKUP($A73,Inputs!$A:$A,Inputs!M:M,,0)</f>
        <v>0</v>
      </c>
      <c r="IB73" s="47"/>
    </row>
    <row r="74" spans="1:236" ht="12" customHeight="1">
      <c r="B74" s="50"/>
      <c r="C74" s="50"/>
      <c r="D74" s="50"/>
      <c r="E74" s="50"/>
      <c r="F74" s="50"/>
      <c r="G74" s="50"/>
      <c r="H74" s="50"/>
      <c r="I74" s="50"/>
      <c r="J74" s="50"/>
      <c r="K74" s="50"/>
      <c r="L74" s="50"/>
      <c r="M74" s="50"/>
      <c r="IB74" s="47"/>
    </row>
    <row r="75" spans="1:236" ht="12" customHeight="1">
      <c r="B75" s="48">
        <v>2020</v>
      </c>
      <c r="C75" s="48">
        <v>2021</v>
      </c>
      <c r="D75" s="48">
        <v>2022</v>
      </c>
      <c r="G75" s="48"/>
      <c r="H75" s="50"/>
      <c r="I75" s="50"/>
      <c r="J75" s="50"/>
      <c r="K75" s="50"/>
      <c r="L75" s="50"/>
      <c r="M75" s="50"/>
      <c r="IB75" s="47"/>
    </row>
    <row r="76" spans="1:236" ht="12.75">
      <c r="A76" s="60" t="s">
        <v>609</v>
      </c>
      <c r="B76" s="67">
        <v>0</v>
      </c>
      <c r="C76" s="67">
        <v>0</v>
      </c>
      <c r="D76" s="68">
        <v>0</v>
      </c>
      <c r="G76" s="50"/>
      <c r="H76" s="50"/>
      <c r="I76" s="50"/>
      <c r="J76" s="50"/>
      <c r="K76" s="50"/>
      <c r="L76" s="50"/>
      <c r="M76" s="50"/>
      <c r="IB76" s="47"/>
    </row>
    <row r="77" spans="1:236" ht="12.75">
      <c r="A77" s="74" t="s">
        <v>78</v>
      </c>
      <c r="B77" s="67">
        <v>0</v>
      </c>
      <c r="C77" s="67">
        <v>0</v>
      </c>
      <c r="D77" s="68">
        <v>0</v>
      </c>
    </row>
    <row r="78" spans="1:236" ht="12" customHeight="1"/>
    <row r="79" spans="1:236">
      <c r="A79" s="49" t="s">
        <v>610</v>
      </c>
      <c r="B79" s="48" t="s">
        <v>611</v>
      </c>
      <c r="C79" s="48" t="s">
        <v>612</v>
      </c>
      <c r="D79" s="48" t="s">
        <v>613</v>
      </c>
      <c r="E79" s="48" t="s">
        <v>614</v>
      </c>
      <c r="G79" s="48"/>
    </row>
    <row r="80" spans="1:236" ht="12.75">
      <c r="B80" s="75" t="e">
        <f>VLOOKUP($A80,Inputs!$A$5:$M$98,MATCH(B$4,Inputs!$B$5:$M$5,0)+1,FALSE)</f>
        <v>#N/A</v>
      </c>
      <c r="C80" s="75" t="e">
        <f>VLOOKUP($A80,Inputs!$A$5:$M$98,MATCH(C$4,Inputs!$B$5:$M$5,0)+1,FALSE)</f>
        <v>#N/A</v>
      </c>
      <c r="D80" s="75" t="e">
        <f>VLOOKUP($A80,Inputs!$A$5:$M$98,MATCH(D$4,Inputs!$B$5:$M$5,0)+1,FALSE)</f>
        <v>#N/A</v>
      </c>
      <c r="E80" s="75" t="e">
        <f>VLOOKUP($A80,Inputs!$A$5:$M$98,MATCH(E$4,Inputs!$B$5:$M$5,0)+1,FALSE)</f>
        <v>#N/A</v>
      </c>
    </row>
    <row r="81" spans="2:6" ht="12.75">
      <c r="B81" s="76"/>
      <c r="C81" s="76"/>
      <c r="D81" s="2"/>
      <c r="E81" s="76"/>
      <c r="F81" s="2"/>
    </row>
    <row r="82" spans="2:6" ht="12.75">
      <c r="B82" s="76"/>
      <c r="C82" s="76"/>
      <c r="D82" s="2"/>
      <c r="E82" s="76"/>
      <c r="F82" s="2"/>
    </row>
    <row r="83" spans="2:6" ht="12.75">
      <c r="B83" s="76"/>
      <c r="C83" s="76"/>
      <c r="D83" s="2"/>
      <c r="E83" s="76"/>
      <c r="F83" s="2"/>
    </row>
    <row r="84" spans="2:6" ht="12.75">
      <c r="B84" s="76"/>
      <c r="C84" s="76"/>
      <c r="D84" s="2"/>
      <c r="E84" s="76"/>
      <c r="F84" s="2"/>
    </row>
    <row r="85" spans="2:6" ht="12.75">
      <c r="B85" s="76"/>
      <c r="C85" s="76"/>
      <c r="D85" s="2"/>
      <c r="E85" s="76"/>
      <c r="F85" s="2"/>
    </row>
    <row r="86" spans="2:6" ht="12.75">
      <c r="B86" s="76"/>
      <c r="C86" s="76"/>
      <c r="D86" s="2"/>
      <c r="E86" s="76"/>
      <c r="F86" s="2"/>
    </row>
    <row r="87" spans="2:6" ht="12.75">
      <c r="B87" s="76"/>
      <c r="C87" s="76"/>
      <c r="D87" s="2"/>
      <c r="E87" s="76"/>
      <c r="F87" s="2"/>
    </row>
    <row r="88" spans="2:6" ht="12.75">
      <c r="B88" s="76"/>
      <c r="C88" s="76"/>
      <c r="D88" s="2"/>
      <c r="E88" s="76"/>
      <c r="F88" s="2"/>
    </row>
  </sheetData>
  <mergeCells count="6">
    <mergeCell ref="A66:M66"/>
    <mergeCell ref="A1:M1"/>
    <mergeCell ref="A2:M2"/>
    <mergeCell ref="A3:M3"/>
    <mergeCell ref="A38:M38"/>
    <mergeCell ref="A47:M47"/>
  </mergeCell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showGridLines="0" workbookViewId="0">
      <selection activeCell="F8" sqref="F8"/>
    </sheetView>
  </sheetViews>
  <sheetFormatPr defaultColWidth="10.42578125" defaultRowHeight="13.5"/>
  <cols>
    <col min="1" max="1" width="40.140625" style="24" bestFit="1" customWidth="1"/>
    <col min="2" max="5" width="13.42578125" style="24" customWidth="1"/>
    <col min="6" max="6" width="13.140625" style="24" customWidth="1"/>
    <col min="7" max="9" width="13.85546875" style="24" customWidth="1"/>
    <col min="10" max="10" width="14.140625" style="24" customWidth="1"/>
    <col min="11" max="11" width="15.140625" style="26" customWidth="1"/>
    <col min="12" max="12" width="17" style="26" customWidth="1"/>
    <col min="13" max="13" width="14.140625" style="24" customWidth="1"/>
    <col min="14" max="14" width="21.42578125" style="24" bestFit="1" customWidth="1"/>
    <col min="15" max="15" width="32.140625" style="24" customWidth="1"/>
    <col min="16" max="16" width="11.42578125" style="24" customWidth="1"/>
    <col min="17" max="17" width="30.140625" style="24" hidden="1" customWidth="1"/>
    <col min="18" max="18" width="37.85546875" style="24" hidden="1" customWidth="1"/>
    <col min="19" max="19" width="17.28515625" style="24" hidden="1" customWidth="1"/>
    <col min="20" max="20" width="23.28515625" style="24" hidden="1" customWidth="1"/>
    <col min="21" max="21" width="18.42578125" style="24" hidden="1" customWidth="1"/>
    <col min="22" max="22" width="11.85546875" style="24" hidden="1" customWidth="1"/>
    <col min="23" max="23" width="10.85546875" style="24" hidden="1" customWidth="1"/>
    <col min="24" max="24" width="15.42578125" style="24" bestFit="1" customWidth="1"/>
    <col min="25" max="25" width="17.42578125" style="24" bestFit="1" customWidth="1"/>
    <col min="26" max="33" width="0" style="24" hidden="1" customWidth="1"/>
    <col min="34" max="16384" width="10.42578125" style="24"/>
  </cols>
  <sheetData>
    <row r="1" spans="1:36" ht="13.9">
      <c r="B1" s="55"/>
      <c r="C1" s="55"/>
      <c r="D1" s="55"/>
      <c r="E1" s="55"/>
      <c r="F1" s="55"/>
      <c r="G1" s="55"/>
      <c r="H1" s="55"/>
      <c r="I1" s="55"/>
      <c r="J1" s="55"/>
      <c r="K1" s="55"/>
      <c r="L1" s="55"/>
      <c r="M1" s="55"/>
      <c r="N1"/>
      <c r="O1"/>
    </row>
    <row r="2" spans="1:36">
      <c r="G2" s="1131" t="s">
        <v>617</v>
      </c>
      <c r="H2" s="1131"/>
      <c r="I2" s="1131"/>
      <c r="J2" s="1131"/>
      <c r="K2" s="27"/>
      <c r="L2" s="27"/>
      <c r="M2" s="27"/>
      <c r="N2" s="27"/>
      <c r="O2" s="27"/>
    </row>
    <row r="3" spans="1:36">
      <c r="G3" s="24" t="s">
        <v>618</v>
      </c>
      <c r="H3" s="24" t="e" vm="1">
        <v>#VALUE!</v>
      </c>
      <c r="M3"/>
      <c r="N3"/>
      <c r="O3"/>
    </row>
    <row r="4" spans="1:36">
      <c r="D4" s="1131" t="s">
        <v>619</v>
      </c>
      <c r="E4" s="1131"/>
      <c r="F4" s="1131"/>
      <c r="G4" s="1131"/>
      <c r="H4" s="1131"/>
      <c r="I4" s="1131"/>
      <c r="J4" s="1131"/>
      <c r="K4" s="1131"/>
      <c r="L4" s="1131"/>
      <c r="M4" s="1131"/>
      <c r="N4"/>
      <c r="O4"/>
    </row>
    <row r="5" spans="1:36" ht="13.9">
      <c r="A5" s="55" t="s">
        <v>620</v>
      </c>
      <c r="B5" s="313">
        <f>OP!J19</f>
        <v>2022</v>
      </c>
      <c r="C5" s="313">
        <f>B5-1</f>
        <v>2021</v>
      </c>
      <c r="D5" s="313">
        <f t="shared" ref="D5:M5" si="0">C5-1</f>
        <v>2020</v>
      </c>
      <c r="E5" s="313">
        <f t="shared" si="0"/>
        <v>2019</v>
      </c>
      <c r="F5" s="313">
        <f t="shared" si="0"/>
        <v>2018</v>
      </c>
      <c r="G5" s="313">
        <f t="shared" si="0"/>
        <v>2017</v>
      </c>
      <c r="H5" s="313">
        <f t="shared" si="0"/>
        <v>2016</v>
      </c>
      <c r="I5" s="313">
        <f t="shared" si="0"/>
        <v>2015</v>
      </c>
      <c r="J5" s="313">
        <f t="shared" si="0"/>
        <v>2014</v>
      </c>
      <c r="K5" s="313">
        <f t="shared" si="0"/>
        <v>2013</v>
      </c>
      <c r="L5" s="313">
        <f t="shared" si="0"/>
        <v>2012</v>
      </c>
      <c r="M5" s="313">
        <f t="shared" si="0"/>
        <v>2011</v>
      </c>
      <c r="N5"/>
      <c r="O5"/>
      <c r="Q5" s="10" t="s">
        <v>621</v>
      </c>
      <c r="R5" s="1132" t="s">
        <v>622</v>
      </c>
      <c r="S5" s="1132"/>
      <c r="T5" s="24" t="s">
        <v>623</v>
      </c>
      <c r="Z5" s="55">
        <v>2016</v>
      </c>
      <c r="AA5" s="55">
        <v>2015</v>
      </c>
      <c r="AB5" s="55">
        <v>2014</v>
      </c>
      <c r="AC5" s="55">
        <v>2013</v>
      </c>
      <c r="AD5" s="55">
        <v>2012</v>
      </c>
      <c r="AE5" s="55">
        <v>2011</v>
      </c>
      <c r="AF5" s="55">
        <v>2010</v>
      </c>
      <c r="AG5" s="55">
        <v>2009</v>
      </c>
    </row>
    <row r="6" spans="1:36">
      <c r="A6" s="28" t="s">
        <v>129</v>
      </c>
      <c r="B6" s="281">
        <v>136835</v>
      </c>
      <c r="C6" s="281">
        <v>133613</v>
      </c>
      <c r="D6" s="281">
        <v>128292</v>
      </c>
      <c r="E6" s="281">
        <v>131868</v>
      </c>
      <c r="F6" s="281">
        <v>130863</v>
      </c>
      <c r="G6" s="281">
        <v>126034</v>
      </c>
      <c r="H6" s="314">
        <v>125980</v>
      </c>
      <c r="I6" s="281">
        <v>131620</v>
      </c>
      <c r="J6" s="281">
        <v>127079</v>
      </c>
      <c r="K6" s="281">
        <v>120550</v>
      </c>
      <c r="L6" s="281">
        <v>115846</v>
      </c>
      <c r="M6" s="281">
        <v>110875</v>
      </c>
      <c r="N6" s="30" t="s">
        <v>624</v>
      </c>
      <c r="O6" t="s">
        <v>625</v>
      </c>
      <c r="P6"/>
      <c r="Q6" s="24" t="s">
        <v>626</v>
      </c>
      <c r="R6" s="24" t="s">
        <v>626</v>
      </c>
      <c r="X6" s="31"/>
      <c r="Y6" s="31"/>
      <c r="Z6" s="29">
        <v>38537</v>
      </c>
      <c r="AA6" s="29">
        <v>47011</v>
      </c>
      <c r="AB6" s="29">
        <v>55184</v>
      </c>
      <c r="AC6" s="29">
        <v>55656</v>
      </c>
      <c r="AD6" s="29">
        <v>65875</v>
      </c>
      <c r="AE6" s="29">
        <v>60138</v>
      </c>
      <c r="AF6" s="29">
        <v>42588</v>
      </c>
      <c r="AG6" s="29">
        <v>32396</v>
      </c>
    </row>
    <row r="7" spans="1:36">
      <c r="A7" s="28" t="s">
        <v>574</v>
      </c>
      <c r="B7" s="281">
        <v>77702</v>
      </c>
      <c r="C7" s="281">
        <v>77312</v>
      </c>
      <c r="D7" s="281">
        <v>77091</v>
      </c>
      <c r="E7" s="281">
        <v>77142</v>
      </c>
      <c r="F7" s="281">
        <v>75658</v>
      </c>
      <c r="G7" s="281">
        <v>73142</v>
      </c>
      <c r="H7" s="315">
        <v>73279</v>
      </c>
      <c r="I7" s="316">
        <v>79063</v>
      </c>
      <c r="J7" s="281">
        <v>77175</v>
      </c>
      <c r="K7" s="281">
        <v>75663</v>
      </c>
      <c r="L7" s="281">
        <v>69611</v>
      </c>
      <c r="M7" s="281">
        <v>65000</v>
      </c>
      <c r="N7" s="30" t="s">
        <v>624</v>
      </c>
      <c r="O7" t="str">
        <f>+A7</f>
        <v>Gross Profit</v>
      </c>
      <c r="P7"/>
      <c r="Q7" s="24" t="s">
        <v>626</v>
      </c>
      <c r="R7" s="24" t="s">
        <v>627</v>
      </c>
      <c r="Z7" s="33">
        <f>Z6-28044</f>
        <v>10493</v>
      </c>
      <c r="AA7" s="33">
        <f>AA6-33546</f>
        <v>13465</v>
      </c>
      <c r="AB7" s="33">
        <f>AB6-40718</f>
        <v>14466</v>
      </c>
      <c r="AC7" s="33">
        <f>AC6-40727</f>
        <v>14929</v>
      </c>
      <c r="AD7" s="34">
        <f>+AD6-47055</f>
        <v>18820</v>
      </c>
      <c r="AE7" s="34">
        <f>+AE6-43578</f>
        <v>16560</v>
      </c>
      <c r="AF7" s="34">
        <f>+AF6-30367</f>
        <v>12221</v>
      </c>
      <c r="AG7" s="34">
        <f>+AG6-23886</f>
        <v>8510</v>
      </c>
    </row>
    <row r="8" spans="1:36">
      <c r="A8" s="28" t="s">
        <v>277</v>
      </c>
      <c r="B8" s="281">
        <v>30467</v>
      </c>
      <c r="C8" s="281">
        <v>32448</v>
      </c>
      <c r="D8" s="281">
        <v>28798</v>
      </c>
      <c r="E8" s="281">
        <v>30378</v>
      </c>
      <c r="F8" s="281">
        <v>22278</v>
      </c>
      <c r="G8" s="281">
        <v>27425</v>
      </c>
      <c r="H8" s="315">
        <v>27059</v>
      </c>
      <c r="I8" s="316">
        <v>33060</v>
      </c>
      <c r="J8" s="316">
        <v>19599</v>
      </c>
      <c r="K8" s="316">
        <v>31968</v>
      </c>
      <c r="L8" s="316">
        <v>13160</v>
      </c>
      <c r="M8" s="316">
        <v>12880</v>
      </c>
      <c r="N8" s="30" t="s">
        <v>624</v>
      </c>
      <c r="O8" t="s">
        <v>277</v>
      </c>
      <c r="P8"/>
      <c r="Q8" s="24" t="s">
        <v>626</v>
      </c>
      <c r="R8" s="35" t="s">
        <v>628</v>
      </c>
      <c r="Z8" s="33">
        <f>Z7-4383</f>
        <v>6110</v>
      </c>
      <c r="AA8" s="33">
        <f>AA7-4951</f>
        <v>8514</v>
      </c>
      <c r="AB8" s="33">
        <f>AB7-6529</f>
        <v>7937</v>
      </c>
      <c r="AC8" s="33">
        <f>AC7-5547</f>
        <v>9382</v>
      </c>
      <c r="AD8" s="34">
        <f>AD7-5919-2466-797-580-485</f>
        <v>8573</v>
      </c>
      <c r="AE8" s="34">
        <f>+AE7-5203-2297-826-1081</f>
        <v>7153</v>
      </c>
      <c r="AF8" s="34">
        <f>+AF7-4248-1905-914-1191</f>
        <v>3963</v>
      </c>
      <c r="AG8" s="34">
        <f>+AG7-3645-1421-1045-1822</f>
        <v>577</v>
      </c>
    </row>
    <row r="9" spans="1:36">
      <c r="A9" s="28" t="s">
        <v>578</v>
      </c>
      <c r="B9" s="281">
        <v>1373</v>
      </c>
      <c r="C9" s="281">
        <v>312</v>
      </c>
      <c r="D9" s="281">
        <f>-539-45</f>
        <v>-584</v>
      </c>
      <c r="E9" s="281">
        <f>-2900-15</f>
        <v>-2915</v>
      </c>
      <c r="F9" s="281">
        <f>2364-186</f>
        <v>2178</v>
      </c>
      <c r="G9" s="281">
        <f>-2021-77</f>
        <v>-2098</v>
      </c>
      <c r="H9" s="281">
        <f>-1599-98</f>
        <v>-1697</v>
      </c>
      <c r="I9" s="281">
        <f>186-86</f>
        <v>100</v>
      </c>
      <c r="J9" s="281">
        <f>-1194+1780</f>
        <v>586</v>
      </c>
      <c r="K9" s="281">
        <f>-166+142</f>
        <v>-24</v>
      </c>
      <c r="L9" s="281">
        <f>-1016+324</f>
        <v>-692</v>
      </c>
      <c r="M9" s="281">
        <f>-14+444</f>
        <v>430</v>
      </c>
      <c r="N9" s="30" t="s">
        <v>624</v>
      </c>
      <c r="O9" t="s">
        <v>629</v>
      </c>
      <c r="P9"/>
      <c r="Q9" s="24" t="s">
        <v>626</v>
      </c>
      <c r="R9" s="24" t="s">
        <v>630</v>
      </c>
      <c r="S9" s="24" t="s">
        <v>631</v>
      </c>
      <c r="T9" s="24" t="s">
        <v>632</v>
      </c>
      <c r="U9" s="24" t="s">
        <v>633</v>
      </c>
      <c r="V9" s="24" t="s">
        <v>634</v>
      </c>
      <c r="Z9" s="33">
        <f>1853+596+595+1904+6+8</f>
        <v>4962</v>
      </c>
      <c r="AA9" s="33">
        <f>2119+587+2023+11</f>
        <v>4740</v>
      </c>
      <c r="AB9" s="33">
        <f>2380+624+1619-8+16</f>
        <v>4631</v>
      </c>
      <c r="AC9" s="33">
        <f>2046+727+981+6+14</f>
        <v>3774</v>
      </c>
      <c r="AD9" s="34">
        <f>-14+41</f>
        <v>27</v>
      </c>
      <c r="AE9" s="33">
        <v>53</v>
      </c>
      <c r="AF9" s="33">
        <f>58+24</f>
        <v>82</v>
      </c>
      <c r="AG9" s="33">
        <f>12-68</f>
        <v>-56</v>
      </c>
    </row>
    <row r="10" spans="1:36">
      <c r="A10" s="28" t="s">
        <v>278</v>
      </c>
      <c r="B10" s="281">
        <f>-3613+44</f>
        <v>-3569</v>
      </c>
      <c r="C10" s="281">
        <f>-3485+145</f>
        <v>-3340</v>
      </c>
      <c r="D10" s="281">
        <v>-4247</v>
      </c>
      <c r="E10" s="281">
        <v>-4730</v>
      </c>
      <c r="F10" s="281">
        <v>-4833</v>
      </c>
      <c r="G10" s="281">
        <v>-4733</v>
      </c>
      <c r="H10" s="315">
        <v>-4376</v>
      </c>
      <c r="I10" s="316">
        <v>-4920</v>
      </c>
      <c r="J10" s="281">
        <v>-4915</v>
      </c>
      <c r="K10" s="281">
        <v>-2667</v>
      </c>
      <c r="L10" s="281">
        <v>-2571</v>
      </c>
      <c r="M10" s="281">
        <v>-2827</v>
      </c>
      <c r="N10" s="30" t="s">
        <v>624</v>
      </c>
      <c r="O10" t="s">
        <v>635</v>
      </c>
      <c r="P10"/>
      <c r="Q10" s="24" t="s">
        <v>626</v>
      </c>
      <c r="R10" s="24" t="s">
        <v>636</v>
      </c>
      <c r="Z10" s="33">
        <f>505+518</f>
        <v>1023</v>
      </c>
      <c r="AA10" s="33">
        <f>507-161</f>
        <v>346</v>
      </c>
      <c r="AB10" s="33">
        <f>484-322</f>
        <v>162</v>
      </c>
      <c r="AC10" s="33">
        <f>465+35</f>
        <v>500</v>
      </c>
      <c r="AD10" s="34">
        <f>467-130</f>
        <v>337</v>
      </c>
      <c r="AE10" s="33">
        <f>396+32</f>
        <v>428</v>
      </c>
      <c r="AF10" s="33">
        <f>343-130</f>
        <v>213</v>
      </c>
      <c r="AG10" s="33">
        <f>389-381</f>
        <v>8</v>
      </c>
      <c r="AJ10" s="24" t="s">
        <v>637</v>
      </c>
    </row>
    <row r="11" spans="1:36">
      <c r="A11" s="28" t="s">
        <v>279</v>
      </c>
      <c r="B11" s="281">
        <v>-6523</v>
      </c>
      <c r="C11" s="281">
        <v>-6802</v>
      </c>
      <c r="D11" s="281">
        <v>-5619</v>
      </c>
      <c r="E11" s="281">
        <v>-2945</v>
      </c>
      <c r="F11" s="281">
        <v>-3584</v>
      </c>
      <c r="G11" s="281">
        <v>9956</v>
      </c>
      <c r="H11" s="315">
        <v>-7378</v>
      </c>
      <c r="I11" s="316">
        <v>-9865</v>
      </c>
      <c r="J11" s="281">
        <v>-3314</v>
      </c>
      <c r="K11" s="281">
        <v>-5730</v>
      </c>
      <c r="L11" s="281">
        <v>660</v>
      </c>
      <c r="M11" s="281">
        <v>-285</v>
      </c>
      <c r="N11" s="30" t="s">
        <v>624</v>
      </c>
      <c r="O11" t="s">
        <v>279</v>
      </c>
      <c r="P11" t="s">
        <v>638</v>
      </c>
      <c r="Q11" s="24" t="s">
        <v>626</v>
      </c>
      <c r="R11" s="24" t="s">
        <v>639</v>
      </c>
      <c r="Z11" s="29">
        <v>192</v>
      </c>
      <c r="AA11" s="29">
        <v>916</v>
      </c>
      <c r="AB11" s="29">
        <v>692</v>
      </c>
      <c r="AC11" s="29">
        <v>1319</v>
      </c>
      <c r="AD11" s="32">
        <f>2528</f>
        <v>2528</v>
      </c>
      <c r="AE11" s="29">
        <f>1720</f>
        <v>1720</v>
      </c>
      <c r="AF11" s="29">
        <f>968</f>
        <v>968</v>
      </c>
      <c r="AG11" s="29">
        <f>-270</f>
        <v>-270</v>
      </c>
    </row>
    <row r="12" spans="1:36">
      <c r="A12" s="28" t="s">
        <v>72</v>
      </c>
      <c r="B12" s="281">
        <v>21748</v>
      </c>
      <c r="C12" s="281">
        <v>22618</v>
      </c>
      <c r="D12" s="281">
        <v>18348</v>
      </c>
      <c r="E12" s="281">
        <v>19788</v>
      </c>
      <c r="F12" s="281">
        <v>16039</v>
      </c>
      <c r="G12" s="281">
        <v>30550</v>
      </c>
      <c r="H12" s="314">
        <v>13608</v>
      </c>
      <c r="I12" s="281">
        <v>18375</v>
      </c>
      <c r="J12" s="281">
        <v>11956</v>
      </c>
      <c r="K12" s="281">
        <v>23547</v>
      </c>
      <c r="L12" s="281">
        <v>10557</v>
      </c>
      <c r="M12" s="281">
        <v>10198</v>
      </c>
      <c r="N12" s="30" t="s">
        <v>624</v>
      </c>
      <c r="O12" t="s">
        <v>72</v>
      </c>
      <c r="P12"/>
      <c r="Q12" s="24" t="s">
        <v>640</v>
      </c>
      <c r="R12" s="24" t="s">
        <v>641</v>
      </c>
      <c r="Z12" s="29">
        <v>-67</v>
      </c>
      <c r="AA12" s="29">
        <v>2512</v>
      </c>
      <c r="AB12" s="29">
        <v>2452</v>
      </c>
      <c r="AC12" s="29">
        <v>3789</v>
      </c>
      <c r="AD12" s="29">
        <v>5681</v>
      </c>
      <c r="AE12" s="29">
        <f>4928+24</f>
        <v>4952</v>
      </c>
      <c r="AF12" s="29">
        <v>2700</v>
      </c>
      <c r="AG12" s="29">
        <v>895</v>
      </c>
    </row>
    <row r="13" spans="1:36">
      <c r="B13" s="317">
        <f>SUM(B8:B11)</f>
        <v>21748</v>
      </c>
      <c r="C13" s="317">
        <f t="shared" ref="C13:M13" si="1">SUM(C8:C11)</f>
        <v>22618</v>
      </c>
      <c r="D13" s="317">
        <f t="shared" si="1"/>
        <v>18348</v>
      </c>
      <c r="E13" s="317">
        <f t="shared" si="1"/>
        <v>19788</v>
      </c>
      <c r="F13" s="317">
        <f t="shared" si="1"/>
        <v>16039</v>
      </c>
      <c r="G13" s="317">
        <f>SUM(G8:G11)</f>
        <v>30550</v>
      </c>
      <c r="H13" s="317">
        <f t="shared" si="1"/>
        <v>13608</v>
      </c>
      <c r="I13" s="317">
        <f t="shared" si="1"/>
        <v>18375</v>
      </c>
      <c r="J13" s="317">
        <f t="shared" si="1"/>
        <v>11956</v>
      </c>
      <c r="K13" s="317">
        <f t="shared" si="1"/>
        <v>23547</v>
      </c>
      <c r="L13" s="317">
        <f>SUM(L8:L11)</f>
        <v>10557</v>
      </c>
      <c r="M13" s="317">
        <f t="shared" si="1"/>
        <v>10198</v>
      </c>
      <c r="N13"/>
      <c r="O13"/>
      <c r="P13"/>
      <c r="Z13" s="26">
        <f t="shared" ref="Z13:AG13" si="2">Z8-Z10-Z9-Z11</f>
        <v>-67</v>
      </c>
      <c r="AA13" s="26">
        <f t="shared" si="2"/>
        <v>2512</v>
      </c>
      <c r="AB13" s="26">
        <f t="shared" si="2"/>
        <v>2452</v>
      </c>
      <c r="AC13" s="26">
        <f t="shared" si="2"/>
        <v>3789</v>
      </c>
      <c r="AD13" s="26">
        <f t="shared" si="2"/>
        <v>5681</v>
      </c>
      <c r="AE13" s="26">
        <f t="shared" si="2"/>
        <v>4952</v>
      </c>
      <c r="AF13" s="26">
        <f t="shared" si="2"/>
        <v>2700</v>
      </c>
      <c r="AG13" s="26">
        <f t="shared" si="2"/>
        <v>895</v>
      </c>
    </row>
    <row r="14" spans="1:36" ht="13.9">
      <c r="A14" s="55" t="s">
        <v>642</v>
      </c>
      <c r="B14" s="318">
        <f>B12-B13</f>
        <v>0</v>
      </c>
      <c r="C14" s="318">
        <f t="shared" ref="C14:M14" si="3">C12-C13</f>
        <v>0</v>
      </c>
      <c r="D14" s="318">
        <f t="shared" si="3"/>
        <v>0</v>
      </c>
      <c r="E14" s="318">
        <f t="shared" si="3"/>
        <v>0</v>
      </c>
      <c r="F14" s="318">
        <f t="shared" si="3"/>
        <v>0</v>
      </c>
      <c r="G14" s="318">
        <f t="shared" si="3"/>
        <v>0</v>
      </c>
      <c r="H14" s="318">
        <f t="shared" si="3"/>
        <v>0</v>
      </c>
      <c r="I14" s="318">
        <f t="shared" si="3"/>
        <v>0</v>
      </c>
      <c r="J14" s="318">
        <f t="shared" si="3"/>
        <v>0</v>
      </c>
      <c r="K14" s="318">
        <f t="shared" si="3"/>
        <v>0</v>
      </c>
      <c r="L14" s="318">
        <f t="shared" si="3"/>
        <v>0</v>
      </c>
      <c r="M14" s="318">
        <f t="shared" si="3"/>
        <v>0</v>
      </c>
      <c r="N14"/>
      <c r="O14"/>
      <c r="P14"/>
      <c r="Z14" s="37">
        <f t="shared" ref="Z14:AG14" si="4">Z12-Z13</f>
        <v>0</v>
      </c>
      <c r="AA14" s="37">
        <f t="shared" si="4"/>
        <v>0</v>
      </c>
      <c r="AB14" s="37">
        <f t="shared" si="4"/>
        <v>0</v>
      </c>
      <c r="AC14" s="37">
        <f t="shared" si="4"/>
        <v>0</v>
      </c>
      <c r="AD14" s="37">
        <f t="shared" si="4"/>
        <v>0</v>
      </c>
      <c r="AE14" s="37">
        <f t="shared" si="4"/>
        <v>0</v>
      </c>
      <c r="AF14" s="37">
        <f t="shared" si="4"/>
        <v>0</v>
      </c>
      <c r="AG14" s="37">
        <f t="shared" si="4"/>
        <v>0</v>
      </c>
    </row>
    <row r="15" spans="1:36">
      <c r="A15"/>
      <c r="B15" s="322"/>
      <c r="C15" s="322"/>
      <c r="D15" s="322"/>
      <c r="E15" s="322"/>
      <c r="F15" s="322"/>
      <c r="G15" s="322"/>
      <c r="H15" s="322"/>
      <c r="I15" s="322"/>
      <c r="J15" s="322"/>
      <c r="K15" s="322"/>
      <c r="L15" s="322"/>
      <c r="M15" s="322"/>
      <c r="N15"/>
      <c r="O15"/>
      <c r="P15"/>
      <c r="Z15" s="29"/>
      <c r="AA15" s="29"/>
      <c r="AB15" s="29"/>
      <c r="AC15" s="29"/>
      <c r="AD15" s="29"/>
      <c r="AE15" s="29"/>
      <c r="AF15" s="29"/>
      <c r="AG15" s="29"/>
    </row>
    <row r="16" spans="1:36">
      <c r="A16" s="28" t="s">
        <v>643</v>
      </c>
      <c r="B16" s="319">
        <v>4202</v>
      </c>
      <c r="C16" s="319">
        <v>4148</v>
      </c>
      <c r="D16" s="319">
        <v>4140</v>
      </c>
      <c r="E16" s="319">
        <v>4138</v>
      </c>
      <c r="F16" s="319">
        <v>4128</v>
      </c>
      <c r="G16" s="319">
        <v>4084</v>
      </c>
      <c r="H16" s="320">
        <v>4080</v>
      </c>
      <c r="I16" s="319">
        <v>4085</v>
      </c>
      <c r="J16" s="319">
        <v>3974</v>
      </c>
      <c r="K16" s="319">
        <v>2866</v>
      </c>
      <c r="L16" s="319">
        <v>2853</v>
      </c>
      <c r="M16" s="319">
        <v>2833</v>
      </c>
      <c r="N16" s="30"/>
      <c r="O16"/>
      <c r="P16"/>
      <c r="Z16" s="29"/>
      <c r="AA16" s="29"/>
      <c r="AB16" s="29"/>
      <c r="AC16" s="29"/>
      <c r="AD16" s="29"/>
      <c r="AE16" s="29"/>
      <c r="AF16" s="29"/>
      <c r="AG16" s="29"/>
    </row>
    <row r="17" spans="1:152">
      <c r="A17" s="28" t="s">
        <v>644</v>
      </c>
      <c r="B17" s="319">
        <v>4204</v>
      </c>
      <c r="C17" s="319">
        <v>4150</v>
      </c>
      <c r="D17" s="319">
        <v>4142</v>
      </c>
      <c r="E17" s="319">
        <v>4140</v>
      </c>
      <c r="F17" s="319">
        <v>4132</v>
      </c>
      <c r="G17" s="319">
        <v>4089</v>
      </c>
      <c r="H17" s="320">
        <v>4086</v>
      </c>
      <c r="I17" s="319">
        <v>4093</v>
      </c>
      <c r="J17" s="319">
        <v>3981</v>
      </c>
      <c r="K17" s="319">
        <v>2874</v>
      </c>
      <c r="L17" s="319">
        <v>2862</v>
      </c>
      <c r="M17" s="319">
        <v>2833</v>
      </c>
      <c r="N17" s="30"/>
      <c r="O17"/>
      <c r="P17"/>
      <c r="Z17" s="29"/>
      <c r="AA17" s="29"/>
      <c r="AB17" s="29"/>
      <c r="AC17" s="29"/>
      <c r="AD17" s="29"/>
      <c r="AE17" s="29"/>
      <c r="AF17" s="29"/>
      <c r="AG17" s="29"/>
    </row>
    <row r="18" spans="1:152" customFormat="1" ht="12.75">
      <c r="B18" s="322"/>
      <c r="C18" s="322"/>
      <c r="D18" s="322"/>
      <c r="E18" s="322"/>
      <c r="F18" s="322"/>
      <c r="G18" s="322"/>
      <c r="H18" s="322"/>
      <c r="I18" s="322"/>
      <c r="J18" s="322"/>
      <c r="K18" s="322"/>
      <c r="L18" s="322"/>
      <c r="M18" s="322"/>
    </row>
    <row r="19" spans="1:152">
      <c r="A19" s="28" t="s">
        <v>645</v>
      </c>
      <c r="B19" s="281">
        <v>-153</v>
      </c>
      <c r="C19" s="281">
        <v>-141</v>
      </c>
      <c r="D19" s="281">
        <v>180</v>
      </c>
      <c r="E19" s="281">
        <v>16</v>
      </c>
      <c r="F19" s="281">
        <v>-117</v>
      </c>
      <c r="G19" s="281">
        <v>245</v>
      </c>
      <c r="H19" s="314">
        <v>-19</v>
      </c>
      <c r="I19" s="281">
        <v>-208</v>
      </c>
      <c r="J19" s="281">
        <v>-1199</v>
      </c>
      <c r="K19" s="281">
        <v>60</v>
      </c>
      <c r="L19" s="281">
        <v>69</v>
      </c>
      <c r="M19" s="281">
        <v>-119</v>
      </c>
      <c r="N19" s="30"/>
      <c r="O19"/>
      <c r="P19"/>
      <c r="Z19" s="29"/>
      <c r="AA19" s="29"/>
      <c r="AB19" s="29"/>
      <c r="AC19" s="29"/>
      <c r="AD19" s="29"/>
      <c r="AE19" s="29"/>
      <c r="AF19" s="29"/>
      <c r="AG19" s="29"/>
    </row>
    <row r="20" spans="1:152" ht="13.9">
      <c r="A20" s="10" t="s">
        <v>646</v>
      </c>
      <c r="B20" s="281">
        <v>20810</v>
      </c>
      <c r="C20" s="281">
        <v>21762</v>
      </c>
      <c r="D20" s="281">
        <v>17279</v>
      </c>
      <c r="E20" s="281">
        <v>18416</v>
      </c>
      <c r="F20" s="281">
        <v>15120</v>
      </c>
      <c r="G20" s="281">
        <v>30536</v>
      </c>
      <c r="H20" s="314">
        <v>15731</v>
      </c>
      <c r="I20" s="281">
        <v>17814</v>
      </c>
      <c r="J20" s="281">
        <v>10686</v>
      </c>
      <c r="K20" s="281">
        <v>23655</v>
      </c>
      <c r="L20" s="281">
        <v>11533</v>
      </c>
      <c r="M20" s="281">
        <v>10419</v>
      </c>
      <c r="N20" s="30"/>
      <c r="O20"/>
      <c r="P20"/>
      <c r="Z20" s="29"/>
      <c r="AA20" s="29"/>
      <c r="AB20" s="29"/>
      <c r="AC20" s="29"/>
      <c r="AD20" s="29"/>
      <c r="AE20" s="29"/>
      <c r="AF20" s="29"/>
      <c r="AG20" s="29"/>
    </row>
    <row r="21" spans="1:152" customFormat="1" ht="12.75">
      <c r="B21" s="322"/>
      <c r="C21" s="322"/>
      <c r="D21" s="322"/>
      <c r="E21" s="322"/>
      <c r="F21" s="322"/>
      <c r="G21" s="322"/>
      <c r="H21" s="322"/>
      <c r="I21" s="322"/>
      <c r="J21" s="322"/>
      <c r="K21" s="322"/>
      <c r="L21" s="322"/>
      <c r="M21" s="322"/>
    </row>
    <row r="22" spans="1:152">
      <c r="A22" s="24" t="s">
        <v>579</v>
      </c>
      <c r="B22" s="317">
        <f>B23-C23</f>
        <v>-1566</v>
      </c>
      <c r="C22" s="317">
        <f t="shared" ref="C22:J22" si="5">C23-D23</f>
        <v>-6116</v>
      </c>
      <c r="D22" s="317">
        <f>D23-E23</f>
        <v>2752</v>
      </c>
      <c r="E22" s="317">
        <f t="shared" si="5"/>
        <v>-3950</v>
      </c>
      <c r="F22" s="317">
        <f t="shared" si="5"/>
        <v>-836</v>
      </c>
      <c r="G22" s="317">
        <f t="shared" si="5"/>
        <v>1622</v>
      </c>
      <c r="H22" s="317">
        <f t="shared" si="5"/>
        <v>10417</v>
      </c>
      <c r="I22" s="317">
        <f>I23-J23</f>
        <v>-8156</v>
      </c>
      <c r="J22" s="317">
        <f t="shared" si="5"/>
        <v>498</v>
      </c>
      <c r="K22" s="317">
        <f>K23-L23</f>
        <v>-770</v>
      </c>
      <c r="L22" s="317">
        <f>L23-M23</f>
        <v>4370</v>
      </c>
      <c r="M22" s="317"/>
      <c r="N22" s="36" t="s">
        <v>647</v>
      </c>
      <c r="O22" t="s">
        <v>648</v>
      </c>
      <c r="P22"/>
      <c r="Q22" s="24" t="s">
        <v>640</v>
      </c>
      <c r="Z22" s="29"/>
      <c r="AA22" s="29"/>
      <c r="AB22" s="29"/>
      <c r="AC22" s="29"/>
      <c r="AD22" s="32"/>
      <c r="AE22" s="29"/>
      <c r="AF22" s="29"/>
      <c r="AG22" s="29"/>
    </row>
    <row r="23" spans="1:152">
      <c r="A23" s="28" t="s">
        <v>649</v>
      </c>
      <c r="B23" s="281">
        <f>B27-B42-B28</f>
        <v>-14919</v>
      </c>
      <c r="C23" s="281">
        <f t="shared" ref="C23:M23" si="6">C27-C42-C28</f>
        <v>-13353</v>
      </c>
      <c r="D23" s="281">
        <f t="shared" si="6"/>
        <v>-7237</v>
      </c>
      <c r="E23" s="281">
        <f t="shared" si="6"/>
        <v>-9989</v>
      </c>
      <c r="F23" s="281">
        <f t="shared" si="6"/>
        <v>-6039</v>
      </c>
      <c r="G23" s="281">
        <f t="shared" si="6"/>
        <v>-5203</v>
      </c>
      <c r="H23" s="281">
        <f t="shared" si="6"/>
        <v>-6825</v>
      </c>
      <c r="I23" s="281">
        <f t="shared" si="6"/>
        <v>-17242</v>
      </c>
      <c r="J23" s="281">
        <f t="shared" si="6"/>
        <v>-9086</v>
      </c>
      <c r="K23" s="281">
        <f t="shared" si="6"/>
        <v>-9584</v>
      </c>
      <c r="L23" s="281">
        <f t="shared" si="6"/>
        <v>-8814</v>
      </c>
      <c r="M23" s="281">
        <f t="shared" si="6"/>
        <v>-13184</v>
      </c>
      <c r="N23" s="36"/>
      <c r="O23"/>
      <c r="P23"/>
      <c r="Z23" s="29"/>
      <c r="AA23" s="29"/>
      <c r="AB23" s="29"/>
      <c r="AC23" s="29"/>
      <c r="AD23" s="32"/>
      <c r="AE23" s="29"/>
      <c r="AF23" s="29"/>
      <c r="AG23" s="29"/>
    </row>
    <row r="24" spans="1:152">
      <c r="A24" s="7">
        <v>2625</v>
      </c>
      <c r="B24" s="323">
        <v>2625</v>
      </c>
      <c r="C24" s="323">
        <v>2625</v>
      </c>
      <c r="D24" s="323">
        <v>2625</v>
      </c>
      <c r="E24" s="323">
        <v>2625</v>
      </c>
      <c r="F24" s="323">
        <v>2625</v>
      </c>
      <c r="G24" s="323">
        <v>2625</v>
      </c>
      <c r="H24" s="323">
        <v>2625</v>
      </c>
      <c r="I24" s="323">
        <v>2625</v>
      </c>
      <c r="J24" s="323">
        <v>2625</v>
      </c>
      <c r="K24" s="323">
        <v>2625</v>
      </c>
      <c r="L24" s="323">
        <v>2625</v>
      </c>
      <c r="M24" s="323">
        <v>2625</v>
      </c>
      <c r="N24" s="7">
        <v>2625</v>
      </c>
      <c r="O24"/>
      <c r="P24"/>
      <c r="Q24" s="24" t="s">
        <v>640</v>
      </c>
      <c r="R24" s="24" t="s">
        <v>650</v>
      </c>
      <c r="T24" s="24" t="s">
        <v>651</v>
      </c>
      <c r="Z24" s="29">
        <v>1799</v>
      </c>
      <c r="AA24" s="29">
        <v>1757</v>
      </c>
      <c r="AB24" s="29">
        <v>1620</v>
      </c>
      <c r="AC24" s="29">
        <v>1111</v>
      </c>
      <c r="AD24" s="29">
        <v>1617</v>
      </c>
      <c r="AE24" s="29">
        <v>1159</v>
      </c>
      <c r="AF24" s="29">
        <v>1084</v>
      </c>
      <c r="AG24" s="29">
        <v>1029</v>
      </c>
    </row>
    <row r="25" spans="1:152" ht="13.9">
      <c r="A25" s="55" t="s">
        <v>440</v>
      </c>
      <c r="B25" s="323">
        <v>2625</v>
      </c>
      <c r="C25" s="323">
        <v>2625</v>
      </c>
      <c r="D25" s="323">
        <v>2625</v>
      </c>
      <c r="E25" s="323">
        <v>2625</v>
      </c>
      <c r="F25" s="323">
        <v>2625</v>
      </c>
      <c r="G25" s="323">
        <v>2625</v>
      </c>
      <c r="H25" s="323">
        <v>2625</v>
      </c>
      <c r="I25" s="323">
        <v>2625</v>
      </c>
      <c r="J25" s="323">
        <v>2625</v>
      </c>
      <c r="K25" s="323">
        <v>2625</v>
      </c>
      <c r="L25" s="323">
        <v>2625</v>
      </c>
      <c r="M25" s="323">
        <v>2625</v>
      </c>
      <c r="N25" s="7">
        <v>2625</v>
      </c>
      <c r="O25"/>
      <c r="P25"/>
      <c r="Q25" s="24" t="s">
        <v>640</v>
      </c>
      <c r="R25" s="24" t="s">
        <v>652</v>
      </c>
      <c r="S25" s="24" t="s">
        <v>653</v>
      </c>
      <c r="T25" s="24" t="s">
        <v>654</v>
      </c>
      <c r="Z25" s="29">
        <v>23</v>
      </c>
      <c r="AA25" s="29">
        <f>-33+2025</f>
        <v>1992</v>
      </c>
      <c r="AB25" s="29">
        <v>3817</v>
      </c>
      <c r="AC25" s="29">
        <v>1776</v>
      </c>
      <c r="AD25" s="29">
        <v>-244</v>
      </c>
      <c r="AE25" s="29">
        <v>-312</v>
      </c>
      <c r="AF25" s="29">
        <v>-449</v>
      </c>
      <c r="AG25" s="29">
        <v>-110</v>
      </c>
    </row>
    <row r="26" spans="1:152" ht="13.9">
      <c r="A26" s="123" t="s">
        <v>655</v>
      </c>
      <c r="B26" s="361"/>
      <c r="C26" s="361"/>
      <c r="D26" s="361"/>
      <c r="E26" s="361"/>
      <c r="F26" s="361"/>
      <c r="G26" s="361"/>
      <c r="H26" s="361"/>
      <c r="I26" s="361"/>
      <c r="J26" s="361"/>
      <c r="K26" s="361"/>
      <c r="L26" s="361"/>
      <c r="M26" s="361"/>
      <c r="N26" s="7">
        <v>1922</v>
      </c>
      <c r="O26" s="7">
        <v>2625</v>
      </c>
      <c r="P26"/>
      <c r="Z26" s="29"/>
      <c r="AA26" s="29"/>
      <c r="AB26" s="29"/>
      <c r="AC26" s="29"/>
      <c r="AD26" s="29"/>
      <c r="AE26" s="29"/>
      <c r="AF26" s="29"/>
      <c r="AG26" s="29"/>
    </row>
    <row r="27" spans="1:152" ht="13.9">
      <c r="A27" s="10" t="s">
        <v>656</v>
      </c>
      <c r="B27" s="280">
        <v>37857</v>
      </c>
      <c r="C27" s="280">
        <v>36728</v>
      </c>
      <c r="D27" s="280">
        <v>54594</v>
      </c>
      <c r="E27" s="280">
        <v>37473</v>
      </c>
      <c r="F27" s="280">
        <v>34636</v>
      </c>
      <c r="G27" s="280">
        <v>29913</v>
      </c>
      <c r="H27" s="280">
        <v>26395</v>
      </c>
      <c r="I27" s="280">
        <v>22280</v>
      </c>
      <c r="J27" s="280">
        <v>29499</v>
      </c>
      <c r="K27" s="280">
        <v>70994</v>
      </c>
      <c r="L27" s="280">
        <v>21235</v>
      </c>
      <c r="M27" s="280">
        <v>30939</v>
      </c>
      <c r="N27" s="7"/>
      <c r="O27" s="7"/>
      <c r="P27"/>
      <c r="Z27" s="29"/>
      <c r="AA27" s="29"/>
      <c r="AB27" s="29"/>
      <c r="AC27" s="29"/>
      <c r="AD27" s="29"/>
      <c r="AE27" s="29"/>
      <c r="AF27" s="29"/>
      <c r="AG27" s="29"/>
    </row>
    <row r="28" spans="1:152" ht="13.9">
      <c r="A28" s="120" t="s">
        <v>281</v>
      </c>
      <c r="B28" s="281">
        <v>2605</v>
      </c>
      <c r="C28" s="281">
        <v>2921</v>
      </c>
      <c r="D28" s="281">
        <v>22171</v>
      </c>
      <c r="E28" s="281">
        <v>2594</v>
      </c>
      <c r="F28" s="281">
        <v>2745</v>
      </c>
      <c r="G28" s="281">
        <v>2079</v>
      </c>
      <c r="H28" s="281">
        <v>2880</v>
      </c>
      <c r="I28" s="281">
        <v>4470</v>
      </c>
      <c r="J28" s="281">
        <v>10598</v>
      </c>
      <c r="K28" s="281">
        <v>53528</v>
      </c>
      <c r="L28" s="281">
        <v>3093</v>
      </c>
      <c r="M28" s="281">
        <v>13362</v>
      </c>
      <c r="N28" s="39" t="s">
        <v>657</v>
      </c>
      <c r="O28" t="s">
        <v>281</v>
      </c>
      <c r="P28"/>
      <c r="Z28" s="38"/>
      <c r="AA28" s="38"/>
      <c r="AB28" s="38"/>
      <c r="AC28" s="38"/>
      <c r="AD28" s="38"/>
      <c r="AE28" s="37"/>
      <c r="AF28" s="37"/>
      <c r="AG28" s="37"/>
    </row>
    <row r="29" spans="1:152" ht="13.9">
      <c r="A29" s="121" t="s">
        <v>588</v>
      </c>
      <c r="B29" s="281">
        <v>24506</v>
      </c>
      <c r="C29" s="281">
        <v>24585</v>
      </c>
      <c r="D29" s="281">
        <v>24650</v>
      </c>
      <c r="E29" s="281">
        <v>26277</v>
      </c>
      <c r="F29" s="281">
        <v>25859</v>
      </c>
      <c r="G29" s="281">
        <v>23493</v>
      </c>
      <c r="H29" s="281">
        <v>17513</v>
      </c>
      <c r="I29" s="281">
        <v>13457</v>
      </c>
      <c r="J29" s="281">
        <v>13993</v>
      </c>
      <c r="K29" s="281">
        <v>12439</v>
      </c>
      <c r="L29" s="281">
        <v>12576</v>
      </c>
      <c r="M29" s="281">
        <v>11776</v>
      </c>
      <c r="N29" s="39" t="s">
        <v>657</v>
      </c>
      <c r="O29" t="s">
        <v>588</v>
      </c>
      <c r="P29"/>
      <c r="Z29" s="38"/>
      <c r="AA29" s="38"/>
      <c r="AB29" s="38"/>
      <c r="AC29" s="38"/>
      <c r="AD29" s="38"/>
      <c r="AE29" s="37"/>
      <c r="AF29" s="37"/>
      <c r="AG29" s="37"/>
    </row>
    <row r="30" spans="1:152">
      <c r="A30" s="120" t="s">
        <v>283</v>
      </c>
      <c r="B30" s="281">
        <v>2388</v>
      </c>
      <c r="C30" s="281">
        <v>3055</v>
      </c>
      <c r="D30" s="281">
        <v>1796</v>
      </c>
      <c r="E30" s="281">
        <v>1422</v>
      </c>
      <c r="F30" s="281">
        <v>1336</v>
      </c>
      <c r="G30" s="281">
        <v>1034</v>
      </c>
      <c r="H30" s="281">
        <v>1202</v>
      </c>
      <c r="I30" s="281">
        <v>1252</v>
      </c>
      <c r="J30" s="281">
        <v>1153</v>
      </c>
      <c r="K30" s="281">
        <v>1020</v>
      </c>
      <c r="L30" s="281">
        <v>1075</v>
      </c>
      <c r="M30" s="281">
        <v>940</v>
      </c>
      <c r="N30" s="39" t="s">
        <v>657</v>
      </c>
      <c r="O30" t="s">
        <v>283</v>
      </c>
      <c r="P30"/>
      <c r="Q30" s="24" t="s">
        <v>658</v>
      </c>
      <c r="R30" s="24" t="s">
        <v>659</v>
      </c>
      <c r="Z30" s="29">
        <v>7168</v>
      </c>
      <c r="AA30" s="29">
        <v>6460</v>
      </c>
      <c r="AB30" s="29">
        <v>7341</v>
      </c>
      <c r="AC30" s="29">
        <v>6081</v>
      </c>
      <c r="AD30" s="29">
        <v>5490</v>
      </c>
      <c r="AE30" s="29">
        <v>3057</v>
      </c>
      <c r="AF30" s="29">
        <v>3592</v>
      </c>
      <c r="AG30" s="29">
        <v>4867</v>
      </c>
    </row>
    <row r="31" spans="1:152" s="25" customFormat="1">
      <c r="A31" s="120" t="s">
        <v>660</v>
      </c>
      <c r="B31" s="281">
        <f>B27-SUM(B28:B30)</f>
        <v>8358</v>
      </c>
      <c r="C31" s="281">
        <f t="shared" ref="C31:M31" si="7">C27-SUM(C28:C30)</f>
        <v>6167</v>
      </c>
      <c r="D31" s="281">
        <f t="shared" si="7"/>
        <v>5977</v>
      </c>
      <c r="E31" s="281">
        <f t="shared" si="7"/>
        <v>7180</v>
      </c>
      <c r="F31" s="281">
        <f t="shared" si="7"/>
        <v>4696</v>
      </c>
      <c r="G31" s="281">
        <f t="shared" si="7"/>
        <v>3307</v>
      </c>
      <c r="H31" s="281">
        <f t="shared" si="7"/>
        <v>4800</v>
      </c>
      <c r="I31" s="281">
        <f t="shared" si="7"/>
        <v>3101</v>
      </c>
      <c r="J31" s="281">
        <f t="shared" si="7"/>
        <v>3755</v>
      </c>
      <c r="K31" s="281">
        <f t="shared" si="7"/>
        <v>4007</v>
      </c>
      <c r="L31" s="281">
        <f t="shared" si="7"/>
        <v>4491</v>
      </c>
      <c r="M31" s="281">
        <f t="shared" si="7"/>
        <v>4861</v>
      </c>
      <c r="N31" s="39" t="s">
        <v>657</v>
      </c>
      <c r="O31" t="s">
        <v>283</v>
      </c>
      <c r="P31"/>
      <c r="Q31" s="24" t="s">
        <v>658</v>
      </c>
      <c r="R31" s="24" t="s">
        <v>661</v>
      </c>
      <c r="S31" s="24" t="s">
        <v>662</v>
      </c>
      <c r="T31" s="24" t="s">
        <v>663</v>
      </c>
      <c r="U31" s="24"/>
      <c r="V31" s="24"/>
      <c r="W31" s="24"/>
      <c r="X31" s="24"/>
      <c r="Y31" s="24"/>
      <c r="Z31" s="33">
        <f>5981+8522+1029+13556</f>
        <v>29088</v>
      </c>
      <c r="AA31" s="33">
        <f>6695+8991+1170+13651</f>
        <v>30507</v>
      </c>
      <c r="AB31" s="33">
        <f>7737+9027+1364+14644</f>
        <v>32772</v>
      </c>
      <c r="AC31" s="33">
        <v>33499</v>
      </c>
      <c r="AD31" s="33">
        <v>33911</v>
      </c>
      <c r="AE31" s="33">
        <v>31031</v>
      </c>
      <c r="AF31" s="33">
        <v>28849</v>
      </c>
      <c r="AG31" s="33">
        <v>27162</v>
      </c>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row>
    <row r="32" spans="1:152" s="25" customFormat="1" ht="13.9">
      <c r="A32" s="10" t="s">
        <v>664</v>
      </c>
      <c r="B32" s="280">
        <f>B38-B27</f>
        <v>341823</v>
      </c>
      <c r="C32" s="280">
        <f>C38-C27</f>
        <v>329868</v>
      </c>
      <c r="D32" s="280">
        <f t="shared" ref="D32:M32" si="8">D$38-D$27</f>
        <v>261887</v>
      </c>
      <c r="E32" s="280">
        <f t="shared" si="8"/>
        <v>254254</v>
      </c>
      <c r="F32" s="280">
        <f t="shared" si="8"/>
        <v>230193</v>
      </c>
      <c r="G32" s="280">
        <f t="shared" si="8"/>
        <v>227230</v>
      </c>
      <c r="H32" s="280">
        <f t="shared" si="8"/>
        <v>217785</v>
      </c>
      <c r="I32" s="280">
        <f t="shared" si="8"/>
        <v>221895</v>
      </c>
      <c r="J32" s="280">
        <f t="shared" si="8"/>
        <v>203117</v>
      </c>
      <c r="K32" s="280">
        <f t="shared" si="8"/>
        <v>203104</v>
      </c>
      <c r="L32" s="280">
        <f t="shared" si="8"/>
        <v>203987</v>
      </c>
      <c r="M32" s="280">
        <f t="shared" si="8"/>
        <v>199522</v>
      </c>
      <c r="N32" s="39"/>
      <c r="O32"/>
      <c r="P32"/>
      <c r="Q32" s="24"/>
      <c r="R32" s="24"/>
      <c r="S32" s="24"/>
      <c r="T32" s="24"/>
      <c r="U32" s="24"/>
      <c r="V32" s="24"/>
      <c r="W32" s="24"/>
      <c r="X32" s="24"/>
      <c r="Y32" s="24"/>
      <c r="Z32" s="33"/>
      <c r="AA32" s="33"/>
      <c r="AB32" s="33"/>
      <c r="AC32" s="33"/>
      <c r="AD32" s="33"/>
      <c r="AE32" s="33"/>
      <c r="AF32" s="33"/>
      <c r="AG32" s="33"/>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row>
    <row r="33" spans="1:33">
      <c r="A33" s="122" t="s">
        <v>589</v>
      </c>
      <c r="B33" s="281">
        <v>133564</v>
      </c>
      <c r="C33" s="281">
        <v>127579</v>
      </c>
      <c r="D33" s="281">
        <v>117364</v>
      </c>
      <c r="E33" s="281">
        <v>114609</v>
      </c>
      <c r="F33" s="281">
        <v>89286</v>
      </c>
      <c r="G33" s="281">
        <v>88568</v>
      </c>
      <c r="H33" s="281">
        <v>84751</v>
      </c>
      <c r="I33" s="281">
        <v>83541</v>
      </c>
      <c r="J33" s="281">
        <v>89947</v>
      </c>
      <c r="K33" s="281">
        <v>88956</v>
      </c>
      <c r="L33" s="281">
        <v>88642</v>
      </c>
      <c r="M33" s="281">
        <v>88434</v>
      </c>
      <c r="N33" s="39"/>
      <c r="O33"/>
      <c r="P33" t="s">
        <v>665</v>
      </c>
      <c r="Q33" s="24" t="s">
        <v>658</v>
      </c>
      <c r="R33" s="24" t="s">
        <v>666</v>
      </c>
      <c r="Z33" s="29">
        <v>8614</v>
      </c>
      <c r="AA33" s="29">
        <v>9700</v>
      </c>
      <c r="AB33" s="29">
        <v>12205</v>
      </c>
      <c r="AC33" s="29">
        <v>12625</v>
      </c>
      <c r="AD33" s="29">
        <v>15547</v>
      </c>
      <c r="AE33" s="29">
        <v>14544</v>
      </c>
      <c r="AF33" s="29">
        <v>9587</v>
      </c>
      <c r="AG33" s="29">
        <v>6360</v>
      </c>
    </row>
    <row r="34" spans="1:33">
      <c r="A34" s="122" t="s">
        <v>667</v>
      </c>
      <c r="B34" s="281">
        <v>26130</v>
      </c>
      <c r="C34" s="281">
        <v>27883</v>
      </c>
      <c r="D34" s="281">
        <v>22531</v>
      </c>
      <c r="E34" s="281">
        <v>22694</v>
      </c>
      <c r="F34" s="281"/>
      <c r="G34" s="281"/>
      <c r="H34" s="281"/>
      <c r="I34" s="281"/>
      <c r="J34" s="281"/>
      <c r="K34" s="281"/>
      <c r="L34" s="281"/>
      <c r="M34" s="281"/>
      <c r="N34" s="39"/>
      <c r="O34"/>
      <c r="P34"/>
      <c r="Z34" s="29"/>
      <c r="AA34" s="29"/>
      <c r="AB34" s="29"/>
      <c r="AC34" s="29"/>
      <c r="AD34" s="29"/>
      <c r="AE34" s="29"/>
      <c r="AF34" s="29"/>
      <c r="AG34" s="29"/>
    </row>
    <row r="35" spans="1:33">
      <c r="A35" s="122" t="s">
        <v>668</v>
      </c>
      <c r="B35" s="281">
        <v>1071</v>
      </c>
      <c r="C35" s="281">
        <v>1061</v>
      </c>
      <c r="D35" s="281">
        <v>589</v>
      </c>
      <c r="E35" s="281">
        <v>558</v>
      </c>
      <c r="F35" s="281">
        <v>671</v>
      </c>
      <c r="G35" s="281">
        <v>1039</v>
      </c>
      <c r="H35" s="281">
        <v>1110</v>
      </c>
      <c r="I35" s="281">
        <v>796</v>
      </c>
      <c r="J35" s="281">
        <v>802</v>
      </c>
      <c r="K35" s="281">
        <v>3432</v>
      </c>
      <c r="L35" s="281">
        <v>3401</v>
      </c>
      <c r="M35" s="281">
        <v>3448</v>
      </c>
      <c r="N35" s="39"/>
      <c r="O35"/>
      <c r="P35"/>
      <c r="Z35" s="29"/>
      <c r="AA35" s="29"/>
      <c r="AB35" s="29"/>
      <c r="AC35" s="29"/>
      <c r="AD35" s="29"/>
      <c r="AE35" s="29"/>
      <c r="AF35" s="29"/>
      <c r="AG35" s="29"/>
    </row>
    <row r="36" spans="1:33">
      <c r="A36" s="122" t="s">
        <v>669</v>
      </c>
      <c r="B36" s="281">
        <f>B32-SUM(B33:B35)</f>
        <v>181058</v>
      </c>
      <c r="C36" s="281">
        <f t="shared" ref="C36" si="9">C32-SUM(C33:C35)</f>
        <v>173345</v>
      </c>
      <c r="D36" s="281">
        <f t="shared" ref="D36" si="10">D32-SUM(D33:D35)</f>
        <v>121403</v>
      </c>
      <c r="E36" s="281">
        <f>E32-SUM(E33:E35)</f>
        <v>116393</v>
      </c>
      <c r="F36" s="281">
        <f t="shared" ref="F36" si="11">F32-SUM(F33:F35)</f>
        <v>140236</v>
      </c>
      <c r="G36" s="281">
        <f t="shared" ref="G36" si="12">G32-SUM(G33:G35)</f>
        <v>137623</v>
      </c>
      <c r="H36" s="281">
        <f t="shared" ref="H36" si="13">H32-SUM(H33:H35)</f>
        <v>131924</v>
      </c>
      <c r="I36" s="281">
        <f t="shared" ref="I36" si="14">I32-SUM(I33:I35)</f>
        <v>137558</v>
      </c>
      <c r="J36" s="281">
        <f t="shared" ref="J36" si="15">J32-SUM(J33:J35)</f>
        <v>112368</v>
      </c>
      <c r="K36" s="281">
        <f t="shared" ref="K36" si="16">K32-SUM(K33:K35)</f>
        <v>110716</v>
      </c>
      <c r="L36" s="281">
        <f t="shared" ref="L36" si="17">L32-SUM(L33:L35)</f>
        <v>111944</v>
      </c>
      <c r="M36" s="281">
        <f t="shared" ref="M36" si="18">M32-SUM(M33:M35)</f>
        <v>107640</v>
      </c>
      <c r="N36" s="39" t="s">
        <v>657</v>
      </c>
      <c r="O36" t="s">
        <v>589</v>
      </c>
      <c r="P36"/>
      <c r="Z36" s="29"/>
      <c r="AA36" s="29"/>
      <c r="AB36" s="29"/>
      <c r="AC36" s="29"/>
      <c r="AD36" s="29"/>
      <c r="AE36" s="29"/>
      <c r="AF36" s="29"/>
      <c r="AG36" s="29"/>
    </row>
    <row r="37" spans="1:33">
      <c r="A37" s="24" t="s">
        <v>590</v>
      </c>
      <c r="B37" s="317">
        <f>B31+B36</f>
        <v>189416</v>
      </c>
      <c r="C37" s="317">
        <f>C31+C36</f>
        <v>179512</v>
      </c>
      <c r="D37" s="317">
        <f t="shared" ref="D37:M37" si="19">D31+D36</f>
        <v>127380</v>
      </c>
      <c r="E37" s="317">
        <f t="shared" si="19"/>
        <v>123573</v>
      </c>
      <c r="F37" s="317">
        <f t="shared" si="19"/>
        <v>144932</v>
      </c>
      <c r="G37" s="317">
        <f t="shared" si="19"/>
        <v>140930</v>
      </c>
      <c r="H37" s="317">
        <f t="shared" si="19"/>
        <v>136724</v>
      </c>
      <c r="I37" s="317">
        <f t="shared" si="19"/>
        <v>140659</v>
      </c>
      <c r="J37" s="317">
        <f t="shared" si="19"/>
        <v>116123</v>
      </c>
      <c r="K37" s="317">
        <f t="shared" si="19"/>
        <v>114723</v>
      </c>
      <c r="L37" s="317">
        <f t="shared" si="19"/>
        <v>116435</v>
      </c>
      <c r="M37" s="317">
        <f t="shared" si="19"/>
        <v>112501</v>
      </c>
      <c r="N37" s="39" t="s">
        <v>657</v>
      </c>
      <c r="O37"/>
      <c r="P37"/>
      <c r="Z37" s="29"/>
      <c r="AA37" s="29"/>
      <c r="AB37" s="29"/>
      <c r="AC37" s="29"/>
      <c r="AD37" s="29"/>
      <c r="AE37" s="29"/>
      <c r="AF37" s="29"/>
      <c r="AG37" s="29"/>
    </row>
    <row r="38" spans="1:33" ht="13.9">
      <c r="A38" s="10" t="s">
        <v>47</v>
      </c>
      <c r="B38" s="280">
        <v>379680</v>
      </c>
      <c r="C38" s="280">
        <v>366596</v>
      </c>
      <c r="D38" s="280">
        <v>316481</v>
      </c>
      <c r="E38" s="280">
        <v>291727</v>
      </c>
      <c r="F38" s="280">
        <v>264829</v>
      </c>
      <c r="G38" s="280">
        <v>257143</v>
      </c>
      <c r="H38" s="280">
        <v>244180</v>
      </c>
      <c r="I38" s="280">
        <v>244175</v>
      </c>
      <c r="J38" s="280">
        <v>232616</v>
      </c>
      <c r="K38" s="280">
        <v>274098</v>
      </c>
      <c r="L38" s="280">
        <v>225222</v>
      </c>
      <c r="M38" s="280">
        <v>230461</v>
      </c>
      <c r="N38" s="39" t="s">
        <v>657</v>
      </c>
      <c r="O38" t="s">
        <v>47</v>
      </c>
      <c r="P38"/>
      <c r="Q38" s="24" t="s">
        <v>658</v>
      </c>
      <c r="R38" s="24" t="s">
        <v>670</v>
      </c>
      <c r="Z38" s="29">
        <v>15322</v>
      </c>
      <c r="AA38" s="29">
        <v>16090</v>
      </c>
      <c r="AB38" s="29">
        <f>16577</f>
        <v>16577</v>
      </c>
      <c r="AC38" s="29">
        <v>17075</v>
      </c>
      <c r="AD38" s="29">
        <v>16461</v>
      </c>
      <c r="AE38" s="29">
        <v>14395</v>
      </c>
      <c r="AF38" s="29">
        <v>12539</v>
      </c>
      <c r="AG38" s="29">
        <v>12386</v>
      </c>
    </row>
    <row r="39" spans="1:33">
      <c r="B39" s="317"/>
      <c r="C39" s="317"/>
      <c r="D39" s="317"/>
      <c r="E39" s="317"/>
      <c r="F39" s="317"/>
      <c r="G39" s="317"/>
      <c r="H39" s="317"/>
      <c r="I39" s="317"/>
      <c r="J39" s="317"/>
      <c r="K39" s="317"/>
      <c r="L39" s="317"/>
      <c r="M39" s="317"/>
      <c r="N39" s="39" t="s">
        <v>657</v>
      </c>
      <c r="O39"/>
      <c r="P39"/>
      <c r="Z39" s="26">
        <f t="shared" ref="Z39:AG39" si="20">Z40-SUM(Z30:Z38)</f>
        <v>14512</v>
      </c>
      <c r="AA39" s="26">
        <f t="shared" si="20"/>
        <v>15585</v>
      </c>
      <c r="AB39" s="26">
        <f t="shared" si="20"/>
        <v>15786</v>
      </c>
      <c r="AC39" s="26">
        <f t="shared" si="20"/>
        <v>15616</v>
      </c>
      <c r="AD39" s="26">
        <f t="shared" si="20"/>
        <v>17947</v>
      </c>
      <c r="AE39" s="26">
        <f t="shared" si="20"/>
        <v>18419</v>
      </c>
      <c r="AF39" s="26">
        <f t="shared" si="20"/>
        <v>9453</v>
      </c>
      <c r="AG39" s="26">
        <f t="shared" si="20"/>
        <v>9263</v>
      </c>
    </row>
    <row r="40" spans="1:33" ht="13.9">
      <c r="B40" s="362"/>
      <c r="C40" s="317"/>
      <c r="D40" s="317"/>
      <c r="E40" s="317"/>
      <c r="F40" s="317"/>
      <c r="G40" s="317"/>
      <c r="H40" s="317"/>
      <c r="I40" s="317"/>
      <c r="J40" s="317"/>
      <c r="K40" s="317"/>
      <c r="L40" s="317"/>
      <c r="M40" s="317"/>
      <c r="N40" s="39" t="s">
        <v>657</v>
      </c>
      <c r="O40"/>
      <c r="P40"/>
      <c r="Q40" s="24" t="s">
        <v>658</v>
      </c>
      <c r="R40" s="24" t="s">
        <v>671</v>
      </c>
      <c r="Z40" s="40">
        <v>74704</v>
      </c>
      <c r="AA40" s="40">
        <v>78342</v>
      </c>
      <c r="AB40" s="40">
        <v>84681</v>
      </c>
      <c r="AC40" s="40">
        <v>84896</v>
      </c>
      <c r="AD40" s="40">
        <v>89356</v>
      </c>
      <c r="AE40" s="40">
        <v>81446</v>
      </c>
      <c r="AF40" s="40">
        <v>64020</v>
      </c>
      <c r="AG40" s="40">
        <v>60038</v>
      </c>
    </row>
    <row r="41" spans="1:33" ht="13.9">
      <c r="A41" s="123" t="s">
        <v>672</v>
      </c>
      <c r="B41" s="280"/>
      <c r="C41" s="280"/>
      <c r="D41" s="280"/>
      <c r="E41" s="280"/>
      <c r="F41" s="280"/>
      <c r="G41" s="280"/>
      <c r="H41" s="280"/>
      <c r="I41" s="280"/>
      <c r="J41" s="280"/>
      <c r="K41" s="280"/>
      <c r="L41" s="280"/>
      <c r="M41" s="280"/>
      <c r="N41" s="39" t="s">
        <v>657</v>
      </c>
      <c r="O41"/>
      <c r="P41"/>
      <c r="Z41" s="31"/>
      <c r="AA41" s="31"/>
      <c r="AB41" s="31"/>
      <c r="AC41" s="31"/>
      <c r="AD41" s="31"/>
      <c r="AE41" s="31"/>
      <c r="AF41" s="31"/>
      <c r="AG41" s="31"/>
    </row>
    <row r="42" spans="1:33" ht="13.9">
      <c r="A42" s="10" t="s">
        <v>287</v>
      </c>
      <c r="B42" s="280">
        <v>50171</v>
      </c>
      <c r="C42" s="280">
        <v>47160</v>
      </c>
      <c r="D42" s="280">
        <v>39660</v>
      </c>
      <c r="E42" s="280">
        <v>44868</v>
      </c>
      <c r="F42" s="280">
        <v>37930</v>
      </c>
      <c r="G42" s="280">
        <v>33037</v>
      </c>
      <c r="H42" s="280">
        <v>30340</v>
      </c>
      <c r="I42" s="280">
        <v>35052</v>
      </c>
      <c r="J42" s="280">
        <v>27987</v>
      </c>
      <c r="K42" s="280">
        <v>27050</v>
      </c>
      <c r="L42" s="280">
        <v>26956</v>
      </c>
      <c r="M42" s="280">
        <v>30761</v>
      </c>
      <c r="N42" s="39" t="s">
        <v>657</v>
      </c>
      <c r="O42" t="s">
        <v>287</v>
      </c>
      <c r="P42"/>
      <c r="Z42" s="31"/>
      <c r="AA42" s="31"/>
      <c r="AB42" s="31"/>
      <c r="AC42" s="31"/>
      <c r="AD42" s="31"/>
      <c r="AE42" s="31"/>
      <c r="AF42" s="31"/>
      <c r="AG42" s="31"/>
    </row>
    <row r="43" spans="1:33" ht="13.9">
      <c r="A43" s="120" t="s">
        <v>673</v>
      </c>
      <c r="B43" s="281">
        <v>8750</v>
      </c>
      <c r="C43" s="281">
        <v>8040</v>
      </c>
      <c r="D43" s="281">
        <v>6667</v>
      </c>
      <c r="E43" s="281">
        <v>7725</v>
      </c>
      <c r="F43" s="281">
        <v>7232</v>
      </c>
      <c r="G43" s="281">
        <v>7063</v>
      </c>
      <c r="H43" s="281">
        <v>7084</v>
      </c>
      <c r="I43" s="281">
        <v>0</v>
      </c>
      <c r="J43" s="281">
        <v>5598</v>
      </c>
      <c r="K43" s="281">
        <v>4954</v>
      </c>
      <c r="L43" s="281">
        <v>4454</v>
      </c>
      <c r="M43" s="281">
        <v>4194</v>
      </c>
      <c r="N43" s="39"/>
      <c r="O43"/>
      <c r="P43" t="s">
        <v>674</v>
      </c>
      <c r="Z43" s="38"/>
      <c r="AA43" s="38"/>
      <c r="AB43" s="38"/>
      <c r="AC43" s="38"/>
      <c r="AD43" s="38"/>
      <c r="AE43" s="37"/>
      <c r="AF43" s="37"/>
      <c r="AG43" s="37"/>
    </row>
    <row r="44" spans="1:33" s="10" customFormat="1" ht="13.9">
      <c r="A44" s="28" t="s">
        <v>592</v>
      </c>
      <c r="B44" s="281">
        <v>150</v>
      </c>
      <c r="C44" s="281">
        <v>0</v>
      </c>
      <c r="D44" s="281">
        <v>320</v>
      </c>
      <c r="E44" s="281">
        <v>0</v>
      </c>
      <c r="F44" s="281">
        <v>150</v>
      </c>
      <c r="G44" s="281">
        <v>150</v>
      </c>
      <c r="H44" s="281">
        <v>168</v>
      </c>
      <c r="I44" s="281">
        <v>0</v>
      </c>
      <c r="J44" s="281">
        <v>338</v>
      </c>
      <c r="K44" s="281">
        <v>447</v>
      </c>
      <c r="L44" s="281">
        <v>500</v>
      </c>
      <c r="M44" s="281">
        <v>1934</v>
      </c>
      <c r="N44" s="39" t="s">
        <v>657</v>
      </c>
      <c r="O44" t="s">
        <v>675</v>
      </c>
      <c r="P44"/>
      <c r="Q44" s="24" t="s">
        <v>658</v>
      </c>
      <c r="R44" s="10" t="s">
        <v>676</v>
      </c>
      <c r="Z44" s="40">
        <v>26132</v>
      </c>
      <c r="AA44" s="40">
        <v>26242</v>
      </c>
      <c r="AB44" s="40">
        <v>27877</v>
      </c>
      <c r="AC44" s="40">
        <v>27297</v>
      </c>
      <c r="AD44" s="40">
        <v>29415</v>
      </c>
      <c r="AE44" s="40">
        <f>93+3895+8161+3386+2410+2691+298+1967+558+5102</f>
        <v>28561</v>
      </c>
      <c r="AF44" s="40">
        <f>204+3852+5856+2880+1670+1831+281+1521+495+3430</f>
        <v>22020</v>
      </c>
      <c r="AG44" s="40">
        <f>433+3650+2993+3351+797+1217+262+888+302+5399</f>
        <v>19292</v>
      </c>
    </row>
    <row r="45" spans="1:33" s="10" customFormat="1" ht="13.9">
      <c r="A45" s="28" t="s">
        <v>593</v>
      </c>
      <c r="B45" s="281">
        <v>9813</v>
      </c>
      <c r="C45" s="281">
        <v>7443</v>
      </c>
      <c r="D45" s="281">
        <v>5569</v>
      </c>
      <c r="E45" s="281">
        <v>10777</v>
      </c>
      <c r="F45" s="281">
        <v>7040</v>
      </c>
      <c r="G45" s="281">
        <v>3303</v>
      </c>
      <c r="H45" s="281">
        <v>2477</v>
      </c>
      <c r="I45" s="281">
        <v>6489</v>
      </c>
      <c r="J45" s="281">
        <v>2397</v>
      </c>
      <c r="K45" s="281">
        <v>3486</v>
      </c>
      <c r="L45" s="281">
        <v>3869</v>
      </c>
      <c r="M45" s="281">
        <v>2915</v>
      </c>
      <c r="N45" s="39"/>
      <c r="O45"/>
      <c r="P45" t="s">
        <v>677</v>
      </c>
      <c r="Q45" s="24"/>
      <c r="Z45" s="40"/>
      <c r="AA45" s="40"/>
      <c r="AB45" s="40"/>
      <c r="AC45" s="40"/>
      <c r="AD45" s="40"/>
      <c r="AE45" s="40"/>
      <c r="AF45" s="40"/>
      <c r="AG45" s="40"/>
    </row>
    <row r="46" spans="1:33">
      <c r="A46" s="120" t="s">
        <v>594</v>
      </c>
      <c r="B46" s="281">
        <f>B42-SUM(B43:B45)</f>
        <v>31458</v>
      </c>
      <c r="C46" s="281">
        <f t="shared" ref="C46:M46" si="21">C42-SUM(C43:C45)</f>
        <v>31677</v>
      </c>
      <c r="D46" s="281">
        <f t="shared" si="21"/>
        <v>27104</v>
      </c>
      <c r="E46" s="281">
        <f t="shared" si="21"/>
        <v>26366</v>
      </c>
      <c r="F46" s="281">
        <f>F42-SUM(F43:F45)</f>
        <v>23508</v>
      </c>
      <c r="G46" s="281">
        <f t="shared" si="21"/>
        <v>22521</v>
      </c>
      <c r="H46" s="281">
        <f t="shared" si="21"/>
        <v>20611</v>
      </c>
      <c r="I46" s="281">
        <f t="shared" si="21"/>
        <v>28563</v>
      </c>
      <c r="J46" s="281">
        <f t="shared" si="21"/>
        <v>19654</v>
      </c>
      <c r="K46" s="281">
        <f t="shared" si="21"/>
        <v>18163</v>
      </c>
      <c r="L46" s="281">
        <f t="shared" si="21"/>
        <v>18133</v>
      </c>
      <c r="M46" s="281">
        <f t="shared" si="21"/>
        <v>21718</v>
      </c>
      <c r="N46" s="39" t="s">
        <v>657</v>
      </c>
      <c r="O46"/>
      <c r="P46"/>
      <c r="R46" s="24" t="s">
        <v>678</v>
      </c>
      <c r="Z46" s="33">
        <v>7303</v>
      </c>
      <c r="AA46" s="33">
        <v>6967</v>
      </c>
      <c r="AB46" s="33">
        <v>4708</v>
      </c>
      <c r="AC46" s="33">
        <v>3679</v>
      </c>
      <c r="AD46" s="33">
        <v>5287</v>
      </c>
      <c r="AE46" s="33">
        <v>5660</v>
      </c>
      <c r="AF46" s="33">
        <v>3925</v>
      </c>
      <c r="AG46" s="33">
        <v>5701</v>
      </c>
    </row>
    <row r="47" spans="1:33" ht="13.9">
      <c r="A47" s="10" t="s">
        <v>595</v>
      </c>
      <c r="B47" s="280">
        <f t="shared" ref="B47:M47" si="22">B51-B42</f>
        <v>238365</v>
      </c>
      <c r="C47" s="280">
        <f t="shared" si="22"/>
        <v>237646</v>
      </c>
      <c r="D47" s="317">
        <f t="shared" si="22"/>
        <v>208979</v>
      </c>
      <c r="E47" s="317">
        <f t="shared" si="22"/>
        <v>185464</v>
      </c>
      <c r="F47" s="317">
        <f t="shared" si="22"/>
        <v>173754</v>
      </c>
      <c r="G47" s="317">
        <f t="shared" si="22"/>
        <v>181010</v>
      </c>
      <c r="H47" s="317">
        <f t="shared" si="22"/>
        <v>191316</v>
      </c>
      <c r="I47" s="317">
        <f t="shared" si="22"/>
        <v>192695</v>
      </c>
      <c r="J47" s="317">
        <f t="shared" si="22"/>
        <v>192331</v>
      </c>
      <c r="K47" s="317">
        <f t="shared" si="22"/>
        <v>208212</v>
      </c>
      <c r="L47" s="317">
        <f t="shared" si="22"/>
        <v>165109</v>
      </c>
      <c r="M47" s="317">
        <f t="shared" si="22"/>
        <v>163730</v>
      </c>
      <c r="N47" s="39" t="s">
        <v>657</v>
      </c>
      <c r="O47" t="s">
        <v>679</v>
      </c>
      <c r="P47"/>
      <c r="Z47" s="33"/>
      <c r="AA47" s="33"/>
      <c r="AB47" s="33"/>
      <c r="AC47" s="33"/>
      <c r="AD47" s="33"/>
      <c r="AE47" s="33"/>
      <c r="AF47" s="33"/>
      <c r="AG47" s="33"/>
    </row>
    <row r="48" spans="1:33">
      <c r="A48" s="28" t="s">
        <v>596</v>
      </c>
      <c r="B48" s="281">
        <v>139509</v>
      </c>
      <c r="C48" s="281">
        <v>142500</v>
      </c>
      <c r="D48" s="281">
        <v>122257</v>
      </c>
      <c r="E48" s="281">
        <v>99932</v>
      </c>
      <c r="F48" s="281">
        <v>105284</v>
      </c>
      <c r="G48" s="281">
        <v>113004</v>
      </c>
      <c r="H48" s="281">
        <v>104818</v>
      </c>
      <c r="I48" s="281">
        <v>103240</v>
      </c>
      <c r="J48" s="281">
        <v>110536</v>
      </c>
      <c r="K48" s="281">
        <v>89547</v>
      </c>
      <c r="L48" s="281">
        <v>47618</v>
      </c>
      <c r="M48" s="281">
        <v>50303</v>
      </c>
      <c r="N48" s="39" t="s">
        <v>657</v>
      </c>
      <c r="O48" t="s">
        <v>680</v>
      </c>
      <c r="P48"/>
      <c r="Z48" s="26">
        <f t="shared" ref="Z48:AG48" si="23">Z44-Z46</f>
        <v>18829</v>
      </c>
      <c r="AA48" s="26">
        <f t="shared" si="23"/>
        <v>19275</v>
      </c>
      <c r="AB48" s="26">
        <f t="shared" si="23"/>
        <v>23169</v>
      </c>
      <c r="AC48" s="26">
        <f t="shared" si="23"/>
        <v>23618</v>
      </c>
      <c r="AD48" s="26">
        <f t="shared" si="23"/>
        <v>24128</v>
      </c>
      <c r="AE48" s="26">
        <f t="shared" si="23"/>
        <v>22901</v>
      </c>
      <c r="AF48" s="26">
        <f t="shared" si="23"/>
        <v>18095</v>
      </c>
      <c r="AG48" s="26">
        <f t="shared" si="23"/>
        <v>13591</v>
      </c>
    </row>
    <row r="49" spans="1:33" s="10" customFormat="1" ht="13.9">
      <c r="A49" s="28" t="s">
        <v>597</v>
      </c>
      <c r="B49" s="281">
        <v>1167</v>
      </c>
      <c r="C49" s="281">
        <v>925</v>
      </c>
      <c r="D49" s="281">
        <v>916</v>
      </c>
      <c r="E49" s="281">
        <v>780</v>
      </c>
      <c r="F49" s="281">
        <v>589</v>
      </c>
      <c r="G49" s="281">
        <v>638</v>
      </c>
      <c r="H49" s="281">
        <v>615</v>
      </c>
      <c r="I49" s="281">
        <v>0</v>
      </c>
      <c r="J49" s="281">
        <v>0</v>
      </c>
      <c r="K49" s="281">
        <v>111</v>
      </c>
      <c r="L49" s="281">
        <v>0</v>
      </c>
      <c r="M49" s="281">
        <v>0</v>
      </c>
      <c r="N49" s="39"/>
      <c r="O49"/>
      <c r="P49" t="s">
        <v>681</v>
      </c>
      <c r="Q49" s="24" t="s">
        <v>658</v>
      </c>
      <c r="R49" s="10" t="s">
        <v>682</v>
      </c>
      <c r="Z49" s="40">
        <f>61491-Z44</f>
        <v>35359</v>
      </c>
      <c r="AA49" s="40">
        <f>63457-AA44</f>
        <v>37215</v>
      </c>
      <c r="AB49" s="40">
        <f>67855-AB44</f>
        <v>39978</v>
      </c>
      <c r="AC49" s="40">
        <v>36721</v>
      </c>
      <c r="AD49" s="40">
        <v>41973</v>
      </c>
      <c r="AE49" s="40">
        <f>8415+16529+10956+3583</f>
        <v>39483</v>
      </c>
      <c r="AF49" s="40">
        <f>4505+15932+7584+2654</f>
        <v>30675</v>
      </c>
      <c r="AG49" s="40">
        <f>5652+16195+7420+2179</f>
        <v>31446</v>
      </c>
    </row>
    <row r="50" spans="1:33">
      <c r="A50" s="120" t="s">
        <v>598</v>
      </c>
      <c r="B50" s="281">
        <f>B47-SUM(B48:B49)</f>
        <v>97689</v>
      </c>
      <c r="C50" s="281">
        <f t="shared" ref="C50:M50" si="24">C47-SUM(C48:C49)</f>
        <v>94221</v>
      </c>
      <c r="D50" s="281">
        <f t="shared" si="24"/>
        <v>85806</v>
      </c>
      <c r="E50" s="281">
        <f t="shared" si="24"/>
        <v>84752</v>
      </c>
      <c r="F50" s="281">
        <f t="shared" si="24"/>
        <v>67881</v>
      </c>
      <c r="G50" s="281">
        <f t="shared" si="24"/>
        <v>67368</v>
      </c>
      <c r="H50" s="281">
        <f t="shared" si="24"/>
        <v>85883</v>
      </c>
      <c r="I50" s="281">
        <f t="shared" si="24"/>
        <v>89455</v>
      </c>
      <c r="J50" s="281">
        <f t="shared" si="24"/>
        <v>81795</v>
      </c>
      <c r="K50" s="281">
        <f>K47-SUM(K48:K49)</f>
        <v>118554</v>
      </c>
      <c r="L50" s="281">
        <f t="shared" si="24"/>
        <v>117491</v>
      </c>
      <c r="M50" s="281">
        <f t="shared" si="24"/>
        <v>113427</v>
      </c>
      <c r="N50" s="39" t="s">
        <v>657</v>
      </c>
      <c r="O50" t="s">
        <v>683</v>
      </c>
      <c r="P50"/>
      <c r="R50" s="24" t="s">
        <v>684</v>
      </c>
      <c r="Z50" s="29">
        <v>22818</v>
      </c>
      <c r="AA50" s="29">
        <v>25169</v>
      </c>
      <c r="AB50" s="29">
        <v>27784</v>
      </c>
      <c r="AC50" s="29">
        <v>26719</v>
      </c>
      <c r="AD50" s="29">
        <v>27752</v>
      </c>
      <c r="AE50" s="29">
        <v>24944</v>
      </c>
      <c r="AF50" s="29">
        <v>20437</v>
      </c>
      <c r="AG50" s="29">
        <v>21847</v>
      </c>
    </row>
    <row r="51" spans="1:33" ht="13.9">
      <c r="A51" s="10" t="s">
        <v>53</v>
      </c>
      <c r="B51" s="280">
        <v>288536</v>
      </c>
      <c r="C51" s="280">
        <v>284806</v>
      </c>
      <c r="D51" s="280">
        <v>248639</v>
      </c>
      <c r="E51" s="280">
        <v>230332</v>
      </c>
      <c r="F51" s="280">
        <v>211684</v>
      </c>
      <c r="G51" s="280">
        <v>214047</v>
      </c>
      <c r="H51" s="280">
        <v>221656</v>
      </c>
      <c r="I51" s="280">
        <v>227747</v>
      </c>
      <c r="J51" s="280">
        <v>220318</v>
      </c>
      <c r="K51" s="280">
        <v>235262</v>
      </c>
      <c r="L51" s="280">
        <v>192065</v>
      </c>
      <c r="M51" s="280">
        <v>194491</v>
      </c>
      <c r="N51" s="39" t="s">
        <v>657</v>
      </c>
      <c r="O51" t="s">
        <v>53</v>
      </c>
      <c r="P51"/>
      <c r="Z51" s="29"/>
      <c r="AA51" s="29"/>
      <c r="AB51" s="29"/>
      <c r="AC51" s="29"/>
      <c r="AD51" s="29"/>
      <c r="AE51" s="29"/>
      <c r="AF51" s="29"/>
      <c r="AG51" s="29"/>
    </row>
    <row r="52" spans="1:33">
      <c r="B52" s="317"/>
      <c r="C52" s="317"/>
      <c r="D52" s="317"/>
      <c r="E52" s="317"/>
      <c r="F52" s="317"/>
      <c r="G52" s="317"/>
      <c r="H52" s="317"/>
      <c r="I52" s="317"/>
      <c r="J52" s="317"/>
      <c r="K52" s="317"/>
      <c r="L52" s="317"/>
      <c r="M52" s="317"/>
      <c r="N52" s="39" t="s">
        <v>657</v>
      </c>
      <c r="O52"/>
      <c r="P52"/>
      <c r="Z52" s="26">
        <f t="shared" ref="Z52:AG52" si="25">Z49-Z50</f>
        <v>12541</v>
      </c>
      <c r="AA52" s="26">
        <f t="shared" si="25"/>
        <v>12046</v>
      </c>
      <c r="AB52" s="26">
        <f t="shared" si="25"/>
        <v>12194</v>
      </c>
      <c r="AC52" s="26">
        <f t="shared" si="25"/>
        <v>10002</v>
      </c>
      <c r="AD52" s="26">
        <f t="shared" si="25"/>
        <v>14221</v>
      </c>
      <c r="AE52" s="26">
        <f t="shared" si="25"/>
        <v>14539</v>
      </c>
      <c r="AF52" s="26">
        <f t="shared" si="25"/>
        <v>10238</v>
      </c>
      <c r="AG52" s="26">
        <f t="shared" si="25"/>
        <v>9599</v>
      </c>
    </row>
    <row r="53" spans="1:33" s="10" customFormat="1" ht="13.9">
      <c r="A53" s="24"/>
      <c r="B53" s="317"/>
      <c r="C53" s="317"/>
      <c r="D53" s="317"/>
      <c r="E53" s="317"/>
      <c r="F53" s="317"/>
      <c r="G53" s="317"/>
      <c r="H53" s="317"/>
      <c r="I53" s="317"/>
      <c r="J53" s="317"/>
      <c r="K53" s="317"/>
      <c r="L53" s="317"/>
      <c r="M53" s="317"/>
      <c r="N53" s="39" t="s">
        <v>657</v>
      </c>
      <c r="O53"/>
      <c r="P53"/>
      <c r="Z53" s="37">
        <f>+Z49+Z44</f>
        <v>61491</v>
      </c>
      <c r="AA53" s="37">
        <f>+AA49+AA44</f>
        <v>63457</v>
      </c>
      <c r="AB53" s="37">
        <f>+AB49+AB44</f>
        <v>67855</v>
      </c>
      <c r="AC53" s="37">
        <f>AC44+AC49</f>
        <v>64018</v>
      </c>
      <c r="AD53" s="37">
        <f>AD49+AD44</f>
        <v>71388</v>
      </c>
      <c r="AE53" s="37">
        <f>AE49+AE44</f>
        <v>68044</v>
      </c>
      <c r="AF53" s="37">
        <f>AF49+AF44</f>
        <v>52695</v>
      </c>
      <c r="AG53" s="37">
        <f>AG49+AG44</f>
        <v>50738</v>
      </c>
    </row>
    <row r="54" spans="1:33" ht="13.9">
      <c r="A54" s="41" t="s">
        <v>600</v>
      </c>
      <c r="B54" s="321">
        <v>1319</v>
      </c>
      <c r="C54" s="321">
        <v>1410</v>
      </c>
      <c r="D54" s="321">
        <v>1430</v>
      </c>
      <c r="E54" s="321">
        <v>1440</v>
      </c>
      <c r="F54" s="321">
        <v>1565</v>
      </c>
      <c r="G54" s="321">
        <v>1591</v>
      </c>
      <c r="H54" s="321">
        <v>1508</v>
      </c>
      <c r="I54" s="321">
        <v>1414</v>
      </c>
      <c r="J54" s="321">
        <v>1378</v>
      </c>
      <c r="K54" s="321">
        <v>56580</v>
      </c>
      <c r="L54" s="321">
        <v>52375</v>
      </c>
      <c r="M54" s="321">
        <v>49938</v>
      </c>
      <c r="N54" s="39" t="s">
        <v>657</v>
      </c>
      <c r="O54" t="s">
        <v>600</v>
      </c>
      <c r="P54" t="s">
        <v>685</v>
      </c>
    </row>
    <row r="55" spans="1:33">
      <c r="B55" s="317"/>
      <c r="C55" s="317"/>
      <c r="D55" s="317"/>
      <c r="E55" s="317"/>
      <c r="F55" s="317"/>
      <c r="G55" s="317"/>
      <c r="H55" s="317"/>
      <c r="I55" s="317"/>
      <c r="J55" s="317"/>
      <c r="K55" s="317"/>
      <c r="L55" s="317"/>
      <c r="M55" s="317"/>
      <c r="N55" s="39" t="s">
        <v>657</v>
      </c>
      <c r="O55"/>
      <c r="P55"/>
    </row>
    <row r="56" spans="1:33" s="10" customFormat="1" ht="13.9">
      <c r="A56" s="10" t="s">
        <v>601</v>
      </c>
      <c r="B56" s="280">
        <f>B38-B51-B54</f>
        <v>89825</v>
      </c>
      <c r="C56" s="280">
        <f t="shared" ref="C56:M56" si="26">C38-C51-C54</f>
        <v>80380</v>
      </c>
      <c r="D56" s="280">
        <f t="shared" si="26"/>
        <v>66412</v>
      </c>
      <c r="E56" s="280">
        <f>E38-E51-E54</f>
        <v>59955</v>
      </c>
      <c r="F56" s="280">
        <f t="shared" si="26"/>
        <v>51580</v>
      </c>
      <c r="G56" s="280">
        <f t="shared" si="26"/>
        <v>41505</v>
      </c>
      <c r="H56" s="280">
        <f t="shared" si="26"/>
        <v>21016</v>
      </c>
      <c r="I56" s="280">
        <f t="shared" si="26"/>
        <v>15014</v>
      </c>
      <c r="J56" s="280">
        <f>J38-J51-J54</f>
        <v>10920</v>
      </c>
      <c r="K56" s="280">
        <f>K38-K51-K54</f>
        <v>-17744</v>
      </c>
      <c r="L56" s="280">
        <f t="shared" si="26"/>
        <v>-19218</v>
      </c>
      <c r="M56" s="280">
        <f t="shared" si="26"/>
        <v>-13968</v>
      </c>
      <c r="N56" s="39" t="s">
        <v>657</v>
      </c>
      <c r="O56"/>
      <c r="P56"/>
      <c r="Q56" s="24" t="s">
        <v>658</v>
      </c>
      <c r="R56" s="10" t="s">
        <v>686</v>
      </c>
    </row>
    <row r="57" spans="1:33" ht="13.9">
      <c r="A57" s="10"/>
      <c r="B57" s="280"/>
      <c r="C57" s="280"/>
      <c r="D57" s="280"/>
      <c r="E57" s="280"/>
      <c r="F57" s="280"/>
      <c r="G57" s="280"/>
      <c r="H57" s="280"/>
      <c r="I57" s="280"/>
      <c r="J57" s="280"/>
      <c r="K57" s="280"/>
      <c r="L57" s="280"/>
      <c r="M57" s="280"/>
      <c r="N57" s="39"/>
      <c r="O57"/>
      <c r="P57"/>
    </row>
    <row r="58" spans="1:33" ht="13.9">
      <c r="A58" s="55" t="s">
        <v>687</v>
      </c>
      <c r="B58" s="280"/>
      <c r="C58" s="280"/>
      <c r="D58" s="280"/>
      <c r="E58" s="280"/>
      <c r="F58" s="280"/>
      <c r="G58" s="280"/>
      <c r="H58" s="280"/>
      <c r="I58" s="280"/>
      <c r="J58" s="280"/>
      <c r="K58" s="280"/>
      <c r="L58" s="280"/>
      <c r="M58" s="280"/>
      <c r="N58" s="39"/>
      <c r="O58"/>
      <c r="P58"/>
    </row>
    <row r="59" spans="1:33" ht="13.9">
      <c r="A59" s="10" t="s">
        <v>135</v>
      </c>
      <c r="B59" s="280">
        <v>37141</v>
      </c>
      <c r="C59" s="280">
        <v>39539</v>
      </c>
      <c r="D59" s="280">
        <v>41768</v>
      </c>
      <c r="E59" s="280">
        <v>35746</v>
      </c>
      <c r="F59" s="280">
        <v>34339</v>
      </c>
      <c r="G59" s="280">
        <v>24318</v>
      </c>
      <c r="H59" s="280">
        <v>21689</v>
      </c>
      <c r="I59" s="280">
        <v>39027</v>
      </c>
      <c r="J59" s="280">
        <v>30631</v>
      </c>
      <c r="K59" s="280">
        <v>38818</v>
      </c>
      <c r="L59" s="280">
        <v>31486</v>
      </c>
      <c r="M59" s="280">
        <v>29780</v>
      </c>
      <c r="N59" s="39"/>
      <c r="O59"/>
      <c r="P59"/>
    </row>
    <row r="60" spans="1:33">
      <c r="A60" s="28" t="s">
        <v>72</v>
      </c>
      <c r="B60" s="281">
        <v>21748</v>
      </c>
      <c r="C60" s="281">
        <v>22618</v>
      </c>
      <c r="D60" s="281">
        <v>18348</v>
      </c>
      <c r="E60" s="281">
        <v>19788</v>
      </c>
      <c r="F60" s="281">
        <v>16039</v>
      </c>
      <c r="G60" s="281">
        <v>30550</v>
      </c>
      <c r="H60" s="281">
        <v>13608</v>
      </c>
      <c r="I60" s="281">
        <v>18375</v>
      </c>
      <c r="J60" s="281">
        <v>11956</v>
      </c>
      <c r="K60" s="281">
        <v>23547</v>
      </c>
      <c r="L60" s="281">
        <v>10557</v>
      </c>
      <c r="M60" s="281">
        <v>10198</v>
      </c>
      <c r="N60" s="39"/>
      <c r="O60"/>
      <c r="P60"/>
    </row>
    <row r="61" spans="1:33">
      <c r="A61" s="120" t="s">
        <v>63</v>
      </c>
      <c r="B61" s="281">
        <v>17099</v>
      </c>
      <c r="C61" s="281">
        <v>16206</v>
      </c>
      <c r="D61" s="281">
        <v>16720</v>
      </c>
      <c r="E61" s="281">
        <v>16682</v>
      </c>
      <c r="F61" s="281">
        <v>17403</v>
      </c>
      <c r="G61" s="281">
        <v>16954</v>
      </c>
      <c r="H61" s="281">
        <v>15928</v>
      </c>
      <c r="I61" s="281">
        <v>16017</v>
      </c>
      <c r="J61" s="281">
        <v>16533</v>
      </c>
      <c r="K61" s="281">
        <v>16606</v>
      </c>
      <c r="L61" s="281">
        <v>16460</v>
      </c>
      <c r="M61" s="281">
        <v>16496</v>
      </c>
      <c r="N61" s="39"/>
      <c r="O61"/>
      <c r="P61"/>
    </row>
    <row r="62" spans="1:33">
      <c r="A62" s="120" t="s">
        <v>688</v>
      </c>
      <c r="B62" s="281">
        <v>-4234</v>
      </c>
      <c r="C62" s="281">
        <v>-983</v>
      </c>
      <c r="D62" s="281">
        <v>2836</v>
      </c>
      <c r="E62" s="281">
        <v>-3614</v>
      </c>
      <c r="F62" s="281">
        <v>-2637</v>
      </c>
      <c r="G62" s="281">
        <v>-8673</v>
      </c>
      <c r="H62" s="281">
        <v>-10040</v>
      </c>
      <c r="I62" s="281">
        <v>1129</v>
      </c>
      <c r="J62" s="281">
        <v>-5248</v>
      </c>
      <c r="K62" s="281">
        <v>-2959</v>
      </c>
      <c r="L62" s="281">
        <v>-3826</v>
      </c>
      <c r="M62" s="281">
        <v>-5179</v>
      </c>
      <c r="N62" s="39"/>
      <c r="O62"/>
      <c r="P62" t="s">
        <v>689</v>
      </c>
    </row>
    <row r="63" spans="1:33">
      <c r="A63" s="120" t="s">
        <v>690</v>
      </c>
      <c r="B63" s="281">
        <f>B59-B60-B61-B62</f>
        <v>2528</v>
      </c>
      <c r="C63" s="281">
        <f t="shared" ref="C63" si="27">C59-C60-C61-C62</f>
        <v>1698</v>
      </c>
      <c r="D63" s="281">
        <f>D59-D60-D61-D62</f>
        <v>3864</v>
      </c>
      <c r="E63" s="281">
        <f t="shared" ref="E63:M63" si="28">E59-E60-E61-E62</f>
        <v>2890</v>
      </c>
      <c r="F63" s="281">
        <f t="shared" si="28"/>
        <v>3534</v>
      </c>
      <c r="G63" s="281">
        <f t="shared" si="28"/>
        <v>-14513</v>
      </c>
      <c r="H63" s="281">
        <f t="shared" si="28"/>
        <v>2193</v>
      </c>
      <c r="I63" s="281">
        <f t="shared" si="28"/>
        <v>3506</v>
      </c>
      <c r="J63" s="281">
        <f t="shared" si="28"/>
        <v>7390</v>
      </c>
      <c r="K63" s="281">
        <f t="shared" si="28"/>
        <v>1624</v>
      </c>
      <c r="L63" s="281">
        <f t="shared" si="28"/>
        <v>8295</v>
      </c>
      <c r="M63" s="281">
        <f t="shared" si="28"/>
        <v>8265</v>
      </c>
      <c r="N63" s="39"/>
      <c r="O63"/>
      <c r="P63"/>
    </row>
    <row r="64" spans="1:33" ht="13.9">
      <c r="A64" s="10" t="s">
        <v>136</v>
      </c>
      <c r="B64" s="280">
        <v>-28662</v>
      </c>
      <c r="C64" s="280">
        <v>-67153</v>
      </c>
      <c r="D64" s="280">
        <v>-23512</v>
      </c>
      <c r="E64" s="280">
        <v>-17581</v>
      </c>
      <c r="F64" s="280">
        <v>-17934</v>
      </c>
      <c r="G64" s="280">
        <v>-18456</v>
      </c>
      <c r="H64" s="280">
        <v>-9874</v>
      </c>
      <c r="I64" s="280">
        <v>-30043</v>
      </c>
      <c r="J64" s="280">
        <v>-15856</v>
      </c>
      <c r="K64" s="280">
        <v>-14833</v>
      </c>
      <c r="L64" s="280">
        <v>-20502</v>
      </c>
      <c r="M64" s="280">
        <v>-17250</v>
      </c>
      <c r="N64" s="39"/>
      <c r="O64"/>
      <c r="P64"/>
    </row>
    <row r="65" spans="1:16">
      <c r="A65" s="120" t="s">
        <v>137</v>
      </c>
      <c r="B65" s="281">
        <v>-26740</v>
      </c>
      <c r="C65" s="281">
        <v>-67882</v>
      </c>
      <c r="D65" s="281">
        <v>-20318</v>
      </c>
      <c r="E65" s="281">
        <v>-18837</v>
      </c>
      <c r="F65" s="281">
        <v>-18087</v>
      </c>
      <c r="G65" s="281">
        <v>-17830</v>
      </c>
      <c r="H65" s="281">
        <v>-17593</v>
      </c>
      <c r="I65" s="281">
        <v>-27717</v>
      </c>
      <c r="J65" s="281">
        <v>-17545</v>
      </c>
      <c r="K65" s="281">
        <v>-17184</v>
      </c>
      <c r="L65" s="281">
        <v>-20110</v>
      </c>
      <c r="M65" s="281">
        <v>-16244</v>
      </c>
      <c r="N65" s="39"/>
      <c r="O65"/>
      <c r="P65" t="s">
        <v>691</v>
      </c>
    </row>
    <row r="66" spans="1:16">
      <c r="A66" s="120" t="s">
        <v>138</v>
      </c>
      <c r="B66" s="281">
        <v>248</v>
      </c>
      <c r="C66" s="281">
        <v>-4065</v>
      </c>
      <c r="D66" s="281">
        <v>-520</v>
      </c>
      <c r="E66" s="281">
        <v>-29</v>
      </c>
      <c r="F66" s="281">
        <v>-230</v>
      </c>
      <c r="G66" s="281">
        <v>-5880</v>
      </c>
      <c r="H66" s="281">
        <v>-3765</v>
      </c>
      <c r="I66" s="281">
        <v>-3545</v>
      </c>
      <c r="J66" s="281">
        <v>-185</v>
      </c>
      <c r="K66" s="281">
        <v>-494</v>
      </c>
      <c r="L66" s="281">
        <v>-913</v>
      </c>
      <c r="M66" s="281">
        <v>-2018</v>
      </c>
      <c r="N66" s="39"/>
      <c r="O66"/>
      <c r="P66" t="s">
        <v>692</v>
      </c>
    </row>
    <row r="67" spans="1:16">
      <c r="A67" s="120" t="s">
        <v>693</v>
      </c>
      <c r="B67" s="281">
        <f>B64-B65-B66</f>
        <v>-2170</v>
      </c>
      <c r="C67" s="281">
        <f>C64-C65-C66</f>
        <v>4794</v>
      </c>
      <c r="D67" s="281">
        <f>D64-D65-D66</f>
        <v>-2674</v>
      </c>
      <c r="E67" s="281">
        <f t="shared" ref="E67:M67" si="29">E$64-E$65-E$66</f>
        <v>1285</v>
      </c>
      <c r="F67" s="281">
        <f t="shared" si="29"/>
        <v>383</v>
      </c>
      <c r="G67" s="281">
        <f t="shared" si="29"/>
        <v>5254</v>
      </c>
      <c r="H67" s="281">
        <f t="shared" si="29"/>
        <v>11484</v>
      </c>
      <c r="I67" s="281">
        <f t="shared" si="29"/>
        <v>1219</v>
      </c>
      <c r="J67" s="281">
        <f t="shared" si="29"/>
        <v>1874</v>
      </c>
      <c r="K67" s="281">
        <f t="shared" si="29"/>
        <v>2845</v>
      </c>
      <c r="L67" s="281">
        <f t="shared" si="29"/>
        <v>521</v>
      </c>
      <c r="M67" s="281">
        <f t="shared" si="29"/>
        <v>1012</v>
      </c>
      <c r="N67" s="39"/>
      <c r="O67"/>
      <c r="P67"/>
    </row>
    <row r="68" spans="1:16" ht="13.9">
      <c r="A68" s="10" t="s">
        <v>139</v>
      </c>
      <c r="B68" s="280">
        <v>-8529</v>
      </c>
      <c r="C68" s="280">
        <v>8277</v>
      </c>
      <c r="D68" s="280">
        <v>1325</v>
      </c>
      <c r="E68" s="280">
        <v>-18164</v>
      </c>
      <c r="F68" s="280">
        <v>-15377</v>
      </c>
      <c r="G68" s="280">
        <v>-6151</v>
      </c>
      <c r="H68" s="280">
        <v>-13376</v>
      </c>
      <c r="I68" s="280">
        <v>-15112</v>
      </c>
      <c r="J68" s="280">
        <v>-57705</v>
      </c>
      <c r="K68" s="280">
        <v>26450</v>
      </c>
      <c r="L68" s="280">
        <v>-21253</v>
      </c>
      <c r="M68" s="280">
        <v>-5836</v>
      </c>
      <c r="N68" s="39"/>
      <c r="O68"/>
      <c r="P68"/>
    </row>
    <row r="69" spans="1:16">
      <c r="A69" s="120" t="s">
        <v>694</v>
      </c>
      <c r="B69" s="281">
        <v>17912</v>
      </c>
      <c r="C69" s="281">
        <v>41417</v>
      </c>
      <c r="D69" s="281">
        <v>31457</v>
      </c>
      <c r="E69" s="281">
        <v>18655</v>
      </c>
      <c r="F69" s="281">
        <v>10777</v>
      </c>
      <c r="G69" s="281">
        <v>31997</v>
      </c>
      <c r="H69" s="281">
        <v>17950</v>
      </c>
      <c r="I69" s="281">
        <v>6667</v>
      </c>
      <c r="J69" s="281">
        <v>30967</v>
      </c>
      <c r="K69" s="281">
        <v>49166</v>
      </c>
      <c r="L69" s="281"/>
      <c r="M69" s="281"/>
      <c r="N69" s="39"/>
      <c r="O69"/>
      <c r="P69"/>
    </row>
    <row r="70" spans="1:16">
      <c r="A70" s="120" t="s">
        <v>695</v>
      </c>
      <c r="B70" s="281">
        <v>-13564</v>
      </c>
      <c r="C70" s="281">
        <v>-18863</v>
      </c>
      <c r="D70" s="281">
        <v>-17188</v>
      </c>
      <c r="E70" s="281">
        <v>-23886</v>
      </c>
      <c r="F70" s="281">
        <v>-15348</v>
      </c>
      <c r="G70" s="281">
        <v>-24407</v>
      </c>
      <c r="H70" s="281">
        <v>-19308</v>
      </c>
      <c r="I70" s="281">
        <v>-9684</v>
      </c>
      <c r="J70" s="281">
        <v>-18144</v>
      </c>
      <c r="K70" s="281">
        <v>-8305</v>
      </c>
      <c r="L70" s="281"/>
      <c r="M70" s="281"/>
      <c r="N70" s="39"/>
      <c r="O70"/>
      <c r="P70"/>
    </row>
    <row r="71" spans="1:16">
      <c r="A71" s="120" t="s">
        <v>696</v>
      </c>
      <c r="B71" s="281">
        <v>0</v>
      </c>
      <c r="C71" s="281">
        <v>0</v>
      </c>
      <c r="D71" s="281">
        <v>0</v>
      </c>
      <c r="E71" s="281">
        <v>0</v>
      </c>
      <c r="F71" s="281">
        <v>0</v>
      </c>
      <c r="G71" s="281">
        <v>0</v>
      </c>
      <c r="H71" s="281">
        <v>0</v>
      </c>
      <c r="I71" s="281">
        <v>0</v>
      </c>
      <c r="J71" s="281">
        <v>0</v>
      </c>
      <c r="K71" s="281">
        <v>0</v>
      </c>
      <c r="L71" s="281"/>
      <c r="M71" s="281"/>
      <c r="N71" s="39"/>
      <c r="O71"/>
      <c r="P71"/>
    </row>
    <row r="72" spans="1:16">
      <c r="A72" s="120" t="s">
        <v>697</v>
      </c>
      <c r="B72" s="281">
        <v>0</v>
      </c>
      <c r="C72" s="281">
        <v>0</v>
      </c>
      <c r="D72" s="281">
        <v>0</v>
      </c>
      <c r="E72" s="281">
        <v>0</v>
      </c>
      <c r="F72" s="281">
        <v>0</v>
      </c>
      <c r="G72" s="281">
        <v>0</v>
      </c>
      <c r="H72" s="281">
        <v>0</v>
      </c>
      <c r="I72" s="281">
        <v>0</v>
      </c>
      <c r="J72" s="281">
        <v>0</v>
      </c>
      <c r="K72" s="281">
        <v>0</v>
      </c>
      <c r="L72" s="281"/>
      <c r="M72" s="281"/>
      <c r="N72" s="39"/>
      <c r="O72"/>
      <c r="P72"/>
    </row>
    <row r="73" spans="1:16">
      <c r="A73" s="120" t="s">
        <v>140</v>
      </c>
      <c r="B73" s="281">
        <v>-10805</v>
      </c>
      <c r="C73" s="281">
        <v>-10445</v>
      </c>
      <c r="D73" s="281">
        <v>-10232</v>
      </c>
      <c r="E73" s="281">
        <v>-10016</v>
      </c>
      <c r="F73" s="281">
        <v>-9772</v>
      </c>
      <c r="G73" s="281">
        <v>-9472</v>
      </c>
      <c r="H73" s="314">
        <v>-9262</v>
      </c>
      <c r="I73" s="281">
        <v>-8538</v>
      </c>
      <c r="J73" s="314">
        <v>-7803</v>
      </c>
      <c r="K73" s="281">
        <v>-5936</v>
      </c>
      <c r="L73" s="281">
        <v>-5230</v>
      </c>
      <c r="M73" s="281">
        <v>-5555</v>
      </c>
      <c r="N73" s="36" t="s">
        <v>698</v>
      </c>
      <c r="O73" t="s">
        <v>699</v>
      </c>
      <c r="P73"/>
    </row>
    <row r="74" spans="1:16">
      <c r="A74" s="120" t="s">
        <v>583</v>
      </c>
      <c r="B74" s="281">
        <v>0</v>
      </c>
      <c r="C74" s="281">
        <v>0</v>
      </c>
      <c r="D74" s="281">
        <v>0</v>
      </c>
      <c r="E74" s="281">
        <v>0</v>
      </c>
      <c r="F74" s="281">
        <v>0</v>
      </c>
      <c r="G74" s="281">
        <v>0</v>
      </c>
      <c r="H74" s="281">
        <v>0</v>
      </c>
      <c r="I74" s="281">
        <v>-5134</v>
      </c>
      <c r="J74" s="314">
        <v>0</v>
      </c>
      <c r="K74" s="281">
        <v>-153</v>
      </c>
      <c r="L74" s="281"/>
      <c r="M74" s="281"/>
      <c r="N74" s="36" t="s">
        <v>698</v>
      </c>
      <c r="O74" t="str">
        <f>+A74</f>
        <v>Share buyback</v>
      </c>
      <c r="P74"/>
    </row>
    <row r="75" spans="1:16">
      <c r="A75" s="120" t="s">
        <v>693</v>
      </c>
      <c r="B75" s="281">
        <f>B68-B69-B70-B71-B72-B73-B74</f>
        <v>-2072</v>
      </c>
      <c r="C75" s="281">
        <f t="shared" ref="C75:M75" si="30">C68-C69-C70-C71-C72-C73-C74</f>
        <v>-3832</v>
      </c>
      <c r="D75" s="281">
        <f t="shared" si="30"/>
        <v>-2712</v>
      </c>
      <c r="E75" s="281">
        <f t="shared" si="30"/>
        <v>-2917</v>
      </c>
      <c r="F75" s="281">
        <f t="shared" si="30"/>
        <v>-1034</v>
      </c>
      <c r="G75" s="281">
        <f t="shared" si="30"/>
        <v>-4269</v>
      </c>
      <c r="H75" s="281">
        <f t="shared" si="30"/>
        <v>-2756</v>
      </c>
      <c r="I75" s="281">
        <f t="shared" si="30"/>
        <v>1577</v>
      </c>
      <c r="J75" s="281">
        <f t="shared" si="30"/>
        <v>-62725</v>
      </c>
      <c r="K75" s="281">
        <f t="shared" si="30"/>
        <v>-8322</v>
      </c>
      <c r="L75" s="281">
        <f t="shared" si="30"/>
        <v>-16023</v>
      </c>
      <c r="M75" s="281">
        <f t="shared" si="30"/>
        <v>-281</v>
      </c>
      <c r="N75" s="39"/>
      <c r="O75"/>
      <c r="P75" t="s">
        <v>700</v>
      </c>
    </row>
    <row r="76" spans="1:16" ht="13.9">
      <c r="A76" s="10" t="s">
        <v>143</v>
      </c>
      <c r="B76" s="280"/>
      <c r="C76" s="280"/>
      <c r="D76" s="280"/>
      <c r="E76" s="280"/>
      <c r="F76" s="280"/>
      <c r="G76" s="280"/>
      <c r="H76" s="280"/>
      <c r="I76" s="280"/>
      <c r="J76" s="280"/>
      <c r="K76" s="280"/>
      <c r="L76" s="280"/>
      <c r="M76" s="280"/>
      <c r="N76" s="39"/>
      <c r="O76"/>
      <c r="P76"/>
    </row>
    <row r="77" spans="1:16" ht="13.9">
      <c r="A77" s="10" t="s">
        <v>602</v>
      </c>
      <c r="B77" s="280">
        <f>B59+B64+B68+B76</f>
        <v>-50</v>
      </c>
      <c r="C77" s="280">
        <f>C59+C64+C68+C76</f>
        <v>-19337</v>
      </c>
      <c r="D77" s="280">
        <f t="shared" ref="D77:M77" si="31">D59+D64+D68+D76</f>
        <v>19581</v>
      </c>
      <c r="E77" s="280">
        <f t="shared" si="31"/>
        <v>1</v>
      </c>
      <c r="F77" s="280">
        <f t="shared" si="31"/>
        <v>1028</v>
      </c>
      <c r="G77" s="280">
        <f t="shared" si="31"/>
        <v>-289</v>
      </c>
      <c r="H77" s="280">
        <f t="shared" si="31"/>
        <v>-1561</v>
      </c>
      <c r="I77" s="280">
        <f t="shared" si="31"/>
        <v>-6128</v>
      </c>
      <c r="J77" s="280">
        <f t="shared" si="31"/>
        <v>-42930</v>
      </c>
      <c r="K77" s="280">
        <f t="shared" si="31"/>
        <v>50435</v>
      </c>
      <c r="L77" s="280">
        <f t="shared" si="31"/>
        <v>-10269</v>
      </c>
      <c r="M77" s="280">
        <f t="shared" si="31"/>
        <v>6694</v>
      </c>
      <c r="N77" s="39"/>
      <c r="O77"/>
      <c r="P77"/>
    </row>
    <row r="78" spans="1:16">
      <c r="M78" s="26"/>
      <c r="N78"/>
      <c r="O78" t="s">
        <v>701</v>
      </c>
      <c r="P78"/>
    </row>
    <row r="79" spans="1:16" ht="13.9">
      <c r="A79" s="55" t="s">
        <v>702</v>
      </c>
      <c r="B79" s="55"/>
      <c r="C79" s="55"/>
      <c r="D79" s="55"/>
      <c r="E79" s="1132" t="s">
        <v>610</v>
      </c>
      <c r="F79" s="1132"/>
      <c r="G79" s="1132"/>
      <c r="H79" s="1132" t="s">
        <v>703</v>
      </c>
      <c r="I79" s="1132"/>
      <c r="J79" s="55" t="s">
        <v>612</v>
      </c>
      <c r="K79" s="55" t="s">
        <v>613</v>
      </c>
      <c r="L79" s="55" t="s">
        <v>614</v>
      </c>
      <c r="M79" s="37"/>
      <c r="N79"/>
      <c r="O79"/>
      <c r="P79"/>
    </row>
    <row r="80" spans="1:16">
      <c r="A80" s="28" t="s">
        <v>704</v>
      </c>
      <c r="B80" s="29">
        <v>142000</v>
      </c>
      <c r="C80" s="42" t="s">
        <v>705</v>
      </c>
      <c r="D80" s="26"/>
      <c r="E80" s="1129"/>
      <c r="F80" s="1129"/>
      <c r="G80" s="1129"/>
      <c r="H80" s="1130"/>
      <c r="I80" s="1130"/>
      <c r="J80" s="84"/>
      <c r="K80" s="83"/>
      <c r="L80" s="83"/>
      <c r="M80" s="26"/>
      <c r="N80" s="42" t="s">
        <v>706</v>
      </c>
      <c r="O80"/>
      <c r="P80"/>
    </row>
    <row r="81" spans="1:16">
      <c r="A81" s="28" t="s">
        <v>707</v>
      </c>
      <c r="B81" s="29">
        <v>285620</v>
      </c>
      <c r="C81" s="42" t="s">
        <v>708</v>
      </c>
      <c r="D81" s="26"/>
      <c r="E81" s="1129"/>
      <c r="F81" s="1129"/>
      <c r="G81" s="1129"/>
      <c r="H81" s="1130"/>
      <c r="I81" s="1130"/>
      <c r="J81" s="84"/>
      <c r="K81" s="83"/>
      <c r="L81" s="83"/>
      <c r="M81" s="26"/>
      <c r="N81" s="42" t="s">
        <v>706</v>
      </c>
      <c r="O81"/>
      <c r="P81"/>
    </row>
    <row r="82" spans="1:16">
      <c r="A82" s="28" t="s">
        <v>51</v>
      </c>
      <c r="B82" s="77">
        <f>OP!M19</f>
        <v>0.99970000000000003</v>
      </c>
      <c r="C82" s="42" t="s">
        <v>708</v>
      </c>
      <c r="D82" s="85"/>
      <c r="E82" s="1129"/>
      <c r="F82" s="1129"/>
      <c r="G82" s="1129"/>
      <c r="H82" s="1130"/>
      <c r="I82" s="1130"/>
      <c r="J82" s="84"/>
      <c r="K82" s="83"/>
      <c r="L82" s="83"/>
      <c r="M82" s="87"/>
      <c r="N82" s="42" t="s">
        <v>706</v>
      </c>
      <c r="O82"/>
      <c r="P82"/>
    </row>
    <row r="83" spans="1:16">
      <c r="A83" s="28" t="s">
        <v>56</v>
      </c>
      <c r="B83" s="79">
        <f>OP!M20</f>
        <v>2.9999999999999997E-4</v>
      </c>
      <c r="C83" s="42" t="s">
        <v>708</v>
      </c>
      <c r="D83" s="86"/>
      <c r="E83" s="1129"/>
      <c r="F83" s="1129"/>
      <c r="G83" s="1129"/>
      <c r="H83" s="1130"/>
      <c r="I83" s="1130"/>
      <c r="J83" s="84"/>
      <c r="K83" s="83"/>
      <c r="L83" s="83"/>
      <c r="M83" s="87"/>
      <c r="N83" s="42" t="s">
        <v>706</v>
      </c>
      <c r="O83"/>
      <c r="P83"/>
    </row>
    <row r="84" spans="1:16">
      <c r="A84" s="28" t="s">
        <v>606</v>
      </c>
      <c r="B84" s="29" t="str">
        <f>OP!M22</f>
        <v>BBB+</v>
      </c>
      <c r="C84" s="42" t="s">
        <v>705</v>
      </c>
      <c r="D84" s="26"/>
      <c r="E84" s="1129"/>
      <c r="F84" s="1129"/>
      <c r="G84" s="1129"/>
      <c r="H84" s="1130"/>
      <c r="I84" s="1130"/>
      <c r="J84" s="84"/>
      <c r="K84" s="83"/>
      <c r="L84" s="83"/>
      <c r="M84" s="26"/>
      <c r="N84" s="42" t="s">
        <v>706</v>
      </c>
      <c r="O84"/>
      <c r="P84"/>
    </row>
    <row r="85" spans="1:16">
      <c r="A85" s="28" t="s">
        <v>709</v>
      </c>
      <c r="B85" s="80">
        <f>Peers!C35</f>
        <v>1.8878854563874199</v>
      </c>
      <c r="C85" s="42" t="s">
        <v>708</v>
      </c>
      <c r="D85" s="26"/>
      <c r="E85" s="1129"/>
      <c r="F85" s="1129"/>
      <c r="G85" s="1129"/>
      <c r="H85" s="1130"/>
      <c r="I85" s="1130"/>
      <c r="J85" s="83"/>
      <c r="K85" s="83"/>
      <c r="L85" s="83"/>
      <c r="M85" s="26"/>
      <c r="N85" s="42" t="s">
        <v>706</v>
      </c>
      <c r="O85"/>
    </row>
    <row r="86" spans="1:16">
      <c r="A86" s="28" t="s">
        <v>608</v>
      </c>
      <c r="B86" s="29"/>
      <c r="C86" s="42" t="s">
        <v>710</v>
      </c>
      <c r="D86" s="26"/>
      <c r="E86" s="1129"/>
      <c r="F86" s="1129"/>
      <c r="G86" s="1129"/>
      <c r="H86" s="1130"/>
      <c r="I86" s="1130"/>
      <c r="J86" s="83"/>
      <c r="K86" s="83"/>
      <c r="L86" s="83"/>
      <c r="M86" s="26"/>
      <c r="N86" s="42" t="s">
        <v>706</v>
      </c>
    </row>
    <row r="87" spans="1:16" ht="13.9">
      <c r="B87" s="55">
        <v>2020</v>
      </c>
      <c r="C87" s="55">
        <f>B87+1</f>
        <v>2021</v>
      </c>
      <c r="D87" s="55">
        <f>C87+1</f>
        <v>2022</v>
      </c>
      <c r="E87" s="43"/>
      <c r="G87" s="43"/>
      <c r="H87" s="43"/>
      <c r="I87" s="43"/>
      <c r="J87" s="43"/>
      <c r="K87" s="43"/>
      <c r="L87" s="43"/>
      <c r="M87" s="43"/>
      <c r="N87"/>
    </row>
    <row r="88" spans="1:16">
      <c r="A88" s="28" t="s">
        <v>609</v>
      </c>
      <c r="B88" s="78"/>
      <c r="E88" s="42" t="s">
        <v>710</v>
      </c>
      <c r="K88" s="24"/>
      <c r="L88" s="24"/>
      <c r="O88"/>
      <c r="P88"/>
    </row>
    <row r="89" spans="1:16" ht="13.9">
      <c r="A89" s="28" t="s">
        <v>78</v>
      </c>
      <c r="B89" s="81"/>
      <c r="C89" s="82"/>
      <c r="D89" s="82"/>
      <c r="E89" s="42" t="s">
        <v>710</v>
      </c>
      <c r="K89" s="24"/>
      <c r="L89" s="24"/>
      <c r="O89" s="55"/>
    </row>
    <row r="90" spans="1:16" ht="13.9">
      <c r="M90"/>
      <c r="N90" s="119"/>
      <c r="O90" s="55"/>
    </row>
    <row r="91" spans="1:16">
      <c r="J91" s="26"/>
      <c r="L91"/>
      <c r="M91"/>
      <c r="N91"/>
    </row>
    <row r="92" spans="1:16">
      <c r="J92" s="26"/>
      <c r="L92"/>
      <c r="M92"/>
      <c r="N92"/>
    </row>
    <row r="93" spans="1:16">
      <c r="J93" s="26"/>
      <c r="L93"/>
      <c r="M93"/>
      <c r="N93"/>
    </row>
    <row r="94" spans="1:16">
      <c r="J94" s="26"/>
      <c r="L94"/>
      <c r="M94"/>
      <c r="N94"/>
    </row>
    <row r="95" spans="1:16">
      <c r="J95" s="26"/>
      <c r="L95"/>
      <c r="M95"/>
      <c r="N95"/>
    </row>
    <row r="96" spans="1:16">
      <c r="J96" s="26"/>
      <c r="L96"/>
      <c r="M96"/>
      <c r="N96"/>
      <c r="O96"/>
    </row>
    <row r="97" spans="1:14">
      <c r="J97" s="26"/>
      <c r="L97"/>
      <c r="M97"/>
      <c r="N97"/>
    </row>
    <row r="98" spans="1:14">
      <c r="G98"/>
      <c r="M98"/>
      <c r="N98"/>
    </row>
    <row r="99" spans="1:14">
      <c r="A99"/>
      <c r="B99"/>
      <c r="C99"/>
      <c r="D99"/>
      <c r="E99"/>
      <c r="F99"/>
      <c r="G99"/>
    </row>
    <row r="100" spans="1:14">
      <c r="A100"/>
      <c r="B100"/>
      <c r="C100"/>
      <c r="D100"/>
      <c r="E100"/>
      <c r="F100"/>
      <c r="G100"/>
    </row>
  </sheetData>
  <mergeCells count="1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75"/>
  <cols>
    <col min="1" max="9" width="0" hidden="1" customWidth="1"/>
    <col min="11" max="11" width="21.85546875" bestFit="1" customWidth="1"/>
  </cols>
  <sheetData>
    <row r="2" spans="2:27" ht="13.15">
      <c r="E2" s="11" t="s">
        <v>711</v>
      </c>
      <c r="F2" s="11" t="s">
        <v>712</v>
      </c>
      <c r="H2" s="11" t="s">
        <v>373</v>
      </c>
      <c r="K2" s="1133" t="s">
        <v>711</v>
      </c>
      <c r="L2" s="1135" t="s">
        <v>713</v>
      </c>
      <c r="M2" s="1136"/>
      <c r="N2" s="1136"/>
      <c r="O2" s="1136"/>
      <c r="P2" s="1137"/>
      <c r="Q2" s="1136" t="s">
        <v>318</v>
      </c>
      <c r="R2" s="1136"/>
      <c r="S2" s="1136"/>
      <c r="T2" s="1136"/>
      <c r="U2" s="1136"/>
      <c r="V2" s="1136"/>
      <c r="W2" s="1136"/>
      <c r="X2" s="1136"/>
      <c r="Y2" s="1136"/>
      <c r="Z2" s="1136"/>
      <c r="AA2" s="1137"/>
    </row>
    <row r="3" spans="2:27" ht="13.15">
      <c r="E3" t="s">
        <v>291</v>
      </c>
      <c r="F3" t="s">
        <v>714</v>
      </c>
      <c r="H3" s="11" t="s">
        <v>352</v>
      </c>
      <c r="K3" s="1134"/>
      <c r="L3" s="90" t="s">
        <v>715</v>
      </c>
      <c r="M3" s="107" t="s">
        <v>716</v>
      </c>
      <c r="N3" s="107" t="s">
        <v>717</v>
      </c>
      <c r="O3" s="107" t="s">
        <v>718</v>
      </c>
      <c r="P3" s="108" t="s">
        <v>719</v>
      </c>
      <c r="Q3" s="107" t="s">
        <v>720</v>
      </c>
      <c r="R3" s="107" t="s">
        <v>721</v>
      </c>
      <c r="S3" s="107" t="s">
        <v>327</v>
      </c>
      <c r="T3" s="107" t="s">
        <v>722</v>
      </c>
      <c r="U3" s="107" t="s">
        <v>723</v>
      </c>
      <c r="V3" s="107" t="s">
        <v>724</v>
      </c>
      <c r="W3" s="107" t="s">
        <v>725</v>
      </c>
      <c r="X3" s="107" t="s">
        <v>726</v>
      </c>
      <c r="Y3" s="107" t="s">
        <v>727</v>
      </c>
      <c r="Z3" s="107" t="s">
        <v>728</v>
      </c>
      <c r="AA3" s="108" t="s">
        <v>362</v>
      </c>
    </row>
    <row r="4" spans="2:27" ht="13.15">
      <c r="B4" s="91"/>
      <c r="E4" t="s">
        <v>291</v>
      </c>
      <c r="F4" t="s">
        <v>729</v>
      </c>
      <c r="H4" s="11" t="s">
        <v>379</v>
      </c>
      <c r="K4" s="109" t="s">
        <v>291</v>
      </c>
      <c r="L4" s="110" t="s">
        <v>373</v>
      </c>
      <c r="M4" t="s">
        <v>373</v>
      </c>
      <c r="N4" t="s">
        <v>352</v>
      </c>
      <c r="O4" t="s">
        <v>373</v>
      </c>
      <c r="P4" s="111" t="s">
        <v>373</v>
      </c>
      <c r="Q4" t="s">
        <v>352</v>
      </c>
      <c r="R4" t="s">
        <v>352</v>
      </c>
      <c r="S4" t="s">
        <v>373</v>
      </c>
      <c r="T4" t="s">
        <v>373</v>
      </c>
      <c r="U4" t="s">
        <v>379</v>
      </c>
      <c r="V4" t="s">
        <v>373</v>
      </c>
      <c r="W4" t="s">
        <v>373</v>
      </c>
      <c r="X4" t="s">
        <v>373</v>
      </c>
      <c r="Y4" t="s">
        <v>373</v>
      </c>
      <c r="Z4" t="s">
        <v>373</v>
      </c>
      <c r="AA4" s="111" t="s">
        <v>352</v>
      </c>
    </row>
    <row r="5" spans="2:27" ht="13.9">
      <c r="B5" s="103" t="s">
        <v>304</v>
      </c>
      <c r="E5" t="s">
        <v>291</v>
      </c>
      <c r="F5" t="s">
        <v>730</v>
      </c>
      <c r="H5" s="11" t="s">
        <v>731</v>
      </c>
      <c r="K5" s="109" t="s">
        <v>732</v>
      </c>
      <c r="L5" s="110" t="s">
        <v>373</v>
      </c>
      <c r="M5" t="s">
        <v>373</v>
      </c>
      <c r="N5" t="s">
        <v>352</v>
      </c>
      <c r="O5" t="s">
        <v>352</v>
      </c>
      <c r="P5" s="111" t="s">
        <v>373</v>
      </c>
      <c r="Q5" t="s">
        <v>352</v>
      </c>
      <c r="R5" t="s">
        <v>352</v>
      </c>
      <c r="S5" t="s">
        <v>373</v>
      </c>
      <c r="T5" t="s">
        <v>373</v>
      </c>
      <c r="U5" t="s">
        <v>352</v>
      </c>
      <c r="V5" t="s">
        <v>352</v>
      </c>
      <c r="W5" t="s">
        <v>352</v>
      </c>
      <c r="X5" t="s">
        <v>379</v>
      </c>
      <c r="Y5" t="s">
        <v>373</v>
      </c>
      <c r="Z5" t="s">
        <v>379</v>
      </c>
      <c r="AA5" s="111" t="s">
        <v>373</v>
      </c>
    </row>
    <row r="6" spans="2:27">
      <c r="B6" s="105" t="s">
        <v>733</v>
      </c>
      <c r="E6" t="s">
        <v>291</v>
      </c>
      <c r="F6" t="s">
        <v>734</v>
      </c>
      <c r="K6" s="109" t="s">
        <v>735</v>
      </c>
      <c r="L6" s="110" t="s">
        <v>379</v>
      </c>
      <c r="M6" t="s">
        <v>731</v>
      </c>
      <c r="N6" t="s">
        <v>379</v>
      </c>
      <c r="O6" t="s">
        <v>379</v>
      </c>
      <c r="P6" s="111" t="s">
        <v>379</v>
      </c>
      <c r="Q6" t="s">
        <v>352</v>
      </c>
      <c r="R6" t="s">
        <v>379</v>
      </c>
      <c r="S6" t="s">
        <v>379</v>
      </c>
      <c r="T6" t="s">
        <v>373</v>
      </c>
      <c r="U6" t="s">
        <v>352</v>
      </c>
      <c r="V6" t="s">
        <v>352</v>
      </c>
      <c r="W6" t="s">
        <v>373</v>
      </c>
      <c r="X6" t="s">
        <v>379</v>
      </c>
      <c r="Y6" t="s">
        <v>373</v>
      </c>
      <c r="Z6" t="s">
        <v>731</v>
      </c>
      <c r="AA6" s="111" t="s">
        <v>373</v>
      </c>
    </row>
    <row r="7" spans="2:27">
      <c r="B7" s="105" t="s">
        <v>736</v>
      </c>
      <c r="E7" t="s">
        <v>291</v>
      </c>
      <c r="F7" t="s">
        <v>737</v>
      </c>
      <c r="K7" s="109" t="s">
        <v>717</v>
      </c>
      <c r="L7" s="110" t="s">
        <v>731</v>
      </c>
      <c r="M7" t="s">
        <v>731</v>
      </c>
      <c r="N7" t="s">
        <v>352</v>
      </c>
      <c r="O7" t="s">
        <v>731</v>
      </c>
      <c r="P7" s="111" t="s">
        <v>379</v>
      </c>
      <c r="Q7" t="s">
        <v>379</v>
      </c>
      <c r="R7" t="s">
        <v>352</v>
      </c>
      <c r="S7" t="s">
        <v>352</v>
      </c>
      <c r="T7" t="s">
        <v>352</v>
      </c>
      <c r="U7" t="s">
        <v>352</v>
      </c>
      <c r="V7" t="s">
        <v>379</v>
      </c>
      <c r="W7" t="s">
        <v>352</v>
      </c>
      <c r="X7" t="s">
        <v>352</v>
      </c>
      <c r="Y7" t="s">
        <v>379</v>
      </c>
      <c r="Z7" t="s">
        <v>379</v>
      </c>
      <c r="AA7" s="111" t="s">
        <v>373</v>
      </c>
    </row>
    <row r="8" spans="2:27">
      <c r="B8" s="105"/>
      <c r="K8" s="109" t="s">
        <v>738</v>
      </c>
      <c r="L8" s="110" t="s">
        <v>373</v>
      </c>
      <c r="M8" t="s">
        <v>373</v>
      </c>
      <c r="N8" t="s">
        <v>373</v>
      </c>
      <c r="O8" t="s">
        <v>352</v>
      </c>
      <c r="P8" s="111" t="s">
        <v>352</v>
      </c>
      <c r="Q8" t="s">
        <v>373</v>
      </c>
      <c r="R8" t="s">
        <v>352</v>
      </c>
      <c r="S8" t="s">
        <v>352</v>
      </c>
      <c r="T8" t="s">
        <v>379</v>
      </c>
      <c r="U8" t="s">
        <v>352</v>
      </c>
      <c r="V8" t="s">
        <v>373</v>
      </c>
      <c r="W8" t="s">
        <v>373</v>
      </c>
      <c r="X8" t="s">
        <v>352</v>
      </c>
      <c r="Y8" t="s">
        <v>352</v>
      </c>
      <c r="Z8" t="s">
        <v>379</v>
      </c>
      <c r="AA8" s="111" t="s">
        <v>373</v>
      </c>
    </row>
    <row r="9" spans="2:27">
      <c r="B9" s="105" t="s">
        <v>310</v>
      </c>
      <c r="E9" t="s">
        <v>291</v>
      </c>
      <c r="F9" t="s">
        <v>739</v>
      </c>
      <c r="K9" s="109" t="s">
        <v>740</v>
      </c>
      <c r="L9" s="110" t="s">
        <v>373</v>
      </c>
      <c r="M9" t="s">
        <v>373</v>
      </c>
      <c r="N9" t="s">
        <v>373</v>
      </c>
      <c r="O9" t="s">
        <v>373</v>
      </c>
      <c r="P9" s="111" t="s">
        <v>373</v>
      </c>
      <c r="Q9" t="s">
        <v>373</v>
      </c>
      <c r="R9" t="s">
        <v>373</v>
      </c>
      <c r="S9" t="s">
        <v>352</v>
      </c>
      <c r="T9" t="s">
        <v>379</v>
      </c>
      <c r="U9" t="s">
        <v>352</v>
      </c>
      <c r="V9" t="s">
        <v>373</v>
      </c>
      <c r="W9" t="s">
        <v>373</v>
      </c>
      <c r="X9" t="s">
        <v>373</v>
      </c>
      <c r="Y9" t="s">
        <v>373</v>
      </c>
      <c r="Z9" t="s">
        <v>352</v>
      </c>
      <c r="AA9" s="111" t="s">
        <v>373</v>
      </c>
    </row>
    <row r="10" spans="2:27">
      <c r="B10" s="105"/>
      <c r="K10" s="109" t="s">
        <v>741</v>
      </c>
      <c r="L10" s="110" t="s">
        <v>373</v>
      </c>
      <c r="M10" t="s">
        <v>352</v>
      </c>
      <c r="N10" t="s">
        <v>373</v>
      </c>
      <c r="O10" t="s">
        <v>352</v>
      </c>
      <c r="P10" s="111" t="s">
        <v>379</v>
      </c>
      <c r="Q10" t="s">
        <v>373</v>
      </c>
      <c r="R10" t="s">
        <v>373</v>
      </c>
      <c r="S10" t="s">
        <v>373</v>
      </c>
      <c r="T10" t="s">
        <v>373</v>
      </c>
      <c r="U10" t="s">
        <v>373</v>
      </c>
      <c r="V10" t="s">
        <v>373</v>
      </c>
      <c r="W10" t="s">
        <v>373</v>
      </c>
      <c r="X10" t="s">
        <v>373</v>
      </c>
      <c r="Y10" t="s">
        <v>352</v>
      </c>
      <c r="Z10" t="s">
        <v>373</v>
      </c>
      <c r="AA10" s="111" t="s">
        <v>373</v>
      </c>
    </row>
    <row r="11" spans="2:27">
      <c r="B11" s="105" t="s">
        <v>314</v>
      </c>
      <c r="E11" t="s">
        <v>291</v>
      </c>
      <c r="F11" t="s">
        <v>742</v>
      </c>
      <c r="K11" s="109" t="s">
        <v>743</v>
      </c>
      <c r="L11" s="110" t="s">
        <v>373</v>
      </c>
      <c r="M11" t="s">
        <v>352</v>
      </c>
      <c r="N11" t="s">
        <v>373</v>
      </c>
      <c r="O11" t="s">
        <v>373</v>
      </c>
      <c r="P11" s="111" t="s">
        <v>373</v>
      </c>
      <c r="Q11" t="s">
        <v>373</v>
      </c>
      <c r="R11" t="s">
        <v>373</v>
      </c>
      <c r="S11" t="s">
        <v>352</v>
      </c>
      <c r="T11" t="s">
        <v>373</v>
      </c>
      <c r="U11" t="s">
        <v>379</v>
      </c>
      <c r="V11" t="s">
        <v>373</v>
      </c>
      <c r="W11" t="s">
        <v>373</v>
      </c>
      <c r="X11" t="s">
        <v>373</v>
      </c>
      <c r="Y11" t="s">
        <v>373</v>
      </c>
      <c r="Z11" t="s">
        <v>373</v>
      </c>
      <c r="AA11" s="111" t="s">
        <v>373</v>
      </c>
    </row>
    <row r="12" spans="2:27">
      <c r="B12" s="104" t="s">
        <v>744</v>
      </c>
      <c r="E12" t="s">
        <v>291</v>
      </c>
      <c r="F12" t="s">
        <v>745</v>
      </c>
      <c r="K12" s="109" t="s">
        <v>746</v>
      </c>
      <c r="L12" s="110" t="s">
        <v>731</v>
      </c>
      <c r="M12" t="s">
        <v>731</v>
      </c>
      <c r="N12" t="s">
        <v>731</v>
      </c>
      <c r="O12" t="s">
        <v>379</v>
      </c>
      <c r="P12" s="111" t="s">
        <v>379</v>
      </c>
      <c r="Q12" t="s">
        <v>373</v>
      </c>
      <c r="R12" t="s">
        <v>352</v>
      </c>
      <c r="S12" t="s">
        <v>379</v>
      </c>
      <c r="T12" t="s">
        <v>731</v>
      </c>
      <c r="U12" t="s">
        <v>352</v>
      </c>
      <c r="V12" t="s">
        <v>731</v>
      </c>
      <c r="W12" t="s">
        <v>352</v>
      </c>
      <c r="X12" t="s">
        <v>731</v>
      </c>
      <c r="Y12" t="s">
        <v>731</v>
      </c>
      <c r="Z12" t="s">
        <v>731</v>
      </c>
      <c r="AA12" s="111" t="s">
        <v>379</v>
      </c>
    </row>
    <row r="13" spans="2:27" ht="13.9">
      <c r="B13" s="103" t="s">
        <v>318</v>
      </c>
      <c r="E13" t="s">
        <v>291</v>
      </c>
      <c r="F13" t="s">
        <v>747</v>
      </c>
      <c r="K13" s="109" t="s">
        <v>748</v>
      </c>
      <c r="L13" s="110" t="s">
        <v>352</v>
      </c>
      <c r="M13" t="s">
        <v>373</v>
      </c>
      <c r="N13" t="s">
        <v>379</v>
      </c>
      <c r="O13" t="s">
        <v>373</v>
      </c>
      <c r="P13" s="111" t="s">
        <v>373</v>
      </c>
      <c r="Q13" t="s">
        <v>373</v>
      </c>
      <c r="R13" t="s">
        <v>373</v>
      </c>
      <c r="S13" t="s">
        <v>373</v>
      </c>
      <c r="T13" t="s">
        <v>373</v>
      </c>
      <c r="U13" t="s">
        <v>379</v>
      </c>
      <c r="V13" t="s">
        <v>373</v>
      </c>
      <c r="W13" t="s">
        <v>373</v>
      </c>
      <c r="X13" t="s">
        <v>373</v>
      </c>
      <c r="Y13" t="s">
        <v>373</v>
      </c>
      <c r="Z13" t="s">
        <v>352</v>
      </c>
      <c r="AA13" s="111" t="s">
        <v>731</v>
      </c>
    </row>
    <row r="14" spans="2:27">
      <c r="B14" s="95" t="s">
        <v>749</v>
      </c>
      <c r="E14" t="s">
        <v>291</v>
      </c>
      <c r="F14" t="s">
        <v>750</v>
      </c>
      <c r="K14" s="109" t="s">
        <v>751</v>
      </c>
      <c r="L14" s="110" t="s">
        <v>731</v>
      </c>
      <c r="M14" t="s">
        <v>731</v>
      </c>
      <c r="N14" t="s">
        <v>731</v>
      </c>
      <c r="O14" t="s">
        <v>731</v>
      </c>
      <c r="P14" s="111" t="s">
        <v>379</v>
      </c>
      <c r="Q14" t="s">
        <v>379</v>
      </c>
      <c r="R14" t="s">
        <v>379</v>
      </c>
      <c r="S14" t="s">
        <v>352</v>
      </c>
      <c r="T14" t="s">
        <v>379</v>
      </c>
      <c r="U14" t="s">
        <v>373</v>
      </c>
      <c r="V14" t="s">
        <v>731</v>
      </c>
      <c r="W14" t="s">
        <v>352</v>
      </c>
      <c r="X14" t="s">
        <v>352</v>
      </c>
      <c r="Y14" t="s">
        <v>731</v>
      </c>
      <c r="Z14" t="s">
        <v>379</v>
      </c>
      <c r="AA14" s="111" t="s">
        <v>352</v>
      </c>
    </row>
    <row r="15" spans="2:27">
      <c r="B15" s="95" t="s">
        <v>752</v>
      </c>
      <c r="E15" t="s">
        <v>732</v>
      </c>
      <c r="F15" t="s">
        <v>753</v>
      </c>
      <c r="K15" s="109" t="s">
        <v>754</v>
      </c>
      <c r="L15" s="110" t="s">
        <v>373</v>
      </c>
      <c r="M15" t="s">
        <v>373</v>
      </c>
      <c r="N15" t="s">
        <v>352</v>
      </c>
      <c r="O15" t="s">
        <v>373</v>
      </c>
      <c r="P15" s="111" t="s">
        <v>373</v>
      </c>
      <c r="Q15" t="s">
        <v>352</v>
      </c>
      <c r="R15" t="s">
        <v>373</v>
      </c>
      <c r="S15" t="s">
        <v>373</v>
      </c>
      <c r="T15" t="s">
        <v>373</v>
      </c>
      <c r="U15" t="s">
        <v>379</v>
      </c>
      <c r="V15" t="s">
        <v>373</v>
      </c>
      <c r="W15" t="s">
        <v>352</v>
      </c>
      <c r="X15" t="s">
        <v>373</v>
      </c>
      <c r="Y15" t="s">
        <v>352</v>
      </c>
      <c r="Z15" t="s">
        <v>373</v>
      </c>
      <c r="AA15" s="111" t="s">
        <v>373</v>
      </c>
    </row>
    <row r="16" spans="2:27">
      <c r="B16" s="98" t="s">
        <v>755</v>
      </c>
      <c r="E16" t="s">
        <v>732</v>
      </c>
      <c r="F16" t="s">
        <v>756</v>
      </c>
      <c r="K16" s="112" t="s">
        <v>757</v>
      </c>
      <c r="L16" s="113" t="s">
        <v>731</v>
      </c>
      <c r="M16" s="114" t="s">
        <v>379</v>
      </c>
      <c r="N16" s="114" t="s">
        <v>379</v>
      </c>
      <c r="O16" s="114" t="s">
        <v>352</v>
      </c>
      <c r="P16" s="115" t="s">
        <v>379</v>
      </c>
      <c r="Q16" s="114" t="s">
        <v>373</v>
      </c>
      <c r="R16" s="114" t="s">
        <v>352</v>
      </c>
      <c r="S16" s="114" t="s">
        <v>352</v>
      </c>
      <c r="T16" s="114" t="s">
        <v>373</v>
      </c>
      <c r="U16" s="114" t="s">
        <v>352</v>
      </c>
      <c r="V16" s="114" t="s">
        <v>352</v>
      </c>
      <c r="W16" s="114" t="s">
        <v>352</v>
      </c>
      <c r="X16" s="114" t="s">
        <v>352</v>
      </c>
      <c r="Y16" s="114" t="s">
        <v>373</v>
      </c>
      <c r="Z16" s="114" t="s">
        <v>352</v>
      </c>
      <c r="AA16" s="115" t="s">
        <v>373</v>
      </c>
    </row>
    <row r="17" spans="2:22">
      <c r="B17" s="98" t="s">
        <v>758</v>
      </c>
      <c r="E17" t="s">
        <v>732</v>
      </c>
      <c r="F17" t="s">
        <v>759</v>
      </c>
    </row>
    <row r="18" spans="2:22" hidden="1">
      <c r="B18" s="95" t="s">
        <v>760</v>
      </c>
      <c r="E18" t="s">
        <v>732</v>
      </c>
      <c r="F18" t="s">
        <v>761</v>
      </c>
    </row>
    <row r="19" spans="2:22" ht="13.15" hidden="1">
      <c r="B19" s="95" t="s">
        <v>762</v>
      </c>
      <c r="E19" t="s">
        <v>732</v>
      </c>
      <c r="F19" t="s">
        <v>763</v>
      </c>
      <c r="L19" s="116" t="s">
        <v>291</v>
      </c>
      <c r="M19" s="117" t="s">
        <v>732</v>
      </c>
      <c r="N19" s="117" t="s">
        <v>735</v>
      </c>
      <c r="O19" s="117" t="s">
        <v>717</v>
      </c>
      <c r="P19" s="117" t="s">
        <v>740</v>
      </c>
      <c r="Q19" s="117" t="s">
        <v>743</v>
      </c>
      <c r="R19" s="117" t="s">
        <v>746</v>
      </c>
      <c r="S19" s="117" t="s">
        <v>748</v>
      </c>
      <c r="T19" s="117" t="s">
        <v>751</v>
      </c>
      <c r="U19" s="117" t="s">
        <v>754</v>
      </c>
      <c r="V19" s="118" t="s">
        <v>757</v>
      </c>
    </row>
    <row r="20" spans="2:22" hidden="1">
      <c r="B20" s="95" t="s">
        <v>343</v>
      </c>
      <c r="E20" t="s">
        <v>732</v>
      </c>
      <c r="F20" t="s">
        <v>764</v>
      </c>
      <c r="L20" s="110" t="s">
        <v>714</v>
      </c>
      <c r="M20" t="s">
        <v>753</v>
      </c>
      <c r="N20" t="s">
        <v>765</v>
      </c>
      <c r="O20" t="s">
        <v>766</v>
      </c>
      <c r="P20" t="s">
        <v>767</v>
      </c>
      <c r="Q20" t="s">
        <v>768</v>
      </c>
      <c r="R20" t="s">
        <v>769</v>
      </c>
      <c r="S20" t="s">
        <v>770</v>
      </c>
      <c r="T20" t="s">
        <v>771</v>
      </c>
      <c r="U20" t="s">
        <v>772</v>
      </c>
      <c r="V20" s="111" t="s">
        <v>773</v>
      </c>
    </row>
    <row r="21" spans="2:22" hidden="1">
      <c r="B21" s="95" t="s">
        <v>351</v>
      </c>
      <c r="E21" t="s">
        <v>732</v>
      </c>
      <c r="F21" t="s">
        <v>774</v>
      </c>
      <c r="L21" s="110" t="s">
        <v>729</v>
      </c>
      <c r="M21" t="s">
        <v>756</v>
      </c>
      <c r="N21" t="s">
        <v>775</v>
      </c>
      <c r="O21" t="s">
        <v>776</v>
      </c>
      <c r="P21" t="s">
        <v>777</v>
      </c>
      <c r="Q21" t="s">
        <v>778</v>
      </c>
      <c r="R21" t="s">
        <v>779</v>
      </c>
      <c r="S21" t="s">
        <v>780</v>
      </c>
      <c r="T21" t="s">
        <v>781</v>
      </c>
      <c r="U21" t="s">
        <v>782</v>
      </c>
      <c r="V21" s="111" t="s">
        <v>783</v>
      </c>
    </row>
    <row r="22" spans="2:22" hidden="1">
      <c r="B22" s="95" t="s">
        <v>355</v>
      </c>
      <c r="E22" t="s">
        <v>732</v>
      </c>
      <c r="F22" t="s">
        <v>784</v>
      </c>
      <c r="L22" s="110" t="s">
        <v>730</v>
      </c>
      <c r="M22" t="s">
        <v>759</v>
      </c>
      <c r="N22" t="s">
        <v>785</v>
      </c>
      <c r="O22" t="s">
        <v>786</v>
      </c>
      <c r="P22" t="s">
        <v>787</v>
      </c>
      <c r="Q22" t="s">
        <v>788</v>
      </c>
      <c r="R22" t="s">
        <v>789</v>
      </c>
      <c r="S22" t="s">
        <v>790</v>
      </c>
      <c r="T22" t="s">
        <v>791</v>
      </c>
      <c r="U22" t="s">
        <v>792</v>
      </c>
      <c r="V22" s="111" t="s">
        <v>793</v>
      </c>
    </row>
    <row r="23" spans="2:22" hidden="1">
      <c r="B23" s="95" t="s">
        <v>361</v>
      </c>
      <c r="E23" t="s">
        <v>732</v>
      </c>
      <c r="F23" t="s">
        <v>794</v>
      </c>
      <c r="L23" s="110" t="s">
        <v>734</v>
      </c>
      <c r="M23" t="s">
        <v>761</v>
      </c>
      <c r="N23" t="s">
        <v>795</v>
      </c>
      <c r="O23" t="s">
        <v>796</v>
      </c>
      <c r="P23" t="s">
        <v>797</v>
      </c>
      <c r="Q23" t="s">
        <v>798</v>
      </c>
      <c r="R23" t="s">
        <v>799</v>
      </c>
      <c r="S23" t="s">
        <v>800</v>
      </c>
      <c r="T23" t="s">
        <v>801</v>
      </c>
      <c r="U23" t="s">
        <v>802</v>
      </c>
      <c r="V23" s="111" t="s">
        <v>803</v>
      </c>
    </row>
    <row r="24" spans="2:22" hidden="1">
      <c r="B24" s="97" t="s">
        <v>362</v>
      </c>
      <c r="E24" t="s">
        <v>732</v>
      </c>
      <c r="F24" t="s">
        <v>804</v>
      </c>
      <c r="L24" s="110" t="s">
        <v>737</v>
      </c>
      <c r="M24" t="s">
        <v>763</v>
      </c>
      <c r="N24" t="s">
        <v>805</v>
      </c>
      <c r="O24" t="s">
        <v>806</v>
      </c>
      <c r="P24" t="s">
        <v>807</v>
      </c>
      <c r="Q24" t="s">
        <v>808</v>
      </c>
      <c r="R24" t="s">
        <v>809</v>
      </c>
      <c r="S24" t="s">
        <v>810</v>
      </c>
      <c r="T24" t="s">
        <v>811</v>
      </c>
      <c r="U24" t="s">
        <v>812</v>
      </c>
      <c r="V24" s="111" t="s">
        <v>813</v>
      </c>
    </row>
    <row r="25" spans="2:22" hidden="1">
      <c r="E25" t="s">
        <v>732</v>
      </c>
      <c r="F25" t="s">
        <v>814</v>
      </c>
      <c r="L25" s="110" t="s">
        <v>739</v>
      </c>
      <c r="M25" t="s">
        <v>764</v>
      </c>
      <c r="N25" t="s">
        <v>815</v>
      </c>
      <c r="P25" t="s">
        <v>816</v>
      </c>
      <c r="Q25" t="s">
        <v>817</v>
      </c>
      <c r="R25" t="s">
        <v>818</v>
      </c>
      <c r="S25" t="s">
        <v>819</v>
      </c>
      <c r="T25" t="s">
        <v>820</v>
      </c>
      <c r="U25" t="s">
        <v>821</v>
      </c>
      <c r="V25" s="111"/>
    </row>
    <row r="26" spans="2:22" hidden="1">
      <c r="E26" t="s">
        <v>732</v>
      </c>
      <c r="F26" t="s">
        <v>822</v>
      </c>
      <c r="L26" s="110" t="s">
        <v>742</v>
      </c>
      <c r="M26" t="s">
        <v>774</v>
      </c>
      <c r="N26" t="s">
        <v>823</v>
      </c>
      <c r="P26" t="s">
        <v>824</v>
      </c>
      <c r="Q26" t="s">
        <v>825</v>
      </c>
      <c r="R26" t="s">
        <v>826</v>
      </c>
      <c r="S26" t="s">
        <v>827</v>
      </c>
      <c r="T26" t="s">
        <v>828</v>
      </c>
      <c r="U26" t="s">
        <v>829</v>
      </c>
      <c r="V26" s="111"/>
    </row>
    <row r="27" spans="2:22" hidden="1">
      <c r="E27" t="s">
        <v>732</v>
      </c>
      <c r="F27" t="s">
        <v>830</v>
      </c>
      <c r="L27" s="110" t="s">
        <v>745</v>
      </c>
      <c r="M27" t="s">
        <v>784</v>
      </c>
      <c r="N27" t="s">
        <v>831</v>
      </c>
      <c r="P27" t="s">
        <v>832</v>
      </c>
      <c r="Q27" t="s">
        <v>833</v>
      </c>
      <c r="R27" t="s">
        <v>834</v>
      </c>
      <c r="S27" t="s">
        <v>835</v>
      </c>
      <c r="T27" t="s">
        <v>836</v>
      </c>
      <c r="U27" t="s">
        <v>837</v>
      </c>
      <c r="V27" s="111"/>
    </row>
    <row r="28" spans="2:22" hidden="1">
      <c r="E28" t="s">
        <v>732</v>
      </c>
      <c r="F28" t="s">
        <v>838</v>
      </c>
      <c r="L28" s="110" t="s">
        <v>747</v>
      </c>
      <c r="M28" t="s">
        <v>794</v>
      </c>
      <c r="N28" t="s">
        <v>839</v>
      </c>
      <c r="P28" t="s">
        <v>840</v>
      </c>
      <c r="Q28" t="s">
        <v>841</v>
      </c>
      <c r="R28" t="s">
        <v>842</v>
      </c>
      <c r="S28" t="s">
        <v>843</v>
      </c>
      <c r="T28" t="s">
        <v>844</v>
      </c>
      <c r="V28" s="111"/>
    </row>
    <row r="29" spans="2:22" hidden="1">
      <c r="E29" t="s">
        <v>732</v>
      </c>
      <c r="F29" t="s">
        <v>845</v>
      </c>
      <c r="L29" s="113" t="s">
        <v>750</v>
      </c>
      <c r="M29" s="114" t="s">
        <v>804</v>
      </c>
      <c r="N29" s="114" t="s">
        <v>846</v>
      </c>
      <c r="O29" s="114"/>
      <c r="P29" s="114" t="s">
        <v>847</v>
      </c>
      <c r="Q29" s="114" t="s">
        <v>848</v>
      </c>
      <c r="R29" s="114" t="s">
        <v>849</v>
      </c>
      <c r="S29" s="114" t="s">
        <v>850</v>
      </c>
      <c r="T29" s="114" t="s">
        <v>851</v>
      </c>
      <c r="U29" s="114"/>
      <c r="V29" s="115"/>
    </row>
    <row r="30" spans="2:22" hidden="1">
      <c r="E30" t="s">
        <v>732</v>
      </c>
      <c r="F30" t="s">
        <v>852</v>
      </c>
      <c r="M30" t="s">
        <v>814</v>
      </c>
      <c r="N30" t="s">
        <v>853</v>
      </c>
      <c r="P30" t="s">
        <v>854</v>
      </c>
      <c r="R30" t="s">
        <v>855</v>
      </c>
      <c r="S30" t="s">
        <v>856</v>
      </c>
      <c r="T30" t="s">
        <v>857</v>
      </c>
    </row>
    <row r="31" spans="2:22" hidden="1">
      <c r="E31" t="s">
        <v>732</v>
      </c>
      <c r="F31" t="s">
        <v>858</v>
      </c>
      <c r="M31" t="s">
        <v>822</v>
      </c>
      <c r="N31" t="s">
        <v>859</v>
      </c>
      <c r="P31" t="s">
        <v>860</v>
      </c>
      <c r="R31" t="s">
        <v>861</v>
      </c>
      <c r="S31" t="s">
        <v>862</v>
      </c>
    </row>
    <row r="32" spans="2:22" hidden="1">
      <c r="E32" t="s">
        <v>732</v>
      </c>
      <c r="F32" t="s">
        <v>863</v>
      </c>
      <c r="M32" t="s">
        <v>830</v>
      </c>
      <c r="P32" t="s">
        <v>864</v>
      </c>
      <c r="R32" t="s">
        <v>865</v>
      </c>
      <c r="S32" t="s">
        <v>866</v>
      </c>
    </row>
    <row r="33" spans="5:18" hidden="1">
      <c r="E33" t="s">
        <v>732</v>
      </c>
      <c r="F33" t="s">
        <v>867</v>
      </c>
      <c r="M33" t="s">
        <v>838</v>
      </c>
      <c r="R33" t="s">
        <v>868</v>
      </c>
    </row>
    <row r="34" spans="5:18" hidden="1">
      <c r="E34" t="s">
        <v>732</v>
      </c>
      <c r="F34" t="s">
        <v>869</v>
      </c>
      <c r="M34" t="s">
        <v>845</v>
      </c>
      <c r="R34" t="s">
        <v>870</v>
      </c>
    </row>
    <row r="35" spans="5:18" hidden="1">
      <c r="E35" t="s">
        <v>735</v>
      </c>
      <c r="F35" t="s">
        <v>765</v>
      </c>
      <c r="M35" t="s">
        <v>852</v>
      </c>
      <c r="R35" t="s">
        <v>871</v>
      </c>
    </row>
    <row r="36" spans="5:18" hidden="1">
      <c r="E36" t="s">
        <v>735</v>
      </c>
      <c r="F36" t="s">
        <v>775</v>
      </c>
      <c r="M36" t="s">
        <v>858</v>
      </c>
      <c r="R36" t="s">
        <v>872</v>
      </c>
    </row>
    <row r="37" spans="5:18" hidden="1">
      <c r="E37" t="s">
        <v>735</v>
      </c>
      <c r="F37" t="s">
        <v>785</v>
      </c>
      <c r="M37" t="s">
        <v>863</v>
      </c>
    </row>
    <row r="38" spans="5:18" hidden="1">
      <c r="E38" t="s">
        <v>735</v>
      </c>
      <c r="F38" t="s">
        <v>795</v>
      </c>
      <c r="M38" t="s">
        <v>867</v>
      </c>
    </row>
    <row r="39" spans="5:18" hidden="1">
      <c r="E39" t="s">
        <v>735</v>
      </c>
      <c r="F39" t="s">
        <v>805</v>
      </c>
      <c r="M39" t="s">
        <v>869</v>
      </c>
    </row>
    <row r="40" spans="5:18" hidden="1">
      <c r="E40" t="s">
        <v>735</v>
      </c>
      <c r="F40" t="s">
        <v>815</v>
      </c>
    </row>
    <row r="41" spans="5:18" hidden="1">
      <c r="E41" t="s">
        <v>735</v>
      </c>
      <c r="F41" t="s">
        <v>823</v>
      </c>
    </row>
    <row r="42" spans="5:18">
      <c r="E42" t="s">
        <v>735</v>
      </c>
      <c r="F42" t="s">
        <v>831</v>
      </c>
    </row>
    <row r="43" spans="5:18">
      <c r="E43" t="s">
        <v>735</v>
      </c>
      <c r="F43" t="s">
        <v>839</v>
      </c>
    </row>
    <row r="44" spans="5:18">
      <c r="E44" t="s">
        <v>735</v>
      </c>
      <c r="F44" t="s">
        <v>846</v>
      </c>
    </row>
    <row r="45" spans="5:18">
      <c r="E45" t="s">
        <v>735</v>
      </c>
      <c r="F45" t="s">
        <v>853</v>
      </c>
    </row>
    <row r="46" spans="5:18">
      <c r="E46" t="s">
        <v>735</v>
      </c>
      <c r="F46" t="s">
        <v>859</v>
      </c>
    </row>
    <row r="47" spans="5:18">
      <c r="E47" t="s">
        <v>717</v>
      </c>
      <c r="F47" t="s">
        <v>766</v>
      </c>
    </row>
    <row r="48" spans="5:18">
      <c r="E48" t="s">
        <v>717</v>
      </c>
      <c r="F48" t="s">
        <v>776</v>
      </c>
    </row>
    <row r="49" spans="5:6">
      <c r="E49" t="s">
        <v>717</v>
      </c>
      <c r="F49" t="s">
        <v>786</v>
      </c>
    </row>
    <row r="50" spans="5:6">
      <c r="E50" t="s">
        <v>717</v>
      </c>
      <c r="F50" t="s">
        <v>796</v>
      </c>
    </row>
    <row r="51" spans="5:6">
      <c r="E51" t="s">
        <v>717</v>
      </c>
      <c r="F51" t="s">
        <v>806</v>
      </c>
    </row>
    <row r="52" spans="5:6">
      <c r="E52" t="s">
        <v>740</v>
      </c>
      <c r="F52" t="s">
        <v>767</v>
      </c>
    </row>
    <row r="53" spans="5:6">
      <c r="E53" t="s">
        <v>740</v>
      </c>
      <c r="F53" t="s">
        <v>777</v>
      </c>
    </row>
    <row r="54" spans="5:6">
      <c r="E54" t="s">
        <v>740</v>
      </c>
      <c r="F54" t="s">
        <v>787</v>
      </c>
    </row>
    <row r="55" spans="5:6">
      <c r="E55" t="s">
        <v>740</v>
      </c>
      <c r="F55" t="s">
        <v>797</v>
      </c>
    </row>
    <row r="56" spans="5:6">
      <c r="E56" t="s">
        <v>740</v>
      </c>
      <c r="F56" t="s">
        <v>807</v>
      </c>
    </row>
    <row r="57" spans="5:6">
      <c r="E57" t="s">
        <v>740</v>
      </c>
      <c r="F57" t="s">
        <v>816</v>
      </c>
    </row>
    <row r="58" spans="5:6">
      <c r="E58" t="s">
        <v>740</v>
      </c>
      <c r="F58" t="s">
        <v>824</v>
      </c>
    </row>
    <row r="59" spans="5:6">
      <c r="E59" t="s">
        <v>740</v>
      </c>
      <c r="F59" t="s">
        <v>832</v>
      </c>
    </row>
    <row r="60" spans="5:6">
      <c r="E60" t="s">
        <v>740</v>
      </c>
      <c r="F60" t="s">
        <v>840</v>
      </c>
    </row>
    <row r="61" spans="5:6">
      <c r="E61" t="s">
        <v>740</v>
      </c>
      <c r="F61" t="s">
        <v>847</v>
      </c>
    </row>
    <row r="62" spans="5:6">
      <c r="E62" t="s">
        <v>740</v>
      </c>
      <c r="F62" t="s">
        <v>854</v>
      </c>
    </row>
    <row r="63" spans="5:6">
      <c r="E63" t="s">
        <v>740</v>
      </c>
      <c r="F63" t="s">
        <v>860</v>
      </c>
    </row>
    <row r="64" spans="5:6">
      <c r="E64" t="s">
        <v>740</v>
      </c>
      <c r="F64" t="s">
        <v>864</v>
      </c>
    </row>
    <row r="65" spans="5:6">
      <c r="E65" t="s">
        <v>743</v>
      </c>
      <c r="F65" t="s">
        <v>768</v>
      </c>
    </row>
    <row r="66" spans="5:6">
      <c r="E66" t="s">
        <v>743</v>
      </c>
      <c r="F66" t="s">
        <v>778</v>
      </c>
    </row>
    <row r="67" spans="5:6">
      <c r="E67" t="s">
        <v>743</v>
      </c>
      <c r="F67" t="s">
        <v>788</v>
      </c>
    </row>
    <row r="68" spans="5:6">
      <c r="E68" t="s">
        <v>743</v>
      </c>
      <c r="F68" t="s">
        <v>798</v>
      </c>
    </row>
    <row r="69" spans="5:6">
      <c r="E69" t="s">
        <v>743</v>
      </c>
      <c r="F69" t="s">
        <v>808</v>
      </c>
    </row>
    <row r="70" spans="5:6">
      <c r="E70" t="s">
        <v>743</v>
      </c>
      <c r="F70" t="s">
        <v>817</v>
      </c>
    </row>
    <row r="71" spans="5:6">
      <c r="E71" t="s">
        <v>743</v>
      </c>
      <c r="F71" t="s">
        <v>825</v>
      </c>
    </row>
    <row r="72" spans="5:6">
      <c r="E72" t="s">
        <v>743</v>
      </c>
      <c r="F72" t="s">
        <v>833</v>
      </c>
    </row>
    <row r="73" spans="5:6">
      <c r="E73" t="s">
        <v>743</v>
      </c>
      <c r="F73" t="s">
        <v>841</v>
      </c>
    </row>
    <row r="74" spans="5:6">
      <c r="E74" t="s">
        <v>743</v>
      </c>
      <c r="F74" t="s">
        <v>848</v>
      </c>
    </row>
    <row r="75" spans="5:6">
      <c r="E75" t="s">
        <v>746</v>
      </c>
      <c r="F75" t="s">
        <v>769</v>
      </c>
    </row>
    <row r="76" spans="5:6">
      <c r="E76" t="s">
        <v>746</v>
      </c>
      <c r="F76" t="s">
        <v>779</v>
      </c>
    </row>
    <row r="77" spans="5:6">
      <c r="E77" t="s">
        <v>746</v>
      </c>
      <c r="F77" t="s">
        <v>789</v>
      </c>
    </row>
    <row r="78" spans="5:6">
      <c r="E78" t="s">
        <v>746</v>
      </c>
      <c r="F78" t="s">
        <v>799</v>
      </c>
    </row>
    <row r="79" spans="5:6">
      <c r="E79" t="s">
        <v>746</v>
      </c>
      <c r="F79" t="s">
        <v>809</v>
      </c>
    </row>
    <row r="80" spans="5:6">
      <c r="E80" t="s">
        <v>746</v>
      </c>
      <c r="F80" t="s">
        <v>818</v>
      </c>
    </row>
    <row r="81" spans="5:6">
      <c r="E81" t="s">
        <v>746</v>
      </c>
      <c r="F81" t="s">
        <v>826</v>
      </c>
    </row>
    <row r="82" spans="5:6">
      <c r="E82" t="s">
        <v>746</v>
      </c>
      <c r="F82" t="s">
        <v>834</v>
      </c>
    </row>
    <row r="83" spans="5:6">
      <c r="E83" t="s">
        <v>746</v>
      </c>
      <c r="F83" t="s">
        <v>842</v>
      </c>
    </row>
    <row r="84" spans="5:6">
      <c r="E84" t="s">
        <v>746</v>
      </c>
      <c r="F84" t="s">
        <v>849</v>
      </c>
    </row>
    <row r="85" spans="5:6">
      <c r="E85" t="s">
        <v>746</v>
      </c>
      <c r="F85" t="s">
        <v>855</v>
      </c>
    </row>
    <row r="86" spans="5:6">
      <c r="E86" t="s">
        <v>746</v>
      </c>
      <c r="F86" t="s">
        <v>861</v>
      </c>
    </row>
    <row r="87" spans="5:6">
      <c r="E87" t="s">
        <v>746</v>
      </c>
      <c r="F87" t="s">
        <v>865</v>
      </c>
    </row>
    <row r="88" spans="5:6">
      <c r="E88" t="s">
        <v>746</v>
      </c>
      <c r="F88" t="s">
        <v>868</v>
      </c>
    </row>
    <row r="89" spans="5:6">
      <c r="E89" t="s">
        <v>746</v>
      </c>
      <c r="F89" t="s">
        <v>870</v>
      </c>
    </row>
    <row r="90" spans="5:6">
      <c r="E90" t="s">
        <v>746</v>
      </c>
      <c r="F90" t="s">
        <v>871</v>
      </c>
    </row>
    <row r="91" spans="5:6">
      <c r="E91" t="s">
        <v>746</v>
      </c>
      <c r="F91" t="s">
        <v>872</v>
      </c>
    </row>
    <row r="92" spans="5:6">
      <c r="E92" t="s">
        <v>748</v>
      </c>
      <c r="F92" t="s">
        <v>770</v>
      </c>
    </row>
    <row r="93" spans="5:6">
      <c r="E93" t="s">
        <v>748</v>
      </c>
      <c r="F93" t="s">
        <v>780</v>
      </c>
    </row>
    <row r="94" spans="5:6">
      <c r="E94" t="s">
        <v>748</v>
      </c>
      <c r="F94" t="s">
        <v>790</v>
      </c>
    </row>
    <row r="95" spans="5:6">
      <c r="E95" t="s">
        <v>748</v>
      </c>
      <c r="F95" t="s">
        <v>800</v>
      </c>
    </row>
    <row r="96" spans="5:6">
      <c r="E96" t="s">
        <v>748</v>
      </c>
      <c r="F96" t="s">
        <v>810</v>
      </c>
    </row>
    <row r="97" spans="5:6">
      <c r="E97" t="s">
        <v>748</v>
      </c>
      <c r="F97" t="s">
        <v>819</v>
      </c>
    </row>
    <row r="98" spans="5:6">
      <c r="E98" t="s">
        <v>748</v>
      </c>
      <c r="F98" t="s">
        <v>827</v>
      </c>
    </row>
    <row r="99" spans="5:6">
      <c r="E99" t="s">
        <v>748</v>
      </c>
      <c r="F99" t="s">
        <v>835</v>
      </c>
    </row>
    <row r="100" spans="5:6">
      <c r="E100" t="s">
        <v>748</v>
      </c>
      <c r="F100" t="s">
        <v>843</v>
      </c>
    </row>
    <row r="101" spans="5:6">
      <c r="E101" t="s">
        <v>748</v>
      </c>
      <c r="F101" t="s">
        <v>850</v>
      </c>
    </row>
    <row r="102" spans="5:6">
      <c r="E102" t="s">
        <v>748</v>
      </c>
      <c r="F102" t="s">
        <v>856</v>
      </c>
    </row>
    <row r="103" spans="5:6">
      <c r="E103" t="s">
        <v>748</v>
      </c>
      <c r="F103" t="s">
        <v>862</v>
      </c>
    </row>
    <row r="104" spans="5:6">
      <c r="E104" t="s">
        <v>748</v>
      </c>
      <c r="F104" t="s">
        <v>866</v>
      </c>
    </row>
    <row r="105" spans="5:6">
      <c r="E105" t="s">
        <v>751</v>
      </c>
      <c r="F105" t="s">
        <v>771</v>
      </c>
    </row>
    <row r="106" spans="5:6">
      <c r="E106" t="s">
        <v>751</v>
      </c>
      <c r="F106" t="s">
        <v>781</v>
      </c>
    </row>
    <row r="107" spans="5:6">
      <c r="E107" t="s">
        <v>751</v>
      </c>
      <c r="F107" t="s">
        <v>791</v>
      </c>
    </row>
    <row r="108" spans="5:6">
      <c r="E108" t="s">
        <v>751</v>
      </c>
      <c r="F108" t="s">
        <v>801</v>
      </c>
    </row>
    <row r="109" spans="5:6">
      <c r="E109" t="s">
        <v>751</v>
      </c>
      <c r="F109" t="s">
        <v>811</v>
      </c>
    </row>
    <row r="110" spans="5:6">
      <c r="E110" t="s">
        <v>751</v>
      </c>
      <c r="F110" t="s">
        <v>820</v>
      </c>
    </row>
    <row r="111" spans="5:6">
      <c r="E111" t="s">
        <v>751</v>
      </c>
      <c r="F111" t="s">
        <v>828</v>
      </c>
    </row>
    <row r="112" spans="5:6">
      <c r="E112" t="s">
        <v>751</v>
      </c>
      <c r="F112" t="s">
        <v>836</v>
      </c>
    </row>
    <row r="113" spans="5:6">
      <c r="E113" t="s">
        <v>751</v>
      </c>
      <c r="F113" t="s">
        <v>844</v>
      </c>
    </row>
    <row r="114" spans="5:6">
      <c r="E114" t="s">
        <v>751</v>
      </c>
      <c r="F114" t="s">
        <v>851</v>
      </c>
    </row>
    <row r="115" spans="5:6">
      <c r="E115" t="s">
        <v>751</v>
      </c>
      <c r="F115" t="s">
        <v>857</v>
      </c>
    </row>
    <row r="116" spans="5:6">
      <c r="E116" t="s">
        <v>754</v>
      </c>
      <c r="F116" t="s">
        <v>772</v>
      </c>
    </row>
    <row r="117" spans="5:6">
      <c r="E117" t="s">
        <v>754</v>
      </c>
      <c r="F117" t="s">
        <v>782</v>
      </c>
    </row>
    <row r="118" spans="5:6">
      <c r="E118" t="s">
        <v>754</v>
      </c>
      <c r="F118" t="s">
        <v>792</v>
      </c>
    </row>
    <row r="119" spans="5:6">
      <c r="E119" t="s">
        <v>754</v>
      </c>
      <c r="F119" t="s">
        <v>802</v>
      </c>
    </row>
    <row r="120" spans="5:6">
      <c r="E120" t="s">
        <v>754</v>
      </c>
      <c r="F120" t="s">
        <v>812</v>
      </c>
    </row>
    <row r="121" spans="5:6">
      <c r="E121" t="s">
        <v>754</v>
      </c>
      <c r="F121" t="s">
        <v>821</v>
      </c>
    </row>
    <row r="122" spans="5:6">
      <c r="E122" t="s">
        <v>754</v>
      </c>
      <c r="F122" t="s">
        <v>829</v>
      </c>
    </row>
    <row r="123" spans="5:6">
      <c r="E123" t="s">
        <v>754</v>
      </c>
      <c r="F123" t="s">
        <v>837</v>
      </c>
    </row>
    <row r="124" spans="5:6">
      <c r="E124" t="s">
        <v>757</v>
      </c>
      <c r="F124" t="s">
        <v>773</v>
      </c>
    </row>
    <row r="125" spans="5:6">
      <c r="E125" t="s">
        <v>757</v>
      </c>
      <c r="F125" t="s">
        <v>783</v>
      </c>
    </row>
    <row r="126" spans="5:6">
      <c r="E126" t="s">
        <v>757</v>
      </c>
      <c r="F126" t="s">
        <v>793</v>
      </c>
    </row>
    <row r="127" spans="5:6">
      <c r="E127" t="s">
        <v>757</v>
      </c>
      <c r="F127" t="s">
        <v>803</v>
      </c>
    </row>
    <row r="128" spans="5:6">
      <c r="E128" t="s">
        <v>757</v>
      </c>
      <c r="F128" t="s">
        <v>813</v>
      </c>
    </row>
  </sheetData>
  <mergeCells count="3">
    <mergeCell ref="K2:K3"/>
    <mergeCell ref="L2:P2"/>
    <mergeCell ref="Q2:A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E4E33FEE-1117-4802-A5BB-FA073D1C6E04}"/>
</file>

<file path=customXml/itemProps2.xml><?xml version="1.0" encoding="utf-8"?>
<ds:datastoreItem xmlns:ds="http://schemas.openxmlformats.org/officeDocument/2006/customXml" ds:itemID="{A4E64C6D-7717-4277-B7C3-76A66E8FC5B5}"/>
</file>

<file path=customXml/itemProps3.xml><?xml version="1.0" encoding="utf-8"?>
<ds:datastoreItem xmlns:ds="http://schemas.openxmlformats.org/officeDocument/2006/customXml" ds:itemID="{A881089C-6E2A-4FD7-A402-55E9C86C97B5}"/>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2025-01-20T17:21:00Z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