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4.xml" ContentType="application/vnd.openxmlformats-officedocument.spreadsheetml.comments+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3-24/Tech 1 (Rosario La Spina)/Advanced Micro Devices, Inc. (AMD.O)/"/>
    </mc:Choice>
  </mc:AlternateContent>
  <xr:revisionPtr revIDLastSave="18333" documentId="10_ncr:20000_{BDA66B12-A173-4126-A96B-679BC33BFC1C}" xr6:coauthVersionLast="47" xr6:coauthVersionMax="47" xr10:uidLastSave="{B9CEF238-C24E-4108-830E-AB9160251561}"/>
  <bookViews>
    <workbookView xWindow="-108" yWindow="-108" windowWidth="23256" windowHeight="12456" tabRatio="644" firstSheet="3" activeTab="3" xr2:uid="{00000000-000D-0000-FFFF-FFFF00000000}"/>
  </bookViews>
  <sheets>
    <sheet name="OP" sheetId="1" r:id="rId1"/>
    <sheet name="Segments" sheetId="3" r:id="rId2"/>
    <sheet name="Acuerdo" sheetId="11" state="hidden" r:id="rId3"/>
    <sheet name="Peers" sheetId="10" r:id="rId4"/>
    <sheet name="SARD" sheetId="23" r:id="rId5"/>
    <sheet name="ESG" sheetId="19" r:id="rId6"/>
    <sheet name="Multiples valuation" sheetId="26" r:id="rId7"/>
    <sheet name="Assumptions" sheetId="22" r:id="rId8"/>
    <sheet name="Pessimistic" sheetId="28" r:id="rId9"/>
    <sheet name="Optimistic" sheetId="24" r:id="rId10"/>
    <sheet name="Base Case" sheetId="27" r:id="rId11"/>
    <sheet name="Inputs" sheetId="17" r:id="rId12"/>
    <sheet name="Fin. Data" sheetId="16" r:id="rId13"/>
    <sheet name="Sector Impact" sheetId="18" state="hidden" r:id="rId14"/>
  </sheets>
  <externalReferences>
    <externalReference r:id="rId15"/>
  </externalReferences>
  <definedNames>
    <definedName name="_xlnm.Print_Area" localSheetId="0">OP!$A$1:$M$82</definedName>
    <definedName name="_xlnm.Print_Area" localSheetId="1">Segments!#REF!</definedName>
    <definedName name="Sectors" localSheetId="7">'[1]Sector Impact'!$K$4:$K$16</definedName>
    <definedName name="Sectors">'Sector Impact'!$K$4:$K$16</definedName>
    <definedName name="solver_eng" localSheetId="10" hidden="1">1</definedName>
    <definedName name="solver_neg" localSheetId="10" hidden="1">1</definedName>
    <definedName name="solver_num" localSheetId="10" hidden="1">0</definedName>
    <definedName name="solver_opt" localSheetId="10" hidden="1">'Base Case'!$Q$67</definedName>
    <definedName name="solver_typ" localSheetId="10" hidden="1">1</definedName>
    <definedName name="solver_val" localSheetId="10" hidden="1">0</definedName>
    <definedName name="solver_ver" localSheetId="10"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5" i="22" l="1"/>
  <c r="C436" i="22"/>
  <c r="D436" i="22"/>
  <c r="E436" i="22"/>
  <c r="F436" i="22"/>
  <c r="G436" i="22"/>
  <c r="F57" i="24"/>
  <c r="F57" i="28"/>
  <c r="T64" i="28"/>
  <c r="Q64" i="24"/>
  <c r="R64" i="24" s="1"/>
  <c r="S64" i="24" s="1"/>
  <c r="T64" i="24" s="1"/>
  <c r="U64" i="24" s="1"/>
  <c r="V64" i="24" s="1"/>
  <c r="W64" i="24" s="1"/>
  <c r="X64" i="24" s="1"/>
  <c r="Q64" i="27"/>
  <c r="R64" i="27" s="1"/>
  <c r="S64" i="27" s="1"/>
  <c r="T64" i="27" s="1"/>
  <c r="U64" i="27" s="1"/>
  <c r="V64" i="27" s="1"/>
  <c r="W64" i="27" s="1"/>
  <c r="X64" i="27" s="1"/>
  <c r="Q64" i="28"/>
  <c r="R64" i="28" s="1"/>
  <c r="S64" i="28" s="1"/>
  <c r="U64" i="28" s="1"/>
  <c r="V64" i="28" s="1"/>
  <c r="W64" i="28" s="1"/>
  <c r="X64" i="28" s="1"/>
  <c r="H39" i="24"/>
  <c r="G39" i="24"/>
  <c r="H39" i="27"/>
  <c r="G39" i="27"/>
  <c r="H39" i="28"/>
  <c r="G39" i="28"/>
  <c r="F63" i="24"/>
  <c r="E63" i="24"/>
  <c r="F63" i="27"/>
  <c r="E63" i="27"/>
  <c r="F63" i="28"/>
  <c r="F64" i="24"/>
  <c r="E64" i="24"/>
  <c r="D64" i="24"/>
  <c r="F64" i="27"/>
  <c r="E64" i="27"/>
  <c r="D64" i="27"/>
  <c r="E63" i="28"/>
  <c r="F182" i="22"/>
  <c r="E182" i="22"/>
  <c r="D182" i="22"/>
  <c r="F180" i="22"/>
  <c r="E180" i="22"/>
  <c r="G179" i="22"/>
  <c r="H179" i="22" s="1"/>
  <c r="G164" i="22"/>
  <c r="H164" i="22" s="1"/>
  <c r="I164" i="22" s="1"/>
  <c r="J164" i="22" s="1"/>
  <c r="G107" i="22"/>
  <c r="H107" i="22"/>
  <c r="I107" i="22" s="1"/>
  <c r="J107" i="22" s="1"/>
  <c r="K107" i="22" s="1"/>
  <c r="L107" i="22" s="1"/>
  <c r="M107" i="22" s="1"/>
  <c r="N107" i="22" s="1"/>
  <c r="O107" i="22" s="1"/>
  <c r="P107" i="22" s="1"/>
  <c r="Q107" i="22" s="1"/>
  <c r="R107" i="22" s="1"/>
  <c r="S107" i="22" s="1"/>
  <c r="T107" i="22" s="1"/>
  <c r="U107" i="22" s="1"/>
  <c r="V107" i="22" s="1"/>
  <c r="W107" i="22" s="1"/>
  <c r="X107" i="22" s="1"/>
  <c r="Y107" i="22" s="1"/>
  <c r="Z107" i="22" s="1"/>
  <c r="AA107" i="22" s="1"/>
  <c r="AB107" i="22" s="1"/>
  <c r="AC107" i="22" s="1"/>
  <c r="AD107" i="22" s="1"/>
  <c r="AE107" i="22" s="1"/>
  <c r="AF107" i="22" s="1"/>
  <c r="G94" i="22"/>
  <c r="H94" i="22" s="1"/>
  <c r="G228" i="22"/>
  <c r="H228" i="22" s="1"/>
  <c r="I228" i="22" s="1"/>
  <c r="J228" i="22" s="1"/>
  <c r="G232" i="22"/>
  <c r="F116" i="22"/>
  <c r="E116" i="22"/>
  <c r="D116" i="22"/>
  <c r="F114" i="22"/>
  <c r="E114" i="22"/>
  <c r="G113" i="22"/>
  <c r="G115" i="22" s="1"/>
  <c r="F188" i="22"/>
  <c r="E188" i="22"/>
  <c r="D188" i="22"/>
  <c r="F186" i="22"/>
  <c r="E186" i="22"/>
  <c r="G185" i="22"/>
  <c r="G187" i="22" s="1"/>
  <c r="V77" i="24"/>
  <c r="W77" i="24" s="1"/>
  <c r="X77" i="24" s="1"/>
  <c r="R77" i="24"/>
  <c r="S77" i="24" s="1"/>
  <c r="T77" i="24" s="1"/>
  <c r="U77" i="24" s="1"/>
  <c r="Q77" i="24"/>
  <c r="G70" i="24"/>
  <c r="F65" i="24"/>
  <c r="E65" i="24"/>
  <c r="D65" i="24"/>
  <c r="F62" i="24"/>
  <c r="E62" i="24"/>
  <c r="D62" i="24"/>
  <c r="F61" i="24"/>
  <c r="E61" i="24"/>
  <c r="D61" i="24"/>
  <c r="F60" i="24"/>
  <c r="E60" i="24"/>
  <c r="D60" i="24"/>
  <c r="F59" i="24"/>
  <c r="E59" i="24"/>
  <c r="D59" i="24"/>
  <c r="F58" i="24"/>
  <c r="E58" i="24"/>
  <c r="D58" i="24"/>
  <c r="E57" i="24"/>
  <c r="D57" i="24"/>
  <c r="F56" i="24"/>
  <c r="E56" i="24"/>
  <c r="D56" i="24"/>
  <c r="F55" i="24"/>
  <c r="E55" i="24"/>
  <c r="D55" i="24"/>
  <c r="F54" i="24"/>
  <c r="E54" i="24"/>
  <c r="D54" i="24"/>
  <c r="E35" i="24"/>
  <c r="E37" i="24" s="1"/>
  <c r="F33" i="24"/>
  <c r="E33" i="24"/>
  <c r="D33" i="24"/>
  <c r="F27" i="24"/>
  <c r="E27" i="24"/>
  <c r="D27" i="24"/>
  <c r="F22" i="24"/>
  <c r="F35" i="24" s="1"/>
  <c r="F37" i="24" s="1"/>
  <c r="E22" i="24"/>
  <c r="D22" i="24"/>
  <c r="D35" i="24" s="1"/>
  <c r="D37" i="24" s="1"/>
  <c r="F15" i="24"/>
  <c r="F17" i="24" s="1"/>
  <c r="E15" i="24"/>
  <c r="E17" i="24" s="1"/>
  <c r="D15" i="24"/>
  <c r="D17" i="24" s="1"/>
  <c r="F12" i="24"/>
  <c r="E12" i="24"/>
  <c r="D12" i="24"/>
  <c r="G9" i="24"/>
  <c r="G42" i="24" s="1"/>
  <c r="F7" i="24"/>
  <c r="E7" i="24"/>
  <c r="D7" i="24"/>
  <c r="J4" i="24"/>
  <c r="K4" i="24" s="1"/>
  <c r="L4" i="24" s="1"/>
  <c r="M4" i="24" s="1"/>
  <c r="N4" i="24" s="1"/>
  <c r="O4" i="24" s="1"/>
  <c r="P4" i="24" s="1"/>
  <c r="Q4" i="24" s="1"/>
  <c r="R4" i="24" s="1"/>
  <c r="S4" i="24" s="1"/>
  <c r="T4" i="24" s="1"/>
  <c r="U4" i="24" s="1"/>
  <c r="V4" i="24" s="1"/>
  <c r="W4" i="24" s="1"/>
  <c r="X4" i="24" s="1"/>
  <c r="Y4" i="24" s="1"/>
  <c r="Z4" i="24" s="1"/>
  <c r="AA4" i="24" s="1"/>
  <c r="AB4" i="24" s="1"/>
  <c r="AC4" i="24" s="1"/>
  <c r="AD4" i="24" s="1"/>
  <c r="AE4" i="24" s="1"/>
  <c r="AF4" i="24" s="1"/>
  <c r="H4" i="24"/>
  <c r="I4" i="24" s="1"/>
  <c r="S77" i="27"/>
  <c r="T77" i="27" s="1"/>
  <c r="U77" i="27" s="1"/>
  <c r="V77" i="27" s="1"/>
  <c r="W77" i="27" s="1"/>
  <c r="X77" i="27" s="1"/>
  <c r="R77" i="27"/>
  <c r="Q77" i="27"/>
  <c r="G70" i="27"/>
  <c r="F65" i="27"/>
  <c r="E65" i="27"/>
  <c r="D65" i="27"/>
  <c r="F62" i="27"/>
  <c r="E62" i="27"/>
  <c r="D62" i="27"/>
  <c r="F61" i="27"/>
  <c r="E61" i="27"/>
  <c r="D61" i="27"/>
  <c r="F60" i="27"/>
  <c r="E60" i="27"/>
  <c r="D60" i="27"/>
  <c r="F59" i="27"/>
  <c r="E59" i="27"/>
  <c r="D59" i="27"/>
  <c r="F58" i="27"/>
  <c r="E58" i="27"/>
  <c r="D58" i="27"/>
  <c r="E57" i="27"/>
  <c r="D57" i="27"/>
  <c r="F56" i="27"/>
  <c r="E56" i="27"/>
  <c r="D56" i="27"/>
  <c r="F55" i="27"/>
  <c r="E55" i="27"/>
  <c r="D55" i="27"/>
  <c r="F54" i="27"/>
  <c r="E54" i="27"/>
  <c r="D54" i="27"/>
  <c r="G9" i="27" s="1"/>
  <c r="G42" i="27" s="1"/>
  <c r="D35" i="27"/>
  <c r="D37" i="27" s="1"/>
  <c r="F33" i="27"/>
  <c r="E33" i="27"/>
  <c r="D33" i="27"/>
  <c r="F27" i="27"/>
  <c r="F35" i="27" s="1"/>
  <c r="F37" i="27" s="1"/>
  <c r="E27" i="27"/>
  <c r="E35" i="27" s="1"/>
  <c r="E37" i="27" s="1"/>
  <c r="D27" i="27"/>
  <c r="F22" i="27"/>
  <c r="E22" i="27"/>
  <c r="D22" i="27"/>
  <c r="F15" i="27"/>
  <c r="F17" i="27" s="1"/>
  <c r="E15" i="27"/>
  <c r="E17" i="27" s="1"/>
  <c r="D15" i="27"/>
  <c r="D17" i="27" s="1"/>
  <c r="F12" i="27"/>
  <c r="E12" i="27"/>
  <c r="D12" i="27"/>
  <c r="F7" i="27"/>
  <c r="E7" i="27"/>
  <c r="D7" i="27"/>
  <c r="H4" i="27"/>
  <c r="I4" i="27" s="1"/>
  <c r="J4" i="27" s="1"/>
  <c r="K4" i="27" s="1"/>
  <c r="L4" i="27" s="1"/>
  <c r="M4" i="27" s="1"/>
  <c r="N4" i="27" s="1"/>
  <c r="O4" i="27" s="1"/>
  <c r="P4" i="27" s="1"/>
  <c r="Q4" i="27" s="1"/>
  <c r="R4" i="27" s="1"/>
  <c r="S4" i="27" s="1"/>
  <c r="T4" i="27" s="1"/>
  <c r="U4" i="27" s="1"/>
  <c r="V4" i="27" s="1"/>
  <c r="W4" i="27" s="1"/>
  <c r="X4" i="27" s="1"/>
  <c r="Y4" i="27" s="1"/>
  <c r="Z4" i="27" s="1"/>
  <c r="AA4" i="27" s="1"/>
  <c r="AB4" i="27" s="1"/>
  <c r="AC4" i="27" s="1"/>
  <c r="AD4" i="27" s="1"/>
  <c r="AE4" i="27" s="1"/>
  <c r="AF4" i="27" s="1"/>
  <c r="G70" i="28"/>
  <c r="F12" i="28"/>
  <c r="E12" i="28"/>
  <c r="D12" i="28"/>
  <c r="F27" i="28"/>
  <c r="E27" i="28"/>
  <c r="D27" i="28"/>
  <c r="F22" i="28"/>
  <c r="F35" i="28" s="1"/>
  <c r="F37" i="28" s="1"/>
  <c r="E22" i="28"/>
  <c r="E35" i="28" s="1"/>
  <c r="E37" i="28" s="1"/>
  <c r="D22" i="28"/>
  <c r="D35" i="28" s="1"/>
  <c r="D37" i="28" s="1"/>
  <c r="F15" i="28"/>
  <c r="F17" i="28" s="1"/>
  <c r="E15" i="28"/>
  <c r="E17" i="28" s="1"/>
  <c r="D15" i="28"/>
  <c r="D17" i="28" s="1"/>
  <c r="F7" i="28"/>
  <c r="E7" i="28"/>
  <c r="D7" i="28"/>
  <c r="F64" i="28"/>
  <c r="E64" i="28"/>
  <c r="D64" i="28"/>
  <c r="F61" i="28"/>
  <c r="E61" i="28"/>
  <c r="D61" i="28"/>
  <c r="F58" i="28"/>
  <c r="E58" i="28"/>
  <c r="D58" i="28"/>
  <c r="F55" i="28"/>
  <c r="E55" i="28"/>
  <c r="F59" i="28"/>
  <c r="E59" i="28"/>
  <c r="D59" i="28"/>
  <c r="E57" i="28"/>
  <c r="D57" i="28"/>
  <c r="F56" i="28"/>
  <c r="E56" i="28"/>
  <c r="D56" i="28"/>
  <c r="D55" i="28"/>
  <c r="C330" i="22"/>
  <c r="F54" i="28"/>
  <c r="E54" i="28"/>
  <c r="D54" i="28"/>
  <c r="G9" i="28" s="1"/>
  <c r="F597" i="22"/>
  <c r="F600" i="22" s="1"/>
  <c r="E597" i="22"/>
  <c r="E600" i="22" s="1"/>
  <c r="D597" i="22"/>
  <c r="D600" i="22" s="1"/>
  <c r="C597" i="22"/>
  <c r="C600" i="22" s="1"/>
  <c r="F599" i="22"/>
  <c r="E599" i="22"/>
  <c r="D599" i="22"/>
  <c r="C599" i="22"/>
  <c r="G599" i="22" s="1"/>
  <c r="F65" i="28"/>
  <c r="E65" i="28"/>
  <c r="D65" i="28"/>
  <c r="F13" i="17"/>
  <c r="E13" i="17"/>
  <c r="D13" i="17"/>
  <c r="C13" i="17"/>
  <c r="B13" i="17"/>
  <c r="Q77" i="28"/>
  <c r="R77" i="28" s="1"/>
  <c r="S77" i="28" s="1"/>
  <c r="T77" i="28" s="1"/>
  <c r="I10" i="27" l="1"/>
  <c r="G10" i="27"/>
  <c r="G40" i="27" s="1"/>
  <c r="G600" i="22"/>
  <c r="G181" i="22"/>
  <c r="H181" i="22"/>
  <c r="I179" i="22"/>
  <c r="H113" i="22"/>
  <c r="H185" i="22"/>
  <c r="I10" i="24"/>
  <c r="G10" i="24"/>
  <c r="H10" i="24"/>
  <c r="G73" i="24"/>
  <c r="H10" i="27"/>
  <c r="G73" i="27"/>
  <c r="U77" i="28"/>
  <c r="V77" i="28" s="1"/>
  <c r="W77" i="28" s="1"/>
  <c r="X77" i="28" s="1"/>
  <c r="E61" i="22"/>
  <c r="C582" i="22"/>
  <c r="D33" i="28"/>
  <c r="E33" i="28"/>
  <c r="F33" i="28"/>
  <c r="H168" i="22"/>
  <c r="H169" i="22" s="1"/>
  <c r="F123" i="22"/>
  <c r="E123" i="22"/>
  <c r="D123" i="22"/>
  <c r="F121" i="22"/>
  <c r="E121" i="22"/>
  <c r="G120" i="22"/>
  <c r="F194" i="22"/>
  <c r="E194" i="22"/>
  <c r="D194" i="22"/>
  <c r="F192" i="22"/>
  <c r="E192" i="22"/>
  <c r="G191" i="22"/>
  <c r="F255" i="22"/>
  <c r="E255" i="22"/>
  <c r="D255" i="22"/>
  <c r="F253" i="22"/>
  <c r="E253" i="22"/>
  <c r="G252" i="22"/>
  <c r="C575" i="22"/>
  <c r="D64" i="10"/>
  <c r="D57" i="10"/>
  <c r="D49" i="10" s="1"/>
  <c r="E57" i="10"/>
  <c r="E49" i="10" s="1"/>
  <c r="F57" i="10"/>
  <c r="F49" i="10" s="1"/>
  <c r="C359" i="22"/>
  <c r="C358" i="22"/>
  <c r="C360" i="22" s="1"/>
  <c r="C357" i="22"/>
  <c r="I353" i="22"/>
  <c r="I350" i="22"/>
  <c r="I349" i="22"/>
  <c r="I348" i="22"/>
  <c r="I346" i="22"/>
  <c r="D354" i="22"/>
  <c r="E354" i="22"/>
  <c r="F354" i="22"/>
  <c r="G354" i="22"/>
  <c r="H354" i="22"/>
  <c r="C354" i="22"/>
  <c r="D347" i="22"/>
  <c r="D351" i="22" s="1"/>
  <c r="D352" i="22" s="1"/>
  <c r="E347" i="22"/>
  <c r="E351" i="22" s="1"/>
  <c r="E352" i="22" s="1"/>
  <c r="F347" i="22"/>
  <c r="F351" i="22" s="1"/>
  <c r="F352" i="22" s="1"/>
  <c r="G347" i="22"/>
  <c r="G351" i="22" s="1"/>
  <c r="G352" i="22" s="1"/>
  <c r="H347" i="22"/>
  <c r="H351" i="22" s="1"/>
  <c r="H352" i="22" s="1"/>
  <c r="C347" i="22"/>
  <c r="J10" i="26"/>
  <c r="J11" i="26"/>
  <c r="H12" i="26"/>
  <c r="F12" i="26"/>
  <c r="D12" i="26"/>
  <c r="V15" i="26"/>
  <c r="V11" i="26"/>
  <c r="W15" i="26"/>
  <c r="W11" i="26"/>
  <c r="I10" i="26"/>
  <c r="I11" i="26" s="1"/>
  <c r="H82" i="10"/>
  <c r="H83" i="10"/>
  <c r="H84" i="10"/>
  <c r="H81" i="10"/>
  <c r="H91" i="10"/>
  <c r="H92" i="10"/>
  <c r="H93" i="10"/>
  <c r="H94" i="10"/>
  <c r="H90" i="10"/>
  <c r="H113" i="10"/>
  <c r="H114" i="10"/>
  <c r="H115" i="10"/>
  <c r="H112" i="10"/>
  <c r="H101" i="10"/>
  <c r="H102" i="10"/>
  <c r="H103" i="10"/>
  <c r="H104" i="10"/>
  <c r="H105" i="10"/>
  <c r="H100" i="10"/>
  <c r="F116" i="10"/>
  <c r="F106" i="10"/>
  <c r="F95" i="10"/>
  <c r="F85" i="10"/>
  <c r="F74" i="10"/>
  <c r="F58" i="10"/>
  <c r="G44" i="10"/>
  <c r="H44" i="10"/>
  <c r="G46" i="10"/>
  <c r="F47" i="10"/>
  <c r="F22" i="10"/>
  <c r="F23" i="10"/>
  <c r="G24" i="10"/>
  <c r="F25" i="10"/>
  <c r="F26" i="10"/>
  <c r="F27" i="10"/>
  <c r="F28" i="10"/>
  <c r="F29" i="10"/>
  <c r="G30" i="10"/>
  <c r="G36" i="10"/>
  <c r="F37" i="10"/>
  <c r="G38" i="10"/>
  <c r="H38" i="10"/>
  <c r="F6" i="10"/>
  <c r="F43" i="10" s="1" a="1"/>
  <c r="F43" i="10" s="1"/>
  <c r="F9" i="10"/>
  <c r="F48" i="10" s="1"/>
  <c r="G10" i="10"/>
  <c r="F11" i="10"/>
  <c r="F12" i="10"/>
  <c r="F13" i="10"/>
  <c r="F14" i="10"/>
  <c r="F15" i="10"/>
  <c r="F16" i="10"/>
  <c r="G17" i="10"/>
  <c r="F18" i="10"/>
  <c r="F19" i="10"/>
  <c r="F20" i="10"/>
  <c r="E111" i="10"/>
  <c r="F111" i="10" s="1"/>
  <c r="H111" i="10"/>
  <c r="G112" i="10"/>
  <c r="G113" i="10"/>
  <c r="G114" i="10"/>
  <c r="G115" i="10"/>
  <c r="D116" i="10"/>
  <c r="E116" i="10"/>
  <c r="H116" i="10" s="1"/>
  <c r="G116" i="10"/>
  <c r="C583" i="22"/>
  <c r="C567" i="22"/>
  <c r="C570" i="22" s="1"/>
  <c r="C585" i="22" s="1"/>
  <c r="E106" i="10"/>
  <c r="H106" i="10" s="1"/>
  <c r="D106" i="10"/>
  <c r="G106" i="10"/>
  <c r="G105" i="10"/>
  <c r="G104" i="10"/>
  <c r="G103" i="10"/>
  <c r="G102" i="10"/>
  <c r="G101" i="10"/>
  <c r="G100" i="10"/>
  <c r="H99" i="10"/>
  <c r="E99" i="10"/>
  <c r="F99" i="10" s="1"/>
  <c r="E95" i="10"/>
  <c r="H95" i="10" s="1"/>
  <c r="D95" i="10"/>
  <c r="G95" i="10"/>
  <c r="G94" i="10"/>
  <c r="G93" i="10"/>
  <c r="G92" i="10"/>
  <c r="G91" i="10"/>
  <c r="G90" i="10"/>
  <c r="H89" i="10"/>
  <c r="E89" i="10"/>
  <c r="F89" i="10" s="1"/>
  <c r="E85" i="10"/>
  <c r="H85" i="10" s="1"/>
  <c r="D85" i="10"/>
  <c r="G85" i="10" s="1"/>
  <c r="G84" i="10"/>
  <c r="G83" i="10"/>
  <c r="G82" i="10"/>
  <c r="G81" i="10"/>
  <c r="B85" i="10"/>
  <c r="H80" i="10"/>
  <c r="E80" i="10"/>
  <c r="F80" i="10" s="1"/>
  <c r="F62" i="28"/>
  <c r="E62" i="28"/>
  <c r="D62" i="28"/>
  <c r="F60" i="28"/>
  <c r="E60" i="28"/>
  <c r="D60" i="28"/>
  <c r="I10" i="28"/>
  <c r="H10" i="28"/>
  <c r="G10" i="28"/>
  <c r="G40" i="28" s="1"/>
  <c r="H4" i="28"/>
  <c r="I4" i="28" s="1"/>
  <c r="J4" i="28" s="1"/>
  <c r="K4" i="28" s="1"/>
  <c r="L4" i="28" s="1"/>
  <c r="M4" i="28" s="1"/>
  <c r="N4" i="28" s="1"/>
  <c r="O4" i="28" s="1"/>
  <c r="P4" i="28" s="1"/>
  <c r="Q4" i="28" s="1"/>
  <c r="R4" i="28" s="1"/>
  <c r="S4" i="28" s="1"/>
  <c r="T4" i="28" s="1"/>
  <c r="U4" i="28" s="1"/>
  <c r="V4" i="28" s="1"/>
  <c r="W4" i="28" s="1"/>
  <c r="X4" i="28" s="1"/>
  <c r="Y4" i="28" s="1"/>
  <c r="Z4" i="28" s="1"/>
  <c r="AA4" i="28" s="1"/>
  <c r="AB4" i="28" s="1"/>
  <c r="AC4" i="28" s="1"/>
  <c r="AD4" i="28" s="1"/>
  <c r="AE4" i="28" s="1"/>
  <c r="AF4" i="28" s="1"/>
  <c r="H150" i="22"/>
  <c r="E85" i="22"/>
  <c r="E86" i="22" s="1"/>
  <c r="E87" i="22" s="1"/>
  <c r="G260" i="22"/>
  <c r="G261" i="22" s="1"/>
  <c r="E552" i="22"/>
  <c r="D552" i="22"/>
  <c r="C552" i="22"/>
  <c r="F552" i="22" s="1"/>
  <c r="F338" i="22"/>
  <c r="E338" i="22"/>
  <c r="C338" i="22"/>
  <c r="D338" i="22"/>
  <c r="D127" i="22"/>
  <c r="F271" i="22"/>
  <c r="F272" i="22" s="1"/>
  <c r="E271" i="22"/>
  <c r="E272" i="22" s="1"/>
  <c r="D271" i="22"/>
  <c r="D272" i="22" s="1"/>
  <c r="D330" i="22"/>
  <c r="E329" i="22"/>
  <c r="F129" i="22"/>
  <c r="F131" i="22" s="1"/>
  <c r="E129" i="22"/>
  <c r="E131" i="22" s="1"/>
  <c r="D131" i="22"/>
  <c r="E536" i="22"/>
  <c r="D536" i="22"/>
  <c r="C536" i="22"/>
  <c r="F536" i="22"/>
  <c r="F520" i="22"/>
  <c r="E520" i="22"/>
  <c r="D520" i="22"/>
  <c r="C520" i="22"/>
  <c r="F466" i="22"/>
  <c r="E466" i="22"/>
  <c r="D466" i="22"/>
  <c r="C466" i="22"/>
  <c r="F494" i="22"/>
  <c r="E494" i="22"/>
  <c r="D494" i="22"/>
  <c r="C494" i="22"/>
  <c r="G494" i="22" s="1"/>
  <c r="F492" i="22"/>
  <c r="E492" i="22"/>
  <c r="D492" i="22"/>
  <c r="C492" i="22"/>
  <c r="F490" i="22"/>
  <c r="E490" i="22"/>
  <c r="D490" i="22"/>
  <c r="C490" i="22"/>
  <c r="F480" i="22"/>
  <c r="E480" i="22"/>
  <c r="D480" i="22"/>
  <c r="C480" i="22"/>
  <c r="F478" i="22"/>
  <c r="E478" i="22"/>
  <c r="D478" i="22"/>
  <c r="C478" i="22"/>
  <c r="F476" i="22"/>
  <c r="E476" i="22"/>
  <c r="D476" i="22"/>
  <c r="C476" i="22"/>
  <c r="G476" i="22" s="1"/>
  <c r="F474" i="22"/>
  <c r="E474" i="22"/>
  <c r="D474" i="22"/>
  <c r="C474" i="22"/>
  <c r="F472" i="22"/>
  <c r="E472" i="22"/>
  <c r="D472" i="22"/>
  <c r="C472" i="22"/>
  <c r="G472" i="22" s="1"/>
  <c r="F470" i="22"/>
  <c r="E470" i="22"/>
  <c r="D470" i="22"/>
  <c r="C470" i="22"/>
  <c r="C481" i="22"/>
  <c r="F467" i="22"/>
  <c r="E467" i="22"/>
  <c r="D467" i="22"/>
  <c r="F481" i="22"/>
  <c r="E481" i="22"/>
  <c r="D481" i="22"/>
  <c r="C398" i="22"/>
  <c r="C388" i="22"/>
  <c r="E387" i="22"/>
  <c r="E397" i="22"/>
  <c r="E415" i="22"/>
  <c r="D415" i="22"/>
  <c r="C415" i="22"/>
  <c r="F323" i="22"/>
  <c r="E323" i="22"/>
  <c r="D323" i="22"/>
  <c r="C323" i="22"/>
  <c r="F322" i="22"/>
  <c r="E322" i="22"/>
  <c r="D322" i="22"/>
  <c r="C322" i="22"/>
  <c r="G322" i="22" s="1"/>
  <c r="F310" i="22"/>
  <c r="E310" i="22"/>
  <c r="D310" i="22"/>
  <c r="C310" i="22"/>
  <c r="F305" i="22"/>
  <c r="E305" i="22"/>
  <c r="D305" i="22"/>
  <c r="C305" i="22"/>
  <c r="G305" i="22" s="1"/>
  <c r="G294" i="22"/>
  <c r="F300" i="22"/>
  <c r="E300" i="22"/>
  <c r="D300" i="22"/>
  <c r="C300" i="22"/>
  <c r="F298" i="22"/>
  <c r="E298" i="22"/>
  <c r="D298" i="22"/>
  <c r="C298" i="22"/>
  <c r="F296" i="22"/>
  <c r="E296" i="22"/>
  <c r="D296" i="22"/>
  <c r="C296" i="22"/>
  <c r="G296" i="22" s="1"/>
  <c r="E288" i="22"/>
  <c r="D288" i="22"/>
  <c r="C288" i="22"/>
  <c r="C290" i="22"/>
  <c r="D290" i="22"/>
  <c r="F108" i="22"/>
  <c r="E108" i="22"/>
  <c r="E13" i="10"/>
  <c r="F261" i="22"/>
  <c r="E261" i="22"/>
  <c r="F245" i="22"/>
  <c r="E245" i="22"/>
  <c r="F127" i="22"/>
  <c r="E127" i="22"/>
  <c r="F198" i="22"/>
  <c r="E198" i="22"/>
  <c r="D198" i="22"/>
  <c r="F200" i="22"/>
  <c r="F202" i="22" s="1"/>
  <c r="E200" i="22"/>
  <c r="E202" i="22" s="1"/>
  <c r="E203" i="22" s="1"/>
  <c r="E199" i="22"/>
  <c r="D200" i="22"/>
  <c r="D202" i="22" s="1"/>
  <c r="D203" i="22" s="1"/>
  <c r="F263" i="22"/>
  <c r="E263" i="22"/>
  <c r="D263" i="22"/>
  <c r="F110" i="22"/>
  <c r="E110" i="22"/>
  <c r="D110" i="22"/>
  <c r="G244" i="22"/>
  <c r="F247" i="22"/>
  <c r="E247" i="22"/>
  <c r="D247" i="22"/>
  <c r="I94" i="22"/>
  <c r="J94" i="22" s="1"/>
  <c r="J101" i="22" s="1"/>
  <c r="G95" i="22"/>
  <c r="D96" i="22"/>
  <c r="E96" i="22"/>
  <c r="F96" i="22"/>
  <c r="F97" i="22"/>
  <c r="G99" i="22"/>
  <c r="G103" i="22" s="1"/>
  <c r="H99" i="22"/>
  <c r="I99" i="22"/>
  <c r="J99" i="22"/>
  <c r="G101" i="22"/>
  <c r="G102" i="22" s="1"/>
  <c r="H101" i="22"/>
  <c r="G165" i="22"/>
  <c r="D166" i="22"/>
  <c r="E166" i="22"/>
  <c r="F166" i="22"/>
  <c r="G169" i="22"/>
  <c r="I169" i="22"/>
  <c r="J169" i="22"/>
  <c r="G233" i="22"/>
  <c r="E45" i="22"/>
  <c r="F45" i="22"/>
  <c r="G45" i="22"/>
  <c r="F230" i="22"/>
  <c r="E230" i="22"/>
  <c r="D230" i="22"/>
  <c r="F231" i="22" s="1"/>
  <c r="D218" i="22"/>
  <c r="G218" i="22" s="1"/>
  <c r="D84" i="22"/>
  <c r="C84" i="22" s="1"/>
  <c r="F84" i="22" s="1"/>
  <c r="C153" i="22"/>
  <c r="C152" i="22"/>
  <c r="C151" i="22" s="1"/>
  <c r="C150" i="22" s="1"/>
  <c r="C149" i="22" s="1"/>
  <c r="E154" i="22"/>
  <c r="D58" i="10"/>
  <c r="D74" i="10"/>
  <c r="D63" i="10"/>
  <c r="D37" i="10"/>
  <c r="E47" i="10"/>
  <c r="D47" i="10"/>
  <c r="C37" i="10"/>
  <c r="E37" i="10"/>
  <c r="C144" i="17"/>
  <c r="D144" i="17"/>
  <c r="E144" i="17"/>
  <c r="F144" i="17"/>
  <c r="G144" i="17"/>
  <c r="H144" i="17"/>
  <c r="I144" i="17"/>
  <c r="J144" i="17"/>
  <c r="K144" i="17"/>
  <c r="L144" i="17"/>
  <c r="M144" i="17"/>
  <c r="N144" i="17"/>
  <c r="O144" i="17"/>
  <c r="P144" i="17"/>
  <c r="Q144" i="17"/>
  <c r="R144" i="17"/>
  <c r="S144" i="17"/>
  <c r="T144" i="17"/>
  <c r="U144" i="17"/>
  <c r="V144" i="17"/>
  <c r="W144" i="17"/>
  <c r="X144" i="17"/>
  <c r="C141" i="17"/>
  <c r="D141" i="17"/>
  <c r="E141" i="17"/>
  <c r="F141" i="17"/>
  <c r="G141" i="17"/>
  <c r="H141" i="17"/>
  <c r="I141" i="17"/>
  <c r="J141" i="17"/>
  <c r="K141" i="17"/>
  <c r="L141" i="17"/>
  <c r="M141" i="17"/>
  <c r="N141" i="17"/>
  <c r="O141" i="17"/>
  <c r="P141" i="17"/>
  <c r="Q141" i="17"/>
  <c r="R141" i="17"/>
  <c r="S141" i="17"/>
  <c r="T141" i="17"/>
  <c r="U141" i="17"/>
  <c r="V141" i="17"/>
  <c r="W141" i="17"/>
  <c r="X141" i="17"/>
  <c r="Y150" i="17"/>
  <c r="X150" i="17"/>
  <c r="W150" i="17"/>
  <c r="V150" i="17"/>
  <c r="U150" i="17"/>
  <c r="T150" i="17"/>
  <c r="S150" i="17"/>
  <c r="R150" i="17"/>
  <c r="Q150" i="17"/>
  <c r="P150" i="17"/>
  <c r="O150" i="17"/>
  <c r="N150" i="17"/>
  <c r="M150" i="17"/>
  <c r="L150" i="17"/>
  <c r="K150" i="17"/>
  <c r="J150" i="17"/>
  <c r="I150" i="17"/>
  <c r="H150" i="17"/>
  <c r="G150" i="17"/>
  <c r="F150" i="17"/>
  <c r="E150" i="17"/>
  <c r="D150" i="17"/>
  <c r="C150" i="17"/>
  <c r="Y149" i="17"/>
  <c r="X149" i="17"/>
  <c r="W149" i="17"/>
  <c r="V149" i="17"/>
  <c r="U149" i="17"/>
  <c r="T149" i="17"/>
  <c r="S149" i="17"/>
  <c r="R149" i="17"/>
  <c r="Q149" i="17"/>
  <c r="P149" i="17"/>
  <c r="O149" i="17"/>
  <c r="N149" i="17"/>
  <c r="M149" i="17"/>
  <c r="L149" i="17"/>
  <c r="K149" i="17"/>
  <c r="J149" i="17"/>
  <c r="I149" i="17"/>
  <c r="H149" i="17"/>
  <c r="G149" i="17"/>
  <c r="F149" i="17"/>
  <c r="E149" i="17"/>
  <c r="D149" i="17"/>
  <c r="C149" i="17"/>
  <c r="Y146" i="17"/>
  <c r="X146" i="17"/>
  <c r="W146" i="17"/>
  <c r="V146" i="17"/>
  <c r="U146" i="17"/>
  <c r="T146" i="17"/>
  <c r="S146" i="17"/>
  <c r="R146" i="17"/>
  <c r="Q146" i="17"/>
  <c r="P146" i="17"/>
  <c r="O146" i="17"/>
  <c r="N146" i="17"/>
  <c r="M146" i="17"/>
  <c r="L146" i="17"/>
  <c r="K146" i="17"/>
  <c r="J146" i="17"/>
  <c r="I146" i="17"/>
  <c r="H146" i="17"/>
  <c r="G146" i="17"/>
  <c r="F146" i="17"/>
  <c r="E146" i="17"/>
  <c r="D146" i="17"/>
  <c r="C146" i="17"/>
  <c r="X147" i="17"/>
  <c r="W147" i="17"/>
  <c r="V147" i="17"/>
  <c r="U147" i="17"/>
  <c r="T147" i="17"/>
  <c r="S147" i="17"/>
  <c r="R147" i="17"/>
  <c r="Q147" i="17"/>
  <c r="P147" i="17"/>
  <c r="O147" i="17"/>
  <c r="N147" i="17"/>
  <c r="M147" i="17"/>
  <c r="L147" i="17"/>
  <c r="K147" i="17"/>
  <c r="J147" i="17"/>
  <c r="I147" i="17"/>
  <c r="H147" i="17"/>
  <c r="G147" i="17"/>
  <c r="F147" i="17"/>
  <c r="E147" i="17"/>
  <c r="D147" i="17"/>
  <c r="C147" i="17"/>
  <c r="N134" i="17"/>
  <c r="N135" i="17" s="1"/>
  <c r="M134" i="17"/>
  <c r="L134" i="17"/>
  <c r="K134" i="17"/>
  <c r="J134" i="17"/>
  <c r="I134" i="17"/>
  <c r="H134" i="17"/>
  <c r="G134" i="17"/>
  <c r="F134" i="17"/>
  <c r="E134" i="17"/>
  <c r="D134" i="17"/>
  <c r="C134" i="17"/>
  <c r="Y140" i="17"/>
  <c r="X140" i="17"/>
  <c r="W140" i="17"/>
  <c r="V140" i="17"/>
  <c r="U140" i="17"/>
  <c r="T140" i="17"/>
  <c r="S140" i="17"/>
  <c r="R140" i="17"/>
  <c r="Q140" i="17"/>
  <c r="P140" i="17"/>
  <c r="O140" i="17"/>
  <c r="N140" i="17"/>
  <c r="M140" i="17"/>
  <c r="L140" i="17"/>
  <c r="K140" i="17"/>
  <c r="J140" i="17"/>
  <c r="I140" i="17"/>
  <c r="H140" i="17"/>
  <c r="G140" i="17"/>
  <c r="F140" i="17"/>
  <c r="E140" i="17"/>
  <c r="D140" i="17"/>
  <c r="C140" i="17"/>
  <c r="Y138" i="17"/>
  <c r="X143" i="17"/>
  <c r="W143" i="17"/>
  <c r="V143" i="17"/>
  <c r="U143" i="17"/>
  <c r="T143" i="17"/>
  <c r="S143" i="17"/>
  <c r="R143" i="17"/>
  <c r="Q143" i="17"/>
  <c r="P143" i="17"/>
  <c r="O143" i="17"/>
  <c r="N143" i="17"/>
  <c r="M143" i="17"/>
  <c r="L143" i="17"/>
  <c r="K143" i="17"/>
  <c r="J143" i="17"/>
  <c r="I143" i="17"/>
  <c r="H143" i="17"/>
  <c r="G143" i="17"/>
  <c r="F143" i="17"/>
  <c r="E143" i="17"/>
  <c r="D143" i="17"/>
  <c r="C143" i="17"/>
  <c r="X138" i="17"/>
  <c r="W138" i="17"/>
  <c r="V138" i="17"/>
  <c r="U138" i="17"/>
  <c r="T138" i="17"/>
  <c r="S138" i="17"/>
  <c r="R138" i="17"/>
  <c r="Q138" i="17"/>
  <c r="P138" i="17"/>
  <c r="O138" i="17"/>
  <c r="N138" i="17"/>
  <c r="M138" i="17"/>
  <c r="L138" i="17"/>
  <c r="K138" i="17"/>
  <c r="J138" i="17"/>
  <c r="I138" i="17"/>
  <c r="H138" i="17"/>
  <c r="G138" i="17"/>
  <c r="F138" i="17"/>
  <c r="E138" i="17"/>
  <c r="D138" i="17"/>
  <c r="C138" i="17"/>
  <c r="E74" i="10"/>
  <c r="E18" i="10" s="1"/>
  <c r="E58" i="10"/>
  <c r="F30" i="1"/>
  <c r="E14" i="3"/>
  <c r="F14" i="3"/>
  <c r="G14" i="3"/>
  <c r="G23" i="3" s="1"/>
  <c r="H14" i="3"/>
  <c r="H23" i="3" s="1"/>
  <c r="I14" i="3"/>
  <c r="I23" i="3" s="1"/>
  <c r="D14" i="3"/>
  <c r="K11" i="3"/>
  <c r="L11" i="3"/>
  <c r="M11" i="3"/>
  <c r="N11" i="3"/>
  <c r="O11" i="3"/>
  <c r="K12" i="3"/>
  <c r="L12" i="3"/>
  <c r="M12" i="3"/>
  <c r="N12" i="3"/>
  <c r="O12" i="3"/>
  <c r="K13" i="3"/>
  <c r="L13" i="3"/>
  <c r="M13" i="3"/>
  <c r="N13" i="3"/>
  <c r="O13" i="3"/>
  <c r="E2" i="17"/>
  <c r="B49" i="16"/>
  <c r="D4" i="1" a="1"/>
  <c r="D4" i="1" s="1"/>
  <c r="C27" i="17"/>
  <c r="D27" i="17"/>
  <c r="E27" i="17"/>
  <c r="F27" i="17"/>
  <c r="G27" i="17"/>
  <c r="H27" i="17"/>
  <c r="I27" i="17"/>
  <c r="J27" i="17"/>
  <c r="K27" i="17"/>
  <c r="L27" i="17"/>
  <c r="M27" i="17"/>
  <c r="B27" i="17"/>
  <c r="H9" i="17"/>
  <c r="G9" i="17"/>
  <c r="F9" i="17"/>
  <c r="H9" i="22"/>
  <c r="I9" i="22"/>
  <c r="J9" i="22"/>
  <c r="K9" i="22"/>
  <c r="L9" i="22"/>
  <c r="M9" i="22"/>
  <c r="H10" i="22"/>
  <c r="I10" i="22"/>
  <c r="J10" i="22"/>
  <c r="K10" i="22"/>
  <c r="L10" i="22"/>
  <c r="M10" i="22"/>
  <c r="D43" i="3"/>
  <c r="D16" i="10"/>
  <c r="E16" i="10"/>
  <c r="B87" i="17"/>
  <c r="I39" i="28" l="1"/>
  <c r="I39" i="24"/>
  <c r="J10" i="24" s="1"/>
  <c r="I39" i="27"/>
  <c r="H102" i="22"/>
  <c r="G310" i="22"/>
  <c r="E204" i="22"/>
  <c r="J95" i="22"/>
  <c r="J103" i="22"/>
  <c r="F167" i="22"/>
  <c r="C495" i="22"/>
  <c r="G173" i="22"/>
  <c r="D495" i="22"/>
  <c r="I101" i="22"/>
  <c r="I102" i="22" s="1"/>
  <c r="E495" i="22"/>
  <c r="F495" i="22"/>
  <c r="G474" i="22"/>
  <c r="G492" i="22"/>
  <c r="I95" i="22"/>
  <c r="I103" i="22" s="1"/>
  <c r="I104" i="22" s="1"/>
  <c r="G478" i="22"/>
  <c r="F199" i="22"/>
  <c r="G323" i="22"/>
  <c r="X53" i="24"/>
  <c r="Y53" i="27"/>
  <c r="Q53" i="28"/>
  <c r="U53" i="24"/>
  <c r="N53" i="28"/>
  <c r="U53" i="27"/>
  <c r="M53" i="28"/>
  <c r="T53" i="27"/>
  <c r="AF53" i="28"/>
  <c r="AD53" i="28"/>
  <c r="P53" i="27"/>
  <c r="AF53" i="24"/>
  <c r="M53" i="27"/>
  <c r="Y53" i="28"/>
  <c r="AD53" i="24"/>
  <c r="V53" i="28"/>
  <c r="AA53" i="24"/>
  <c r="AB53" i="27"/>
  <c r="Z53" i="24"/>
  <c r="Y53" i="24"/>
  <c r="Z53" i="27"/>
  <c r="W53" i="24"/>
  <c r="X53" i="27"/>
  <c r="P53" i="28"/>
  <c r="V53" i="27"/>
  <c r="T53" i="24"/>
  <c r="R53" i="24"/>
  <c r="S53" i="27"/>
  <c r="AE53" i="28"/>
  <c r="R53" i="27"/>
  <c r="AB53" i="28"/>
  <c r="AF53" i="27"/>
  <c r="L53" i="27"/>
  <c r="X53" i="28"/>
  <c r="W53" i="28"/>
  <c r="AD53" i="27"/>
  <c r="AC53" i="27"/>
  <c r="V53" i="24"/>
  <c r="W53" i="27"/>
  <c r="O53" i="28"/>
  <c r="S53" i="24"/>
  <c r="L53" i="28"/>
  <c r="Q53" i="27"/>
  <c r="AC53" i="28"/>
  <c r="O53" i="27"/>
  <c r="AA53" i="28"/>
  <c r="N53" i="27"/>
  <c r="Z53" i="28"/>
  <c r="AE53" i="24"/>
  <c r="AE53" i="27"/>
  <c r="AC53" i="24"/>
  <c r="AB53" i="24"/>
  <c r="U53" i="28"/>
  <c r="T53" i="28"/>
  <c r="AA53" i="27"/>
  <c r="S53" i="28"/>
  <c r="R53" i="28"/>
  <c r="G300" i="22"/>
  <c r="G470" i="22"/>
  <c r="G480" i="22"/>
  <c r="G520" i="22"/>
  <c r="I354" i="22"/>
  <c r="F415" i="22"/>
  <c r="F204" i="22"/>
  <c r="F203" i="22"/>
  <c r="I181" i="22"/>
  <c r="J179" i="22"/>
  <c r="K101" i="22"/>
  <c r="L101" i="22" s="1"/>
  <c r="J104" i="22"/>
  <c r="G104" i="22"/>
  <c r="H95" i="22"/>
  <c r="H103" i="22"/>
  <c r="H104" i="22" s="1"/>
  <c r="H115" i="22"/>
  <c r="I113" i="22"/>
  <c r="H187" i="22"/>
  <c r="I185" i="22"/>
  <c r="G40" i="24"/>
  <c r="H40" i="24" s="1"/>
  <c r="I40" i="24" s="1"/>
  <c r="J40" i="24" s="1"/>
  <c r="H40" i="27"/>
  <c r="I40" i="27" s="1"/>
  <c r="C587" i="22"/>
  <c r="F51" i="24" s="1"/>
  <c r="G122" i="22"/>
  <c r="G121" i="22"/>
  <c r="H120" i="22"/>
  <c r="G193" i="22"/>
  <c r="G192" i="22"/>
  <c r="H191" i="22"/>
  <c r="G254" i="22"/>
  <c r="H252" i="22"/>
  <c r="G37" i="10"/>
  <c r="H37" i="10"/>
  <c r="B113" i="10"/>
  <c r="B114" i="10"/>
  <c r="B115" i="10"/>
  <c r="B116" i="10"/>
  <c r="B112" i="10"/>
  <c r="O4" i="19"/>
  <c r="F51" i="10"/>
  <c r="C361" i="22"/>
  <c r="C351" i="22"/>
  <c r="C352" i="22" s="1"/>
  <c r="I347" i="22"/>
  <c r="I352" i="22"/>
  <c r="I351" i="22"/>
  <c r="G152" i="22"/>
  <c r="G153" i="22" s="1"/>
  <c r="G154" i="22" s="1"/>
  <c r="I154" i="22" s="1"/>
  <c r="J12" i="26"/>
  <c r="B101" i="10"/>
  <c r="B102" i="10"/>
  <c r="B103" i="10"/>
  <c r="B104" i="10"/>
  <c r="B105" i="10"/>
  <c r="B106" i="10"/>
  <c r="B100" i="10"/>
  <c r="B91" i="10"/>
  <c r="B92" i="10"/>
  <c r="B93" i="10"/>
  <c r="B94" i="10"/>
  <c r="B95" i="10"/>
  <c r="B90" i="10"/>
  <c r="G42" i="28"/>
  <c r="H40" i="28"/>
  <c r="G171" i="22"/>
  <c r="G198" i="22" s="1"/>
  <c r="G6" i="27" s="1"/>
  <c r="J229" i="22"/>
  <c r="G235" i="22"/>
  <c r="G236" i="22" s="1"/>
  <c r="G338" i="22"/>
  <c r="E330" i="22"/>
  <c r="F329" i="22"/>
  <c r="D132" i="22"/>
  <c r="E132" i="22"/>
  <c r="F132" i="22"/>
  <c r="D483" i="22"/>
  <c r="D482" i="22"/>
  <c r="E483" i="22"/>
  <c r="E482" i="22"/>
  <c r="F483" i="22"/>
  <c r="F482" i="22"/>
  <c r="C483" i="22"/>
  <c r="G483" i="22" s="1"/>
  <c r="C482" i="22"/>
  <c r="G490" i="22"/>
  <c r="H244" i="22"/>
  <c r="G245" i="22"/>
  <c r="G127" i="22"/>
  <c r="E128" i="22"/>
  <c r="F128" i="22"/>
  <c r="D133" i="22"/>
  <c r="E133" i="22"/>
  <c r="F133" i="22"/>
  <c r="D204" i="22"/>
  <c r="G262" i="22"/>
  <c r="H260" i="22"/>
  <c r="H261" i="22" s="1"/>
  <c r="G109" i="22"/>
  <c r="G246" i="22"/>
  <c r="G229" i="22"/>
  <c r="G237" i="22" s="1"/>
  <c r="D219" i="22"/>
  <c r="F150" i="22"/>
  <c r="E150" i="22" s="1"/>
  <c r="C136" i="17"/>
  <c r="C135" i="17"/>
  <c r="D136" i="17"/>
  <c r="D135" i="17"/>
  <c r="E136" i="17"/>
  <c r="E135" i="17"/>
  <c r="F136" i="17"/>
  <c r="F135" i="17"/>
  <c r="G136" i="17"/>
  <c r="G135" i="17"/>
  <c r="H136" i="17"/>
  <c r="H135" i="17"/>
  <c r="I136" i="17"/>
  <c r="I135" i="17"/>
  <c r="J136" i="17"/>
  <c r="J135" i="17"/>
  <c r="K136" i="17"/>
  <c r="K135" i="17"/>
  <c r="L136" i="17"/>
  <c r="L135" i="17"/>
  <c r="M136" i="17"/>
  <c r="M135" i="17"/>
  <c r="AD1" i="23"/>
  <c r="O6" i="3"/>
  <c r="O7" i="3"/>
  <c r="O8" i="3"/>
  <c r="O9" i="3"/>
  <c r="N6" i="3"/>
  <c r="N7" i="3"/>
  <c r="N8" i="3"/>
  <c r="N9" i="3"/>
  <c r="M6" i="3"/>
  <c r="M7" i="3"/>
  <c r="M8" i="3"/>
  <c r="M9" i="3"/>
  <c r="L6" i="3"/>
  <c r="L7" i="3"/>
  <c r="L8" i="3"/>
  <c r="L9" i="3"/>
  <c r="K6" i="3"/>
  <c r="K7" i="3"/>
  <c r="K8" i="3"/>
  <c r="K9" i="3"/>
  <c r="J39" i="24" l="1"/>
  <c r="K10" i="24" s="1"/>
  <c r="K40" i="24" s="1"/>
  <c r="J39" i="27"/>
  <c r="K10" i="27" s="1"/>
  <c r="J39" i="28"/>
  <c r="K10" i="28" s="1"/>
  <c r="G200" i="22"/>
  <c r="G204" i="22" s="1"/>
  <c r="D63" i="27"/>
  <c r="D63" i="24"/>
  <c r="D63" i="28"/>
  <c r="F51" i="28"/>
  <c r="J10" i="27"/>
  <c r="J40" i="27" s="1"/>
  <c r="K40" i="27" s="1"/>
  <c r="J102" i="22"/>
  <c r="J10" i="28"/>
  <c r="G495" i="22"/>
  <c r="G482" i="22"/>
  <c r="G130" i="22"/>
  <c r="G6" i="24"/>
  <c r="D220" i="22"/>
  <c r="F219" i="22"/>
  <c r="H232" i="22" s="1"/>
  <c r="H233" i="22" s="1"/>
  <c r="K103" i="22"/>
  <c r="G128" i="22"/>
  <c r="F51" i="27"/>
  <c r="AA63" i="27" s="1"/>
  <c r="J181" i="22"/>
  <c r="K179" i="22"/>
  <c r="G267" i="22"/>
  <c r="G268" i="22" s="1"/>
  <c r="G238" i="22"/>
  <c r="I115" i="22"/>
  <c r="J113" i="22"/>
  <c r="I187" i="22"/>
  <c r="J185" i="22"/>
  <c r="H122" i="22"/>
  <c r="H121" i="22"/>
  <c r="I120" i="22"/>
  <c r="H193" i="22"/>
  <c r="H192" i="22"/>
  <c r="I191" i="22"/>
  <c r="H254" i="22"/>
  <c r="I252" i="22"/>
  <c r="F41" i="10"/>
  <c r="F42" i="10"/>
  <c r="F45" i="10"/>
  <c r="F7" i="10"/>
  <c r="G7" i="10" s="1"/>
  <c r="I40" i="28"/>
  <c r="G172" i="22"/>
  <c r="G174" i="22"/>
  <c r="H165" i="22"/>
  <c r="H173" i="22" s="1"/>
  <c r="H171" i="22"/>
  <c r="G199" i="22"/>
  <c r="G201" i="22"/>
  <c r="G202" i="22" s="1"/>
  <c r="G329" i="22"/>
  <c r="F330" i="22"/>
  <c r="M101" i="22"/>
  <c r="L103" i="22"/>
  <c r="G269" i="22"/>
  <c r="I244" i="22"/>
  <c r="H245" i="22"/>
  <c r="G129" i="22"/>
  <c r="H127" i="22"/>
  <c r="H6" i="24" s="1"/>
  <c r="H262" i="22"/>
  <c r="I260" i="22"/>
  <c r="I261" i="22" s="1"/>
  <c r="H109" i="22"/>
  <c r="H246" i="22"/>
  <c r="H229" i="22"/>
  <c r="E151" i="22"/>
  <c r="H151" i="22"/>
  <c r="E6" i="10"/>
  <c r="E43" i="10" s="1" a="1"/>
  <c r="E43" i="10" s="1"/>
  <c r="D6" i="10"/>
  <c r="D43" i="10" s="1" a="1"/>
  <c r="D43" i="10" s="1"/>
  <c r="C60" i="17"/>
  <c r="D60" i="17"/>
  <c r="E60" i="17"/>
  <c r="F60" i="17"/>
  <c r="G60" i="17"/>
  <c r="H60" i="17"/>
  <c r="I60" i="17"/>
  <c r="J60" i="17"/>
  <c r="K60" i="17"/>
  <c r="L60" i="17"/>
  <c r="M60" i="17"/>
  <c r="B60" i="17"/>
  <c r="B63" i="17" s="1"/>
  <c r="F67" i="17"/>
  <c r="G67" i="17"/>
  <c r="H67" i="17"/>
  <c r="I67" i="17"/>
  <c r="J67" i="17"/>
  <c r="K67" i="17"/>
  <c r="L67" i="17"/>
  <c r="M67" i="17"/>
  <c r="E47" i="17"/>
  <c r="F47" i="17"/>
  <c r="G47" i="17"/>
  <c r="H47" i="17"/>
  <c r="I47" i="17"/>
  <c r="J47" i="17"/>
  <c r="K47" i="17"/>
  <c r="L47" i="17"/>
  <c r="M47" i="17"/>
  <c r="D47" i="17"/>
  <c r="E32" i="17"/>
  <c r="F32" i="17"/>
  <c r="G32" i="17"/>
  <c r="H32" i="17"/>
  <c r="I32" i="17"/>
  <c r="J32" i="17"/>
  <c r="K32" i="17"/>
  <c r="L32" i="17"/>
  <c r="M32" i="17"/>
  <c r="D32" i="17"/>
  <c r="F22" i="1"/>
  <c r="F23" i="1"/>
  <c r="F24" i="1"/>
  <c r="F25" i="1"/>
  <c r="AE12" i="23"/>
  <c r="K39" i="27" l="1"/>
  <c r="K39" i="24"/>
  <c r="L10" i="24" s="1"/>
  <c r="L40" i="24" s="1"/>
  <c r="K39" i="28"/>
  <c r="H237" i="22"/>
  <c r="H235" i="22"/>
  <c r="H236" i="22" s="1"/>
  <c r="J40" i="28"/>
  <c r="K40" i="28" s="1"/>
  <c r="G6" i="28"/>
  <c r="G5" i="28" s="1"/>
  <c r="G32" i="28" s="1"/>
  <c r="G273" i="22"/>
  <c r="D221" i="22"/>
  <c r="F221" i="22" s="1"/>
  <c r="J232" i="22" s="1"/>
  <c r="J233" i="22" s="1"/>
  <c r="F220" i="22"/>
  <c r="I232" i="22" s="1"/>
  <c r="I233" i="22" s="1"/>
  <c r="G270" i="22"/>
  <c r="T48" i="24"/>
  <c r="W48" i="24"/>
  <c r="AB47" i="24"/>
  <c r="AE46" i="24"/>
  <c r="I46" i="24"/>
  <c r="Q48" i="24"/>
  <c r="V47" i="24"/>
  <c r="U47" i="24"/>
  <c r="Z46" i="24"/>
  <c r="AE48" i="24"/>
  <c r="N47" i="24"/>
  <c r="S46" i="24"/>
  <c r="M47" i="24"/>
  <c r="L47" i="24"/>
  <c r="F48" i="24"/>
  <c r="K47" i="24"/>
  <c r="J47" i="24"/>
  <c r="I47" i="24"/>
  <c r="Y48" i="24"/>
  <c r="H47" i="24"/>
  <c r="K46" i="24"/>
  <c r="X48" i="24"/>
  <c r="J46" i="24"/>
  <c r="V48" i="24"/>
  <c r="Y47" i="24"/>
  <c r="AD46" i="24"/>
  <c r="H46" i="24"/>
  <c r="AA46" i="24"/>
  <c r="P48" i="24"/>
  <c r="J48" i="24"/>
  <c r="I48" i="24"/>
  <c r="H48" i="24"/>
  <c r="G48" i="24"/>
  <c r="Q46" i="24"/>
  <c r="AA48" i="24"/>
  <c r="O46" i="24"/>
  <c r="Z48" i="24"/>
  <c r="AC47" i="24"/>
  <c r="U48" i="24"/>
  <c r="X47" i="24"/>
  <c r="AC46" i="24"/>
  <c r="G46" i="24"/>
  <c r="R48" i="24"/>
  <c r="W47" i="24"/>
  <c r="AB46" i="24"/>
  <c r="F46" i="24"/>
  <c r="AD47" i="24"/>
  <c r="O48" i="24"/>
  <c r="T47" i="24"/>
  <c r="Y46" i="24"/>
  <c r="R47" i="24"/>
  <c r="W46" i="24"/>
  <c r="L48" i="24"/>
  <c r="Q47" i="24"/>
  <c r="P47" i="24"/>
  <c r="O47" i="24"/>
  <c r="AD48" i="24"/>
  <c r="R46" i="24"/>
  <c r="AC48" i="24"/>
  <c r="AB48" i="24"/>
  <c r="P46" i="24"/>
  <c r="AF47" i="24"/>
  <c r="AE47" i="24"/>
  <c r="AF46" i="24"/>
  <c r="N48" i="24"/>
  <c r="S47" i="24"/>
  <c r="X46" i="24"/>
  <c r="M48" i="24"/>
  <c r="V46" i="24"/>
  <c r="U46" i="24"/>
  <c r="AF48" i="24"/>
  <c r="T46" i="24"/>
  <c r="K48" i="24"/>
  <c r="L46" i="24"/>
  <c r="M46" i="24"/>
  <c r="F47" i="24"/>
  <c r="Z47" i="24"/>
  <c r="S48" i="24"/>
  <c r="N46" i="24"/>
  <c r="G47" i="24"/>
  <c r="AA47" i="24"/>
  <c r="S48" i="27"/>
  <c r="Z47" i="27"/>
  <c r="F47" i="27"/>
  <c r="M46" i="27"/>
  <c r="O48" i="27"/>
  <c r="AC46" i="27"/>
  <c r="I46" i="27"/>
  <c r="U47" i="27"/>
  <c r="H48" i="27"/>
  <c r="O47" i="27"/>
  <c r="V46" i="27"/>
  <c r="AA48" i="27"/>
  <c r="F48" i="27"/>
  <c r="X48" i="27"/>
  <c r="V48" i="27"/>
  <c r="U48" i="27"/>
  <c r="G47" i="27"/>
  <c r="R48" i="27"/>
  <c r="Y47" i="27"/>
  <c r="AF46" i="27"/>
  <c r="L46" i="27"/>
  <c r="V47" i="27"/>
  <c r="AB46" i="27"/>
  <c r="G48" i="27"/>
  <c r="Y48" i="27"/>
  <c r="K47" i="27"/>
  <c r="W48" i="27"/>
  <c r="Q46" i="27"/>
  <c r="P46" i="27"/>
  <c r="O46" i="27"/>
  <c r="AA47" i="27"/>
  <c r="Q48" i="27"/>
  <c r="X47" i="27"/>
  <c r="AE46" i="27"/>
  <c r="K46" i="27"/>
  <c r="T46" i="27"/>
  <c r="P48" i="27"/>
  <c r="W47" i="27"/>
  <c r="AD46" i="27"/>
  <c r="J46" i="27"/>
  <c r="N48" i="27"/>
  <c r="M47" i="27"/>
  <c r="H46" i="27"/>
  <c r="AD47" i="27"/>
  <c r="AC47" i="27"/>
  <c r="AB47" i="27"/>
  <c r="M48" i="27"/>
  <c r="T47" i="27"/>
  <c r="AA46" i="27"/>
  <c r="G46" i="27"/>
  <c r="AE48" i="27"/>
  <c r="K48" i="27"/>
  <c r="R47" i="27"/>
  <c r="Y46" i="27"/>
  <c r="AD48" i="27"/>
  <c r="Q47" i="27"/>
  <c r="X46" i="27"/>
  <c r="AC48" i="27"/>
  <c r="AB48" i="27"/>
  <c r="N47" i="27"/>
  <c r="U46" i="27"/>
  <c r="Z48" i="27"/>
  <c r="AF47" i="27"/>
  <c r="L47" i="27"/>
  <c r="S46" i="27"/>
  <c r="AE47" i="27"/>
  <c r="R46" i="27"/>
  <c r="J47" i="27"/>
  <c r="H47" i="27"/>
  <c r="T48" i="27"/>
  <c r="AF48" i="27"/>
  <c r="L48" i="27"/>
  <c r="S47" i="27"/>
  <c r="Z46" i="27"/>
  <c r="F46" i="27"/>
  <c r="J48" i="27"/>
  <c r="I48" i="27"/>
  <c r="P47" i="27"/>
  <c r="W46" i="27"/>
  <c r="I47" i="27"/>
  <c r="N46" i="27"/>
  <c r="T48" i="28"/>
  <c r="AA47" i="28"/>
  <c r="G47" i="28"/>
  <c r="N46" i="28"/>
  <c r="S48" i="28"/>
  <c r="Z47" i="28"/>
  <c r="F47" i="28"/>
  <c r="M46" i="28"/>
  <c r="R48" i="28"/>
  <c r="Y47" i="28"/>
  <c r="AF46" i="28"/>
  <c r="L46" i="28"/>
  <c r="AD48" i="28"/>
  <c r="J48" i="28"/>
  <c r="Q47" i="28"/>
  <c r="X46" i="28"/>
  <c r="AC48" i="28"/>
  <c r="I48" i="28"/>
  <c r="P47" i="28"/>
  <c r="W46" i="28"/>
  <c r="AB48" i="28"/>
  <c r="H48" i="28"/>
  <c r="O47" i="28"/>
  <c r="V46" i="28"/>
  <c r="AA48" i="28"/>
  <c r="G48" i="28"/>
  <c r="N47" i="28"/>
  <c r="U46" i="28"/>
  <c r="Z48" i="28"/>
  <c r="M47" i="28"/>
  <c r="T46" i="28"/>
  <c r="Y48" i="28"/>
  <c r="AF47" i="28"/>
  <c r="L47" i="28"/>
  <c r="S46" i="28"/>
  <c r="X48" i="28"/>
  <c r="AE47" i="28"/>
  <c r="K47" i="28"/>
  <c r="R46" i="28"/>
  <c r="W48" i="28"/>
  <c r="AD47" i="28"/>
  <c r="J47" i="28"/>
  <c r="Q46" i="28"/>
  <c r="V48" i="28"/>
  <c r="AC47" i="28"/>
  <c r="I47" i="28"/>
  <c r="P46" i="28"/>
  <c r="U48" i="28"/>
  <c r="AB47" i="28"/>
  <c r="H47" i="28"/>
  <c r="O46" i="28"/>
  <c r="Q48" i="28"/>
  <c r="X47" i="28"/>
  <c r="AE46" i="28"/>
  <c r="K46" i="28"/>
  <c r="AF48" i="28"/>
  <c r="AE48" i="28"/>
  <c r="P48" i="28"/>
  <c r="W47" i="28"/>
  <c r="AD46" i="28"/>
  <c r="J46" i="28"/>
  <c r="S47" i="28"/>
  <c r="K48" i="28"/>
  <c r="O48" i="28"/>
  <c r="V47" i="28"/>
  <c r="AC46" i="28"/>
  <c r="I46" i="28"/>
  <c r="L48" i="28"/>
  <c r="F46" i="28"/>
  <c r="Y46" i="28"/>
  <c r="N48" i="28"/>
  <c r="U47" i="28"/>
  <c r="AB46" i="28"/>
  <c r="H46" i="28"/>
  <c r="Z46" i="28"/>
  <c r="R47" i="28"/>
  <c r="F48" i="28"/>
  <c r="M48" i="28"/>
  <c r="T47" i="28"/>
  <c r="AA46" i="28"/>
  <c r="G46" i="28"/>
  <c r="G203" i="22"/>
  <c r="G8" i="27"/>
  <c r="K181" i="22"/>
  <c r="L179" i="22"/>
  <c r="H200" i="22"/>
  <c r="J115" i="22"/>
  <c r="K113" i="22"/>
  <c r="J187" i="22"/>
  <c r="K185" i="22"/>
  <c r="G21" i="24"/>
  <c r="G23" i="24"/>
  <c r="G24" i="24"/>
  <c r="G5" i="24"/>
  <c r="G11" i="24"/>
  <c r="G20" i="24" s="1"/>
  <c r="G11" i="27"/>
  <c r="G20" i="27" s="1"/>
  <c r="G23" i="27"/>
  <c r="G21" i="27"/>
  <c r="G24" i="27"/>
  <c r="G5" i="27"/>
  <c r="I122" i="22"/>
  <c r="I121" i="22"/>
  <c r="J120" i="22"/>
  <c r="I193" i="22"/>
  <c r="I192" i="22"/>
  <c r="J191" i="22"/>
  <c r="I254" i="22"/>
  <c r="J252" i="22"/>
  <c r="F31" i="10"/>
  <c r="F32" i="10"/>
  <c r="F33" i="10"/>
  <c r="F34" i="10"/>
  <c r="F35" i="10"/>
  <c r="N4" i="19"/>
  <c r="D42" i="10"/>
  <c r="D41" i="10"/>
  <c r="D8" i="10"/>
  <c r="H172" i="22"/>
  <c r="H198" i="22"/>
  <c r="H6" i="27" s="1"/>
  <c r="H174" i="22"/>
  <c r="I165" i="22"/>
  <c r="I173" i="22" s="1"/>
  <c r="I171" i="22"/>
  <c r="G271" i="22"/>
  <c r="H128" i="22"/>
  <c r="H130" i="22"/>
  <c r="H329" i="22"/>
  <c r="H330" i="22" s="1"/>
  <c r="G330" i="22"/>
  <c r="G133" i="22"/>
  <c r="G131" i="22"/>
  <c r="N101" i="22"/>
  <c r="M103" i="22"/>
  <c r="J109" i="22"/>
  <c r="H269" i="22"/>
  <c r="J244" i="22"/>
  <c r="J246" i="22" s="1"/>
  <c r="I245" i="22"/>
  <c r="H129" i="22"/>
  <c r="I127" i="22"/>
  <c r="I6" i="24" s="1"/>
  <c r="I262" i="22"/>
  <c r="J260" i="22"/>
  <c r="I109" i="22"/>
  <c r="I246" i="22"/>
  <c r="I229" i="22"/>
  <c r="E152" i="22"/>
  <c r="H152" i="22"/>
  <c r="G87" i="22"/>
  <c r="F87" i="22"/>
  <c r="AE3" i="23" a="1"/>
  <c r="AE3" i="23" s="1"/>
  <c r="AG3" i="23" s="1"/>
  <c r="AK9" i="23"/>
  <c r="AL9" i="23"/>
  <c r="AM9" i="23"/>
  <c r="AN9" i="23"/>
  <c r="AJ9" i="23"/>
  <c r="V5" i="23"/>
  <c r="V4" i="23"/>
  <c r="B75" i="17"/>
  <c r="B67" i="17"/>
  <c r="B56" i="17"/>
  <c r="B47" i="17"/>
  <c r="B50" i="17" s="1"/>
  <c r="B46" i="17"/>
  <c r="B32" i="17"/>
  <c r="B36" i="17" s="1"/>
  <c r="B37" i="17"/>
  <c r="B23" i="17"/>
  <c r="K3" i="23"/>
  <c r="N12" i="23"/>
  <c r="Z12" i="23" s="1"/>
  <c r="Y12" i="23" s="1"/>
  <c r="N13" i="23"/>
  <c r="Z13" i="23" s="1"/>
  <c r="Y13" i="23" s="1"/>
  <c r="N14" i="23"/>
  <c r="Z14" i="23" s="1"/>
  <c r="Y14" i="23" s="1"/>
  <c r="N15" i="23"/>
  <c r="Z15" i="23" s="1"/>
  <c r="Y15" i="23" s="1"/>
  <c r="N16" i="23"/>
  <c r="Z16" i="23" s="1"/>
  <c r="Y16" i="23" s="1"/>
  <c r="N17" i="23"/>
  <c r="Z17" i="23" s="1"/>
  <c r="Y17" i="23" s="1"/>
  <c r="N18" i="23"/>
  <c r="Z18" i="23" s="1"/>
  <c r="Y18" i="23" s="1"/>
  <c r="N19" i="23"/>
  <c r="Z19" i="23" s="1"/>
  <c r="Y19" i="23" s="1"/>
  <c r="N20" i="23"/>
  <c r="Z20" i="23" s="1"/>
  <c r="Y20" i="23" s="1"/>
  <c r="N21" i="23"/>
  <c r="Z21" i="23" s="1"/>
  <c r="Y21" i="23" s="1"/>
  <c r="N22" i="23"/>
  <c r="Z22" i="23" s="1"/>
  <c r="Y22" i="23" s="1"/>
  <c r="N23" i="23"/>
  <c r="Z23" i="23" s="1"/>
  <c r="Y23" i="23" s="1"/>
  <c r="N24" i="23"/>
  <c r="Z24" i="23" s="1"/>
  <c r="Y24" i="23" s="1"/>
  <c r="N25" i="23"/>
  <c r="Z25" i="23" s="1"/>
  <c r="Y25" i="23" s="1"/>
  <c r="N26" i="23"/>
  <c r="Z26" i="23" s="1"/>
  <c r="Y26" i="23" s="1"/>
  <c r="N27" i="23"/>
  <c r="Z27" i="23" s="1"/>
  <c r="Y27" i="23" s="1"/>
  <c r="N28" i="23"/>
  <c r="Z28" i="23" s="1"/>
  <c r="Y28" i="23" s="1"/>
  <c r="N29" i="23"/>
  <c r="Z29" i="23" s="1"/>
  <c r="Y29" i="23" s="1"/>
  <c r="N30" i="23"/>
  <c r="Z30" i="23" s="1"/>
  <c r="Y30" i="23" s="1"/>
  <c r="N31" i="23"/>
  <c r="Z31" i="23" s="1"/>
  <c r="Y31" i="23" s="1"/>
  <c r="N32" i="23"/>
  <c r="Z32" i="23" s="1"/>
  <c r="Y32" i="23" s="1"/>
  <c r="N33" i="23"/>
  <c r="Z33" i="23" s="1"/>
  <c r="Y33" i="23" s="1"/>
  <c r="N34" i="23"/>
  <c r="Z34" i="23" s="1"/>
  <c r="Y34" i="23" s="1"/>
  <c r="N35" i="23"/>
  <c r="Z35" i="23" s="1"/>
  <c r="Y35" i="23" s="1"/>
  <c r="N36" i="23"/>
  <c r="Z36" i="23" s="1"/>
  <c r="Y36" i="23" s="1"/>
  <c r="N37" i="23"/>
  <c r="Z37" i="23" s="1"/>
  <c r="Y37" i="23" s="1"/>
  <c r="N38" i="23"/>
  <c r="Z38" i="23" s="1"/>
  <c r="Y38" i="23" s="1"/>
  <c r="N39" i="23"/>
  <c r="Z39" i="23" s="1"/>
  <c r="Y39" i="23" s="1"/>
  <c r="N40" i="23"/>
  <c r="Z40" i="23" s="1"/>
  <c r="Y40" i="23" s="1"/>
  <c r="N41" i="23"/>
  <c r="Z41" i="23" s="1"/>
  <c r="Y41" i="23" s="1"/>
  <c r="N42" i="23"/>
  <c r="Z42" i="23" s="1"/>
  <c r="Y42" i="23" s="1"/>
  <c r="N43" i="23"/>
  <c r="Z43" i="23" s="1"/>
  <c r="Y43" i="23" s="1"/>
  <c r="N44" i="23"/>
  <c r="Z44" i="23" s="1"/>
  <c r="Y44" i="23" s="1"/>
  <c r="N45" i="23"/>
  <c r="Z45" i="23" s="1"/>
  <c r="Y45" i="23" s="1"/>
  <c r="N46" i="23"/>
  <c r="Z46" i="23" s="1"/>
  <c r="Y46" i="23" s="1"/>
  <c r="N47" i="23"/>
  <c r="Z47" i="23" s="1"/>
  <c r="Y47" i="23" s="1"/>
  <c r="N48" i="23"/>
  <c r="Z48" i="23" s="1"/>
  <c r="Y48" i="23" s="1"/>
  <c r="N49" i="23"/>
  <c r="Z49" i="23" s="1"/>
  <c r="Y49" i="23" s="1"/>
  <c r="N50" i="23"/>
  <c r="Z50" i="23" s="1"/>
  <c r="Y50" i="23" s="1"/>
  <c r="N51" i="23"/>
  <c r="Z51" i="23" s="1"/>
  <c r="Y51" i="23" s="1"/>
  <c r="N52" i="23"/>
  <c r="Z52" i="23" s="1"/>
  <c r="Y52" i="23" s="1"/>
  <c r="N53" i="23"/>
  <c r="Z53" i="23" s="1"/>
  <c r="Y53" i="23" s="1"/>
  <c r="N54" i="23"/>
  <c r="Z54" i="23" s="1"/>
  <c r="Y54" i="23" s="1"/>
  <c r="N55" i="23"/>
  <c r="Z55" i="23" s="1"/>
  <c r="Y55" i="23" s="1"/>
  <c r="N56" i="23"/>
  <c r="Z56" i="23" s="1"/>
  <c r="Y56" i="23" s="1"/>
  <c r="N57" i="23"/>
  <c r="Z57" i="23" s="1"/>
  <c r="Y57" i="23" s="1"/>
  <c r="N58" i="23"/>
  <c r="Z58" i="23" s="1"/>
  <c r="Y58" i="23" s="1"/>
  <c r="N59" i="23"/>
  <c r="Z59" i="23" s="1"/>
  <c r="Y59" i="23" s="1"/>
  <c r="N60" i="23"/>
  <c r="Z60" i="23" s="1"/>
  <c r="Y60" i="23" s="1"/>
  <c r="N61" i="23"/>
  <c r="Z61" i="23" s="1"/>
  <c r="Y61" i="23" s="1"/>
  <c r="N62" i="23"/>
  <c r="Z62" i="23" s="1"/>
  <c r="Y62" i="23" s="1"/>
  <c r="N63" i="23"/>
  <c r="Z63" i="23" s="1"/>
  <c r="Y63" i="23" s="1"/>
  <c r="N64" i="23"/>
  <c r="Z64" i="23" s="1"/>
  <c r="Y64" i="23" s="1"/>
  <c r="N65" i="23"/>
  <c r="Z65" i="23" s="1"/>
  <c r="Y65" i="23" s="1"/>
  <c r="N66" i="23"/>
  <c r="Z66" i="23" s="1"/>
  <c r="Y66" i="23" s="1"/>
  <c r="N67" i="23"/>
  <c r="Z67" i="23" s="1"/>
  <c r="Y67" i="23" s="1"/>
  <c r="N68" i="23"/>
  <c r="Z68" i="23" s="1"/>
  <c r="Y68" i="23" s="1"/>
  <c r="N69" i="23"/>
  <c r="Z69" i="23" s="1"/>
  <c r="Y69" i="23" s="1"/>
  <c r="N70" i="23"/>
  <c r="Z70" i="23" s="1"/>
  <c r="Y70" i="23" s="1"/>
  <c r="N71" i="23"/>
  <c r="Z71" i="23" s="1"/>
  <c r="Y71" i="23" s="1"/>
  <c r="N72" i="23"/>
  <c r="Z72" i="23" s="1"/>
  <c r="Y72" i="23" s="1"/>
  <c r="N73" i="23"/>
  <c r="Z73" i="23" s="1"/>
  <c r="Y73" i="23" s="1"/>
  <c r="N74" i="23"/>
  <c r="Z74" i="23" s="1"/>
  <c r="Y74" i="23" s="1"/>
  <c r="N75" i="23"/>
  <c r="Z75" i="23" s="1"/>
  <c r="Y75" i="23" s="1"/>
  <c r="N76" i="23"/>
  <c r="Z76" i="23" s="1"/>
  <c r="Y76" i="23" s="1"/>
  <c r="N77" i="23"/>
  <c r="Z77" i="23" s="1"/>
  <c r="Y77" i="23" s="1"/>
  <c r="N78" i="23"/>
  <c r="Z78" i="23" s="1"/>
  <c r="Y78" i="23" s="1"/>
  <c r="N79" i="23"/>
  <c r="Z79" i="23" s="1"/>
  <c r="Y79" i="23" s="1"/>
  <c r="N80" i="23"/>
  <c r="Z80" i="23" s="1"/>
  <c r="Y80" i="23" s="1"/>
  <c r="N81" i="23"/>
  <c r="Z81" i="23" s="1"/>
  <c r="Y81" i="23" s="1"/>
  <c r="N82" i="23"/>
  <c r="Z82" i="23" s="1"/>
  <c r="Y82" i="23" s="1"/>
  <c r="N83" i="23"/>
  <c r="Z83" i="23" s="1"/>
  <c r="Y83" i="23" s="1"/>
  <c r="N84" i="23"/>
  <c r="Z84" i="23" s="1"/>
  <c r="Y84" i="23" s="1"/>
  <c r="N85" i="23"/>
  <c r="Z85" i="23" s="1"/>
  <c r="Y85" i="23" s="1"/>
  <c r="N86" i="23"/>
  <c r="Z86" i="23" s="1"/>
  <c r="Y86" i="23" s="1"/>
  <c r="N87" i="23"/>
  <c r="Z87" i="23" s="1"/>
  <c r="Y87" i="23" s="1"/>
  <c r="N88" i="23"/>
  <c r="Z88" i="23" s="1"/>
  <c r="Y88" i="23" s="1"/>
  <c r="N89" i="23"/>
  <c r="Z89" i="23" s="1"/>
  <c r="Y89" i="23" s="1"/>
  <c r="N90" i="23"/>
  <c r="Z90" i="23" s="1"/>
  <c r="Y90" i="23" s="1"/>
  <c r="N91" i="23"/>
  <c r="Z91" i="23" s="1"/>
  <c r="Y91" i="23" s="1"/>
  <c r="N92" i="23"/>
  <c r="Z92" i="23" s="1"/>
  <c r="Y92" i="23" s="1"/>
  <c r="N93" i="23"/>
  <c r="Z93" i="23" s="1"/>
  <c r="Y93" i="23" s="1"/>
  <c r="N94" i="23"/>
  <c r="Z94" i="23" s="1"/>
  <c r="Y94" i="23" s="1"/>
  <c r="N95" i="23"/>
  <c r="Z95" i="23" s="1"/>
  <c r="Y95" i="23" s="1"/>
  <c r="N96" i="23"/>
  <c r="Z96" i="23" s="1"/>
  <c r="Y96" i="23" s="1"/>
  <c r="N97" i="23"/>
  <c r="Z97" i="23" s="1"/>
  <c r="Y97" i="23" s="1"/>
  <c r="N98" i="23"/>
  <c r="Z98" i="23" s="1"/>
  <c r="Y98" i="23" s="1"/>
  <c r="N99" i="23"/>
  <c r="Z99" i="23" s="1"/>
  <c r="Y99" i="23" s="1"/>
  <c r="N100" i="23"/>
  <c r="Z100" i="23" s="1"/>
  <c r="Y100" i="23" s="1"/>
  <c r="N5" i="23"/>
  <c r="Z5" i="23" s="1"/>
  <c r="Y5" i="23" s="1"/>
  <c r="N6" i="23"/>
  <c r="Z6" i="23" s="1"/>
  <c r="Y6" i="23" s="1"/>
  <c r="N7" i="23"/>
  <c r="Z7" i="23" s="1"/>
  <c r="Y7" i="23" s="1"/>
  <c r="N8" i="23"/>
  <c r="Z8" i="23" s="1"/>
  <c r="Y8" i="23" s="1"/>
  <c r="N9" i="23"/>
  <c r="Z9" i="23" s="1"/>
  <c r="Y9" i="23" s="1"/>
  <c r="N10" i="23"/>
  <c r="Z10" i="23" s="1"/>
  <c r="Y10" i="23" s="1"/>
  <c r="N11" i="23"/>
  <c r="Z11" i="23" s="1"/>
  <c r="Y11" i="23" s="1"/>
  <c r="N4" i="23"/>
  <c r="Z4" i="23" s="1"/>
  <c r="Y4" i="23" s="1"/>
  <c r="N3" i="23"/>
  <c r="H238" i="22" l="1"/>
  <c r="G11" i="28"/>
  <c r="G20" i="28" s="1"/>
  <c r="G21" i="28"/>
  <c r="G24" i="28"/>
  <c r="G23" i="28"/>
  <c r="I329" i="22"/>
  <c r="L39" i="24"/>
  <c r="M10" i="24" s="1"/>
  <c r="M40" i="24" s="1"/>
  <c r="L39" i="27"/>
  <c r="M10" i="27" s="1"/>
  <c r="L39" i="28"/>
  <c r="M10" i="28" s="1"/>
  <c r="I200" i="22"/>
  <c r="L10" i="28"/>
  <c r="L40" i="28" s="1"/>
  <c r="J235" i="22"/>
  <c r="K235" i="22" s="1"/>
  <c r="K237" i="22" s="1"/>
  <c r="L10" i="27"/>
  <c r="L40" i="27" s="1"/>
  <c r="H267" i="22"/>
  <c r="H273" i="22" s="1"/>
  <c r="I237" i="22"/>
  <c r="I235" i="22"/>
  <c r="I236" i="22" s="1"/>
  <c r="G132" i="22"/>
  <c r="G8" i="24"/>
  <c r="L181" i="22"/>
  <c r="M179" i="22"/>
  <c r="K115" i="22"/>
  <c r="L113" i="22"/>
  <c r="K187" i="22"/>
  <c r="L185" i="22"/>
  <c r="G32" i="24"/>
  <c r="G14" i="24"/>
  <c r="G272" i="22"/>
  <c r="G8" i="28"/>
  <c r="G41" i="28"/>
  <c r="G27" i="28"/>
  <c r="G27" i="24"/>
  <c r="G41" i="24"/>
  <c r="G32" i="27"/>
  <c r="G14" i="27"/>
  <c r="G41" i="27"/>
  <c r="G27" i="27"/>
  <c r="J122" i="22"/>
  <c r="J121" i="22"/>
  <c r="K120" i="22"/>
  <c r="J193" i="22"/>
  <c r="J192" i="22"/>
  <c r="K191" i="22"/>
  <c r="J254" i="22"/>
  <c r="K252" i="22"/>
  <c r="E42" i="10"/>
  <c r="E41" i="10"/>
  <c r="E8" i="10"/>
  <c r="E35" i="10" s="1"/>
  <c r="D31" i="10"/>
  <c r="D33" i="10"/>
  <c r="I172" i="22"/>
  <c r="I198" i="22"/>
  <c r="I6" i="27" s="1"/>
  <c r="I174" i="22"/>
  <c r="J165" i="22"/>
  <c r="J173" i="22" s="1"/>
  <c r="J171" i="22"/>
  <c r="H199" i="22"/>
  <c r="H201" i="22"/>
  <c r="H202" i="22" s="1"/>
  <c r="H204" i="22"/>
  <c r="I128" i="22"/>
  <c r="I130" i="22"/>
  <c r="J329" i="22"/>
  <c r="I330" i="22"/>
  <c r="H133" i="22"/>
  <c r="H131" i="22"/>
  <c r="J261" i="22"/>
  <c r="K260" i="22"/>
  <c r="J245" i="22"/>
  <c r="K244" i="22"/>
  <c r="K127" i="22"/>
  <c r="O101" i="22"/>
  <c r="N103" i="22"/>
  <c r="I269" i="22"/>
  <c r="J262" i="22"/>
  <c r="J129" i="22"/>
  <c r="I129" i="22"/>
  <c r="J127" i="22"/>
  <c r="J6" i="24" s="1"/>
  <c r="J237" i="22"/>
  <c r="E153" i="22"/>
  <c r="H154" i="22" s="1"/>
  <c r="H153" i="22"/>
  <c r="D34" i="10"/>
  <c r="D35" i="10"/>
  <c r="K4"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5" i="23"/>
  <c r="K6" i="23"/>
  <c r="K7" i="23"/>
  <c r="K8" i="23"/>
  <c r="K9" i="23"/>
  <c r="K10" i="23"/>
  <c r="K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5" i="23"/>
  <c r="L6" i="23"/>
  <c r="L7" i="23"/>
  <c r="L8" i="23"/>
  <c r="L9" i="23"/>
  <c r="L10" i="23"/>
  <c r="L11" i="23"/>
  <c r="L4" i="23"/>
  <c r="L3" i="23"/>
  <c r="M3" i="23"/>
  <c r="M12" i="23"/>
  <c r="M13" i="23"/>
  <c r="M14" i="23"/>
  <c r="M15" i="23"/>
  <c r="R15" i="23" s="1"/>
  <c r="M16" i="23"/>
  <c r="M17" i="23"/>
  <c r="M18" i="23"/>
  <c r="M19" i="23"/>
  <c r="R19" i="23" s="1"/>
  <c r="M20" i="23"/>
  <c r="M21" i="23"/>
  <c r="M22" i="23"/>
  <c r="M23" i="23"/>
  <c r="R23" i="23" s="1"/>
  <c r="M24" i="23"/>
  <c r="M25" i="23"/>
  <c r="M26" i="23"/>
  <c r="M27" i="23"/>
  <c r="R27" i="23" s="1"/>
  <c r="M28" i="23"/>
  <c r="M29" i="23"/>
  <c r="M30" i="23"/>
  <c r="M31" i="23"/>
  <c r="R31" i="23" s="1"/>
  <c r="M32" i="23"/>
  <c r="M33" i="23"/>
  <c r="M34" i="23"/>
  <c r="M35" i="23"/>
  <c r="R35" i="23" s="1"/>
  <c r="M36" i="23"/>
  <c r="M37" i="23"/>
  <c r="R37" i="23" s="1"/>
  <c r="M38" i="23"/>
  <c r="M39" i="23"/>
  <c r="R39" i="23" s="1"/>
  <c r="M40" i="23"/>
  <c r="M41" i="23"/>
  <c r="M42" i="23"/>
  <c r="M43" i="23"/>
  <c r="M44" i="23"/>
  <c r="M45" i="23"/>
  <c r="R45" i="23" s="1"/>
  <c r="M46" i="23"/>
  <c r="M47" i="23"/>
  <c r="R47" i="23" s="1"/>
  <c r="M48" i="23"/>
  <c r="M49" i="23"/>
  <c r="R49" i="23" s="1"/>
  <c r="M50" i="23"/>
  <c r="M51" i="23"/>
  <c r="M52" i="23"/>
  <c r="M53" i="23"/>
  <c r="R53" i="23" s="1"/>
  <c r="M54" i="23"/>
  <c r="M55" i="23"/>
  <c r="R55" i="23" s="1"/>
  <c r="M56" i="23"/>
  <c r="M57" i="23"/>
  <c r="R57" i="23" s="1"/>
  <c r="M58" i="23"/>
  <c r="R58" i="23" s="1"/>
  <c r="M59" i="23"/>
  <c r="M60" i="23"/>
  <c r="M61" i="23"/>
  <c r="R61" i="23" s="1"/>
  <c r="M62" i="23"/>
  <c r="M63" i="23"/>
  <c r="R63" i="23" s="1"/>
  <c r="M64" i="23"/>
  <c r="M65" i="23"/>
  <c r="R65" i="23" s="1"/>
  <c r="M66" i="23"/>
  <c r="R66" i="23" s="1"/>
  <c r="M67" i="23"/>
  <c r="M68" i="23"/>
  <c r="M69" i="23"/>
  <c r="R69" i="23" s="1"/>
  <c r="M70" i="23"/>
  <c r="M71" i="23"/>
  <c r="R71" i="23" s="1"/>
  <c r="M72" i="23"/>
  <c r="M73" i="23"/>
  <c r="R73" i="23" s="1"/>
  <c r="M74" i="23"/>
  <c r="R74" i="23" s="1"/>
  <c r="M75" i="23"/>
  <c r="M76" i="23"/>
  <c r="M77" i="23"/>
  <c r="R77" i="23" s="1"/>
  <c r="M78" i="23"/>
  <c r="M79" i="23"/>
  <c r="R79" i="23" s="1"/>
  <c r="M80" i="23"/>
  <c r="M81" i="23"/>
  <c r="R81" i="23" s="1"/>
  <c r="M82" i="23"/>
  <c r="R82" i="23" s="1"/>
  <c r="M83" i="23"/>
  <c r="M84" i="23"/>
  <c r="M85" i="23"/>
  <c r="R85" i="23" s="1"/>
  <c r="M86" i="23"/>
  <c r="R86" i="23" s="1"/>
  <c r="M87" i="23"/>
  <c r="R87" i="23" s="1"/>
  <c r="M88" i="23"/>
  <c r="M89" i="23"/>
  <c r="R89" i="23" s="1"/>
  <c r="M90" i="23"/>
  <c r="R90" i="23" s="1"/>
  <c r="M91" i="23"/>
  <c r="M92" i="23"/>
  <c r="M93" i="23"/>
  <c r="R93" i="23" s="1"/>
  <c r="M94" i="23"/>
  <c r="R94" i="23" s="1"/>
  <c r="M95" i="23"/>
  <c r="R95" i="23" s="1"/>
  <c r="M96" i="23"/>
  <c r="M97" i="23"/>
  <c r="R97" i="23" s="1"/>
  <c r="M98" i="23"/>
  <c r="M99" i="23"/>
  <c r="R99" i="23" s="1"/>
  <c r="M100" i="23"/>
  <c r="R100" i="23" s="1"/>
  <c r="M5" i="23"/>
  <c r="M6" i="23"/>
  <c r="M7" i="23"/>
  <c r="M8" i="23"/>
  <c r="M9" i="23"/>
  <c r="M10" i="23"/>
  <c r="M11" i="23"/>
  <c r="O3" i="23"/>
  <c r="O12" i="23"/>
  <c r="O13" i="23"/>
  <c r="T13" i="23" s="1"/>
  <c r="O14" i="23"/>
  <c r="O15" i="23"/>
  <c r="O16" i="23"/>
  <c r="O17" i="23"/>
  <c r="O18" i="23"/>
  <c r="O19" i="23"/>
  <c r="T19" i="23" s="1"/>
  <c r="O20" i="23"/>
  <c r="O21" i="23"/>
  <c r="T21" i="23" s="1"/>
  <c r="O22" i="23"/>
  <c r="O23" i="23"/>
  <c r="O24" i="23"/>
  <c r="O25" i="23"/>
  <c r="O26" i="23"/>
  <c r="O27" i="23"/>
  <c r="T27" i="23" s="1"/>
  <c r="O28" i="23"/>
  <c r="O29" i="23"/>
  <c r="T29" i="23" s="1"/>
  <c r="O30" i="23"/>
  <c r="O31" i="23"/>
  <c r="O32" i="23"/>
  <c r="O33" i="23"/>
  <c r="O34" i="23"/>
  <c r="O35" i="23"/>
  <c r="T35" i="23" s="1"/>
  <c r="O36" i="23"/>
  <c r="O37" i="23"/>
  <c r="T37" i="23" s="1"/>
  <c r="O38" i="23"/>
  <c r="O39" i="23"/>
  <c r="O40" i="23"/>
  <c r="O41" i="23"/>
  <c r="O42" i="23"/>
  <c r="O43" i="23"/>
  <c r="T43" i="23" s="1"/>
  <c r="O44" i="23"/>
  <c r="O45" i="23"/>
  <c r="T45" i="23" s="1"/>
  <c r="O46" i="23"/>
  <c r="O47" i="23"/>
  <c r="O48" i="23"/>
  <c r="O49" i="23"/>
  <c r="O50" i="23"/>
  <c r="O51" i="23"/>
  <c r="T51" i="23" s="1"/>
  <c r="O52" i="23"/>
  <c r="O53" i="23"/>
  <c r="T53" i="23" s="1"/>
  <c r="O54" i="23"/>
  <c r="O55" i="23"/>
  <c r="O56" i="23"/>
  <c r="O57" i="23"/>
  <c r="O58" i="23"/>
  <c r="O59" i="23"/>
  <c r="T59" i="23" s="1"/>
  <c r="O60" i="23"/>
  <c r="O61" i="23"/>
  <c r="T61" i="23" s="1"/>
  <c r="O62" i="23"/>
  <c r="O63" i="23"/>
  <c r="O64" i="23"/>
  <c r="O65" i="23"/>
  <c r="O66" i="23"/>
  <c r="O67" i="23"/>
  <c r="T67" i="23" s="1"/>
  <c r="O68" i="23"/>
  <c r="O69" i="23"/>
  <c r="T69" i="23" s="1"/>
  <c r="O70" i="23"/>
  <c r="O71" i="23"/>
  <c r="O72" i="23"/>
  <c r="O73" i="23"/>
  <c r="O74" i="23"/>
  <c r="O75" i="23"/>
  <c r="T75" i="23" s="1"/>
  <c r="O76" i="23"/>
  <c r="O77" i="23"/>
  <c r="T77" i="23" s="1"/>
  <c r="O78" i="23"/>
  <c r="O79" i="23"/>
  <c r="O80" i="23"/>
  <c r="O81" i="23"/>
  <c r="O82" i="23"/>
  <c r="O83" i="23"/>
  <c r="T83" i="23" s="1"/>
  <c r="O84" i="23"/>
  <c r="O85" i="23"/>
  <c r="T85" i="23" s="1"/>
  <c r="O86" i="23"/>
  <c r="O87" i="23"/>
  <c r="O88" i="23"/>
  <c r="O89" i="23"/>
  <c r="O90" i="23"/>
  <c r="O91" i="23"/>
  <c r="O92" i="23"/>
  <c r="T92" i="23" s="1"/>
  <c r="O93" i="23"/>
  <c r="T93" i="23" s="1"/>
  <c r="O94" i="23"/>
  <c r="O95" i="23"/>
  <c r="O96" i="23"/>
  <c r="O97" i="23"/>
  <c r="O98" i="23"/>
  <c r="O99" i="23"/>
  <c r="O100" i="23"/>
  <c r="T100" i="23" s="1"/>
  <c r="O5" i="23"/>
  <c r="O6" i="23"/>
  <c r="O7" i="23"/>
  <c r="O8" i="23"/>
  <c r="O9" i="23"/>
  <c r="O10" i="23"/>
  <c r="O11" i="23"/>
  <c r="O4" i="23"/>
  <c r="Z3" i="23"/>
  <c r="Y3" i="23" s="1"/>
  <c r="S15" i="23"/>
  <c r="S17" i="23"/>
  <c r="S19" i="23"/>
  <c r="S23" i="23"/>
  <c r="S25" i="23"/>
  <c r="S27" i="23"/>
  <c r="S31" i="23"/>
  <c r="S33" i="23"/>
  <c r="S35" i="23"/>
  <c r="S38" i="23"/>
  <c r="S39" i="23"/>
  <c r="S41" i="23"/>
  <c r="S43" i="23"/>
  <c r="S46" i="23"/>
  <c r="S47" i="23"/>
  <c r="S49" i="23"/>
  <c r="S51" i="23"/>
  <c r="S54" i="23"/>
  <c r="S55" i="23"/>
  <c r="S57" i="23"/>
  <c r="S59" i="23"/>
  <c r="S62" i="23"/>
  <c r="S63" i="23"/>
  <c r="S65" i="23"/>
  <c r="S67" i="23"/>
  <c r="S70" i="23"/>
  <c r="S71" i="23"/>
  <c r="S73" i="23"/>
  <c r="S75" i="23"/>
  <c r="S78" i="23"/>
  <c r="S81" i="23"/>
  <c r="S83" i="23"/>
  <c r="S86" i="23"/>
  <c r="S87" i="23"/>
  <c r="S88" i="23"/>
  <c r="S89" i="23"/>
  <c r="S91" i="23"/>
  <c r="S94" i="23"/>
  <c r="S95" i="23"/>
  <c r="S99" i="23"/>
  <c r="S5" i="23"/>
  <c r="S6" i="23"/>
  <c r="S7" i="23"/>
  <c r="S8" i="23"/>
  <c r="S9" i="23"/>
  <c r="S10" i="23"/>
  <c r="S11" i="23"/>
  <c r="S100" i="23"/>
  <c r="S98" i="23"/>
  <c r="S97" i="23"/>
  <c r="S96" i="23"/>
  <c r="S93" i="23"/>
  <c r="S92" i="23"/>
  <c r="S90" i="23"/>
  <c r="S85" i="23"/>
  <c r="S84" i="23"/>
  <c r="S82" i="23"/>
  <c r="S80" i="23"/>
  <c r="S79" i="23"/>
  <c r="S77" i="23"/>
  <c r="S76" i="23"/>
  <c r="S74" i="23"/>
  <c r="S72" i="23"/>
  <c r="S69" i="23"/>
  <c r="S68" i="23"/>
  <c r="S66" i="23"/>
  <c r="S64" i="23"/>
  <c r="S61" i="23"/>
  <c r="S60" i="23"/>
  <c r="S58" i="23"/>
  <c r="S56" i="23"/>
  <c r="S53" i="23"/>
  <c r="S52" i="23"/>
  <c r="S50" i="23"/>
  <c r="S48" i="23"/>
  <c r="S45" i="23"/>
  <c r="S44" i="23"/>
  <c r="S42" i="23"/>
  <c r="S40" i="23"/>
  <c r="S37" i="23"/>
  <c r="S36" i="23"/>
  <c r="S34" i="23"/>
  <c r="S32" i="23"/>
  <c r="S30" i="23"/>
  <c r="S29" i="23"/>
  <c r="S28" i="23"/>
  <c r="S26" i="23"/>
  <c r="S24" i="23"/>
  <c r="S22" i="23"/>
  <c r="S21" i="23"/>
  <c r="S20" i="23"/>
  <c r="S18" i="23"/>
  <c r="S16" i="23"/>
  <c r="S14" i="23"/>
  <c r="S13" i="23"/>
  <c r="S12" i="23"/>
  <c r="P4" i="23"/>
  <c r="M4" i="23"/>
  <c r="R4" i="23" s="1"/>
  <c r="Q4" i="23"/>
  <c r="S4" i="23"/>
  <c r="M40" i="28" l="1"/>
  <c r="N39" i="27"/>
  <c r="O10" i="27" s="1"/>
  <c r="N39" i="24"/>
  <c r="O10" i="24" s="1"/>
  <c r="N39" i="28"/>
  <c r="O10" i="28" s="1"/>
  <c r="H270" i="22"/>
  <c r="H271" i="22" s="1"/>
  <c r="L235" i="22"/>
  <c r="H268" i="22"/>
  <c r="M40" i="27"/>
  <c r="H6" i="28"/>
  <c r="H11" i="28" s="1"/>
  <c r="H20" i="28" s="1"/>
  <c r="J238" i="22"/>
  <c r="M39" i="28"/>
  <c r="M39" i="24"/>
  <c r="N10" i="24" s="1"/>
  <c r="N40" i="24" s="1"/>
  <c r="O40" i="24" s="1"/>
  <c r="M39" i="27"/>
  <c r="J267" i="22"/>
  <c r="J6" i="28" s="1"/>
  <c r="I238" i="22"/>
  <c r="H132" i="22"/>
  <c r="H8" i="24"/>
  <c r="J236" i="22"/>
  <c r="K130" i="22"/>
  <c r="K6" i="24"/>
  <c r="I267" i="22"/>
  <c r="H203" i="22"/>
  <c r="H8" i="27"/>
  <c r="M181" i="22"/>
  <c r="N179" i="22"/>
  <c r="L237" i="22"/>
  <c r="M235" i="22"/>
  <c r="L115" i="22"/>
  <c r="M113" i="22"/>
  <c r="L187" i="22"/>
  <c r="M185" i="22"/>
  <c r="H9" i="27"/>
  <c r="H42" i="27" s="1"/>
  <c r="H9" i="24"/>
  <c r="H42" i="24" s="1"/>
  <c r="H9" i="28"/>
  <c r="H42" i="28" s="1"/>
  <c r="H272" i="22"/>
  <c r="H8" i="28"/>
  <c r="G7" i="24"/>
  <c r="G12" i="24"/>
  <c r="G12" i="27"/>
  <c r="G7" i="27"/>
  <c r="I6" i="28"/>
  <c r="H11" i="27"/>
  <c r="H20" i="27" s="1"/>
  <c r="H5" i="27"/>
  <c r="H14" i="27" s="1"/>
  <c r="H23" i="27"/>
  <c r="H24" i="27"/>
  <c r="H21" i="27"/>
  <c r="G7" i="28"/>
  <c r="G12" i="28"/>
  <c r="H24" i="24"/>
  <c r="H5" i="24"/>
  <c r="H11" i="24"/>
  <c r="H20" i="24" s="1"/>
  <c r="H21" i="24"/>
  <c r="H23" i="24"/>
  <c r="H5" i="28"/>
  <c r="E34" i="10"/>
  <c r="K122" i="22"/>
  <c r="L120" i="22"/>
  <c r="K193" i="22"/>
  <c r="L191" i="22"/>
  <c r="K254" i="22"/>
  <c r="L252" i="22"/>
  <c r="K171" i="22"/>
  <c r="J172" i="22"/>
  <c r="J198" i="22"/>
  <c r="J6" i="27" s="1"/>
  <c r="J174" i="22"/>
  <c r="I199" i="22"/>
  <c r="I201" i="22"/>
  <c r="I202" i="22" s="1"/>
  <c r="I204" i="22"/>
  <c r="J270" i="22"/>
  <c r="J128" i="22"/>
  <c r="J130" i="22"/>
  <c r="J131" i="22" s="1"/>
  <c r="K329" i="22"/>
  <c r="J330" i="22"/>
  <c r="I133" i="22"/>
  <c r="I131" i="22"/>
  <c r="J200" i="22"/>
  <c r="K128" i="22"/>
  <c r="P101" i="22"/>
  <c r="O103" i="22"/>
  <c r="K109" i="22"/>
  <c r="L127" i="22"/>
  <c r="L6" i="24" s="1"/>
  <c r="K246" i="22"/>
  <c r="L244" i="22"/>
  <c r="K267" i="22"/>
  <c r="K262" i="22"/>
  <c r="L260" i="22"/>
  <c r="J269" i="22"/>
  <c r="J273" i="22" s="1"/>
  <c r="J133" i="22"/>
  <c r="R29" i="23"/>
  <c r="R21" i="23"/>
  <c r="R13" i="23"/>
  <c r="T4" i="23"/>
  <c r="R50" i="23"/>
  <c r="R42" i="23"/>
  <c r="R34" i="23"/>
  <c r="R26" i="23"/>
  <c r="R18" i="23"/>
  <c r="R41" i="23"/>
  <c r="R33" i="23"/>
  <c r="R25" i="23"/>
  <c r="T98" i="23"/>
  <c r="T90" i="23"/>
  <c r="T17" i="23"/>
  <c r="T97" i="23"/>
  <c r="T33" i="23"/>
  <c r="T88" i="23"/>
  <c r="T72" i="23"/>
  <c r="T64" i="23"/>
  <c r="T56" i="23"/>
  <c r="T48" i="23"/>
  <c r="T40" i="23"/>
  <c r="T32" i="23"/>
  <c r="T24" i="23"/>
  <c r="T16" i="23"/>
  <c r="R17" i="23"/>
  <c r="T25" i="23"/>
  <c r="T96" i="23"/>
  <c r="T80" i="23"/>
  <c r="T87" i="23"/>
  <c r="T79" i="23"/>
  <c r="T71" i="23"/>
  <c r="T63" i="23"/>
  <c r="T55" i="23"/>
  <c r="T47" i="23"/>
  <c r="T39" i="23"/>
  <c r="T31" i="23"/>
  <c r="T23" i="23"/>
  <c r="T15" i="23"/>
  <c r="T12" i="23"/>
  <c r="T14" i="23"/>
  <c r="T18" i="23"/>
  <c r="T20" i="23"/>
  <c r="T22" i="23"/>
  <c r="T26" i="23"/>
  <c r="T28" i="23"/>
  <c r="T30" i="23"/>
  <c r="T34" i="23"/>
  <c r="T36" i="23"/>
  <c r="T38" i="23"/>
  <c r="T41" i="23"/>
  <c r="T42" i="23"/>
  <c r="T44" i="23"/>
  <c r="T46" i="23"/>
  <c r="T49" i="23"/>
  <c r="T50" i="23"/>
  <c r="T52" i="23"/>
  <c r="T54" i="23"/>
  <c r="T57" i="23"/>
  <c r="T58" i="23"/>
  <c r="T60" i="23"/>
  <c r="T62" i="23"/>
  <c r="T65" i="23"/>
  <c r="T66" i="23"/>
  <c r="T68" i="23"/>
  <c r="T70" i="23"/>
  <c r="T73" i="23"/>
  <c r="T74" i="23"/>
  <c r="T76" i="23"/>
  <c r="T78" i="23"/>
  <c r="T81" i="23"/>
  <c r="T82" i="23"/>
  <c r="T84" i="23"/>
  <c r="T86" i="23"/>
  <c r="T89" i="23"/>
  <c r="T91" i="23"/>
  <c r="T94" i="23"/>
  <c r="T95" i="23"/>
  <c r="T99" i="23"/>
  <c r="T5" i="23"/>
  <c r="T6" i="23"/>
  <c r="T7" i="23"/>
  <c r="T8" i="23"/>
  <c r="T9" i="23"/>
  <c r="T10" i="23"/>
  <c r="T11" i="23"/>
  <c r="R12" i="23"/>
  <c r="R14" i="23"/>
  <c r="R16" i="23"/>
  <c r="R20" i="23"/>
  <c r="R22" i="23"/>
  <c r="R24" i="23"/>
  <c r="R28" i="23"/>
  <c r="R30" i="23"/>
  <c r="R32" i="23"/>
  <c r="R36" i="23"/>
  <c r="R38" i="23"/>
  <c r="R40" i="23"/>
  <c r="R43" i="23"/>
  <c r="R44" i="23"/>
  <c r="R46" i="23"/>
  <c r="R48" i="23"/>
  <c r="R51" i="23"/>
  <c r="R52" i="23"/>
  <c r="R54" i="23"/>
  <c r="R56" i="23"/>
  <c r="R59" i="23"/>
  <c r="R60" i="23"/>
  <c r="R62" i="23"/>
  <c r="R64" i="23"/>
  <c r="R67" i="23"/>
  <c r="R68" i="23"/>
  <c r="R70" i="23"/>
  <c r="R72" i="23"/>
  <c r="R75" i="23"/>
  <c r="R76" i="23"/>
  <c r="R78" i="23"/>
  <c r="R80" i="23"/>
  <c r="R83" i="23"/>
  <c r="R84" i="23"/>
  <c r="R88" i="23"/>
  <c r="R91" i="23"/>
  <c r="R92" i="23"/>
  <c r="R96" i="23"/>
  <c r="R98" i="23"/>
  <c r="R5" i="23"/>
  <c r="R6" i="23"/>
  <c r="R7" i="23"/>
  <c r="R8" i="23"/>
  <c r="R9" i="23"/>
  <c r="R10" i="23"/>
  <c r="R11" i="23"/>
  <c r="Q13" i="23"/>
  <c r="Q17" i="23"/>
  <c r="Q19" i="23"/>
  <c r="Q21" i="23"/>
  <c r="Q25" i="23"/>
  <c r="Q27" i="23"/>
  <c r="Q29" i="23"/>
  <c r="Q33" i="23"/>
  <c r="Q35" i="23"/>
  <c r="Q37" i="23"/>
  <c r="Q40" i="23"/>
  <c r="Q41" i="23"/>
  <c r="Q43" i="23"/>
  <c r="Q45" i="23"/>
  <c r="Q48" i="23"/>
  <c r="Q49" i="23"/>
  <c r="Q51" i="23"/>
  <c r="Q53" i="23"/>
  <c r="Q56" i="23"/>
  <c r="Q57" i="23"/>
  <c r="Q59" i="23"/>
  <c r="Q61" i="23"/>
  <c r="Q64" i="23"/>
  <c r="Q65" i="23"/>
  <c r="Q67" i="23"/>
  <c r="Q69" i="23"/>
  <c r="Q72" i="23"/>
  <c r="Q73" i="23"/>
  <c r="Q75" i="23"/>
  <c r="Q77" i="23"/>
  <c r="Q80" i="23"/>
  <c r="Q83" i="23"/>
  <c r="Q85" i="23"/>
  <c r="Q88" i="23"/>
  <c r="Q89" i="23"/>
  <c r="Q93" i="23"/>
  <c r="Q96" i="23"/>
  <c r="Q98" i="23"/>
  <c r="Q5" i="23"/>
  <c r="Q6" i="23"/>
  <c r="Q7" i="23"/>
  <c r="Q8" i="23"/>
  <c r="Q9" i="23"/>
  <c r="Q10" i="23"/>
  <c r="Q11" i="23"/>
  <c r="Q100" i="23"/>
  <c r="Q99" i="23"/>
  <c r="Q97" i="23"/>
  <c r="Q95" i="23"/>
  <c r="Q94" i="23"/>
  <c r="Q92" i="23"/>
  <c r="Q91" i="23"/>
  <c r="Q90" i="23"/>
  <c r="Q87" i="23"/>
  <c r="Q86" i="23"/>
  <c r="Q84" i="23"/>
  <c r="Q82" i="23"/>
  <c r="Q81" i="23"/>
  <c r="Q79" i="23"/>
  <c r="Q78" i="23"/>
  <c r="Q76" i="23"/>
  <c r="Q74" i="23"/>
  <c r="Q71" i="23"/>
  <c r="Q70" i="23"/>
  <c r="Q68" i="23"/>
  <c r="Q66" i="23"/>
  <c r="Q63" i="23"/>
  <c r="Q62" i="23"/>
  <c r="Q60" i="23"/>
  <c r="Q58" i="23"/>
  <c r="Q55" i="23"/>
  <c r="Q54" i="23"/>
  <c r="Q52" i="23"/>
  <c r="Q50" i="23"/>
  <c r="Q47" i="23"/>
  <c r="Q46" i="23"/>
  <c r="Q44" i="23"/>
  <c r="Q42" i="23"/>
  <c r="Q39" i="23"/>
  <c r="Q38" i="23"/>
  <c r="Q36" i="23"/>
  <c r="Q34" i="23"/>
  <c r="Q32" i="23"/>
  <c r="Q31" i="23"/>
  <c r="Q30" i="23"/>
  <c r="Q28" i="23"/>
  <c r="Q26" i="23"/>
  <c r="Q24" i="23"/>
  <c r="Q23" i="23"/>
  <c r="Q22" i="23"/>
  <c r="Q20" i="23"/>
  <c r="Q18" i="23"/>
  <c r="Q16" i="23"/>
  <c r="Q15" i="23"/>
  <c r="Q14" i="23"/>
  <c r="Q12" i="23"/>
  <c r="P14" i="23"/>
  <c r="P16" i="23"/>
  <c r="P18" i="23"/>
  <c r="P22" i="23"/>
  <c r="P24" i="23"/>
  <c r="P26" i="23"/>
  <c r="P30" i="23"/>
  <c r="P32" i="23"/>
  <c r="P34" i="23"/>
  <c r="P37" i="23"/>
  <c r="U37" i="23" s="1"/>
  <c r="P38" i="23"/>
  <c r="U38" i="23" s="1"/>
  <c r="P40" i="23"/>
  <c r="P42" i="23"/>
  <c r="P45" i="23"/>
  <c r="U45" i="23" s="1"/>
  <c r="P46" i="23"/>
  <c r="P48" i="23"/>
  <c r="P50" i="23"/>
  <c r="P53" i="23"/>
  <c r="U53" i="23" s="1"/>
  <c r="P54" i="23"/>
  <c r="U54" i="23" s="1"/>
  <c r="P56" i="23"/>
  <c r="P58" i="23"/>
  <c r="P61" i="23"/>
  <c r="U61" i="23" s="1"/>
  <c r="P62" i="23"/>
  <c r="P64" i="23"/>
  <c r="P66" i="23"/>
  <c r="P69" i="23"/>
  <c r="P70" i="23"/>
  <c r="U70" i="23" s="1"/>
  <c r="P72" i="23"/>
  <c r="P74" i="23"/>
  <c r="P77" i="23"/>
  <c r="U77" i="23" s="1"/>
  <c r="P78" i="23"/>
  <c r="P80" i="23"/>
  <c r="P82" i="23"/>
  <c r="P85" i="23"/>
  <c r="U85" i="23" s="1"/>
  <c r="P90" i="23"/>
  <c r="U90" i="23" s="1"/>
  <c r="P93" i="23"/>
  <c r="U93" i="23" s="1"/>
  <c r="P96" i="23"/>
  <c r="U96" i="23" s="1"/>
  <c r="P98" i="23"/>
  <c r="U98" i="23" s="1"/>
  <c r="P100" i="23"/>
  <c r="U100" i="23" s="1"/>
  <c r="P5" i="23"/>
  <c r="P6" i="23"/>
  <c r="P7" i="23"/>
  <c r="P8" i="23"/>
  <c r="P9" i="23"/>
  <c r="P10" i="23"/>
  <c r="P11" i="23"/>
  <c r="P99" i="23"/>
  <c r="P97" i="23"/>
  <c r="P95" i="23"/>
  <c r="P94" i="23"/>
  <c r="U94" i="23" s="1"/>
  <c r="P92" i="23"/>
  <c r="P91" i="23"/>
  <c r="U91" i="23" s="1"/>
  <c r="P89" i="23"/>
  <c r="P88" i="23"/>
  <c r="P87" i="23"/>
  <c r="P86" i="23"/>
  <c r="P84" i="23"/>
  <c r="P83" i="23"/>
  <c r="P81" i="23"/>
  <c r="P79" i="23"/>
  <c r="P76" i="23"/>
  <c r="P75" i="23"/>
  <c r="P73" i="23"/>
  <c r="U73" i="23" s="1"/>
  <c r="P71" i="23"/>
  <c r="P68" i="23"/>
  <c r="P67" i="23"/>
  <c r="P65" i="23"/>
  <c r="P63" i="23"/>
  <c r="P60" i="23"/>
  <c r="U60" i="23" s="1"/>
  <c r="P59" i="23"/>
  <c r="P57" i="23"/>
  <c r="U57" i="23" s="1"/>
  <c r="P55" i="23"/>
  <c r="P52" i="23"/>
  <c r="P51" i="23"/>
  <c r="P49" i="23"/>
  <c r="U49" i="23" s="1"/>
  <c r="P47" i="23"/>
  <c r="P44" i="23"/>
  <c r="U44" i="23" s="1"/>
  <c r="P43" i="23"/>
  <c r="P41" i="23"/>
  <c r="U41" i="23" s="1"/>
  <c r="P39" i="23"/>
  <c r="P36" i="23"/>
  <c r="P35" i="23"/>
  <c r="U35" i="23" s="1"/>
  <c r="P33" i="23"/>
  <c r="P31" i="23"/>
  <c r="U31" i="23" s="1"/>
  <c r="P29" i="23"/>
  <c r="P28" i="23"/>
  <c r="P27" i="23"/>
  <c r="U27" i="23" s="1"/>
  <c r="P25" i="23"/>
  <c r="P23" i="23"/>
  <c r="P21" i="23"/>
  <c r="P20" i="23"/>
  <c r="P19" i="23"/>
  <c r="P17" i="23"/>
  <c r="P15" i="23"/>
  <c r="P13" i="23"/>
  <c r="U13" i="23" s="1"/>
  <c r="P12" i="23"/>
  <c r="U4" i="23"/>
  <c r="N10" i="28" l="1"/>
  <c r="H24" i="28"/>
  <c r="N10" i="27"/>
  <c r="N40" i="27" s="1"/>
  <c r="J268" i="22"/>
  <c r="H21" i="28"/>
  <c r="O39" i="24"/>
  <c r="P10" i="24" s="1"/>
  <c r="P40" i="24" s="1"/>
  <c r="O39" i="27"/>
  <c r="P10" i="27" s="1"/>
  <c r="O39" i="28"/>
  <c r="P10" i="28" s="1"/>
  <c r="H23" i="28"/>
  <c r="H41" i="28" s="1"/>
  <c r="I9" i="28" s="1"/>
  <c r="I42" i="28" s="1"/>
  <c r="N40" i="28"/>
  <c r="K129" i="22"/>
  <c r="K133" i="22" s="1"/>
  <c r="I132" i="22"/>
  <c r="I8" i="24"/>
  <c r="J132" i="22"/>
  <c r="J8" i="24"/>
  <c r="I273" i="22"/>
  <c r="I268" i="22"/>
  <c r="I270" i="22"/>
  <c r="I271" i="22" s="1"/>
  <c r="I203" i="22"/>
  <c r="I8" i="27"/>
  <c r="N181" i="22"/>
  <c r="O179" i="22"/>
  <c r="M237" i="22"/>
  <c r="N235" i="22"/>
  <c r="M115" i="22"/>
  <c r="N113" i="22"/>
  <c r="N185" i="22"/>
  <c r="M187" i="22"/>
  <c r="K269" i="22"/>
  <c r="K273" i="22" s="1"/>
  <c r="J23" i="24"/>
  <c r="J11" i="24"/>
  <c r="J20" i="24" s="1"/>
  <c r="J5" i="24"/>
  <c r="J21" i="24"/>
  <c r="J24" i="24"/>
  <c r="I9" i="27"/>
  <c r="I42" i="27" s="1"/>
  <c r="I9" i="24"/>
  <c r="I42" i="24" s="1"/>
  <c r="H41" i="27"/>
  <c r="H26" i="24"/>
  <c r="H27" i="24" s="1"/>
  <c r="H32" i="24"/>
  <c r="H41" i="24"/>
  <c r="I272" i="22"/>
  <c r="I8" i="28"/>
  <c r="J24" i="27"/>
  <c r="J5" i="27"/>
  <c r="J21" i="27"/>
  <c r="J11" i="27"/>
  <c r="J20" i="27" s="1"/>
  <c r="J23" i="27"/>
  <c r="H14" i="24"/>
  <c r="H7" i="27"/>
  <c r="H12" i="27"/>
  <c r="J5" i="28"/>
  <c r="J23" i="28"/>
  <c r="J11" i="28"/>
  <c r="J20" i="28" s="1"/>
  <c r="J24" i="28"/>
  <c r="J21" i="28"/>
  <c r="I5" i="28"/>
  <c r="I23" i="28"/>
  <c r="I11" i="28"/>
  <c r="I20" i="28" s="1"/>
  <c r="I24" i="28"/>
  <c r="I21" i="28"/>
  <c r="I23" i="24"/>
  <c r="I11" i="24"/>
  <c r="I20" i="24" s="1"/>
  <c r="I24" i="24"/>
  <c r="I5" i="24"/>
  <c r="I21" i="24"/>
  <c r="K6" i="28"/>
  <c r="H7" i="24"/>
  <c r="H12" i="24"/>
  <c r="H32" i="27"/>
  <c r="H26" i="27"/>
  <c r="H26" i="28"/>
  <c r="H32" i="28"/>
  <c r="I5" i="27"/>
  <c r="I14" i="27" s="1"/>
  <c r="I21" i="27"/>
  <c r="I11" i="27"/>
  <c r="I20" i="27" s="1"/>
  <c r="I23" i="27"/>
  <c r="I24" i="27"/>
  <c r="L122" i="22"/>
  <c r="M120" i="22"/>
  <c r="L193" i="22"/>
  <c r="M191" i="22"/>
  <c r="L254" i="22"/>
  <c r="M252" i="22"/>
  <c r="J199" i="22"/>
  <c r="J201" i="22"/>
  <c r="J202" i="22" s="1"/>
  <c r="K173" i="22"/>
  <c r="K200" i="22" s="1"/>
  <c r="L171" i="22"/>
  <c r="K198" i="22"/>
  <c r="K6" i="27" s="1"/>
  <c r="K268" i="22"/>
  <c r="K270" i="22"/>
  <c r="J271" i="22"/>
  <c r="J204" i="22"/>
  <c r="L128" i="22"/>
  <c r="L130" i="22"/>
  <c r="L329" i="22"/>
  <c r="K330" i="22"/>
  <c r="M260" i="22"/>
  <c r="L267" i="22"/>
  <c r="L262" i="22"/>
  <c r="M244" i="22"/>
  <c r="L246" i="22"/>
  <c r="M127" i="22"/>
  <c r="M6" i="24" s="1"/>
  <c r="L109" i="22"/>
  <c r="Q101" i="22"/>
  <c r="P103" i="22"/>
  <c r="U23" i="23"/>
  <c r="U95" i="23"/>
  <c r="U46" i="23"/>
  <c r="U30" i="23"/>
  <c r="U15" i="23"/>
  <c r="U88" i="23"/>
  <c r="U11" i="23"/>
  <c r="U99" i="23"/>
  <c r="U62" i="23"/>
  <c r="U87" i="23"/>
  <c r="U78" i="23"/>
  <c r="U28" i="23"/>
  <c r="U19" i="23"/>
  <c r="U63" i="23"/>
  <c r="U79" i="23"/>
  <c r="U72" i="23"/>
  <c r="U56" i="23"/>
  <c r="U40" i="23"/>
  <c r="U43" i="23"/>
  <c r="U59" i="23"/>
  <c r="U75" i="23"/>
  <c r="U26" i="23"/>
  <c r="U17" i="23"/>
  <c r="U29" i="23"/>
  <c r="U10" i="23"/>
  <c r="U74" i="23"/>
  <c r="U58" i="23"/>
  <c r="U42" i="23"/>
  <c r="U24" i="23"/>
  <c r="U22" i="23"/>
  <c r="U20" i="23"/>
  <c r="U92" i="23"/>
  <c r="U18" i="23"/>
  <c r="U21" i="23"/>
  <c r="U51" i="23"/>
  <c r="U67" i="23"/>
  <c r="U83" i="23"/>
  <c r="U7" i="23"/>
  <c r="U16" i="23"/>
  <c r="U36" i="23"/>
  <c r="U52" i="23"/>
  <c r="U68" i="23"/>
  <c r="U84" i="23"/>
  <c r="U6" i="23"/>
  <c r="U82" i="23"/>
  <c r="U66" i="23"/>
  <c r="U50" i="23"/>
  <c r="U34" i="23"/>
  <c r="U14" i="23"/>
  <c r="U47" i="23"/>
  <c r="U33" i="23"/>
  <c r="U8" i="23"/>
  <c r="U12" i="23"/>
  <c r="U25" i="23"/>
  <c r="U39" i="23"/>
  <c r="U55" i="23"/>
  <c r="U71" i="23"/>
  <c r="U86" i="23"/>
  <c r="U97" i="23"/>
  <c r="U80" i="23"/>
  <c r="U64" i="23"/>
  <c r="U48" i="23"/>
  <c r="U32" i="23"/>
  <c r="U81" i="23"/>
  <c r="U89" i="23"/>
  <c r="U69" i="23"/>
  <c r="U65" i="23"/>
  <c r="U9" i="23"/>
  <c r="U5" i="23"/>
  <c r="U76" i="23"/>
  <c r="E51" i="10"/>
  <c r="D51" i="10"/>
  <c r="E10" i="22"/>
  <c r="F10" i="22"/>
  <c r="G10" i="22"/>
  <c r="G9" i="22"/>
  <c r="F9" i="22"/>
  <c r="E9" i="22"/>
  <c r="D10" i="22"/>
  <c r="D9" i="22"/>
  <c r="C10" i="22"/>
  <c r="C9" i="22"/>
  <c r="O40" i="27" l="1"/>
  <c r="P40" i="27" s="1"/>
  <c r="O40" i="28"/>
  <c r="P40" i="28" s="1"/>
  <c r="K131" i="22"/>
  <c r="L129" i="22"/>
  <c r="P39" i="24"/>
  <c r="Q10" i="24" s="1"/>
  <c r="Q40" i="24" s="1"/>
  <c r="P39" i="28"/>
  <c r="Q10" i="28" s="1"/>
  <c r="P39" i="27"/>
  <c r="Q10" i="27" s="1"/>
  <c r="I41" i="28"/>
  <c r="J9" i="24" s="1"/>
  <c r="J42" i="24" s="1"/>
  <c r="H27" i="28"/>
  <c r="J203" i="22"/>
  <c r="J8" i="27"/>
  <c r="O181" i="22"/>
  <c r="P179" i="22"/>
  <c r="K132" i="22"/>
  <c r="K8" i="24"/>
  <c r="N237" i="22"/>
  <c r="O235" i="22"/>
  <c r="N115" i="22"/>
  <c r="O113" i="22"/>
  <c r="N187" i="22"/>
  <c r="O185" i="22"/>
  <c r="I41" i="24"/>
  <c r="J41" i="24" s="1"/>
  <c r="I41" i="27"/>
  <c r="J41" i="27" s="1"/>
  <c r="K271" i="22"/>
  <c r="K272" i="22" s="1"/>
  <c r="I26" i="27"/>
  <c r="I27" i="27" s="1"/>
  <c r="I32" i="27"/>
  <c r="J32" i="27" s="1"/>
  <c r="K24" i="27"/>
  <c r="K21" i="27"/>
  <c r="K23" i="27"/>
  <c r="K5" i="27"/>
  <c r="K11" i="27"/>
  <c r="K20" i="27" s="1"/>
  <c r="I26" i="24"/>
  <c r="J26" i="24" s="1"/>
  <c r="J27" i="24" s="1"/>
  <c r="I32" i="24"/>
  <c r="J32" i="24" s="1"/>
  <c r="I14" i="24"/>
  <c r="K23" i="28"/>
  <c r="K5" i="28"/>
  <c r="K24" i="28"/>
  <c r="K21" i="28"/>
  <c r="K11" i="28"/>
  <c r="K20" i="28" s="1"/>
  <c r="K23" i="24"/>
  <c r="K11" i="24"/>
  <c r="K20" i="24" s="1"/>
  <c r="K21" i="24"/>
  <c r="K24" i="24"/>
  <c r="K5" i="24"/>
  <c r="J272" i="22"/>
  <c r="J8" i="28"/>
  <c r="H27" i="27"/>
  <c r="J14" i="27"/>
  <c r="L6" i="28"/>
  <c r="J9" i="27"/>
  <c r="J42" i="27" s="1"/>
  <c r="I26" i="28"/>
  <c r="J26" i="28" s="1"/>
  <c r="J27" i="28" s="1"/>
  <c r="I12" i="27"/>
  <c r="I7" i="27"/>
  <c r="I7" i="24"/>
  <c r="I12" i="24"/>
  <c r="I32" i="28"/>
  <c r="J32" i="28" s="1"/>
  <c r="M122" i="22"/>
  <c r="N120" i="22"/>
  <c r="N127" i="22" s="1"/>
  <c r="N6" i="24" s="1"/>
  <c r="M193" i="22"/>
  <c r="N191" i="22"/>
  <c r="M254" i="22"/>
  <c r="N252" i="22"/>
  <c r="K199" i="22"/>
  <c r="K201" i="22"/>
  <c r="K202" i="22" s="1"/>
  <c r="M171" i="22"/>
  <c r="L173" i="22"/>
  <c r="L200" i="22" s="1"/>
  <c r="L198" i="22"/>
  <c r="L6" i="27" s="1"/>
  <c r="L268" i="22"/>
  <c r="L270" i="22"/>
  <c r="K204" i="22"/>
  <c r="M128" i="22"/>
  <c r="M130" i="22"/>
  <c r="M329" i="22"/>
  <c r="L330" i="22"/>
  <c r="L133" i="22"/>
  <c r="L131" i="22"/>
  <c r="R101" i="22"/>
  <c r="Q103" i="22"/>
  <c r="M109" i="22"/>
  <c r="M129" i="22" s="1"/>
  <c r="N244" i="22"/>
  <c r="M246" i="22"/>
  <c r="L269" i="22"/>
  <c r="L273" i="22" s="1"/>
  <c r="N260" i="22"/>
  <c r="M267" i="22"/>
  <c r="M262" i="22"/>
  <c r="Q9" i="22"/>
  <c r="P9" i="22"/>
  <c r="O9" i="22"/>
  <c r="Q10" i="22"/>
  <c r="O10" i="22"/>
  <c r="P10" i="22"/>
  <c r="V76" i="23"/>
  <c r="W76" i="23" s="1"/>
  <c r="W5" i="23"/>
  <c r="W4" i="23"/>
  <c r="V26" i="23"/>
  <c r="W26" i="23" s="1"/>
  <c r="V30" i="23"/>
  <c r="W30" i="23" s="1"/>
  <c r="V34" i="23"/>
  <c r="W34" i="23" s="1"/>
  <c r="V32" i="23"/>
  <c r="W32" i="23" s="1"/>
  <c r="V35" i="23"/>
  <c r="W35" i="23" s="1"/>
  <c r="V95" i="23"/>
  <c r="W95" i="23" s="1"/>
  <c r="V61" i="23"/>
  <c r="W61" i="23" s="1"/>
  <c r="V33" i="23"/>
  <c r="W33" i="23" s="1"/>
  <c r="V40" i="23"/>
  <c r="W40" i="23" s="1"/>
  <c r="V31" i="23"/>
  <c r="W31" i="23" s="1"/>
  <c r="V14" i="23"/>
  <c r="W14" i="23" s="1"/>
  <c r="V43" i="23"/>
  <c r="W43" i="23" s="1"/>
  <c r="V41" i="23"/>
  <c r="W41" i="23" s="1"/>
  <c r="V36" i="23"/>
  <c r="W36" i="23" s="1"/>
  <c r="V85" i="23"/>
  <c r="W85" i="23" s="1"/>
  <c r="V100" i="23"/>
  <c r="W100" i="23" s="1"/>
  <c r="V57" i="23"/>
  <c r="W57" i="23" s="1"/>
  <c r="V7" i="23"/>
  <c r="W7" i="23" s="1"/>
  <c r="V48" i="23"/>
  <c r="W48" i="23" s="1"/>
  <c r="V46" i="23"/>
  <c r="W46" i="23" s="1"/>
  <c r="V38" i="23"/>
  <c r="W38" i="23" s="1"/>
  <c r="V24" i="23"/>
  <c r="W24" i="23" s="1"/>
  <c r="V49" i="23"/>
  <c r="W49" i="23" s="1"/>
  <c r="V44" i="23"/>
  <c r="W44" i="23" s="1"/>
  <c r="V39" i="23"/>
  <c r="W39" i="23" s="1"/>
  <c r="V93" i="23"/>
  <c r="W93" i="23" s="1"/>
  <c r="V82" i="23"/>
  <c r="W82" i="23" s="1"/>
  <c r="V53" i="23"/>
  <c r="W53" i="23" s="1"/>
  <c r="V71" i="23"/>
  <c r="W71" i="23" s="1"/>
  <c r="V6" i="23"/>
  <c r="W6" i="23" s="1"/>
  <c r="V54" i="23"/>
  <c r="W54" i="23" s="1"/>
  <c r="V50" i="23"/>
  <c r="W50" i="23" s="1"/>
  <c r="V42" i="23"/>
  <c r="W42" i="23" s="1"/>
  <c r="V51" i="23"/>
  <c r="W51" i="23" s="1"/>
  <c r="V52" i="23"/>
  <c r="W52" i="23" s="1"/>
  <c r="V47" i="23"/>
  <c r="W47" i="23" s="1"/>
  <c r="V60" i="23"/>
  <c r="W60" i="23" s="1"/>
  <c r="V97" i="23"/>
  <c r="W97" i="23" s="1"/>
  <c r="V86" i="23"/>
  <c r="W86" i="23" s="1"/>
  <c r="V84" i="23"/>
  <c r="W84" i="23" s="1"/>
  <c r="V73" i="23"/>
  <c r="W73" i="23" s="1"/>
  <c r="V11" i="23"/>
  <c r="W11" i="23" s="1"/>
  <c r="V56" i="23"/>
  <c r="W56" i="23" s="1"/>
  <c r="V70" i="23"/>
  <c r="W70" i="23" s="1"/>
  <c r="V58" i="23"/>
  <c r="W58" i="23" s="1"/>
  <c r="V68" i="23"/>
  <c r="W68" i="23" s="1"/>
  <c r="V55" i="23"/>
  <c r="W55" i="23" s="1"/>
  <c r="V59" i="23"/>
  <c r="W59" i="23" s="1"/>
  <c r="V91" i="23"/>
  <c r="W91" i="23" s="1"/>
  <c r="V63" i="23"/>
  <c r="W63" i="23" s="1"/>
  <c r="V94" i="23"/>
  <c r="W94" i="23" s="1"/>
  <c r="V88" i="23"/>
  <c r="W88" i="23" s="1"/>
  <c r="V99" i="23"/>
  <c r="W99" i="23" s="1"/>
  <c r="V10" i="23"/>
  <c r="W10" i="23" s="1"/>
  <c r="V75" i="23"/>
  <c r="W75" i="23" s="1"/>
  <c r="V90" i="23"/>
  <c r="W90" i="23" s="1"/>
  <c r="V67" i="23"/>
  <c r="W67" i="23" s="1"/>
  <c r="V17" i="23"/>
  <c r="W17" i="23" s="1"/>
  <c r="V62" i="23"/>
  <c r="W62" i="23" s="1"/>
  <c r="V64" i="23"/>
  <c r="W64" i="23" s="1"/>
  <c r="V96" i="23"/>
  <c r="W96" i="23" s="1"/>
  <c r="V79" i="23"/>
  <c r="W79" i="23" s="1"/>
  <c r="V98" i="23"/>
  <c r="W98" i="23" s="1"/>
  <c r="V45" i="23"/>
  <c r="W45" i="23" s="1"/>
  <c r="V29" i="23"/>
  <c r="W29" i="23" s="1"/>
  <c r="V12" i="23"/>
  <c r="W12" i="23" s="1"/>
  <c r="V78" i="23"/>
  <c r="W78" i="23" s="1"/>
  <c r="V19" i="23"/>
  <c r="W19" i="23" s="1"/>
  <c r="V72" i="23"/>
  <c r="W72" i="23" s="1"/>
  <c r="V27" i="23"/>
  <c r="W27" i="23" s="1"/>
  <c r="V74" i="23"/>
  <c r="W74" i="23" s="1"/>
  <c r="V15" i="23"/>
  <c r="W15" i="23" s="1"/>
  <c r="V21" i="23"/>
  <c r="W21" i="23" s="1"/>
  <c r="V87" i="23"/>
  <c r="W87" i="23" s="1"/>
  <c r="V37" i="23"/>
  <c r="W37" i="23" s="1"/>
  <c r="V77" i="23"/>
  <c r="W77" i="23" s="1"/>
  <c r="V18" i="23"/>
  <c r="W18" i="23" s="1"/>
  <c r="V83" i="23"/>
  <c r="W83" i="23" s="1"/>
  <c r="V20" i="23"/>
  <c r="W20" i="23" s="1"/>
  <c r="V80" i="23"/>
  <c r="W80" i="23" s="1"/>
  <c r="V28" i="23"/>
  <c r="W28" i="23" s="1"/>
  <c r="V22" i="23"/>
  <c r="W22" i="23" s="1"/>
  <c r="V25" i="23"/>
  <c r="W25" i="23" s="1"/>
  <c r="V92" i="23"/>
  <c r="W92" i="23" s="1"/>
  <c r="V66" i="23"/>
  <c r="W66" i="23" s="1"/>
  <c r="V13" i="23"/>
  <c r="W13" i="23" s="1"/>
  <c r="V23" i="23"/>
  <c r="W23" i="23" s="1"/>
  <c r="V8" i="23"/>
  <c r="W8" i="23" s="1"/>
  <c r="V16" i="23"/>
  <c r="W16" i="23" s="1"/>
  <c r="V9" i="23"/>
  <c r="W9" i="23" s="1"/>
  <c r="V65" i="23"/>
  <c r="W65" i="23" s="1"/>
  <c r="V69" i="23"/>
  <c r="W69" i="23" s="1"/>
  <c r="V89" i="23"/>
  <c r="W89" i="23" s="1"/>
  <c r="V81" i="23"/>
  <c r="W81" i="23" s="1"/>
  <c r="D8" i="22"/>
  <c r="Q39" i="24" l="1"/>
  <c r="R10" i="24" s="1"/>
  <c r="R40" i="24" s="1"/>
  <c r="Q39" i="28"/>
  <c r="R10" i="28" s="1"/>
  <c r="Q39" i="27"/>
  <c r="R10" i="27" s="1"/>
  <c r="Q40" i="28"/>
  <c r="J41" i="28"/>
  <c r="K9" i="28" s="1"/>
  <c r="J9" i="28"/>
  <c r="J42" i="28" s="1"/>
  <c r="Q40" i="27"/>
  <c r="K203" i="22"/>
  <c r="K8" i="27"/>
  <c r="K7" i="27" s="1"/>
  <c r="Q179" i="22"/>
  <c r="P181" i="22"/>
  <c r="J26" i="27"/>
  <c r="J27" i="27" s="1"/>
  <c r="L132" i="22"/>
  <c r="L8" i="24"/>
  <c r="P235" i="22"/>
  <c r="O237" i="22"/>
  <c r="O115" i="22"/>
  <c r="P113" i="22"/>
  <c r="O187" i="22"/>
  <c r="P185" i="22"/>
  <c r="K41" i="24"/>
  <c r="I27" i="24"/>
  <c r="K8" i="28"/>
  <c r="M269" i="22"/>
  <c r="M273" i="22" s="1"/>
  <c r="I27" i="28"/>
  <c r="J14" i="24"/>
  <c r="K14" i="24" s="1"/>
  <c r="M6" i="28"/>
  <c r="K32" i="27"/>
  <c r="K7" i="24"/>
  <c r="L23" i="27"/>
  <c r="L24" i="27"/>
  <c r="L21" i="27"/>
  <c r="L11" i="27"/>
  <c r="L20" i="27" s="1"/>
  <c r="L5" i="27"/>
  <c r="K9" i="27"/>
  <c r="K42" i="27" s="1"/>
  <c r="K9" i="24"/>
  <c r="K42" i="24" s="1"/>
  <c r="K26" i="24"/>
  <c r="K27" i="24" s="1"/>
  <c r="K32" i="24"/>
  <c r="K26" i="28"/>
  <c r="K27" i="28" s="1"/>
  <c r="K32" i="28"/>
  <c r="J7" i="24"/>
  <c r="J12" i="24"/>
  <c r="J12" i="27"/>
  <c r="J7" i="27"/>
  <c r="K14" i="27"/>
  <c r="K41" i="27"/>
  <c r="L21" i="24"/>
  <c r="L23" i="24"/>
  <c r="L11" i="24"/>
  <c r="L20" i="24" s="1"/>
  <c r="L24" i="24"/>
  <c r="L5" i="24"/>
  <c r="L5" i="28"/>
  <c r="L23" i="28"/>
  <c r="L24" i="28"/>
  <c r="L11" i="28"/>
  <c r="L20" i="28" s="1"/>
  <c r="L21" i="28"/>
  <c r="N122" i="22"/>
  <c r="O120" i="22"/>
  <c r="O127" i="22" s="1"/>
  <c r="O6" i="24" s="1"/>
  <c r="N193" i="22"/>
  <c r="O191" i="22"/>
  <c r="N254" i="22"/>
  <c r="O252" i="22"/>
  <c r="L199" i="22"/>
  <c r="L201" i="22"/>
  <c r="L202" i="22" s="1"/>
  <c r="N171" i="22"/>
  <c r="M173" i="22"/>
  <c r="M200" i="22" s="1"/>
  <c r="M198" i="22"/>
  <c r="M6" i="27" s="1"/>
  <c r="M268" i="22"/>
  <c r="M270" i="22"/>
  <c r="L271" i="22"/>
  <c r="L204" i="22"/>
  <c r="N128" i="22"/>
  <c r="N130" i="22"/>
  <c r="N329" i="22"/>
  <c r="M330" i="22"/>
  <c r="M133" i="22"/>
  <c r="M131" i="22"/>
  <c r="O260" i="22"/>
  <c r="N267" i="22"/>
  <c r="N262" i="22"/>
  <c r="O244" i="22"/>
  <c r="N246" i="22"/>
  <c r="N109" i="22"/>
  <c r="S101" i="22"/>
  <c r="R103" i="22"/>
  <c r="E8" i="22"/>
  <c r="O20" i="3"/>
  <c r="N20" i="3"/>
  <c r="M20" i="3"/>
  <c r="L20" i="3"/>
  <c r="K20" i="3"/>
  <c r="Q4" i="19"/>
  <c r="P4" i="19"/>
  <c r="M4" i="19"/>
  <c r="K42" i="28" l="1"/>
  <c r="R40" i="27"/>
  <c r="R40" i="28"/>
  <c r="R39" i="28"/>
  <c r="S10" i="28" s="1"/>
  <c r="R39" i="27"/>
  <c r="S10" i="27" s="1"/>
  <c r="R39" i="24"/>
  <c r="S10" i="24" s="1"/>
  <c r="S40" i="24" s="1"/>
  <c r="K41" i="28"/>
  <c r="N129" i="22"/>
  <c r="N133" i="22" s="1"/>
  <c r="R179" i="22"/>
  <c r="Q181" i="22"/>
  <c r="K26" i="27"/>
  <c r="K27" i="27" s="1"/>
  <c r="L203" i="22"/>
  <c r="L8" i="27"/>
  <c r="M132" i="22"/>
  <c r="M8" i="24"/>
  <c r="P237" i="22"/>
  <c r="Q235" i="22"/>
  <c r="M271" i="22"/>
  <c r="M272" i="22" s="1"/>
  <c r="Q113" i="22"/>
  <c r="P115" i="22"/>
  <c r="P187" i="22"/>
  <c r="Q185" i="22"/>
  <c r="K12" i="24"/>
  <c r="K12" i="27"/>
  <c r="L14" i="24"/>
  <c r="L32" i="27"/>
  <c r="N6" i="28"/>
  <c r="M23" i="28"/>
  <c r="M5" i="28"/>
  <c r="M21" i="28"/>
  <c r="M24" i="28"/>
  <c r="M11" i="28"/>
  <c r="M20" i="28" s="1"/>
  <c r="M24" i="27"/>
  <c r="M21" i="27"/>
  <c r="M11" i="27"/>
  <c r="M20" i="27" s="1"/>
  <c r="M23" i="27"/>
  <c r="M5" i="27"/>
  <c r="L26" i="28"/>
  <c r="L27" i="28" s="1"/>
  <c r="L32" i="28"/>
  <c r="M5" i="24"/>
  <c r="M24" i="24"/>
  <c r="M11" i="24"/>
  <c r="M20" i="24" s="1"/>
  <c r="M21" i="24"/>
  <c r="M23" i="24"/>
  <c r="L41" i="24"/>
  <c r="L9" i="27"/>
  <c r="L42" i="27" s="1"/>
  <c r="L9" i="24"/>
  <c r="L42" i="24" s="1"/>
  <c r="L41" i="28"/>
  <c r="L9" i="28"/>
  <c r="L42" i="28" s="1"/>
  <c r="L41" i="27"/>
  <c r="L272" i="22"/>
  <c r="L8" i="28"/>
  <c r="M7" i="24"/>
  <c r="L26" i="24"/>
  <c r="L32" i="24"/>
  <c r="L14" i="27"/>
  <c r="O122" i="22"/>
  <c r="P120" i="22"/>
  <c r="O193" i="22"/>
  <c r="P191" i="22"/>
  <c r="O254" i="22"/>
  <c r="P252" i="22"/>
  <c r="M199" i="22"/>
  <c r="M201" i="22"/>
  <c r="O171" i="22"/>
  <c r="N173" i="22"/>
  <c r="N200" i="22" s="1"/>
  <c r="N198" i="22"/>
  <c r="N6" i="27" s="1"/>
  <c r="N268" i="22"/>
  <c r="N270" i="22"/>
  <c r="M204" i="22"/>
  <c r="M202" i="22"/>
  <c r="O128" i="22"/>
  <c r="O130" i="22"/>
  <c r="O329" i="22"/>
  <c r="N330" i="22"/>
  <c r="T101" i="22"/>
  <c r="S103" i="22"/>
  <c r="P127" i="22"/>
  <c r="P6" i="24" s="1"/>
  <c r="O109" i="22"/>
  <c r="O129" i="22" s="1"/>
  <c r="P244" i="22"/>
  <c r="O246" i="22"/>
  <c r="N269" i="22"/>
  <c r="P260" i="22"/>
  <c r="O267" i="22"/>
  <c r="O262" i="22"/>
  <c r="F8" i="22"/>
  <c r="AI8" i="23"/>
  <c r="AI7" i="23"/>
  <c r="AI6" i="23"/>
  <c r="AI5" i="23"/>
  <c r="AI4" i="23"/>
  <c r="AH8" i="23"/>
  <c r="AH7" i="23"/>
  <c r="AH6" i="23"/>
  <c r="AH5" i="23"/>
  <c r="AH4" i="23"/>
  <c r="AG5" i="23"/>
  <c r="AG6" i="23"/>
  <c r="AG7" i="23"/>
  <c r="AG8" i="23"/>
  <c r="AG4" i="23"/>
  <c r="AF4" i="23"/>
  <c r="AF5" i="23"/>
  <c r="AF6" i="23"/>
  <c r="AF7" i="23"/>
  <c r="AF8" i="23"/>
  <c r="E2" i="1"/>
  <c r="E20" i="10"/>
  <c r="D20" i="10"/>
  <c r="F77" i="17"/>
  <c r="F50" i="1" s="1"/>
  <c r="G77" i="17"/>
  <c r="F49" i="1" s="1"/>
  <c r="H77" i="17"/>
  <c r="F48" i="1" s="1"/>
  <c r="I77" i="17"/>
  <c r="F47" i="1" s="1"/>
  <c r="J77" i="17"/>
  <c r="F46" i="1" s="1"/>
  <c r="K77" i="17"/>
  <c r="L77" i="17"/>
  <c r="M77" i="17"/>
  <c r="S40" i="28" l="1"/>
  <c r="S39" i="28"/>
  <c r="T10" i="28" s="1"/>
  <c r="S39" i="24"/>
  <c r="T10" i="24" s="1"/>
  <c r="T40" i="24" s="1"/>
  <c r="S39" i="27"/>
  <c r="T10" i="27" s="1"/>
  <c r="N131" i="22"/>
  <c r="S40" i="27"/>
  <c r="M32" i="24"/>
  <c r="M26" i="24"/>
  <c r="M27" i="24" s="1"/>
  <c r="M8" i="28"/>
  <c r="M203" i="22"/>
  <c r="M8" i="27"/>
  <c r="L26" i="27"/>
  <c r="L27" i="27" s="1"/>
  <c r="S179" i="22"/>
  <c r="R181" i="22"/>
  <c r="N132" i="22"/>
  <c r="N8" i="24"/>
  <c r="R235" i="22"/>
  <c r="Q237" i="22"/>
  <c r="M14" i="24"/>
  <c r="M41" i="24"/>
  <c r="R113" i="22"/>
  <c r="Q115" i="22"/>
  <c r="R185" i="22"/>
  <c r="Q187" i="22"/>
  <c r="L27" i="24"/>
  <c r="M41" i="27"/>
  <c r="O269" i="22"/>
  <c r="O273" i="22" s="1"/>
  <c r="M9" i="27"/>
  <c r="M42" i="27" s="1"/>
  <c r="M9" i="24"/>
  <c r="M12" i="24" s="1"/>
  <c r="M41" i="28"/>
  <c r="M9" i="28"/>
  <c r="M42" i="28" s="1"/>
  <c r="N23" i="28"/>
  <c r="N5" i="28"/>
  <c r="N21" i="28"/>
  <c r="N11" i="28"/>
  <c r="N20" i="28" s="1"/>
  <c r="N24" i="28"/>
  <c r="M7" i="27"/>
  <c r="M14" i="27"/>
  <c r="M32" i="27"/>
  <c r="M26" i="28"/>
  <c r="M27" i="28" s="1"/>
  <c r="M32" i="28"/>
  <c r="N23" i="24"/>
  <c r="N24" i="24"/>
  <c r="N5" i="24"/>
  <c r="N11" i="24"/>
  <c r="N20" i="24" s="1"/>
  <c r="N21" i="24"/>
  <c r="O6" i="28"/>
  <c r="N24" i="27"/>
  <c r="N23" i="27"/>
  <c r="N5" i="27"/>
  <c r="N11" i="27"/>
  <c r="N20" i="27" s="1"/>
  <c r="N21" i="27"/>
  <c r="L7" i="27"/>
  <c r="L12" i="27"/>
  <c r="L7" i="24"/>
  <c r="L12" i="24"/>
  <c r="P122" i="22"/>
  <c r="Q120" i="22"/>
  <c r="Q127" i="22" s="1"/>
  <c r="Q6" i="24" s="1"/>
  <c r="P193" i="22"/>
  <c r="Q191" i="22"/>
  <c r="P254" i="22"/>
  <c r="Q252" i="22"/>
  <c r="N199" i="22"/>
  <c r="N201" i="22"/>
  <c r="N202" i="22" s="1"/>
  <c r="P171" i="22"/>
  <c r="O173" i="22"/>
  <c r="O200" i="22" s="1"/>
  <c r="O198" i="22"/>
  <c r="O6" i="27" s="1"/>
  <c r="O268" i="22"/>
  <c r="O270" i="22"/>
  <c r="N273" i="22"/>
  <c r="N271" i="22"/>
  <c r="N204" i="22"/>
  <c r="P128" i="22"/>
  <c r="P130" i="22"/>
  <c r="P329" i="22"/>
  <c r="O330" i="22"/>
  <c r="O133" i="22"/>
  <c r="O131" i="22"/>
  <c r="Q260" i="22"/>
  <c r="P267" i="22"/>
  <c r="P262" i="22"/>
  <c r="Q244" i="22"/>
  <c r="P246" i="22"/>
  <c r="P109" i="22"/>
  <c r="U101" i="22"/>
  <c r="T103" i="22"/>
  <c r="G8" i="22"/>
  <c r="C21" i="1" a="1"/>
  <c r="C21" i="1" s="1"/>
  <c r="C20" i="1" a="1"/>
  <c r="C20" i="1" s="1"/>
  <c r="AI3" i="23"/>
  <c r="AH3" i="23"/>
  <c r="AF3" i="23"/>
  <c r="C6" i="10"/>
  <c r="C43" i="10" s="1" a="1"/>
  <c r="C43" i="10" s="1"/>
  <c r="T39" i="27" l="1"/>
  <c r="U10" i="27" s="1"/>
  <c r="T39" i="28"/>
  <c r="U10" i="28" s="1"/>
  <c r="T39" i="24"/>
  <c r="U10" i="24" s="1"/>
  <c r="U40" i="24" s="1"/>
  <c r="M26" i="27"/>
  <c r="M27" i="27" s="1"/>
  <c r="T40" i="27"/>
  <c r="U40" i="27" s="1"/>
  <c r="P129" i="22"/>
  <c r="P131" i="22" s="1"/>
  <c r="T40" i="28"/>
  <c r="U40" i="28" s="1"/>
  <c r="N41" i="24"/>
  <c r="O132" i="22"/>
  <c r="O8" i="24"/>
  <c r="T179" i="22"/>
  <c r="S181" i="22"/>
  <c r="N203" i="22"/>
  <c r="N8" i="27"/>
  <c r="M42" i="24"/>
  <c r="S235" i="22"/>
  <c r="R237" i="22"/>
  <c r="M12" i="27"/>
  <c r="S113" i="22"/>
  <c r="R115" i="22"/>
  <c r="R187" i="22"/>
  <c r="S185" i="22"/>
  <c r="O271" i="22"/>
  <c r="O272" i="22" s="1"/>
  <c r="N26" i="24"/>
  <c r="N27" i="24" s="1"/>
  <c r="N32" i="24"/>
  <c r="P6" i="28"/>
  <c r="N26" i="27"/>
  <c r="N27" i="27" s="1"/>
  <c r="N32" i="27"/>
  <c r="N272" i="22"/>
  <c r="N8" i="28"/>
  <c r="N14" i="24"/>
  <c r="O5" i="28"/>
  <c r="O23" i="28"/>
  <c r="O11" i="28"/>
  <c r="O20" i="28" s="1"/>
  <c r="O24" i="28"/>
  <c r="O21" i="28"/>
  <c r="N9" i="27"/>
  <c r="N42" i="27" s="1"/>
  <c r="N9" i="24"/>
  <c r="N9" i="28"/>
  <c r="N42" i="28" s="1"/>
  <c r="N41" i="28"/>
  <c r="O23" i="24"/>
  <c r="O21" i="24"/>
  <c r="O5" i="24"/>
  <c r="O11" i="24"/>
  <c r="O20" i="24" s="1"/>
  <c r="O24" i="24"/>
  <c r="O21" i="27"/>
  <c r="O11" i="27"/>
  <c r="O20" i="27" s="1"/>
  <c r="O23" i="27"/>
  <c r="O24" i="27"/>
  <c r="O5" i="27"/>
  <c r="N41" i="27"/>
  <c r="N26" i="28"/>
  <c r="N27" i="28" s="1"/>
  <c r="N32" i="28"/>
  <c r="N14" i="27"/>
  <c r="D74" i="27"/>
  <c r="D74" i="24"/>
  <c r="Q122" i="22"/>
  <c r="R120" i="22"/>
  <c r="R127" i="22" s="1"/>
  <c r="R6" i="24" s="1"/>
  <c r="Q193" i="22"/>
  <c r="R191" i="22"/>
  <c r="Q254" i="22"/>
  <c r="R252" i="22"/>
  <c r="G43" i="10"/>
  <c r="H43" i="10" s="1"/>
  <c r="AG12" i="23"/>
  <c r="D74" i="28"/>
  <c r="T81" i="28" s="1"/>
  <c r="O199" i="22"/>
  <c r="O201" i="22"/>
  <c r="O202" i="22" s="1"/>
  <c r="Q171" i="22"/>
  <c r="P173" i="22"/>
  <c r="P200" i="22" s="1"/>
  <c r="P198" i="22"/>
  <c r="P6" i="27" s="1"/>
  <c r="P268" i="22"/>
  <c r="P270" i="22"/>
  <c r="O204" i="22"/>
  <c r="Q128" i="22"/>
  <c r="Q130" i="22"/>
  <c r="Q329" i="22"/>
  <c r="P330" i="22"/>
  <c r="C41" i="10"/>
  <c r="C42" i="10"/>
  <c r="V101" i="22"/>
  <c r="U103" i="22"/>
  <c r="Q109" i="22"/>
  <c r="R244" i="22"/>
  <c r="Q246" i="22"/>
  <c r="P269" i="22"/>
  <c r="R260" i="22"/>
  <c r="Q267" i="22"/>
  <c r="Q262" i="22"/>
  <c r="H8" i="22"/>
  <c r="L4" i="19"/>
  <c r="C8" i="10" a="1"/>
  <c r="C8" i="10" s="1"/>
  <c r="E26" i="10"/>
  <c r="L6" i="19"/>
  <c r="P9" i="19"/>
  <c r="P8" i="19"/>
  <c r="P7" i="19"/>
  <c r="P6" i="19"/>
  <c r="C23" i="17"/>
  <c r="B22" i="17" s="1"/>
  <c r="D23" i="17"/>
  <c r="E23" i="17"/>
  <c r="F23" i="17"/>
  <c r="G23" i="17"/>
  <c r="H23" i="17"/>
  <c r="I23" i="17"/>
  <c r="J23" i="17"/>
  <c r="K23" i="17"/>
  <c r="L23" i="17"/>
  <c r="M23" i="17"/>
  <c r="U39" i="27" l="1"/>
  <c r="V10" i="27" s="1"/>
  <c r="U39" i="28"/>
  <c r="V10" i="28" s="1"/>
  <c r="V40" i="28" s="1"/>
  <c r="U39" i="24"/>
  <c r="V10" i="24" s="1"/>
  <c r="V40" i="24" s="1"/>
  <c r="N42" i="24"/>
  <c r="P133" i="22"/>
  <c r="O41" i="24"/>
  <c r="V40" i="27"/>
  <c r="Q129" i="22"/>
  <c r="O32" i="24"/>
  <c r="P132" i="22"/>
  <c r="P8" i="24"/>
  <c r="O203" i="22"/>
  <c r="O8" i="27"/>
  <c r="O7" i="27" s="1"/>
  <c r="U179" i="22"/>
  <c r="T181" i="22"/>
  <c r="T235" i="22"/>
  <c r="S237" i="22"/>
  <c r="T113" i="22"/>
  <c r="S115" i="22"/>
  <c r="S187" i="22"/>
  <c r="T185" i="22"/>
  <c r="O8" i="28"/>
  <c r="O7" i="24"/>
  <c r="Q269" i="22"/>
  <c r="Q273" i="22" s="1"/>
  <c r="O26" i="28"/>
  <c r="O27" i="28" s="1"/>
  <c r="O32" i="28"/>
  <c r="O14" i="24"/>
  <c r="Q6" i="28"/>
  <c r="N7" i="27"/>
  <c r="N12" i="27"/>
  <c r="N12" i="24"/>
  <c r="N7" i="24"/>
  <c r="O14" i="27"/>
  <c r="P21" i="24"/>
  <c r="P11" i="24"/>
  <c r="P20" i="24" s="1"/>
  <c r="P23" i="24"/>
  <c r="P41" i="24" s="1"/>
  <c r="P5" i="24"/>
  <c r="P24" i="24"/>
  <c r="P23" i="28"/>
  <c r="P5" i="28"/>
  <c r="P11" i="28"/>
  <c r="P20" i="28" s="1"/>
  <c r="P21" i="28"/>
  <c r="P24" i="28"/>
  <c r="P23" i="27"/>
  <c r="P11" i="27"/>
  <c r="P20" i="27" s="1"/>
  <c r="P5" i="27"/>
  <c r="P24" i="27"/>
  <c r="P21" i="27"/>
  <c r="O26" i="24"/>
  <c r="O27" i="24" s="1"/>
  <c r="O26" i="27"/>
  <c r="O27" i="27" s="1"/>
  <c r="O32" i="27"/>
  <c r="O9" i="27"/>
  <c r="O42" i="27" s="1"/>
  <c r="O9" i="24"/>
  <c r="O41" i="28"/>
  <c r="O9" i="28"/>
  <c r="O42" i="28" s="1"/>
  <c r="O41" i="27"/>
  <c r="U84" i="24"/>
  <c r="X84" i="24"/>
  <c r="S82" i="24"/>
  <c r="V79" i="24"/>
  <c r="Q79" i="24"/>
  <c r="W78" i="24"/>
  <c r="T80" i="24"/>
  <c r="W84" i="24"/>
  <c r="P82" i="24"/>
  <c r="U79" i="24"/>
  <c r="R79" i="24"/>
  <c r="U81" i="24"/>
  <c r="P79" i="24"/>
  <c r="S81" i="24"/>
  <c r="V84" i="24"/>
  <c r="X81" i="24"/>
  <c r="T79" i="24"/>
  <c r="V81" i="24"/>
  <c r="P84" i="24"/>
  <c r="X83" i="24"/>
  <c r="W83" i="24"/>
  <c r="V83" i="24"/>
  <c r="U83" i="24"/>
  <c r="V78" i="24"/>
  <c r="Q80" i="24"/>
  <c r="W82" i="24"/>
  <c r="X79" i="24"/>
  <c r="T82" i="24"/>
  <c r="T84" i="24"/>
  <c r="W81" i="24"/>
  <c r="S79" i="24"/>
  <c r="S84" i="24"/>
  <c r="T81" i="24"/>
  <c r="R81" i="24"/>
  <c r="Q81" i="24"/>
  <c r="W79" i="24"/>
  <c r="T83" i="24"/>
  <c r="P81" i="24"/>
  <c r="S78" i="24"/>
  <c r="S83" i="24"/>
  <c r="R78" i="24"/>
  <c r="R83" i="24"/>
  <c r="X80" i="24"/>
  <c r="Q78" i="24"/>
  <c r="Q83" i="24"/>
  <c r="W80" i="24"/>
  <c r="P78" i="24"/>
  <c r="P83" i="24"/>
  <c r="U80" i="24"/>
  <c r="X82" i="24"/>
  <c r="P80" i="24"/>
  <c r="V82" i="24"/>
  <c r="V80" i="24"/>
  <c r="U82" i="24"/>
  <c r="R80" i="24"/>
  <c r="Q82" i="24"/>
  <c r="U78" i="24"/>
  <c r="S80" i="24"/>
  <c r="R84" i="24"/>
  <c r="T78" i="24"/>
  <c r="Q84" i="24"/>
  <c r="R82" i="24"/>
  <c r="X78" i="24"/>
  <c r="Q84" i="27"/>
  <c r="R79" i="27"/>
  <c r="P83" i="27"/>
  <c r="Q79" i="27"/>
  <c r="U82" i="27"/>
  <c r="V79" i="27"/>
  <c r="U83" i="27"/>
  <c r="P79" i="27"/>
  <c r="X78" i="27"/>
  <c r="W78" i="27"/>
  <c r="T82" i="27"/>
  <c r="S82" i="27"/>
  <c r="R82" i="27"/>
  <c r="Q82" i="27"/>
  <c r="T83" i="27"/>
  <c r="U81" i="27"/>
  <c r="T81" i="27"/>
  <c r="S81" i="27"/>
  <c r="V80" i="27"/>
  <c r="U80" i="27"/>
  <c r="T80" i="27"/>
  <c r="S79" i="27"/>
  <c r="W84" i="27"/>
  <c r="P78" i="27"/>
  <c r="W82" i="27"/>
  <c r="V81" i="27"/>
  <c r="X80" i="27"/>
  <c r="U84" i="27"/>
  <c r="P84" i="27"/>
  <c r="Q80" i="27"/>
  <c r="Q81" i="27"/>
  <c r="U78" i="27"/>
  <c r="S83" i="27"/>
  <c r="X81" i="27"/>
  <c r="Q83" i="27"/>
  <c r="U79" i="27"/>
  <c r="V84" i="27"/>
  <c r="R81" i="27"/>
  <c r="P82" i="27"/>
  <c r="T84" i="27"/>
  <c r="S78" i="27"/>
  <c r="R78" i="27"/>
  <c r="X83" i="27"/>
  <c r="S80" i="27"/>
  <c r="R83" i="27"/>
  <c r="Q78" i="27"/>
  <c r="V83" i="27"/>
  <c r="W83" i="27"/>
  <c r="W81" i="27"/>
  <c r="X82" i="27"/>
  <c r="V82" i="27"/>
  <c r="V78" i="27"/>
  <c r="P81" i="27"/>
  <c r="T78" i="27"/>
  <c r="T79" i="27"/>
  <c r="R80" i="27"/>
  <c r="W79" i="27"/>
  <c r="R84" i="27"/>
  <c r="X84" i="27"/>
  <c r="X79" i="27"/>
  <c r="W80" i="27"/>
  <c r="S84" i="27"/>
  <c r="P80" i="27"/>
  <c r="P78" i="28"/>
  <c r="X84" i="28"/>
  <c r="W84" i="28"/>
  <c r="V84" i="28"/>
  <c r="U84" i="28"/>
  <c r="T84" i="28"/>
  <c r="S84" i="28"/>
  <c r="R84" i="28"/>
  <c r="Q84" i="28"/>
  <c r="P84" i="28"/>
  <c r="X83" i="28"/>
  <c r="W83" i="28"/>
  <c r="V83" i="28"/>
  <c r="U83" i="28"/>
  <c r="T83" i="28"/>
  <c r="S83" i="28"/>
  <c r="R83" i="28"/>
  <c r="Q83" i="28"/>
  <c r="P83" i="28"/>
  <c r="X82" i="28"/>
  <c r="W82" i="28"/>
  <c r="V82" i="28"/>
  <c r="U82" i="28"/>
  <c r="T82" i="28"/>
  <c r="S82" i="28"/>
  <c r="R82" i="28"/>
  <c r="Q82" i="28"/>
  <c r="P82" i="28"/>
  <c r="X81" i="28"/>
  <c r="W81" i="28"/>
  <c r="V81" i="28"/>
  <c r="U81" i="28"/>
  <c r="S81" i="28"/>
  <c r="R81" i="28"/>
  <c r="Q81" i="28"/>
  <c r="P81" i="28"/>
  <c r="X80" i="28"/>
  <c r="W80" i="28"/>
  <c r="V80" i="28"/>
  <c r="U80" i="28"/>
  <c r="T80" i="28"/>
  <c r="S80" i="28"/>
  <c r="R80" i="28"/>
  <c r="Q80" i="28"/>
  <c r="P80" i="28"/>
  <c r="X79" i="28"/>
  <c r="W79" i="28"/>
  <c r="V79" i="28"/>
  <c r="U79" i="28"/>
  <c r="T79" i="28"/>
  <c r="S79" i="28"/>
  <c r="R79" i="28"/>
  <c r="Q79" i="28"/>
  <c r="P79" i="28"/>
  <c r="X78" i="28"/>
  <c r="W78" i="28"/>
  <c r="V78" i="28"/>
  <c r="U78" i="28"/>
  <c r="T78" i="28"/>
  <c r="S78" i="28"/>
  <c r="R78" i="28"/>
  <c r="Q78" i="28"/>
  <c r="R122" i="22"/>
  <c r="S120" i="22"/>
  <c r="S127" i="22" s="1"/>
  <c r="S6" i="24" s="1"/>
  <c r="R193" i="22"/>
  <c r="S191" i="22"/>
  <c r="R254" i="22"/>
  <c r="S252" i="22"/>
  <c r="G8" i="10"/>
  <c r="H8" i="10" s="1"/>
  <c r="G42" i="10"/>
  <c r="H42" i="10" s="1"/>
  <c r="G41" i="10"/>
  <c r="H41" i="10" s="1"/>
  <c r="P199" i="22"/>
  <c r="P201" i="22"/>
  <c r="P202" i="22" s="1"/>
  <c r="R171" i="22"/>
  <c r="Q173" i="22"/>
  <c r="Q200" i="22" s="1"/>
  <c r="Q198" i="22"/>
  <c r="Q6" i="27" s="1"/>
  <c r="Q268" i="22"/>
  <c r="Q270" i="22"/>
  <c r="P273" i="22"/>
  <c r="P271" i="22"/>
  <c r="P204" i="22"/>
  <c r="R128" i="22"/>
  <c r="R130" i="22"/>
  <c r="R329" i="22"/>
  <c r="Q330" i="22"/>
  <c r="Q133" i="22"/>
  <c r="Q131" i="22"/>
  <c r="S260" i="22"/>
  <c r="R267" i="22"/>
  <c r="R262" i="22"/>
  <c r="S244" i="22"/>
  <c r="R246" i="22"/>
  <c r="R109" i="22"/>
  <c r="W101" i="22"/>
  <c r="V103" i="22"/>
  <c r="I8" i="22"/>
  <c r="R129" i="22" l="1"/>
  <c r="V39" i="27"/>
  <c r="W10" i="27" s="1"/>
  <c r="V39" i="28"/>
  <c r="W10" i="28" s="1"/>
  <c r="W40" i="28" s="1"/>
  <c r="V39" i="24"/>
  <c r="W10" i="24" s="1"/>
  <c r="W40" i="24" s="1"/>
  <c r="W40" i="27"/>
  <c r="Q132" i="22"/>
  <c r="Q8" i="24"/>
  <c r="Q271" i="22"/>
  <c r="P203" i="22"/>
  <c r="P8" i="27"/>
  <c r="V179" i="22"/>
  <c r="U181" i="22"/>
  <c r="U235" i="22"/>
  <c r="T237" i="22"/>
  <c r="O12" i="24"/>
  <c r="U113" i="22"/>
  <c r="T115" i="22"/>
  <c r="T187" i="22"/>
  <c r="U185" i="22"/>
  <c r="O12" i="27"/>
  <c r="P14" i="24"/>
  <c r="Q23" i="28"/>
  <c r="Q5" i="28"/>
  <c r="Q24" i="28"/>
  <c r="Q21" i="28"/>
  <c r="Q11" i="28"/>
  <c r="Q20" i="28" s="1"/>
  <c r="P26" i="27"/>
  <c r="P27" i="27" s="1"/>
  <c r="P32" i="27"/>
  <c r="Q23" i="27"/>
  <c r="Q11" i="27"/>
  <c r="Q20" i="27" s="1"/>
  <c r="Q5" i="27"/>
  <c r="Q24" i="27"/>
  <c r="Q21" i="27"/>
  <c r="R6" i="28"/>
  <c r="P14" i="27"/>
  <c r="P41" i="27"/>
  <c r="P9" i="27"/>
  <c r="P42" i="27" s="1"/>
  <c r="P9" i="24"/>
  <c r="P9" i="28"/>
  <c r="P42" i="28" s="1"/>
  <c r="P41" i="28"/>
  <c r="P272" i="22"/>
  <c r="P8" i="28"/>
  <c r="Q21" i="24"/>
  <c r="Q5" i="24"/>
  <c r="Q23" i="24"/>
  <c r="Q11" i="24"/>
  <c r="Q20" i="24" s="1"/>
  <c r="Q24" i="24"/>
  <c r="P26" i="28"/>
  <c r="P27" i="28" s="1"/>
  <c r="P32" i="28"/>
  <c r="P26" i="24"/>
  <c r="P27" i="24" s="1"/>
  <c r="P32" i="24"/>
  <c r="Q272" i="22"/>
  <c r="Q8" i="28"/>
  <c r="O42" i="24"/>
  <c r="S122" i="22"/>
  <c r="T120" i="22"/>
  <c r="S193" i="22"/>
  <c r="T191" i="22"/>
  <c r="S254" i="22"/>
  <c r="T252" i="22"/>
  <c r="Q199" i="22"/>
  <c r="Q201" i="22"/>
  <c r="Q202" i="22" s="1"/>
  <c r="S171" i="22"/>
  <c r="R173" i="22"/>
  <c r="R200" i="22" s="1"/>
  <c r="R198" i="22"/>
  <c r="R6" i="27" s="1"/>
  <c r="R268" i="22"/>
  <c r="R270" i="22"/>
  <c r="Q204" i="22"/>
  <c r="S128" i="22"/>
  <c r="S130" i="22"/>
  <c r="S329" i="22"/>
  <c r="R330" i="22"/>
  <c r="R133" i="22"/>
  <c r="R131" i="22"/>
  <c r="X101" i="22"/>
  <c r="W103" i="22"/>
  <c r="T127" i="22"/>
  <c r="T6" i="24" s="1"/>
  <c r="S109" i="22"/>
  <c r="T244" i="22"/>
  <c r="S246" i="22"/>
  <c r="R269" i="22"/>
  <c r="T260" i="22"/>
  <c r="S267" i="22"/>
  <c r="S262" i="22"/>
  <c r="J8" i="22"/>
  <c r="K75" i="17"/>
  <c r="L75" i="17"/>
  <c r="M75" i="17"/>
  <c r="J75" i="17"/>
  <c r="E67" i="17"/>
  <c r="M63" i="17"/>
  <c r="F63" i="17"/>
  <c r="G63" i="17"/>
  <c r="H63" i="17"/>
  <c r="I63" i="17"/>
  <c r="J63" i="17"/>
  <c r="F31" i="1"/>
  <c r="F28" i="1"/>
  <c r="F29" i="1"/>
  <c r="F27" i="1"/>
  <c r="F21" i="1"/>
  <c r="W39" i="27" l="1"/>
  <c r="X10" i="27" s="1"/>
  <c r="W39" i="28"/>
  <c r="X10" i="28" s="1"/>
  <c r="X40" i="28" s="1"/>
  <c r="W39" i="24"/>
  <c r="X10" i="24" s="1"/>
  <c r="X40" i="27"/>
  <c r="S129" i="22"/>
  <c r="S133" i="22" s="1"/>
  <c r="X40" i="24"/>
  <c r="W179" i="22"/>
  <c r="V181" i="22"/>
  <c r="Q203" i="22"/>
  <c r="Q8" i="27"/>
  <c r="Q7" i="27" s="1"/>
  <c r="R132" i="22"/>
  <c r="R8" i="24"/>
  <c r="V235" i="22"/>
  <c r="U237" i="22"/>
  <c r="V113" i="22"/>
  <c r="U115" i="22"/>
  <c r="U187" i="22"/>
  <c r="V185" i="22"/>
  <c r="S269" i="22"/>
  <c r="S273" i="22" s="1"/>
  <c r="Q26" i="27"/>
  <c r="Q27" i="27" s="1"/>
  <c r="Q32" i="27"/>
  <c r="P42" i="24"/>
  <c r="Q7" i="24"/>
  <c r="S6" i="28"/>
  <c r="Q9" i="27"/>
  <c r="Q9" i="24"/>
  <c r="Q12" i="24" s="1"/>
  <c r="Q41" i="28"/>
  <c r="Q9" i="28"/>
  <c r="Q42" i="28" s="1"/>
  <c r="Q26" i="28"/>
  <c r="Q27" i="28" s="1"/>
  <c r="Q32" i="28"/>
  <c r="R11" i="27"/>
  <c r="R20" i="27" s="1"/>
  <c r="R23" i="27"/>
  <c r="R5" i="27"/>
  <c r="R21" i="27"/>
  <c r="R24" i="27"/>
  <c r="P7" i="24"/>
  <c r="P12" i="24"/>
  <c r="R23" i="24"/>
  <c r="R11" i="24"/>
  <c r="R20" i="24" s="1"/>
  <c r="R21" i="24"/>
  <c r="R24" i="24"/>
  <c r="R5" i="24"/>
  <c r="R23" i="28"/>
  <c r="R24" i="28"/>
  <c r="R21" i="28"/>
  <c r="R11" i="28"/>
  <c r="R20" i="28" s="1"/>
  <c r="Q26" i="24"/>
  <c r="Q32" i="24"/>
  <c r="P12" i="27"/>
  <c r="P7" i="27"/>
  <c r="Q14" i="27"/>
  <c r="R5" i="28"/>
  <c r="Q14" i="24"/>
  <c r="Q41" i="27"/>
  <c r="Q41" i="24"/>
  <c r="T122" i="22"/>
  <c r="U120" i="22"/>
  <c r="U127" i="22" s="1"/>
  <c r="U6" i="24" s="1"/>
  <c r="T193" i="22"/>
  <c r="U191" i="22"/>
  <c r="T254" i="22"/>
  <c r="U252" i="22"/>
  <c r="R199" i="22"/>
  <c r="R201" i="22"/>
  <c r="R202" i="22" s="1"/>
  <c r="T171" i="22"/>
  <c r="S173" i="22"/>
  <c r="S200" i="22" s="1"/>
  <c r="S198" i="22"/>
  <c r="S6" i="27" s="1"/>
  <c r="S268" i="22"/>
  <c r="S270" i="22"/>
  <c r="R273" i="22"/>
  <c r="R271" i="22"/>
  <c r="R204" i="22"/>
  <c r="T128" i="22"/>
  <c r="T130" i="22"/>
  <c r="T329" i="22"/>
  <c r="S330" i="22"/>
  <c r="U260" i="22"/>
  <c r="T267" i="22"/>
  <c r="T262" i="22"/>
  <c r="U244" i="22"/>
  <c r="T246" i="22"/>
  <c r="T109" i="22"/>
  <c r="Y101" i="22"/>
  <c r="X103" i="22"/>
  <c r="K8" i="22"/>
  <c r="X39" i="28" l="1"/>
  <c r="Y10" i="28" s="1"/>
  <c r="Y40" i="28" s="1"/>
  <c r="X39" i="24"/>
  <c r="Y10" i="24" s="1"/>
  <c r="Y40" i="24" s="1"/>
  <c r="X39" i="27"/>
  <c r="Y10" i="27" s="1"/>
  <c r="Y40" i="27" s="1"/>
  <c r="S131" i="22"/>
  <c r="T129" i="22"/>
  <c r="T131" i="22" s="1"/>
  <c r="S132" i="22"/>
  <c r="S8" i="24"/>
  <c r="R203" i="22"/>
  <c r="R8" i="27"/>
  <c r="R7" i="27" s="1"/>
  <c r="Q12" i="27"/>
  <c r="W181" i="22"/>
  <c r="X179" i="22"/>
  <c r="S271" i="22"/>
  <c r="S272" i="22" s="1"/>
  <c r="V237" i="22"/>
  <c r="W235" i="22"/>
  <c r="W113" i="22"/>
  <c r="V115" i="22"/>
  <c r="W185" i="22"/>
  <c r="V187" i="22"/>
  <c r="R41" i="27"/>
  <c r="R9" i="27"/>
  <c r="R9" i="24"/>
  <c r="R41" i="28"/>
  <c r="R9" i="28"/>
  <c r="R42" i="28" s="1"/>
  <c r="R26" i="24"/>
  <c r="R27" i="24" s="1"/>
  <c r="R32" i="24"/>
  <c r="S23" i="27"/>
  <c r="S21" i="27"/>
  <c r="S5" i="27"/>
  <c r="S11" i="27"/>
  <c r="S20" i="27" s="1"/>
  <c r="S24" i="27"/>
  <c r="R41" i="24"/>
  <c r="Q27" i="24"/>
  <c r="Q42" i="27"/>
  <c r="S23" i="28"/>
  <c r="S5" i="28"/>
  <c r="S24" i="28"/>
  <c r="S21" i="28"/>
  <c r="S11" i="28"/>
  <c r="S20" i="28" s="1"/>
  <c r="S24" i="24"/>
  <c r="S11" i="24"/>
  <c r="S20" i="24" s="1"/>
  <c r="S23" i="24"/>
  <c r="S21" i="24"/>
  <c r="S5" i="24"/>
  <c r="R272" i="22"/>
  <c r="R7" i="24"/>
  <c r="R8" i="28"/>
  <c r="R14" i="24"/>
  <c r="S7" i="24"/>
  <c r="Q42" i="24"/>
  <c r="R26" i="27"/>
  <c r="R27" i="27" s="1"/>
  <c r="R32" i="27"/>
  <c r="R26" i="28"/>
  <c r="R27" i="28" s="1"/>
  <c r="R32" i="28"/>
  <c r="T6" i="28"/>
  <c r="R14" i="27"/>
  <c r="U122" i="22"/>
  <c r="V120" i="22"/>
  <c r="V127" i="22" s="1"/>
  <c r="V6" i="24" s="1"/>
  <c r="U193" i="22"/>
  <c r="V191" i="22"/>
  <c r="U254" i="22"/>
  <c r="V252" i="22"/>
  <c r="S199" i="22"/>
  <c r="S201" i="22"/>
  <c r="S202" i="22" s="1"/>
  <c r="U171" i="22"/>
  <c r="T173" i="22"/>
  <c r="T200" i="22" s="1"/>
  <c r="T198" i="22"/>
  <c r="T6" i="27" s="1"/>
  <c r="T268" i="22"/>
  <c r="T270" i="22"/>
  <c r="S204" i="22"/>
  <c r="U128" i="22"/>
  <c r="U130" i="22"/>
  <c r="U329" i="22"/>
  <c r="T330" i="22"/>
  <c r="Z101" i="22"/>
  <c r="Y103" i="22"/>
  <c r="U109" i="22"/>
  <c r="U129" i="22" s="1"/>
  <c r="V244" i="22"/>
  <c r="U246" i="22"/>
  <c r="T269" i="22"/>
  <c r="V260" i="22"/>
  <c r="U267" i="22"/>
  <c r="U262" i="22"/>
  <c r="L8" i="22"/>
  <c r="E75" i="17"/>
  <c r="F75" i="17"/>
  <c r="G75" i="17"/>
  <c r="H75" i="17"/>
  <c r="I75" i="17"/>
  <c r="E36" i="17"/>
  <c r="F46" i="17"/>
  <c r="C32" i="17"/>
  <c r="K50" i="17"/>
  <c r="D75" i="17"/>
  <c r="C75" i="17"/>
  <c r="I22" i="17"/>
  <c r="K22" i="17"/>
  <c r="C8" i="19"/>
  <c r="M6" i="19"/>
  <c r="N6" i="19"/>
  <c r="O6" i="19"/>
  <c r="Q6" i="19"/>
  <c r="M7" i="19"/>
  <c r="N7" i="19"/>
  <c r="O7" i="19"/>
  <c r="Q7" i="19"/>
  <c r="M8" i="19"/>
  <c r="N8" i="19"/>
  <c r="O8" i="19"/>
  <c r="Q8" i="19"/>
  <c r="M9" i="19"/>
  <c r="N9" i="19"/>
  <c r="O9" i="19"/>
  <c r="Q9" i="19"/>
  <c r="L7" i="19"/>
  <c r="L8" i="19"/>
  <c r="L9" i="19"/>
  <c r="L19" i="3"/>
  <c r="M19" i="3"/>
  <c r="N19" i="3"/>
  <c r="O19" i="3"/>
  <c r="L21" i="3"/>
  <c r="M21" i="3"/>
  <c r="N21" i="3"/>
  <c r="O21" i="3"/>
  <c r="L22" i="3"/>
  <c r="M22" i="3"/>
  <c r="N22" i="3"/>
  <c r="O22" i="3"/>
  <c r="K21" i="3"/>
  <c r="K22" i="3"/>
  <c r="K19" i="3"/>
  <c r="O10" i="3"/>
  <c r="O5" i="3"/>
  <c r="N10" i="3"/>
  <c r="N5" i="3"/>
  <c r="M10" i="3"/>
  <c r="M5" i="3"/>
  <c r="L10" i="3"/>
  <c r="L5" i="3"/>
  <c r="K10" i="3"/>
  <c r="K5" i="3"/>
  <c r="D67" i="17"/>
  <c r="Y39" i="24" l="1"/>
  <c r="Z10" i="24" s="1"/>
  <c r="Z40" i="24" s="1"/>
  <c r="Y39" i="27"/>
  <c r="Z10" i="27" s="1"/>
  <c r="Z40" i="27" s="1"/>
  <c r="Y39" i="28"/>
  <c r="Z10" i="28" s="1"/>
  <c r="Z40" i="28" s="1"/>
  <c r="T133" i="22"/>
  <c r="T132" i="22"/>
  <c r="T8" i="24"/>
  <c r="S8" i="28"/>
  <c r="S203" i="22"/>
  <c r="S8" i="27"/>
  <c r="X181" i="22"/>
  <c r="Y179" i="22"/>
  <c r="W237" i="22"/>
  <c r="X235" i="22"/>
  <c r="S41" i="24"/>
  <c r="R42" i="24"/>
  <c r="X113" i="22"/>
  <c r="W115" i="22"/>
  <c r="W187" i="22"/>
  <c r="X185" i="22"/>
  <c r="S32" i="24"/>
  <c r="U269" i="22"/>
  <c r="U273" i="22" s="1"/>
  <c r="S14" i="24"/>
  <c r="S14" i="27"/>
  <c r="U6" i="28"/>
  <c r="T21" i="27"/>
  <c r="T24" i="27"/>
  <c r="T5" i="27"/>
  <c r="T11" i="27"/>
  <c r="T20" i="27" s="1"/>
  <c r="T23" i="27"/>
  <c r="T24" i="24"/>
  <c r="T23" i="24"/>
  <c r="T5" i="24"/>
  <c r="T11" i="24"/>
  <c r="T20" i="24" s="1"/>
  <c r="T21" i="24"/>
  <c r="S26" i="28"/>
  <c r="S27" i="28" s="1"/>
  <c r="S32" i="28"/>
  <c r="R12" i="24"/>
  <c r="R12" i="27"/>
  <c r="S26" i="27"/>
  <c r="S27" i="27" s="1"/>
  <c r="S32" i="27"/>
  <c r="S9" i="27"/>
  <c r="S9" i="24"/>
  <c r="S12" i="24" s="1"/>
  <c r="S41" i="28"/>
  <c r="S9" i="28"/>
  <c r="S42" i="28" s="1"/>
  <c r="S26" i="24"/>
  <c r="S27" i="24" s="1"/>
  <c r="S41" i="27"/>
  <c r="T23" i="28"/>
  <c r="T5" i="28"/>
  <c r="T11" i="28"/>
  <c r="T20" i="28" s="1"/>
  <c r="T21" i="28"/>
  <c r="T24" i="28"/>
  <c r="S7" i="27"/>
  <c r="R42" i="27"/>
  <c r="V122" i="22"/>
  <c r="W120" i="22"/>
  <c r="W127" i="22" s="1"/>
  <c r="W6" i="24" s="1"/>
  <c r="V193" i="22"/>
  <c r="W191" i="22"/>
  <c r="V254" i="22"/>
  <c r="W252" i="22"/>
  <c r="T199" i="22"/>
  <c r="T201" i="22"/>
  <c r="T202" i="22" s="1"/>
  <c r="V171" i="22"/>
  <c r="U173" i="22"/>
  <c r="U200" i="22" s="1"/>
  <c r="U198" i="22"/>
  <c r="U6" i="27" s="1"/>
  <c r="U268" i="22"/>
  <c r="U270" i="22"/>
  <c r="T273" i="22"/>
  <c r="T271" i="22"/>
  <c r="T204" i="22"/>
  <c r="V128" i="22"/>
  <c r="V130" i="22"/>
  <c r="V329" i="22"/>
  <c r="U330" i="22"/>
  <c r="U133" i="22"/>
  <c r="U131" i="22"/>
  <c r="W260" i="22"/>
  <c r="V267" i="22"/>
  <c r="V262" i="22"/>
  <c r="W244" i="22"/>
  <c r="V246" i="22"/>
  <c r="V109" i="22"/>
  <c r="AA101" i="22"/>
  <c r="Z103" i="22"/>
  <c r="M8" i="22"/>
  <c r="R8" i="19"/>
  <c r="R7" i="19"/>
  <c r="R6" i="19"/>
  <c r="R9" i="19"/>
  <c r="C6" i="19"/>
  <c r="D23" i="3"/>
  <c r="D45" i="10"/>
  <c r="E45" i="10"/>
  <c r="D9" i="10"/>
  <c r="D48" i="10" s="1"/>
  <c r="E9" i="10"/>
  <c r="D11" i="10"/>
  <c r="E11" i="10"/>
  <c r="D12" i="10"/>
  <c r="E12" i="10"/>
  <c r="D13" i="10"/>
  <c r="D14" i="10"/>
  <c r="E14" i="10"/>
  <c r="D15" i="10"/>
  <c r="E15" i="10"/>
  <c r="D18" i="10"/>
  <c r="D19" i="10"/>
  <c r="E19" i="10"/>
  <c r="D22" i="10"/>
  <c r="E22" i="10"/>
  <c r="D23" i="10"/>
  <c r="E23" i="10"/>
  <c r="D25" i="10"/>
  <c r="E25" i="10"/>
  <c r="D26" i="10"/>
  <c r="D27" i="10"/>
  <c r="E27" i="10"/>
  <c r="D28" i="10"/>
  <c r="E28" i="10"/>
  <c r="D29" i="10"/>
  <c r="E29" i="10"/>
  <c r="E31" i="10"/>
  <c r="D32" i="10"/>
  <c r="E32" i="10"/>
  <c r="E33" i="10"/>
  <c r="C51" i="10"/>
  <c r="C73" i="10"/>
  <c r="C72" i="10"/>
  <c r="C69" i="10"/>
  <c r="B16" i="3"/>
  <c r="E23" i="3"/>
  <c r="F23" i="3"/>
  <c r="K18" i="3"/>
  <c r="L18" i="3" s="1"/>
  <c r="M18" i="3" s="1"/>
  <c r="N18" i="3" s="1"/>
  <c r="O18" i="3" s="1"/>
  <c r="P18" i="3" s="1"/>
  <c r="K4" i="3"/>
  <c r="L4" i="3" s="1"/>
  <c r="M4" i="3" s="1"/>
  <c r="N4" i="3" s="1"/>
  <c r="O4" i="3" s="1"/>
  <c r="P4" i="3" s="1"/>
  <c r="D18" i="3"/>
  <c r="E18" i="3" s="1"/>
  <c r="F18" i="3" s="1"/>
  <c r="G18" i="3" s="1"/>
  <c r="H18" i="3" s="1"/>
  <c r="I18" i="3" s="1"/>
  <c r="D4" i="3"/>
  <c r="E4" i="3" s="1"/>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E70" i="16"/>
  <c r="D70" i="16"/>
  <c r="C70" i="16"/>
  <c r="B70" i="16"/>
  <c r="M69" i="16"/>
  <c r="L69" i="16"/>
  <c r="K69" i="16"/>
  <c r="J69" i="16"/>
  <c r="I69" i="16"/>
  <c r="H69" i="16"/>
  <c r="G69" i="16"/>
  <c r="F69" i="16"/>
  <c r="E69" i="16"/>
  <c r="D69" i="16"/>
  <c r="C69" i="16"/>
  <c r="B69" i="16"/>
  <c r="B23" i="16"/>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L52" i="16"/>
  <c r="J52" i="16"/>
  <c r="I52" i="16"/>
  <c r="H52" i="16"/>
  <c r="G52" i="16"/>
  <c r="F52" i="16"/>
  <c r="E52" i="16"/>
  <c r="D52" i="16"/>
  <c r="B52"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F50" i="16"/>
  <c r="E50" i="16"/>
  <c r="D50" i="16"/>
  <c r="C50" i="16"/>
  <c r="B50" i="16"/>
  <c r="M49" i="16"/>
  <c r="L49" i="16"/>
  <c r="K49" i="16"/>
  <c r="J49" i="16"/>
  <c r="I49" i="16"/>
  <c r="H49" i="16"/>
  <c r="G49" i="16"/>
  <c r="F49" i="16"/>
  <c r="E49" i="16"/>
  <c r="D49" i="16"/>
  <c r="C49" i="16"/>
  <c r="B44" i="16"/>
  <c r="C71" i="10" s="1"/>
  <c r="M42" i="16"/>
  <c r="L42" i="16"/>
  <c r="K42" i="16"/>
  <c r="J42" i="16"/>
  <c r="I42" i="16"/>
  <c r="H42" i="16"/>
  <c r="G42" i="16"/>
  <c r="F42" i="16"/>
  <c r="E42" i="16"/>
  <c r="D42" i="16"/>
  <c r="C42" i="16"/>
  <c r="B42" i="16"/>
  <c r="C70" i="10" s="1"/>
  <c r="M41" i="16"/>
  <c r="L41" i="16"/>
  <c r="K41" i="16"/>
  <c r="J41" i="16"/>
  <c r="I41" i="16"/>
  <c r="H41" i="16"/>
  <c r="G41" i="16"/>
  <c r="F41" i="16"/>
  <c r="E41" i="16"/>
  <c r="D41" i="16"/>
  <c r="C41" i="16"/>
  <c r="B41" i="16"/>
  <c r="M40" i="16"/>
  <c r="L40" i="16"/>
  <c r="K40" i="16"/>
  <c r="J40" i="16"/>
  <c r="I40" i="16"/>
  <c r="H40" i="16"/>
  <c r="G40" i="16"/>
  <c r="F40" i="16"/>
  <c r="E40" i="16"/>
  <c r="D40" i="16"/>
  <c r="C40" i="16"/>
  <c r="B40" i="16"/>
  <c r="M39" i="16"/>
  <c r="M26" i="16" s="1"/>
  <c r="L39" i="16"/>
  <c r="K39" i="16"/>
  <c r="J39" i="16"/>
  <c r="I39" i="16"/>
  <c r="H39" i="16"/>
  <c r="G39" i="16"/>
  <c r="F39" i="16"/>
  <c r="E39" i="16"/>
  <c r="D39" i="16"/>
  <c r="C39" i="16"/>
  <c r="J400" i="22" s="1"/>
  <c r="J401" i="22" s="1"/>
  <c r="B39" i="16"/>
  <c r="I400" i="22" s="1"/>
  <c r="I401" i="22" s="1"/>
  <c r="M33" i="16"/>
  <c r="L33" i="16"/>
  <c r="K33" i="16"/>
  <c r="J33" i="16"/>
  <c r="I33" i="16"/>
  <c r="H33" i="16"/>
  <c r="G33" i="16"/>
  <c r="F33" i="16"/>
  <c r="E33" i="16"/>
  <c r="D33" i="16"/>
  <c r="C33" i="16"/>
  <c r="B33" i="16"/>
  <c r="M32" i="16"/>
  <c r="L32" i="16"/>
  <c r="K32" i="16"/>
  <c r="J32" i="16"/>
  <c r="I32" i="16"/>
  <c r="H32" i="16"/>
  <c r="G32" i="16"/>
  <c r="F32" i="16"/>
  <c r="E32" i="16"/>
  <c r="D32" i="16"/>
  <c r="C32" i="16"/>
  <c r="B32" i="16"/>
  <c r="M28" i="16"/>
  <c r="L28" i="16"/>
  <c r="K28" i="16"/>
  <c r="J28" i="16"/>
  <c r="I28" i="16"/>
  <c r="H28" i="16"/>
  <c r="G28" i="16"/>
  <c r="F28" i="16"/>
  <c r="E28" i="16"/>
  <c r="D28" i="16"/>
  <c r="C28" i="16"/>
  <c r="B28" i="16"/>
  <c r="M27" i="16"/>
  <c r="L27" i="16"/>
  <c r="K27" i="16"/>
  <c r="J27" i="16"/>
  <c r="I27" i="16"/>
  <c r="H27" i="16"/>
  <c r="G27" i="16"/>
  <c r="F27" i="16"/>
  <c r="E27" i="16"/>
  <c r="D27" i="16"/>
  <c r="C27" i="16"/>
  <c r="B27" i="16"/>
  <c r="M23" i="16"/>
  <c r="L23" i="16"/>
  <c r="K23" i="16"/>
  <c r="J23" i="16"/>
  <c r="I23" i="16"/>
  <c r="H23" i="16"/>
  <c r="G23" i="16"/>
  <c r="F23" i="16"/>
  <c r="E23" i="16"/>
  <c r="D23" i="16"/>
  <c r="C23" i="16"/>
  <c r="M21" i="16"/>
  <c r="L21" i="16"/>
  <c r="K21" i="16"/>
  <c r="J21" i="16"/>
  <c r="I21" i="16"/>
  <c r="H21" i="16"/>
  <c r="G21" i="16"/>
  <c r="F21" i="16"/>
  <c r="E21" i="16"/>
  <c r="D21" i="16"/>
  <c r="C21" i="16"/>
  <c r="B21" i="16"/>
  <c r="M17" i="16"/>
  <c r="L17" i="16"/>
  <c r="K17" i="16"/>
  <c r="J17" i="16"/>
  <c r="I17" i="16"/>
  <c r="H17" i="16"/>
  <c r="G17" i="16"/>
  <c r="F17" i="16"/>
  <c r="E17" i="16"/>
  <c r="D17" i="16"/>
  <c r="C17" i="16"/>
  <c r="B17" i="16"/>
  <c r="M15" i="16"/>
  <c r="L15" i="16"/>
  <c r="K15" i="16"/>
  <c r="J15" i="16"/>
  <c r="I15" i="16"/>
  <c r="H15" i="16"/>
  <c r="G15" i="16"/>
  <c r="F15" i="16"/>
  <c r="E15" i="16"/>
  <c r="D15" i="16"/>
  <c r="C15" i="16"/>
  <c r="B15" i="16"/>
  <c r="M14" i="16"/>
  <c r="L14" i="16"/>
  <c r="K14" i="16"/>
  <c r="J14" i="16"/>
  <c r="I14" i="16"/>
  <c r="H14" i="16"/>
  <c r="G14" i="16"/>
  <c r="F14" i="16"/>
  <c r="E14" i="16"/>
  <c r="D14" i="16"/>
  <c r="C14" i="16"/>
  <c r="B14" i="16"/>
  <c r="C11" i="16"/>
  <c r="C19" i="16" s="1"/>
  <c r="D11" i="16"/>
  <c r="E11" i="16"/>
  <c r="F11" i="16"/>
  <c r="G11" i="16"/>
  <c r="H11" i="16"/>
  <c r="I11" i="16"/>
  <c r="J11" i="16"/>
  <c r="K11" i="16"/>
  <c r="L11" i="16"/>
  <c r="M11" i="16"/>
  <c r="B11" i="16"/>
  <c r="C7" i="16"/>
  <c r="D7" i="16"/>
  <c r="E7" i="16"/>
  <c r="F7" i="16"/>
  <c r="G7" i="16"/>
  <c r="H7" i="16"/>
  <c r="I7" i="16"/>
  <c r="J7" i="16"/>
  <c r="K7" i="16"/>
  <c r="L7" i="16"/>
  <c r="M7" i="16"/>
  <c r="B7" i="16"/>
  <c r="M5" i="16"/>
  <c r="L5" i="16"/>
  <c r="K5" i="16"/>
  <c r="J5" i="16"/>
  <c r="I5" i="16"/>
  <c r="H5" i="16"/>
  <c r="G5" i="16"/>
  <c r="F5" i="16"/>
  <c r="E5" i="16"/>
  <c r="D5" i="16"/>
  <c r="D45" i="16" s="1"/>
  <c r="C5" i="16"/>
  <c r="C45" i="16" s="1"/>
  <c r="B5" i="16"/>
  <c r="B45" i="16" s="1"/>
  <c r="D68" i="16"/>
  <c r="E68" i="16"/>
  <c r="F68" i="16"/>
  <c r="G68" i="16"/>
  <c r="H68" i="16"/>
  <c r="I68" i="16"/>
  <c r="K68" i="16"/>
  <c r="M71" i="16"/>
  <c r="L71" i="16"/>
  <c r="K71" i="16"/>
  <c r="J71" i="16"/>
  <c r="I71" i="16"/>
  <c r="H71" i="16"/>
  <c r="G71" i="16"/>
  <c r="F71" i="16"/>
  <c r="E71" i="16"/>
  <c r="D71" i="16"/>
  <c r="C71" i="16"/>
  <c r="B71" i="16"/>
  <c r="M75" i="16"/>
  <c r="L75" i="16"/>
  <c r="K75" i="16"/>
  <c r="J75" i="16"/>
  <c r="I75" i="16"/>
  <c r="H75" i="16"/>
  <c r="G75" i="16"/>
  <c r="F75" i="16"/>
  <c r="M67" i="16"/>
  <c r="M76" i="16" s="1"/>
  <c r="J67" i="16"/>
  <c r="J76" i="16" s="1"/>
  <c r="I67" i="16"/>
  <c r="I76" i="16" s="1"/>
  <c r="H67" i="16"/>
  <c r="G67" i="16"/>
  <c r="G76" i="16" s="1"/>
  <c r="F67" i="16"/>
  <c r="F76" i="16" s="1"/>
  <c r="C36" i="17"/>
  <c r="C44" i="16"/>
  <c r="B56" i="16"/>
  <c r="D50" i="17"/>
  <c r="D55" i="16" s="1"/>
  <c r="E50" i="17"/>
  <c r="E55" i="16" s="1"/>
  <c r="F50" i="17"/>
  <c r="F55" i="16" s="1"/>
  <c r="G50" i="17"/>
  <c r="H50" i="17"/>
  <c r="I50" i="17"/>
  <c r="J50" i="17"/>
  <c r="L50" i="17"/>
  <c r="M50" i="17"/>
  <c r="M55" i="16" s="1"/>
  <c r="B55" i="16"/>
  <c r="C46" i="17"/>
  <c r="C51" i="16" s="1"/>
  <c r="D46" i="17"/>
  <c r="D51" i="16" s="1"/>
  <c r="E46" i="17"/>
  <c r="G46" i="17"/>
  <c r="H46" i="17"/>
  <c r="I46" i="17"/>
  <c r="J46" i="17"/>
  <c r="J51" i="16" s="1"/>
  <c r="K46" i="17"/>
  <c r="L46" i="17"/>
  <c r="M46" i="17"/>
  <c r="B51" i="16"/>
  <c r="AB38" i="17"/>
  <c r="D44" i="24" l="1"/>
  <c r="E44" i="24" s="1"/>
  <c r="F44" i="24" s="1"/>
  <c r="D44" i="27"/>
  <c r="E44" i="27" s="1"/>
  <c r="F44" i="27" s="1"/>
  <c r="K400" i="22"/>
  <c r="K401" i="22" s="1"/>
  <c r="F45" i="16"/>
  <c r="Z39" i="27"/>
  <c r="AA10" i="27" s="1"/>
  <c r="AA40" i="27" s="1"/>
  <c r="Z39" i="28"/>
  <c r="AA10" i="28" s="1"/>
  <c r="AA40" i="28" s="1"/>
  <c r="Z39" i="24"/>
  <c r="AA10" i="24" s="1"/>
  <c r="AA40" i="24" s="1"/>
  <c r="S12" i="27"/>
  <c r="V129" i="22"/>
  <c r="U132" i="22"/>
  <c r="U8" i="24"/>
  <c r="Y181" i="22"/>
  <c r="Z179" i="22"/>
  <c r="T203" i="22"/>
  <c r="T8" i="27"/>
  <c r="U271" i="22"/>
  <c r="T41" i="24"/>
  <c r="X237" i="22"/>
  <c r="Y235" i="22"/>
  <c r="Y113" i="22"/>
  <c r="X115" i="22"/>
  <c r="Y185" i="22"/>
  <c r="X187" i="22"/>
  <c r="T41" i="27"/>
  <c r="T26" i="28"/>
  <c r="T27" i="28" s="1"/>
  <c r="T32" i="28"/>
  <c r="T26" i="24"/>
  <c r="T27" i="24" s="1"/>
  <c r="T32" i="24"/>
  <c r="U21" i="24"/>
  <c r="U23" i="24"/>
  <c r="U11" i="24"/>
  <c r="U20" i="24" s="1"/>
  <c r="U24" i="24"/>
  <c r="U5" i="24"/>
  <c r="U23" i="28"/>
  <c r="U5" i="28"/>
  <c r="U24" i="28"/>
  <c r="U21" i="28"/>
  <c r="U11" i="28"/>
  <c r="U20" i="28" s="1"/>
  <c r="T9" i="24"/>
  <c r="T9" i="27"/>
  <c r="T41" i="28"/>
  <c r="T9" i="28"/>
  <c r="T42" i="28" s="1"/>
  <c r="S42" i="27"/>
  <c r="U5" i="27"/>
  <c r="U11" i="27"/>
  <c r="U20" i="27" s="1"/>
  <c r="U21" i="27"/>
  <c r="U24" i="27"/>
  <c r="U23" i="27"/>
  <c r="U41" i="27" s="1"/>
  <c r="S42" i="24"/>
  <c r="T272" i="22"/>
  <c r="T8" i="28"/>
  <c r="T14" i="27"/>
  <c r="T32" i="27"/>
  <c r="T26" i="27"/>
  <c r="T27" i="27" s="1"/>
  <c r="U272" i="22"/>
  <c r="U8" i="28"/>
  <c r="V6" i="28"/>
  <c r="T14" i="24"/>
  <c r="H76" i="16"/>
  <c r="W122" i="22"/>
  <c r="X120" i="22"/>
  <c r="X127" i="22" s="1"/>
  <c r="X6" i="24" s="1"/>
  <c r="W193" i="22"/>
  <c r="X191" i="22"/>
  <c r="W254" i="22"/>
  <c r="X252" i="22"/>
  <c r="D44" i="28"/>
  <c r="E44" i="28" s="1"/>
  <c r="F44" i="28" s="1"/>
  <c r="G14" i="28"/>
  <c r="H14" i="28" s="1"/>
  <c r="I14" i="28" s="1"/>
  <c r="E48" i="10"/>
  <c r="U199" i="22"/>
  <c r="U201" i="22"/>
  <c r="U202" i="22" s="1"/>
  <c r="W171" i="22"/>
  <c r="V173" i="22"/>
  <c r="V200" i="22" s="1"/>
  <c r="V198" i="22"/>
  <c r="V6" i="27" s="1"/>
  <c r="C66" i="10"/>
  <c r="B58" i="16"/>
  <c r="C53" i="10"/>
  <c r="E45" i="16"/>
  <c r="V268" i="22"/>
  <c r="V270" i="22"/>
  <c r="U204" i="22"/>
  <c r="W128" i="22"/>
  <c r="W130" i="22"/>
  <c r="W329" i="22"/>
  <c r="V330" i="22"/>
  <c r="V133" i="22"/>
  <c r="V131" i="22"/>
  <c r="AB101" i="22"/>
  <c r="AA103" i="22"/>
  <c r="W109" i="22"/>
  <c r="X244" i="22"/>
  <c r="W246" i="22"/>
  <c r="V269" i="22"/>
  <c r="X260" i="22"/>
  <c r="W267" i="22"/>
  <c r="W262" i="22"/>
  <c r="AJ12" i="23"/>
  <c r="AJ13" i="23" s="1"/>
  <c r="C56" i="10"/>
  <c r="C55" i="10"/>
  <c r="C57" i="10" s="1"/>
  <c r="C49" i="10" s="1"/>
  <c r="B20" i="3"/>
  <c r="H30" i="1" s="1"/>
  <c r="B21" i="3"/>
  <c r="B22" i="3"/>
  <c r="H29" i="1" s="1"/>
  <c r="H31" i="1"/>
  <c r="AL12" i="23"/>
  <c r="C62" i="10"/>
  <c r="C31" i="10" s="1"/>
  <c r="G31" i="10" s="1"/>
  <c r="H31" i="10" s="1"/>
  <c r="B19" i="3"/>
  <c r="H27" i="1" s="1"/>
  <c r="C37" i="17"/>
  <c r="C61" i="10"/>
  <c r="H16" i="16"/>
  <c r="L58" i="16"/>
  <c r="M58" i="16"/>
  <c r="I58" i="16"/>
  <c r="J58" i="16"/>
  <c r="K58" i="16"/>
  <c r="C67" i="10"/>
  <c r="C23" i="10" s="1"/>
  <c r="C68" i="10"/>
  <c r="H12" i="16"/>
  <c r="E51" i="16"/>
  <c r="C54" i="10"/>
  <c r="D58" i="16"/>
  <c r="C58" i="16"/>
  <c r="G58" i="16"/>
  <c r="F58" i="16"/>
  <c r="E58" i="16"/>
  <c r="C59" i="10"/>
  <c r="M14" i="3"/>
  <c r="L14" i="3"/>
  <c r="O23" i="3"/>
  <c r="N23" i="3"/>
  <c r="M23" i="3"/>
  <c r="L23" i="3"/>
  <c r="K23" i="3"/>
  <c r="N14" i="3"/>
  <c r="O14" i="3"/>
  <c r="C22" i="10"/>
  <c r="C24" i="1"/>
  <c r="H58" i="16"/>
  <c r="E8" i="16"/>
  <c r="G8" i="16"/>
  <c r="M24" i="16"/>
  <c r="M25" i="16" s="1"/>
  <c r="L51" i="16"/>
  <c r="I16" i="16"/>
  <c r="L55" i="16"/>
  <c r="F51" i="16"/>
  <c r="L22" i="16"/>
  <c r="M51" i="16"/>
  <c r="K16" i="16"/>
  <c r="C16" i="16"/>
  <c r="E16" i="16"/>
  <c r="M16" i="16"/>
  <c r="F24" i="16"/>
  <c r="B8" i="16"/>
  <c r="J24" i="16"/>
  <c r="H55" i="16"/>
  <c r="G24" i="16"/>
  <c r="M8" i="16"/>
  <c r="G22" i="16"/>
  <c r="C24" i="16"/>
  <c r="K24" i="16"/>
  <c r="I55" i="16"/>
  <c r="L8" i="16"/>
  <c r="D8" i="16"/>
  <c r="J55" i="16"/>
  <c r="I8" i="16"/>
  <c r="K8" i="16"/>
  <c r="C8" i="16"/>
  <c r="F8" i="16"/>
  <c r="G16" i="16"/>
  <c r="G51" i="16"/>
  <c r="G55" i="16"/>
  <c r="E22" i="16"/>
  <c r="E24" i="16"/>
  <c r="B16" i="16"/>
  <c r="H51" i="16"/>
  <c r="J16" i="16"/>
  <c r="I51" i="16"/>
  <c r="I12" i="16"/>
  <c r="B24" i="16"/>
  <c r="J8" i="16"/>
  <c r="F12" i="16"/>
  <c r="B19" i="16"/>
  <c r="K51" i="16"/>
  <c r="C22" i="16"/>
  <c r="K22" i="16"/>
  <c r="D22" i="16"/>
  <c r="L24" i="16"/>
  <c r="L16" i="16"/>
  <c r="D12" i="16"/>
  <c r="H8" i="16"/>
  <c r="G12" i="16"/>
  <c r="D16" i="16"/>
  <c r="F22" i="16"/>
  <c r="D24" i="16"/>
  <c r="J12" i="16"/>
  <c r="F16" i="16"/>
  <c r="I22" i="16"/>
  <c r="H22" i="16"/>
  <c r="K12" i="16"/>
  <c r="C12" i="16"/>
  <c r="L12" i="16"/>
  <c r="B22" i="16"/>
  <c r="J22" i="16"/>
  <c r="M12" i="16"/>
  <c r="M13" i="16" s="1"/>
  <c r="M22" i="16"/>
  <c r="E12" i="16"/>
  <c r="H24" i="16"/>
  <c r="I24" i="16"/>
  <c r="B12" i="16"/>
  <c r="B2" i="3"/>
  <c r="C5" i="17"/>
  <c r="B4" i="16"/>
  <c r="L46" i="1"/>
  <c r="M46" i="1" s="1"/>
  <c r="B54" i="1"/>
  <c r="B53" i="1" s="1"/>
  <c r="B52" i="1" s="1"/>
  <c r="B51" i="1" s="1"/>
  <c r="B50" i="1" s="1"/>
  <c r="C12" i="19"/>
  <c r="C13" i="19"/>
  <c r="C14" i="19"/>
  <c r="C15" i="19"/>
  <c r="C16" i="19"/>
  <c r="C17" i="19"/>
  <c r="C18" i="19"/>
  <c r="C19" i="19"/>
  <c r="C20" i="19"/>
  <c r="C21" i="19"/>
  <c r="C22" i="19"/>
  <c r="C7" i="19"/>
  <c r="C9" i="19"/>
  <c r="C10" i="19"/>
  <c r="M22" i="17"/>
  <c r="AD53" i="17"/>
  <c r="AC53" i="17"/>
  <c r="AD52" i="17"/>
  <c r="AC52" i="17"/>
  <c r="AG49" i="17"/>
  <c r="AG52" i="17" s="1"/>
  <c r="AF49" i="17"/>
  <c r="AE49" i="17"/>
  <c r="AB49" i="17"/>
  <c r="AB52" i="17" s="1"/>
  <c r="AA49" i="17"/>
  <c r="AA52" i="17" s="1"/>
  <c r="Z49" i="17"/>
  <c r="Z52" i="17" s="1"/>
  <c r="E56" i="17"/>
  <c r="AD48" i="17"/>
  <c r="AC48" i="17"/>
  <c r="AB48" i="17"/>
  <c r="AA48" i="17"/>
  <c r="Z48" i="17"/>
  <c r="AG44" i="17"/>
  <c r="AG48" i="17" s="1"/>
  <c r="AF44" i="17"/>
  <c r="AF48" i="17" s="1"/>
  <c r="AE44" i="17"/>
  <c r="AE48" i="17" s="1"/>
  <c r="AG39" i="17"/>
  <c r="AF39" i="17"/>
  <c r="AE39" i="17"/>
  <c r="AD39" i="17"/>
  <c r="AC39" i="17"/>
  <c r="AB31" i="17"/>
  <c r="AB39" i="17" s="1"/>
  <c r="AA31" i="17"/>
  <c r="AA39" i="17" s="1"/>
  <c r="Z31" i="17"/>
  <c r="Z39" i="17" s="1"/>
  <c r="AA25" i="17"/>
  <c r="O74" i="17"/>
  <c r="AE12" i="17"/>
  <c r="AG11" i="17"/>
  <c r="AF11" i="17"/>
  <c r="AE11" i="17"/>
  <c r="AD11" i="17"/>
  <c r="L22" i="17"/>
  <c r="H22" i="17"/>
  <c r="D22" i="17"/>
  <c r="J22" i="17"/>
  <c r="G22" i="17"/>
  <c r="F22" i="17"/>
  <c r="E22" i="17"/>
  <c r="C22" i="17"/>
  <c r="AG9" i="17"/>
  <c r="AF9" i="17"/>
  <c r="AD9" i="17"/>
  <c r="AC9" i="17"/>
  <c r="AB9" i="17"/>
  <c r="AA9" i="17"/>
  <c r="Z9" i="17"/>
  <c r="AG10" i="17"/>
  <c r="AF10" i="17"/>
  <c r="AE10" i="17"/>
  <c r="AD10" i="17"/>
  <c r="AC10" i="17"/>
  <c r="AB10" i="17"/>
  <c r="AA10" i="17"/>
  <c r="Z10" i="17"/>
  <c r="AG7" i="17"/>
  <c r="AG8" i="17" s="1"/>
  <c r="AF7" i="17"/>
  <c r="AF8" i="17" s="1"/>
  <c r="AE7" i="17"/>
  <c r="AE8" i="17" s="1"/>
  <c r="AD7" i="17"/>
  <c r="AD8" i="17" s="1"/>
  <c r="AC7" i="17"/>
  <c r="AC8" i="17" s="1"/>
  <c r="AB7" i="17"/>
  <c r="AB8" i="17" s="1"/>
  <c r="AA7" i="17"/>
  <c r="AA8" i="17" s="1"/>
  <c r="Z7" i="17"/>
  <c r="Z8" i="17" s="1"/>
  <c r="Z13" i="17" s="1"/>
  <c r="Z14" i="17" s="1"/>
  <c r="O7" i="17"/>
  <c r="A2" i="16"/>
  <c r="A1" i="16"/>
  <c r="C22" i="1"/>
  <c r="F45" i="27" l="1"/>
  <c r="G45" i="27" s="1"/>
  <c r="G29" i="27" s="1"/>
  <c r="F45" i="24"/>
  <c r="G45" i="24" s="1"/>
  <c r="G29" i="24" s="1"/>
  <c r="I402" i="22"/>
  <c r="I403" i="22" s="1"/>
  <c r="E45" i="24"/>
  <c r="J402" i="22"/>
  <c r="J403" i="22" s="1"/>
  <c r="E45" i="27"/>
  <c r="K402" i="22"/>
  <c r="D45" i="27"/>
  <c r="D45" i="24"/>
  <c r="K403" i="22"/>
  <c r="G13" i="27"/>
  <c r="G15" i="27" s="1"/>
  <c r="G16" i="27" s="1"/>
  <c r="G17" i="27" s="1"/>
  <c r="G13" i="24"/>
  <c r="G15" i="24" s="1"/>
  <c r="G16" i="24" s="1"/>
  <c r="G17" i="24" s="1"/>
  <c r="W129" i="22"/>
  <c r="AA39" i="28"/>
  <c r="AB10" i="28" s="1"/>
  <c r="AB40" i="28" s="1"/>
  <c r="AA39" i="27"/>
  <c r="AB10" i="27" s="1"/>
  <c r="AB40" i="27" s="1"/>
  <c r="AA39" i="24"/>
  <c r="AB10" i="24" s="1"/>
  <c r="AB40" i="24" s="1"/>
  <c r="V132" i="22"/>
  <c r="V8" i="24"/>
  <c r="Z181" i="22"/>
  <c r="AA179" i="22"/>
  <c r="U203" i="22"/>
  <c r="U8" i="27"/>
  <c r="Y237" i="22"/>
  <c r="Z235" i="22"/>
  <c r="Z113" i="22"/>
  <c r="Y115" i="22"/>
  <c r="Z185" i="22"/>
  <c r="Y187" i="22"/>
  <c r="W269" i="22"/>
  <c r="W273" i="22" s="1"/>
  <c r="U26" i="24"/>
  <c r="U27" i="24" s="1"/>
  <c r="U32" i="24"/>
  <c r="V11" i="24"/>
  <c r="V20" i="24" s="1"/>
  <c r="V23" i="24"/>
  <c r="V24" i="24"/>
  <c r="V5" i="24"/>
  <c r="V21" i="24"/>
  <c r="T7" i="24"/>
  <c r="T12" i="24"/>
  <c r="U26" i="28"/>
  <c r="U27" i="28" s="1"/>
  <c r="U32" i="28"/>
  <c r="U26" i="27"/>
  <c r="U27" i="27" s="1"/>
  <c r="U32" i="27"/>
  <c r="U14" i="27"/>
  <c r="T7" i="27"/>
  <c r="T12" i="27"/>
  <c r="U14" i="24"/>
  <c r="V23" i="28"/>
  <c r="V5" i="28"/>
  <c r="V24" i="28"/>
  <c r="V21" i="28"/>
  <c r="V11" i="28"/>
  <c r="V20" i="28" s="1"/>
  <c r="U9" i="27"/>
  <c r="U9" i="24"/>
  <c r="U12" i="24" s="1"/>
  <c r="U41" i="28"/>
  <c r="U9" i="28"/>
  <c r="U42" i="28" s="1"/>
  <c r="W6" i="28"/>
  <c r="T42" i="24"/>
  <c r="V11" i="27"/>
  <c r="V20" i="27" s="1"/>
  <c r="V21" i="27"/>
  <c r="V5" i="27"/>
  <c r="V24" i="27"/>
  <c r="V23" i="27"/>
  <c r="U7" i="24"/>
  <c r="U7" i="27"/>
  <c r="T42" i="27"/>
  <c r="U41" i="24"/>
  <c r="X122" i="22"/>
  <c r="Y120" i="22"/>
  <c r="X193" i="22"/>
  <c r="Y191" i="22"/>
  <c r="X254" i="22"/>
  <c r="Y252" i="22"/>
  <c r="E45" i="28"/>
  <c r="D45" i="28"/>
  <c r="G49" i="10"/>
  <c r="H49" i="10" s="1"/>
  <c r="F45" i="28"/>
  <c r="G45" i="28" s="1"/>
  <c r="G29" i="28" s="1"/>
  <c r="J14" i="28"/>
  <c r="G22" i="10"/>
  <c r="H22" i="10"/>
  <c r="G23" i="10"/>
  <c r="H23" i="10"/>
  <c r="V199" i="22"/>
  <c r="V201" i="22"/>
  <c r="V202" i="22" s="1"/>
  <c r="X171" i="22"/>
  <c r="W173" i="22"/>
  <c r="W200" i="22" s="1"/>
  <c r="W198" i="22"/>
  <c r="W6" i="27" s="1"/>
  <c r="W268" i="22"/>
  <c r="W270" i="22"/>
  <c r="V273" i="22"/>
  <c r="V271" i="22"/>
  <c r="V204" i="22"/>
  <c r="X128" i="22"/>
  <c r="X130" i="22"/>
  <c r="X329" i="22"/>
  <c r="W330" i="22"/>
  <c r="W133" i="22"/>
  <c r="W131" i="22"/>
  <c r="Y260" i="22"/>
  <c r="X267" i="22"/>
  <c r="X262" i="22"/>
  <c r="Y244" i="22"/>
  <c r="X246" i="22"/>
  <c r="X109" i="22"/>
  <c r="X129" i="22" s="1"/>
  <c r="AC101" i="22"/>
  <c r="AB103" i="22"/>
  <c r="Y127" i="22"/>
  <c r="Y6" i="24" s="1"/>
  <c r="B11" i="3"/>
  <c r="B12" i="3"/>
  <c r="B13" i="3"/>
  <c r="B6" i="3"/>
  <c r="H22" i="1" s="1"/>
  <c r="B7" i="3"/>
  <c r="H23" i="1" s="1"/>
  <c r="B8" i="3"/>
  <c r="H24" i="1" s="1"/>
  <c r="B9" i="3"/>
  <c r="H25" i="1" s="1"/>
  <c r="B10" i="3"/>
  <c r="D5" i="17"/>
  <c r="D87" i="17" s="1"/>
  <c r="C87" i="17"/>
  <c r="E23" i="1"/>
  <c r="E24" i="1"/>
  <c r="C23" i="1"/>
  <c r="C25" i="1" s="1"/>
  <c r="AH12" i="23"/>
  <c r="AM12" i="23" s="1"/>
  <c r="C58" i="10"/>
  <c r="C20" i="10" s="1"/>
  <c r="C45" i="10"/>
  <c r="C29" i="10"/>
  <c r="G29" i="10" s="1"/>
  <c r="H29" i="10" s="1"/>
  <c r="C9" i="10"/>
  <c r="G9" i="10" s="1"/>
  <c r="H9" i="10" s="1"/>
  <c r="B23" i="3"/>
  <c r="H28" i="1"/>
  <c r="C13" i="10"/>
  <c r="G13" i="10" s="1"/>
  <c r="H13" i="10" s="1"/>
  <c r="C11" i="10"/>
  <c r="G11" i="10" s="1"/>
  <c r="H11" i="10" s="1"/>
  <c r="C28" i="10"/>
  <c r="G28" i="10" s="1"/>
  <c r="H28" i="10" s="1"/>
  <c r="B59" i="16"/>
  <c r="C26" i="10"/>
  <c r="G26" i="10" s="1"/>
  <c r="H26" i="10" s="1"/>
  <c r="C12" i="10"/>
  <c r="G12" i="10" s="1"/>
  <c r="H12" i="10" s="1"/>
  <c r="C32" i="10"/>
  <c r="G32" i="10" s="1"/>
  <c r="H32" i="10" s="1"/>
  <c r="C14" i="10"/>
  <c r="G14" i="10" s="1"/>
  <c r="H14" i="10" s="1"/>
  <c r="H13" i="16"/>
  <c r="G13" i="16"/>
  <c r="B60" i="16"/>
  <c r="B5" i="3"/>
  <c r="K14" i="3"/>
  <c r="C27" i="10"/>
  <c r="G27" i="10" s="1"/>
  <c r="H27" i="10" s="1"/>
  <c r="C25" i="10"/>
  <c r="G25" i="10" s="1"/>
  <c r="H25" i="10" s="1"/>
  <c r="M47" i="1"/>
  <c r="M55" i="1"/>
  <c r="L50" i="1"/>
  <c r="L51" i="1"/>
  <c r="M50" i="1"/>
  <c r="L54" i="1"/>
  <c r="M51" i="1"/>
  <c r="L55" i="1"/>
  <c r="M52" i="1"/>
  <c r="M53" i="1"/>
  <c r="M54" i="1"/>
  <c r="L47" i="1"/>
  <c r="L53" i="1"/>
  <c r="L52" i="1"/>
  <c r="K22" i="1"/>
  <c r="K24" i="1"/>
  <c r="K31" i="1"/>
  <c r="K30" i="1"/>
  <c r="K25" i="1"/>
  <c r="K23" i="1"/>
  <c r="E29" i="1"/>
  <c r="E28" i="1"/>
  <c r="B20" i="16"/>
  <c r="E22" i="1"/>
  <c r="E20" i="1"/>
  <c r="E21" i="1"/>
  <c r="L25" i="16"/>
  <c r="E25" i="16"/>
  <c r="I25" i="16"/>
  <c r="G25" i="16"/>
  <c r="D25" i="16"/>
  <c r="C13" i="16"/>
  <c r="B25" i="16"/>
  <c r="F25" i="16"/>
  <c r="E13" i="16"/>
  <c r="J25" i="16"/>
  <c r="H18" i="16"/>
  <c r="E18" i="16"/>
  <c r="L18" i="16"/>
  <c r="D56" i="16"/>
  <c r="K18" i="16"/>
  <c r="B18" i="16"/>
  <c r="G56" i="16"/>
  <c r="C18" i="16"/>
  <c r="C43" i="16"/>
  <c r="J56" i="16"/>
  <c r="F18" i="16"/>
  <c r="E56" i="16"/>
  <c r="B80" i="16"/>
  <c r="B43" i="16"/>
  <c r="B57" i="16" s="1"/>
  <c r="K25" i="16"/>
  <c r="G18" i="16"/>
  <c r="B64" i="16"/>
  <c r="AK12" i="23" s="1"/>
  <c r="H56" i="16"/>
  <c r="I18" i="16"/>
  <c r="B82" i="16"/>
  <c r="B81" i="16"/>
  <c r="J18" i="16"/>
  <c r="L56" i="16"/>
  <c r="M56" i="16"/>
  <c r="F56" i="16"/>
  <c r="I56" i="16"/>
  <c r="M18" i="16"/>
  <c r="D18" i="16"/>
  <c r="K13" i="16"/>
  <c r="F13" i="16"/>
  <c r="B13" i="16"/>
  <c r="J13" i="16"/>
  <c r="C25" i="16"/>
  <c r="H25" i="16"/>
  <c r="I13" i="16"/>
  <c r="L13" i="16"/>
  <c r="D13" i="16"/>
  <c r="AD13" i="17"/>
  <c r="AD14" i="17" s="1"/>
  <c r="AB53" i="17"/>
  <c r="AG53" i="17"/>
  <c r="Z53" i="17"/>
  <c r="AA13" i="17"/>
  <c r="AA14" i="17" s="1"/>
  <c r="AC13" i="17"/>
  <c r="AC14" i="17" s="1"/>
  <c r="AG13" i="17"/>
  <c r="AG14" i="17" s="1"/>
  <c r="AA53" i="17"/>
  <c r="AB13" i="17"/>
  <c r="AB14" i="17" s="1"/>
  <c r="AE13" i="17"/>
  <c r="AE14" i="17" s="1"/>
  <c r="AE53" i="17"/>
  <c r="AF13" i="17"/>
  <c r="AF14" i="17" s="1"/>
  <c r="AF53" i="17"/>
  <c r="AF52" i="17"/>
  <c r="AE52" i="17"/>
  <c r="C4" i="16"/>
  <c r="D4" i="16" s="1"/>
  <c r="E4" i="16" s="1"/>
  <c r="F4" i="16" s="1"/>
  <c r="E5" i="17"/>
  <c r="B49" i="1"/>
  <c r="G31" i="27" l="1"/>
  <c r="G19" i="27"/>
  <c r="G22" i="27" s="1"/>
  <c r="G19" i="24"/>
  <c r="G22" i="24" s="1"/>
  <c r="G31" i="24"/>
  <c r="L403" i="22"/>
  <c r="U12" i="27"/>
  <c r="AB39" i="28"/>
  <c r="AC10" i="28" s="1"/>
  <c r="AC40" i="28" s="1"/>
  <c r="AB39" i="24"/>
  <c r="AC10" i="24" s="1"/>
  <c r="AC40" i="24" s="1"/>
  <c r="AB39" i="27"/>
  <c r="AC10" i="27" s="1"/>
  <c r="AC40" i="27" s="1"/>
  <c r="W271" i="22"/>
  <c r="V26" i="24"/>
  <c r="W132" i="22"/>
  <c r="W8" i="24"/>
  <c r="AA181" i="22"/>
  <c r="AB179" i="22"/>
  <c r="V203" i="22"/>
  <c r="V8" i="27"/>
  <c r="Z237" i="22"/>
  <c r="AA235" i="22"/>
  <c r="V14" i="27"/>
  <c r="AA113" i="22"/>
  <c r="Z115" i="22"/>
  <c r="Z187" i="22"/>
  <c r="AA185" i="22"/>
  <c r="V41" i="24"/>
  <c r="U42" i="27"/>
  <c r="W23" i="27"/>
  <c r="W5" i="27"/>
  <c r="W21" i="27"/>
  <c r="W11" i="27"/>
  <c r="W20" i="27" s="1"/>
  <c r="W24" i="27"/>
  <c r="V272" i="22"/>
  <c r="V8" i="28"/>
  <c r="W23" i="28"/>
  <c r="W5" i="28"/>
  <c r="W11" i="28"/>
  <c r="W20" i="28" s="1"/>
  <c r="W21" i="28"/>
  <c r="W24" i="28"/>
  <c r="W272" i="22"/>
  <c r="W8" i="28"/>
  <c r="X6" i="28"/>
  <c r="V32" i="24"/>
  <c r="V32" i="27"/>
  <c r="V26" i="27"/>
  <c r="W23" i="24"/>
  <c r="W21" i="24"/>
  <c r="W24" i="24"/>
  <c r="W5" i="24"/>
  <c r="W11" i="24"/>
  <c r="W20" i="24" s="1"/>
  <c r="V27" i="24"/>
  <c r="V14" i="24"/>
  <c r="V26" i="28"/>
  <c r="V27" i="28" s="1"/>
  <c r="V32" i="28"/>
  <c r="V9" i="24"/>
  <c r="V9" i="27"/>
  <c r="V9" i="28"/>
  <c r="V42" i="28" s="1"/>
  <c r="V41" i="28"/>
  <c r="U42" i="24"/>
  <c r="V41" i="27"/>
  <c r="G13" i="28"/>
  <c r="G15" i="28" s="1"/>
  <c r="G16" i="28" s="1"/>
  <c r="G17" i="28" s="1"/>
  <c r="Y122" i="22"/>
  <c r="Z120" i="22"/>
  <c r="Z127" i="22" s="1"/>
  <c r="Z6" i="24" s="1"/>
  <c r="Y193" i="22"/>
  <c r="Z191" i="22"/>
  <c r="Y254" i="22"/>
  <c r="Z252" i="22"/>
  <c r="K14" i="28"/>
  <c r="G20" i="10"/>
  <c r="H20" i="10"/>
  <c r="G45" i="10"/>
  <c r="H45" i="10" s="1"/>
  <c r="C48" i="10"/>
  <c r="G48" i="10" s="1"/>
  <c r="H48" i="10" s="1"/>
  <c r="W199" i="22"/>
  <c r="W201" i="22"/>
  <c r="W202" i="22" s="1"/>
  <c r="Y171" i="22"/>
  <c r="X173" i="22"/>
  <c r="X200" i="22" s="1"/>
  <c r="X198" i="22"/>
  <c r="X6" i="27" s="1"/>
  <c r="X268" i="22"/>
  <c r="X270" i="22"/>
  <c r="W204" i="22"/>
  <c r="Y128" i="22"/>
  <c r="Y130" i="22"/>
  <c r="Y329" i="22"/>
  <c r="X330" i="22"/>
  <c r="X133" i="22"/>
  <c r="X131" i="22"/>
  <c r="AD101" i="22"/>
  <c r="AC103" i="22"/>
  <c r="Y109" i="22"/>
  <c r="Z244" i="22"/>
  <c r="Y246" i="22"/>
  <c r="X269" i="22"/>
  <c r="Z260" i="22"/>
  <c r="Y267" i="22"/>
  <c r="Y262" i="22"/>
  <c r="AN12" i="23"/>
  <c r="AM13" i="23"/>
  <c r="AM14" i="23" s="1"/>
  <c r="M42" i="1" s="1"/>
  <c r="C75" i="10"/>
  <c r="AJ14" i="23"/>
  <c r="M40" i="1" s="1"/>
  <c r="H21" i="1"/>
  <c r="M32" i="1"/>
  <c r="C39" i="10" s="1"/>
  <c r="B14" i="3"/>
  <c r="K27" i="1"/>
  <c r="K26" i="1"/>
  <c r="E25" i="1"/>
  <c r="C74" i="10"/>
  <c r="B34" i="16"/>
  <c r="M27" i="1"/>
  <c r="M24" i="1"/>
  <c r="B35" i="16"/>
  <c r="F5" i="17"/>
  <c r="G4" i="16"/>
  <c r="B48" i="1"/>
  <c r="H68" i="28" l="1"/>
  <c r="H68" i="24"/>
  <c r="H68" i="27"/>
  <c r="H73" i="24"/>
  <c r="H74" i="24" s="1"/>
  <c r="G35" i="24"/>
  <c r="G30" i="24" s="1"/>
  <c r="H73" i="27"/>
  <c r="H74" i="27" s="1"/>
  <c r="G35" i="27"/>
  <c r="G30" i="27" s="1"/>
  <c r="Y129" i="22"/>
  <c r="AC39" i="28"/>
  <c r="AD10" i="28" s="1"/>
  <c r="AD40" i="28" s="1"/>
  <c r="AC39" i="24"/>
  <c r="AD10" i="24" s="1"/>
  <c r="AD40" i="24" s="1"/>
  <c r="AC39" i="27"/>
  <c r="AD10" i="27" s="1"/>
  <c r="AD40" i="27" s="1"/>
  <c r="X132" i="22"/>
  <c r="X8" i="24"/>
  <c r="W203" i="22"/>
  <c r="W8" i="27"/>
  <c r="W7" i="27" s="1"/>
  <c r="AB181" i="22"/>
  <c r="AC179" i="22"/>
  <c r="W26" i="27"/>
  <c r="AB235" i="22"/>
  <c r="AA237" i="22"/>
  <c r="V27" i="27"/>
  <c r="AB113" i="22"/>
  <c r="AA115" i="22"/>
  <c r="AB185" i="22"/>
  <c r="AA187" i="22"/>
  <c r="W41" i="27"/>
  <c r="W41" i="24"/>
  <c r="Y269" i="22"/>
  <c r="Y273" i="22" s="1"/>
  <c r="V42" i="24"/>
  <c r="W32" i="28"/>
  <c r="X5" i="24"/>
  <c r="X11" i="24"/>
  <c r="X20" i="24" s="1"/>
  <c r="X23" i="24"/>
  <c r="X24" i="24"/>
  <c r="X21" i="24"/>
  <c r="V42" i="27"/>
  <c r="W26" i="24"/>
  <c r="W27" i="24" s="1"/>
  <c r="W32" i="24"/>
  <c r="V7" i="24"/>
  <c r="V12" i="24"/>
  <c r="W32" i="27"/>
  <c r="W14" i="24"/>
  <c r="X21" i="27"/>
  <c r="X11" i="27"/>
  <c r="X20" i="27" s="1"/>
  <c r="X5" i="27"/>
  <c r="X24" i="27"/>
  <c r="X23" i="27"/>
  <c r="W26" i="28"/>
  <c r="W27" i="28" s="1"/>
  <c r="V7" i="27"/>
  <c r="V12" i="27"/>
  <c r="Y6" i="28"/>
  <c r="W9" i="27"/>
  <c r="W9" i="24"/>
  <c r="W41" i="28"/>
  <c r="W9" i="28"/>
  <c r="W42" i="28" s="1"/>
  <c r="X23" i="28"/>
  <c r="X5" i="28"/>
  <c r="X21" i="28"/>
  <c r="X24" i="28"/>
  <c r="X11" i="28"/>
  <c r="X20" i="28" s="1"/>
  <c r="W27" i="27"/>
  <c r="W7" i="24"/>
  <c r="W14" i="27"/>
  <c r="G19" i="28"/>
  <c r="G22" i="28" s="1"/>
  <c r="G35" i="28" s="1"/>
  <c r="G30" i="28" s="1"/>
  <c r="G31" i="28"/>
  <c r="Z122" i="22"/>
  <c r="AA120" i="22"/>
  <c r="AA127" i="22" s="1"/>
  <c r="AA6" i="24" s="1"/>
  <c r="Z193" i="22"/>
  <c r="AA191" i="22"/>
  <c r="Z254" i="22"/>
  <c r="AA252" i="22"/>
  <c r="L14" i="28"/>
  <c r="C33" i="10"/>
  <c r="G33" i="10" s="1"/>
  <c r="H33" i="10" s="1"/>
  <c r="G39" i="10"/>
  <c r="H39" i="10" s="1"/>
  <c r="X199" i="22"/>
  <c r="X201" i="22"/>
  <c r="X202" i="22" s="1"/>
  <c r="Z171" i="22"/>
  <c r="Y173" i="22"/>
  <c r="Y200" i="22" s="1"/>
  <c r="Y198" i="22"/>
  <c r="Y6" i="27" s="1"/>
  <c r="Y268" i="22"/>
  <c r="Y270" i="22"/>
  <c r="X273" i="22"/>
  <c r="X271" i="22"/>
  <c r="X204" i="22"/>
  <c r="Z128" i="22"/>
  <c r="Z130" i="22"/>
  <c r="Z329" i="22"/>
  <c r="Y330" i="22"/>
  <c r="Y133" i="22"/>
  <c r="Y131" i="22"/>
  <c r="AA260" i="22"/>
  <c r="Z267" i="22"/>
  <c r="Z262" i="22"/>
  <c r="AA244" i="22"/>
  <c r="Z246" i="22"/>
  <c r="Z109" i="22"/>
  <c r="AE101" i="22"/>
  <c r="AD103" i="22"/>
  <c r="C16" i="10"/>
  <c r="C35" i="10"/>
  <c r="G35" i="10" s="1"/>
  <c r="H35" i="10" s="1"/>
  <c r="C34" i="10"/>
  <c r="G34" i="10" s="1"/>
  <c r="H34" i="10" s="1"/>
  <c r="C15" i="10"/>
  <c r="C19" i="10"/>
  <c r="C18" i="10"/>
  <c r="B36" i="16"/>
  <c r="G5" i="17"/>
  <c r="H4" i="16"/>
  <c r="B47" i="1"/>
  <c r="Z129" i="22" l="1"/>
  <c r="G36" i="24"/>
  <c r="G37" i="24" s="1"/>
  <c r="G44" i="24" s="1"/>
  <c r="G33" i="24"/>
  <c r="G36" i="27"/>
  <c r="G37" i="27" s="1"/>
  <c r="G44" i="27" s="1"/>
  <c r="G33" i="27"/>
  <c r="AD39" i="27"/>
  <c r="AE10" i="27" s="1"/>
  <c r="AE40" i="27" s="1"/>
  <c r="AD39" i="28"/>
  <c r="AE10" i="28" s="1"/>
  <c r="AE40" i="28" s="1"/>
  <c r="AD39" i="24"/>
  <c r="AE10" i="24" s="1"/>
  <c r="AE40" i="24" s="1"/>
  <c r="W12" i="27"/>
  <c r="X41" i="24"/>
  <c r="Y132" i="22"/>
  <c r="Y8" i="24"/>
  <c r="X203" i="22"/>
  <c r="X8" i="27"/>
  <c r="AC181" i="22"/>
  <c r="AD179" i="22"/>
  <c r="Y271" i="22"/>
  <c r="W42" i="24"/>
  <c r="X32" i="24"/>
  <c r="AB237" i="22"/>
  <c r="AC235" i="22"/>
  <c r="X41" i="27"/>
  <c r="AC113" i="22"/>
  <c r="AB115" i="22"/>
  <c r="AB187" i="22"/>
  <c r="AC185" i="22"/>
  <c r="X14" i="24"/>
  <c r="Z6" i="28"/>
  <c r="X9" i="27"/>
  <c r="X9" i="24"/>
  <c r="X41" i="28"/>
  <c r="X9" i="28"/>
  <c r="X42" i="28" s="1"/>
  <c r="Y23" i="27"/>
  <c r="Y11" i="27"/>
  <c r="Y20" i="27" s="1"/>
  <c r="Y5" i="27"/>
  <c r="Y24" i="27"/>
  <c r="Y21" i="27"/>
  <c r="X26" i="28"/>
  <c r="X27" i="28" s="1"/>
  <c r="X32" i="28"/>
  <c r="Y23" i="28"/>
  <c r="Y5" i="28"/>
  <c r="Y11" i="28"/>
  <c r="Y20" i="28" s="1"/>
  <c r="Y21" i="28"/>
  <c r="Y24" i="28"/>
  <c r="X26" i="24"/>
  <c r="X27" i="24" s="1"/>
  <c r="Y5" i="24"/>
  <c r="Y23" i="24"/>
  <c r="Y11" i="24"/>
  <c r="Y20" i="24" s="1"/>
  <c r="Y24" i="24"/>
  <c r="Y21" i="24"/>
  <c r="X14" i="27"/>
  <c r="X272" i="22"/>
  <c r="X7" i="24"/>
  <c r="X8" i="28"/>
  <c r="W12" i="24"/>
  <c r="W42" i="27"/>
  <c r="Y272" i="22"/>
  <c r="Y8" i="28"/>
  <c r="X26" i="27"/>
  <c r="X27" i="27" s="1"/>
  <c r="X32" i="27"/>
  <c r="G36" i="28"/>
  <c r="G37" i="28" s="1"/>
  <c r="G44" i="28" s="1"/>
  <c r="G33" i="28"/>
  <c r="AA122" i="22"/>
  <c r="AB120" i="22"/>
  <c r="AB127" i="22" s="1"/>
  <c r="AB6" i="24" s="1"/>
  <c r="AA193" i="22"/>
  <c r="AB191" i="22"/>
  <c r="AA254" i="22"/>
  <c r="AB252" i="22"/>
  <c r="M14" i="28"/>
  <c r="G18" i="10"/>
  <c r="H18" i="10" s="1"/>
  <c r="G19" i="10"/>
  <c r="H19" i="10"/>
  <c r="G15" i="10"/>
  <c r="H15" i="10"/>
  <c r="G16" i="10"/>
  <c r="H16" i="10"/>
  <c r="K28" i="1"/>
  <c r="Y199" i="22"/>
  <c r="Y201" i="22"/>
  <c r="Y202" i="22" s="1"/>
  <c r="AA171" i="22"/>
  <c r="Z173" i="22"/>
  <c r="Z200" i="22" s="1"/>
  <c r="Z198" i="22"/>
  <c r="Z6" i="27" s="1"/>
  <c r="Z268" i="22"/>
  <c r="Z270" i="22"/>
  <c r="Y204" i="22"/>
  <c r="AA128" i="22"/>
  <c r="AA130" i="22"/>
  <c r="AA329" i="22"/>
  <c r="Z330" i="22"/>
  <c r="Z133" i="22"/>
  <c r="Z131" i="22"/>
  <c r="AF101" i="22"/>
  <c r="AF103" i="22" s="1"/>
  <c r="AE103" i="22"/>
  <c r="AA109" i="22"/>
  <c r="AB244" i="22"/>
  <c r="AA246" i="22"/>
  <c r="Z269" i="22"/>
  <c r="AB260" i="22"/>
  <c r="AA267" i="22"/>
  <c r="AA262" i="22"/>
  <c r="E26" i="1"/>
  <c r="H5" i="17"/>
  <c r="I4" i="16"/>
  <c r="J4" i="16" s="1"/>
  <c r="B46" i="1"/>
  <c r="D46" i="1" s="1" a="1"/>
  <c r="H45" i="27" l="1"/>
  <c r="H29" i="27" s="1"/>
  <c r="H13" i="27"/>
  <c r="H15" i="27" s="1"/>
  <c r="H16" i="27" s="1"/>
  <c r="H17" i="27" s="1"/>
  <c r="H13" i="24"/>
  <c r="H15" i="24" s="1"/>
  <c r="H16" i="24" s="1"/>
  <c r="H17" i="24" s="1"/>
  <c r="H45" i="24"/>
  <c r="H29" i="24" s="1"/>
  <c r="AE39" i="27"/>
  <c r="AF10" i="27" s="1"/>
  <c r="AF40" i="27" s="1"/>
  <c r="AG40" i="27" s="1"/>
  <c r="AE39" i="28"/>
  <c r="AF10" i="28" s="1"/>
  <c r="AF40" i="28" s="1"/>
  <c r="AG40" i="28" s="1"/>
  <c r="AE39" i="24"/>
  <c r="AF10" i="24" s="1"/>
  <c r="AF40" i="24" s="1"/>
  <c r="AA129" i="22"/>
  <c r="Z132" i="22"/>
  <c r="Z8" i="24"/>
  <c r="Y203" i="22"/>
  <c r="Y8" i="27"/>
  <c r="AD181" i="22"/>
  <c r="AE179" i="22"/>
  <c r="Y41" i="27"/>
  <c r="AA269" i="22"/>
  <c r="AC237" i="22"/>
  <c r="AD235" i="22"/>
  <c r="AC115" i="22"/>
  <c r="AD113" i="22"/>
  <c r="AC187" i="22"/>
  <c r="AD185" i="22"/>
  <c r="X12" i="24"/>
  <c r="Y14" i="24"/>
  <c r="Y7" i="24"/>
  <c r="Y9" i="27"/>
  <c r="Y9" i="24"/>
  <c r="Y12" i="24" s="1"/>
  <c r="Y41" i="28"/>
  <c r="Y9" i="28"/>
  <c r="Y42" i="28" s="1"/>
  <c r="Y26" i="24"/>
  <c r="Y27" i="24" s="1"/>
  <c r="Y32" i="24"/>
  <c r="Z23" i="28"/>
  <c r="Z5" i="28"/>
  <c r="Z21" i="28"/>
  <c r="Z24" i="28"/>
  <c r="Z11" i="28"/>
  <c r="Z20" i="28" s="1"/>
  <c r="AA6" i="28"/>
  <c r="Y7" i="27"/>
  <c r="Z24" i="24"/>
  <c r="Z11" i="24"/>
  <c r="Z20" i="24" s="1"/>
  <c r="Z5" i="24"/>
  <c r="Z23" i="24"/>
  <c r="Z21" i="24"/>
  <c r="Y26" i="27"/>
  <c r="Y27" i="27" s="1"/>
  <c r="Y32" i="27"/>
  <c r="Z23" i="27"/>
  <c r="Z5" i="27"/>
  <c r="Z11" i="27"/>
  <c r="Z20" i="27" s="1"/>
  <c r="Z21" i="27"/>
  <c r="Z24" i="27"/>
  <c r="Y41" i="24"/>
  <c r="X42" i="24"/>
  <c r="X12" i="27"/>
  <c r="X7" i="27"/>
  <c r="Y14" i="27"/>
  <c r="X42" i="27"/>
  <c r="Y26" i="28"/>
  <c r="Y27" i="28" s="1"/>
  <c r="Y32" i="28"/>
  <c r="H13" i="28"/>
  <c r="H45" i="28"/>
  <c r="H29" i="28" s="1"/>
  <c r="AB122" i="22"/>
  <c r="AC120" i="22"/>
  <c r="AC127" i="22" s="1"/>
  <c r="AC6" i="24" s="1"/>
  <c r="AB193" i="22"/>
  <c r="AC191" i="22"/>
  <c r="AB254" i="22"/>
  <c r="AC252" i="22"/>
  <c r="N14" i="28"/>
  <c r="Z199" i="22"/>
  <c r="Z201" i="22"/>
  <c r="Z202" i="22" s="1"/>
  <c r="AB171" i="22"/>
  <c r="AA173" i="22"/>
  <c r="AA200" i="22" s="1"/>
  <c r="AA198" i="22"/>
  <c r="AA6" i="27" s="1"/>
  <c r="AA273" i="22"/>
  <c r="AA268" i="22"/>
  <c r="AA270" i="22"/>
  <c r="Z273" i="22"/>
  <c r="Z271" i="22"/>
  <c r="Z204" i="22"/>
  <c r="AB128" i="22"/>
  <c r="AB130" i="22"/>
  <c r="AB329" i="22"/>
  <c r="AA330" i="22"/>
  <c r="AA133" i="22"/>
  <c r="AA131" i="22"/>
  <c r="AC260" i="22"/>
  <c r="AB267" i="22"/>
  <c r="AB262" i="22"/>
  <c r="AC244" i="22"/>
  <c r="AB246" i="22"/>
  <c r="AB109" i="22"/>
  <c r="D46" i="1"/>
  <c r="D58" i="1"/>
  <c r="H46" i="1" a="1"/>
  <c r="H46" i="1" s="1"/>
  <c r="C46" i="1" a="1"/>
  <c r="I5" i="17"/>
  <c r="H31" i="24" l="1"/>
  <c r="H19" i="24"/>
  <c r="H22" i="24" s="1"/>
  <c r="H31" i="27"/>
  <c r="H19" i="27"/>
  <c r="H22" i="27" s="1"/>
  <c r="Y12" i="27"/>
  <c r="AA271" i="22"/>
  <c r="AB330" i="22"/>
  <c r="AF39" i="27"/>
  <c r="AG39" i="27" s="1"/>
  <c r="AF39" i="28"/>
  <c r="AG39" i="28" s="1"/>
  <c r="AF39" i="24"/>
  <c r="AB129" i="22"/>
  <c r="Z41" i="24"/>
  <c r="AA132" i="22"/>
  <c r="AA8" i="24"/>
  <c r="AE181" i="22"/>
  <c r="AF179" i="22"/>
  <c r="AF181" i="22" s="1"/>
  <c r="Z203" i="22"/>
  <c r="Z8" i="27"/>
  <c r="AD237" i="22"/>
  <c r="AE235" i="22"/>
  <c r="AD115" i="22"/>
  <c r="AE113" i="22"/>
  <c r="AD187" i="22"/>
  <c r="AE185" i="22"/>
  <c r="Z26" i="24"/>
  <c r="Z27" i="24" s="1"/>
  <c r="Z26" i="28"/>
  <c r="Z27" i="28" s="1"/>
  <c r="Z32" i="28"/>
  <c r="Z26" i="27"/>
  <c r="Z27" i="27" s="1"/>
  <c r="Z32" i="27"/>
  <c r="Z14" i="24"/>
  <c r="Z32" i="24"/>
  <c r="Z14" i="27"/>
  <c r="AB6" i="28"/>
  <c r="AA21" i="27"/>
  <c r="AA5" i="27"/>
  <c r="AA11" i="27"/>
  <c r="AA20" i="27" s="1"/>
  <c r="AA23" i="27"/>
  <c r="AA24" i="27"/>
  <c r="Y42" i="27"/>
  <c r="AA24" i="24"/>
  <c r="AA23" i="24"/>
  <c r="AA5" i="24"/>
  <c r="AA11" i="24"/>
  <c r="AA20" i="24" s="1"/>
  <c r="AA21" i="24"/>
  <c r="Z41" i="27"/>
  <c r="Z9" i="24"/>
  <c r="Z9" i="27"/>
  <c r="Z9" i="28"/>
  <c r="Z42" i="28" s="1"/>
  <c r="Z41" i="28"/>
  <c r="Z272" i="22"/>
  <c r="Z8" i="28"/>
  <c r="AA272" i="22"/>
  <c r="AA8" i="28"/>
  <c r="Y42" i="24"/>
  <c r="AA23" i="28"/>
  <c r="AA5" i="28"/>
  <c r="AA24" i="28"/>
  <c r="AA11" i="28"/>
  <c r="AA20" i="28" s="1"/>
  <c r="AA21" i="28"/>
  <c r="AC122" i="22"/>
  <c r="AD120" i="22"/>
  <c r="AD127" i="22" s="1"/>
  <c r="AD6" i="24" s="1"/>
  <c r="AC193" i="22"/>
  <c r="AD191" i="22"/>
  <c r="AC254" i="22"/>
  <c r="AD252" i="22"/>
  <c r="O14" i="28"/>
  <c r="AA199" i="22"/>
  <c r="AA201" i="22"/>
  <c r="AA202" i="22" s="1"/>
  <c r="AC171" i="22"/>
  <c r="AB173" i="22"/>
  <c r="AB200" i="22" s="1"/>
  <c r="AB198" i="22"/>
  <c r="AB6" i="27" s="1"/>
  <c r="AB268" i="22"/>
  <c r="AB270" i="22"/>
  <c r="AA204" i="22"/>
  <c r="AC128" i="22"/>
  <c r="AC130" i="22"/>
  <c r="AB133" i="22"/>
  <c r="AB131" i="22"/>
  <c r="AC109" i="22"/>
  <c r="AD244" i="22"/>
  <c r="AC246" i="22"/>
  <c r="AB269" i="22"/>
  <c r="AD260" i="22"/>
  <c r="AC267" i="22"/>
  <c r="AC262" i="22"/>
  <c r="C46" i="1"/>
  <c r="C55" i="1" s="1"/>
  <c r="J5" i="17"/>
  <c r="K4" i="16"/>
  <c r="H35" i="27" l="1"/>
  <c r="I73" i="27"/>
  <c r="I74" i="27" s="1"/>
  <c r="H35" i="24"/>
  <c r="I73" i="24"/>
  <c r="I74" i="24" s="1"/>
  <c r="AA41" i="24"/>
  <c r="AC129" i="22"/>
  <c r="AB132" i="22"/>
  <c r="AB8" i="24"/>
  <c r="AA203" i="22"/>
  <c r="AA8" i="27"/>
  <c r="AE237" i="22"/>
  <c r="AF235" i="22"/>
  <c r="AF237" i="22" s="1"/>
  <c r="AE115" i="22"/>
  <c r="AF113" i="22"/>
  <c r="AF115" i="22" s="1"/>
  <c r="AE187" i="22"/>
  <c r="AF185" i="22"/>
  <c r="AF187" i="22" s="1"/>
  <c r="Z42" i="24"/>
  <c r="AC269" i="22"/>
  <c r="AC273" i="22" s="1"/>
  <c r="AB23" i="28"/>
  <c r="AB5" i="28"/>
  <c r="AB11" i="28"/>
  <c r="AB20" i="28" s="1"/>
  <c r="AB24" i="28"/>
  <c r="AB21" i="28"/>
  <c r="Z7" i="27"/>
  <c r="Z12" i="27"/>
  <c r="AA26" i="28"/>
  <c r="AA27" i="28" s="1"/>
  <c r="AA32" i="28"/>
  <c r="AA14" i="24"/>
  <c r="AA9" i="27"/>
  <c r="AA12" i="27" s="1"/>
  <c r="AA9" i="24"/>
  <c r="AA41" i="28"/>
  <c r="AA9" i="28"/>
  <c r="AA42" i="28" s="1"/>
  <c r="AB24" i="24"/>
  <c r="AB5" i="24"/>
  <c r="AB11" i="24"/>
  <c r="AB20" i="24" s="1"/>
  <c r="AB21" i="24"/>
  <c r="AB23" i="24"/>
  <c r="AB41" i="24" s="1"/>
  <c r="AA14" i="27"/>
  <c r="AA26" i="27"/>
  <c r="AA27" i="27" s="1"/>
  <c r="AA32" i="27"/>
  <c r="AB24" i="27"/>
  <c r="AB5" i="27"/>
  <c r="AB21" i="27"/>
  <c r="AB23" i="27"/>
  <c r="AB11" i="27"/>
  <c r="AB20" i="27" s="1"/>
  <c r="AC6" i="28"/>
  <c r="Z7" i="24"/>
  <c r="Z12" i="24"/>
  <c r="AA41" i="27"/>
  <c r="AA26" i="24"/>
  <c r="AA27" i="24" s="1"/>
  <c r="AA32" i="24"/>
  <c r="AA7" i="27"/>
  <c r="AA7" i="24"/>
  <c r="Z42" i="27"/>
  <c r="AD122" i="22"/>
  <c r="AE120" i="22"/>
  <c r="AE127" i="22" s="1"/>
  <c r="AE6" i="24" s="1"/>
  <c r="AD193" i="22"/>
  <c r="AE191" i="22"/>
  <c r="AD254" i="22"/>
  <c r="AE252" i="22"/>
  <c r="P14" i="28"/>
  <c r="AB199" i="22"/>
  <c r="AB201" i="22"/>
  <c r="AB202" i="22" s="1"/>
  <c r="AD171" i="22"/>
  <c r="AC173" i="22"/>
  <c r="AC198" i="22"/>
  <c r="AC6" i="27" s="1"/>
  <c r="AC268" i="22"/>
  <c r="AC270" i="22"/>
  <c r="AB273" i="22"/>
  <c r="AB271" i="22"/>
  <c r="AB204" i="22"/>
  <c r="AD128" i="22"/>
  <c r="AD130" i="22"/>
  <c r="AC133" i="22"/>
  <c r="AC131" i="22"/>
  <c r="AC200" i="22"/>
  <c r="AE260" i="22"/>
  <c r="AD267" i="22"/>
  <c r="AD262" i="22"/>
  <c r="AE244" i="22"/>
  <c r="AD246" i="22"/>
  <c r="AD109" i="22"/>
  <c r="K5" i="17"/>
  <c r="L4" i="16"/>
  <c r="H36" i="24" l="1"/>
  <c r="H37" i="24" s="1"/>
  <c r="H44" i="24" s="1"/>
  <c r="H30" i="24"/>
  <c r="H33" i="24" s="1"/>
  <c r="H36" i="27"/>
  <c r="H37" i="27" s="1"/>
  <c r="H44" i="27" s="1"/>
  <c r="H30" i="27"/>
  <c r="H33" i="27" s="1"/>
  <c r="AD129" i="22"/>
  <c r="AC132" i="22"/>
  <c r="AC8" i="24"/>
  <c r="AB203" i="22"/>
  <c r="AB8" i="27"/>
  <c r="AC271" i="22"/>
  <c r="AA42" i="24"/>
  <c r="AB32" i="24"/>
  <c r="AA12" i="24"/>
  <c r="AA42" i="27"/>
  <c r="AD6" i="28"/>
  <c r="AB26" i="27"/>
  <c r="AB27" i="27" s="1"/>
  <c r="AB32" i="27"/>
  <c r="AB26" i="28"/>
  <c r="AB32" i="28"/>
  <c r="AB14" i="24"/>
  <c r="AB9" i="24"/>
  <c r="AB9" i="27"/>
  <c r="AB9" i="28"/>
  <c r="AB42" i="28" s="1"/>
  <c r="AB41" i="28"/>
  <c r="AB26" i="24"/>
  <c r="AB27" i="24" s="1"/>
  <c r="AB272" i="22"/>
  <c r="AB8" i="28"/>
  <c r="AC272" i="22"/>
  <c r="AC8" i="28"/>
  <c r="AC23" i="24"/>
  <c r="AC5" i="24"/>
  <c r="AC21" i="24"/>
  <c r="AC24" i="24"/>
  <c r="AC11" i="24"/>
  <c r="AC20" i="24" s="1"/>
  <c r="AB14" i="27"/>
  <c r="AB41" i="27"/>
  <c r="AC23" i="28"/>
  <c r="AC5" i="28"/>
  <c r="AC21" i="28"/>
  <c r="AC24" i="28"/>
  <c r="AC11" i="28"/>
  <c r="AC20" i="28" s="1"/>
  <c r="AC21" i="27"/>
  <c r="AC24" i="27"/>
  <c r="AC23" i="27"/>
  <c r="AC5" i="27"/>
  <c r="AC11" i="27"/>
  <c r="AC20" i="27" s="1"/>
  <c r="AE122" i="22"/>
  <c r="AF120" i="22"/>
  <c r="AF122" i="22" s="1"/>
  <c r="AE193" i="22"/>
  <c r="AF191" i="22"/>
  <c r="AF193" i="22" s="1"/>
  <c r="AE254" i="22"/>
  <c r="AF252" i="22"/>
  <c r="AF254" i="22" s="1"/>
  <c r="Q14" i="28"/>
  <c r="AC199" i="22"/>
  <c r="AC201" i="22"/>
  <c r="AC202" i="22" s="1"/>
  <c r="AE171" i="22"/>
  <c r="AD173" i="22"/>
  <c r="AD200" i="22" s="1"/>
  <c r="AD198" i="22"/>
  <c r="AD6" i="27" s="1"/>
  <c r="AD268" i="22"/>
  <c r="AD270" i="22"/>
  <c r="AC204" i="22"/>
  <c r="AE128" i="22"/>
  <c r="AE130" i="22"/>
  <c r="AD133" i="22"/>
  <c r="AD131" i="22"/>
  <c r="AF109" i="22"/>
  <c r="AE109" i="22"/>
  <c r="AF244" i="22"/>
  <c r="AF246" i="22" s="1"/>
  <c r="AE246" i="22"/>
  <c r="AD269" i="22"/>
  <c r="AF260" i="22"/>
  <c r="AE267" i="22"/>
  <c r="AE262" i="22"/>
  <c r="AE129" i="22"/>
  <c r="L5" i="17"/>
  <c r="M4" i="16"/>
  <c r="I13" i="27" l="1"/>
  <c r="I15" i="27" s="1"/>
  <c r="I16" i="27" s="1"/>
  <c r="I17" i="27" s="1"/>
  <c r="I45" i="27"/>
  <c r="I29" i="27" s="1"/>
  <c r="I45" i="24"/>
  <c r="I29" i="24" s="1"/>
  <c r="I13" i="24"/>
  <c r="I15" i="24" s="1"/>
  <c r="I16" i="24" s="1"/>
  <c r="I17" i="24" s="1"/>
  <c r="AB42" i="24"/>
  <c r="AB42" i="27"/>
  <c r="AD132" i="22"/>
  <c r="AD8" i="24"/>
  <c r="AC203" i="22"/>
  <c r="AC8" i="27"/>
  <c r="AC7" i="27" s="1"/>
  <c r="AC14" i="24"/>
  <c r="AC26" i="28"/>
  <c r="AC27" i="28" s="1"/>
  <c r="AE269" i="22"/>
  <c r="AE6" i="28"/>
  <c r="AB7" i="24"/>
  <c r="AB12" i="24"/>
  <c r="AC26" i="24"/>
  <c r="AC27" i="24" s="1"/>
  <c r="AC32" i="24"/>
  <c r="AC7" i="24"/>
  <c r="AC26" i="27"/>
  <c r="AC27" i="27" s="1"/>
  <c r="AC32" i="27"/>
  <c r="AD24" i="27"/>
  <c r="AD23" i="27"/>
  <c r="AD21" i="27"/>
  <c r="AD11" i="27"/>
  <c r="AD20" i="27" s="1"/>
  <c r="AD5" i="27"/>
  <c r="AB27" i="28"/>
  <c r="AC32" i="28"/>
  <c r="AD23" i="28"/>
  <c r="AD5" i="28"/>
  <c r="AD11" i="28"/>
  <c r="AD20" i="28" s="1"/>
  <c r="AD21" i="28"/>
  <c r="AD24" i="28"/>
  <c r="AC41" i="27"/>
  <c r="AC9" i="27"/>
  <c r="AC12" i="27" s="1"/>
  <c r="AC9" i="24"/>
  <c r="AC42" i="24" s="1"/>
  <c r="AC41" i="28"/>
  <c r="AC9" i="28"/>
  <c r="AC42" i="28" s="1"/>
  <c r="AD23" i="24"/>
  <c r="AD21" i="24"/>
  <c r="AD5" i="24"/>
  <c r="AD24" i="24"/>
  <c r="AD11" i="24"/>
  <c r="AD20" i="24" s="1"/>
  <c r="AB7" i="27"/>
  <c r="AB12" i="27"/>
  <c r="AC14" i="27"/>
  <c r="AC41" i="24"/>
  <c r="R14" i="28"/>
  <c r="AD199" i="22"/>
  <c r="AD201" i="22"/>
  <c r="AD202" i="22" s="1"/>
  <c r="AF171" i="22"/>
  <c r="AF173" i="22" s="1"/>
  <c r="AF200" i="22" s="1"/>
  <c r="AE173" i="22"/>
  <c r="AE200" i="22" s="1"/>
  <c r="AE198" i="22"/>
  <c r="AE6" i="27" s="1"/>
  <c r="AE273" i="22"/>
  <c r="AE268" i="22"/>
  <c r="AE270" i="22"/>
  <c r="AE271" i="22" s="1"/>
  <c r="AD273" i="22"/>
  <c r="AD271" i="22"/>
  <c r="AD204" i="22"/>
  <c r="AE133" i="22"/>
  <c r="AE131" i="22"/>
  <c r="AF129" i="22"/>
  <c r="AF127" i="22"/>
  <c r="AF6" i="24" s="1"/>
  <c r="AF267" i="22"/>
  <c r="AF262" i="22"/>
  <c r="AF269" i="22" s="1"/>
  <c r="M5" i="17"/>
  <c r="B91" i="16" s="1"/>
  <c r="D91" i="16"/>
  <c r="E91" i="16"/>
  <c r="I19" i="24" l="1"/>
  <c r="I22" i="24" s="1"/>
  <c r="I31" i="24"/>
  <c r="I31" i="27"/>
  <c r="I19" i="27"/>
  <c r="I22" i="27" s="1"/>
  <c r="AE132" i="22"/>
  <c r="AE8" i="24"/>
  <c r="AD203" i="22"/>
  <c r="AD8" i="27"/>
  <c r="AF198" i="22"/>
  <c r="AF6" i="27" s="1"/>
  <c r="AD14" i="24"/>
  <c r="AD26" i="24"/>
  <c r="AD27" i="24" s="1"/>
  <c r="AD14" i="27"/>
  <c r="AD32" i="24"/>
  <c r="AD41" i="24"/>
  <c r="AE272" i="22"/>
  <c r="AE7" i="24"/>
  <c r="AE8" i="28"/>
  <c r="AD26" i="28"/>
  <c r="AD27" i="28" s="1"/>
  <c r="AD32" i="28"/>
  <c r="AD272" i="22"/>
  <c r="AD8" i="28"/>
  <c r="AC12" i="24"/>
  <c r="AD9" i="27"/>
  <c r="AD9" i="24"/>
  <c r="AD42" i="24" s="1"/>
  <c r="AD9" i="28"/>
  <c r="AD42" i="28" s="1"/>
  <c r="AD41" i="28"/>
  <c r="AD41" i="27"/>
  <c r="AF6" i="28"/>
  <c r="AD26" i="27"/>
  <c r="AD27" i="27" s="1"/>
  <c r="AD32" i="27"/>
  <c r="AE24" i="27"/>
  <c r="AE23" i="27"/>
  <c r="AE5" i="27"/>
  <c r="AE11" i="27"/>
  <c r="AE20" i="27" s="1"/>
  <c r="AE21" i="27"/>
  <c r="AC42" i="27"/>
  <c r="AE23" i="28"/>
  <c r="AE5" i="28"/>
  <c r="AE11" i="28"/>
  <c r="AE20" i="28" s="1"/>
  <c r="AE21" i="28"/>
  <c r="AE24" i="28"/>
  <c r="AE23" i="24"/>
  <c r="AE5" i="24"/>
  <c r="AE14" i="24" s="1"/>
  <c r="AE24" i="24"/>
  <c r="AE21" i="24"/>
  <c r="AE11" i="24"/>
  <c r="AE20" i="24" s="1"/>
  <c r="AG40" i="24"/>
  <c r="S14" i="28"/>
  <c r="AE199" i="22"/>
  <c r="AE201" i="22"/>
  <c r="AE202" i="22" s="1"/>
  <c r="AF273" i="22"/>
  <c r="AF268" i="22"/>
  <c r="AF270" i="22"/>
  <c r="AF271" i="22" s="1"/>
  <c r="AE204" i="22"/>
  <c r="AF204" i="22"/>
  <c r="AF199" i="22"/>
  <c r="AF201" i="22"/>
  <c r="AF202" i="22" s="1"/>
  <c r="AF128" i="22"/>
  <c r="AF130" i="22"/>
  <c r="AF131" i="22" s="1"/>
  <c r="AF133" i="22"/>
  <c r="M6" i="16"/>
  <c r="D34" i="16"/>
  <c r="K35" i="16"/>
  <c r="K36" i="16" s="1"/>
  <c r="I34" i="16"/>
  <c r="G9" i="16"/>
  <c r="G10" i="16" s="1"/>
  <c r="K19" i="16"/>
  <c r="I19" i="16"/>
  <c r="K9" i="16"/>
  <c r="K10" i="16" s="1"/>
  <c r="I9" i="16"/>
  <c r="I10" i="16" s="1"/>
  <c r="M26" i="1"/>
  <c r="C34" i="16"/>
  <c r="H58" i="1"/>
  <c r="E34" i="16"/>
  <c r="C91" i="16"/>
  <c r="F26" i="16"/>
  <c r="I6" i="16"/>
  <c r="K26" i="16"/>
  <c r="K29" i="16" s="1"/>
  <c r="J26" i="16"/>
  <c r="I35" i="16"/>
  <c r="I36" i="16" s="1"/>
  <c r="K34" i="16"/>
  <c r="I35" i="27" l="1"/>
  <c r="J73" i="27"/>
  <c r="J74" i="27" s="1"/>
  <c r="I35" i="24"/>
  <c r="J73" i="24"/>
  <c r="J74" i="24" s="1"/>
  <c r="AF132" i="22"/>
  <c r="AF8" i="24"/>
  <c r="AE203" i="22"/>
  <c r="AE8" i="27"/>
  <c r="AE7" i="27" s="1"/>
  <c r="AF203" i="22"/>
  <c r="AF8" i="27"/>
  <c r="AD42" i="27"/>
  <c r="AE41" i="27"/>
  <c r="AF23" i="27"/>
  <c r="AG23" i="27" s="1"/>
  <c r="AF21" i="27"/>
  <c r="AF11" i="27"/>
  <c r="AF20" i="27" s="1"/>
  <c r="AF24" i="27"/>
  <c r="AE26" i="28"/>
  <c r="AE32" i="28"/>
  <c r="AE9" i="27"/>
  <c r="AE12" i="27" s="1"/>
  <c r="AE9" i="24"/>
  <c r="AE12" i="24" s="1"/>
  <c r="AE41" i="28"/>
  <c r="AE9" i="28"/>
  <c r="AF23" i="28"/>
  <c r="AG23" i="28" s="1"/>
  <c r="AF24" i="28"/>
  <c r="AF21" i="28"/>
  <c r="AF11" i="28"/>
  <c r="AF20" i="28" s="1"/>
  <c r="AE26" i="24"/>
  <c r="AE27" i="24" s="1"/>
  <c r="AE32" i="24"/>
  <c r="AE26" i="27"/>
  <c r="AE27" i="27" s="1"/>
  <c r="AE32" i="27"/>
  <c r="AE14" i="27"/>
  <c r="AF14" i="27" s="1"/>
  <c r="AF272" i="22"/>
  <c r="AF7" i="24"/>
  <c r="AF8" i="28"/>
  <c r="AE41" i="24"/>
  <c r="AD7" i="24"/>
  <c r="AD12" i="24"/>
  <c r="AD12" i="27"/>
  <c r="AD7" i="27"/>
  <c r="AF24" i="24"/>
  <c r="AF21" i="24"/>
  <c r="AF11" i="24"/>
  <c r="AF20" i="24" s="1"/>
  <c r="AF23" i="24"/>
  <c r="AG23" i="24" s="1"/>
  <c r="T14" i="28"/>
  <c r="K20" i="16"/>
  <c r="I20" i="16"/>
  <c r="D60" i="16"/>
  <c r="K60" i="16"/>
  <c r="I60" i="16"/>
  <c r="L34" i="16"/>
  <c r="M34" i="16"/>
  <c r="M19" i="16"/>
  <c r="M20" i="16" s="1"/>
  <c r="L6" i="16"/>
  <c r="M9" i="16"/>
  <c r="M10" i="16" s="1"/>
  <c r="M29" i="16"/>
  <c r="M30" i="16" s="1"/>
  <c r="M31" i="16" s="1"/>
  <c r="E26" i="16"/>
  <c r="E29" i="16" s="1"/>
  <c r="M35" i="16"/>
  <c r="M36" i="16" s="1"/>
  <c r="L26" i="16"/>
  <c r="L29" i="16" s="1"/>
  <c r="H55" i="1"/>
  <c r="R49" i="1"/>
  <c r="C35" i="16"/>
  <c r="C36" i="16" s="1"/>
  <c r="L35" i="16"/>
  <c r="L36" i="16" s="1"/>
  <c r="D26" i="16"/>
  <c r="D29" i="16" s="1"/>
  <c r="J35" i="16"/>
  <c r="J36" i="16" s="1"/>
  <c r="H34" i="16"/>
  <c r="C60" i="16"/>
  <c r="J34" i="16"/>
  <c r="G19" i="16"/>
  <c r="F35" i="16"/>
  <c r="F36" i="16" s="1"/>
  <c r="F29" i="16"/>
  <c r="G35" i="16"/>
  <c r="G36" i="16" s="1"/>
  <c r="J29" i="16"/>
  <c r="I26" i="16"/>
  <c r="I29" i="16" s="1"/>
  <c r="E9" i="16"/>
  <c r="D6" i="16"/>
  <c r="B6" i="16"/>
  <c r="C6" i="16"/>
  <c r="R54" i="1"/>
  <c r="R51" i="1"/>
  <c r="R50" i="1"/>
  <c r="J19" i="16"/>
  <c r="E35" i="16"/>
  <c r="E36" i="16" s="1"/>
  <c r="C26" i="16"/>
  <c r="C29" i="16" s="1"/>
  <c r="B26" i="16"/>
  <c r="B29" i="16" s="1"/>
  <c r="O50" i="1"/>
  <c r="F19" i="16"/>
  <c r="O49" i="1"/>
  <c r="H19" i="16"/>
  <c r="C9" i="16"/>
  <c r="E19" i="16"/>
  <c r="D35" i="16"/>
  <c r="D36" i="16" s="1"/>
  <c r="G6" i="16"/>
  <c r="H9" i="16"/>
  <c r="H10" i="16" s="1"/>
  <c r="H6" i="16"/>
  <c r="J9" i="16"/>
  <c r="J10" i="16" s="1"/>
  <c r="J6" i="16"/>
  <c r="D19" i="16"/>
  <c r="H57" i="1"/>
  <c r="K6" i="16"/>
  <c r="L9" i="16"/>
  <c r="L10" i="16" s="1"/>
  <c r="G34" i="16"/>
  <c r="L19" i="16"/>
  <c r="D9" i="16"/>
  <c r="G26" i="16"/>
  <c r="G29" i="16" s="1"/>
  <c r="H26" i="16"/>
  <c r="H29" i="16" s="1"/>
  <c r="E6" i="16"/>
  <c r="F9" i="16"/>
  <c r="N50" i="1"/>
  <c r="F6" i="16"/>
  <c r="R48" i="1"/>
  <c r="H35" i="16"/>
  <c r="F34" i="16"/>
  <c r="I36" i="24" l="1"/>
  <c r="I37" i="24" s="1"/>
  <c r="I44" i="24" s="1"/>
  <c r="I30" i="24"/>
  <c r="I33" i="24" s="1"/>
  <c r="I36" i="27"/>
  <c r="I37" i="27" s="1"/>
  <c r="I44" i="27" s="1"/>
  <c r="I30" i="27"/>
  <c r="I33" i="27" s="1"/>
  <c r="AF32" i="27"/>
  <c r="AF26" i="28"/>
  <c r="AF27" i="28" s="1"/>
  <c r="AF32" i="28"/>
  <c r="AF32" i="24"/>
  <c r="AE27" i="28"/>
  <c r="AF7" i="27"/>
  <c r="AF26" i="27"/>
  <c r="AF27" i="27" s="1"/>
  <c r="AF41" i="27"/>
  <c r="AG41" i="27" s="1"/>
  <c r="AE42" i="27"/>
  <c r="AF9" i="24"/>
  <c r="AF12" i="24" s="1"/>
  <c r="AF9" i="27"/>
  <c r="AG9" i="27" s="1"/>
  <c r="AH24" i="27" s="1"/>
  <c r="AF41" i="28"/>
  <c r="AG41" i="28" s="1"/>
  <c r="AF9" i="28"/>
  <c r="AG9" i="28" s="1"/>
  <c r="AH24" i="28" s="1"/>
  <c r="AF41" i="24"/>
  <c r="AG41" i="24" s="1"/>
  <c r="AE42" i="28"/>
  <c r="AF26" i="24"/>
  <c r="AF27" i="24" s="1"/>
  <c r="AF14" i="24"/>
  <c r="AE42" i="24"/>
  <c r="U14" i="28"/>
  <c r="D10" i="16"/>
  <c r="D46" i="16"/>
  <c r="F10" i="16"/>
  <c r="F46" i="16"/>
  <c r="E10" i="16"/>
  <c r="E46" i="16"/>
  <c r="C10" i="16"/>
  <c r="C46" i="16"/>
  <c r="L20" i="16"/>
  <c r="J20" i="16"/>
  <c r="H20" i="16"/>
  <c r="E46" i="1" a="1"/>
  <c r="E46" i="1" s="1"/>
  <c r="E31" i="1"/>
  <c r="G20" i="16"/>
  <c r="F20" i="16"/>
  <c r="E20" i="16"/>
  <c r="D20" i="16"/>
  <c r="I46" i="1" a="1"/>
  <c r="S51" i="1" s="1"/>
  <c r="B30" i="16"/>
  <c r="B31" i="16" s="1"/>
  <c r="H36" i="16"/>
  <c r="K29" i="1"/>
  <c r="N55" i="1"/>
  <c r="C20" i="16"/>
  <c r="J60" i="16"/>
  <c r="M60" i="16"/>
  <c r="G60" i="16"/>
  <c r="F60" i="16"/>
  <c r="E60" i="16"/>
  <c r="L60" i="16"/>
  <c r="H60" i="16"/>
  <c r="C59" i="16"/>
  <c r="K30" i="16"/>
  <c r="K31" i="16" s="1"/>
  <c r="L30" i="16"/>
  <c r="L31" i="16" s="1"/>
  <c r="O47" i="1"/>
  <c r="O48" i="1"/>
  <c r="J30" i="16"/>
  <c r="J31" i="16" s="1"/>
  <c r="D30" i="16"/>
  <c r="D31" i="16" s="1"/>
  <c r="N47" i="1"/>
  <c r="N51" i="1"/>
  <c r="E30" i="16"/>
  <c r="E31" i="16" s="1"/>
  <c r="I30" i="16"/>
  <c r="I31" i="16" s="1"/>
  <c r="H30" i="16"/>
  <c r="H31" i="16" s="1"/>
  <c r="N49" i="1"/>
  <c r="N48" i="1"/>
  <c r="G30" i="16"/>
  <c r="G31" i="16" s="1"/>
  <c r="C30" i="16"/>
  <c r="C31" i="16" s="1"/>
  <c r="C57" i="1"/>
  <c r="F30" i="16"/>
  <c r="F31" i="16" s="1"/>
  <c r="O51" i="1"/>
  <c r="R53" i="1"/>
  <c r="R52" i="1"/>
  <c r="N52" i="1"/>
  <c r="O52" i="1"/>
  <c r="O53" i="1"/>
  <c r="C58" i="1"/>
  <c r="N54" i="1"/>
  <c r="N53" i="1"/>
  <c r="J45" i="27" l="1"/>
  <c r="J29" i="27" s="1"/>
  <c r="J13" i="27"/>
  <c r="J15" i="27" s="1"/>
  <c r="J16" i="27" s="1"/>
  <c r="J17" i="27" s="1"/>
  <c r="J45" i="24"/>
  <c r="J29" i="24" s="1"/>
  <c r="J13" i="24"/>
  <c r="J15" i="24" s="1"/>
  <c r="J16" i="24" s="1"/>
  <c r="J17" i="24" s="1"/>
  <c r="AF42" i="28"/>
  <c r="AG42" i="28" s="1"/>
  <c r="AF42" i="27"/>
  <c r="AG42" i="27" s="1"/>
  <c r="AF12" i="27"/>
  <c r="AG9" i="24"/>
  <c r="AH24" i="24" s="1"/>
  <c r="AF42" i="24"/>
  <c r="V14" i="28"/>
  <c r="M31" i="1"/>
  <c r="E27" i="1"/>
  <c r="M57" i="1"/>
  <c r="S50" i="1"/>
  <c r="S49" i="1"/>
  <c r="I46" i="1"/>
  <c r="S54" i="1"/>
  <c r="S53" i="1"/>
  <c r="S52" i="1"/>
  <c r="L57" i="1"/>
  <c r="S48" i="1"/>
  <c r="Q50" i="1"/>
  <c r="Q48" i="1"/>
  <c r="M29" i="1"/>
  <c r="C56" i="1"/>
  <c r="Q49" i="1"/>
  <c r="J31" i="24" l="1"/>
  <c r="J19" i="24"/>
  <c r="J22" i="24" s="1"/>
  <c r="J35" i="24" s="1"/>
  <c r="J30" i="24" s="1"/>
  <c r="J19" i="27"/>
  <c r="J22" i="27" s="1"/>
  <c r="J35" i="27" s="1"/>
  <c r="J31" i="27"/>
  <c r="W14" i="28"/>
  <c r="H56" i="1"/>
  <c r="M25" i="1"/>
  <c r="J36" i="27" l="1"/>
  <c r="J37" i="27" s="1"/>
  <c r="J44" i="27" s="1"/>
  <c r="J30" i="27"/>
  <c r="J33" i="27" s="1"/>
  <c r="J36" i="24"/>
  <c r="J37" i="24" s="1"/>
  <c r="J44" i="24" s="1"/>
  <c r="J33" i="24"/>
  <c r="X14" i="28"/>
  <c r="D55" i="1"/>
  <c r="O55" i="1" s="1"/>
  <c r="B9" i="16"/>
  <c r="K13" i="24" l="1"/>
  <c r="K15" i="24" s="1"/>
  <c r="K16" i="24" s="1"/>
  <c r="K17" i="24" s="1"/>
  <c r="K45" i="24"/>
  <c r="K13" i="27"/>
  <c r="K15" i="27" s="1"/>
  <c r="K16" i="27" s="1"/>
  <c r="K17" i="27" s="1"/>
  <c r="K45" i="27"/>
  <c r="Y14" i="28"/>
  <c r="B10" i="16"/>
  <c r="B46" i="16"/>
  <c r="H46" i="16" s="1"/>
  <c r="L58" i="1"/>
  <c r="D57" i="1"/>
  <c r="M28" i="1"/>
  <c r="O54" i="1"/>
  <c r="D56" i="1" s="1"/>
  <c r="K29" i="27" l="1"/>
  <c r="K51" i="27"/>
  <c r="K31" i="27"/>
  <c r="K19" i="27"/>
  <c r="K22" i="27" s="1"/>
  <c r="K29" i="24"/>
  <c r="K51" i="24"/>
  <c r="K31" i="24"/>
  <c r="K19" i="24"/>
  <c r="K22" i="24" s="1"/>
  <c r="K35" i="24" s="1"/>
  <c r="K36" i="24" s="1"/>
  <c r="Z14" i="28"/>
  <c r="M58" i="1"/>
  <c r="K37" i="24" l="1"/>
  <c r="K44" i="24" s="1"/>
  <c r="K33" i="24"/>
  <c r="K35" i="27"/>
  <c r="AA14" i="28"/>
  <c r="F36" i="17"/>
  <c r="F37" i="17" s="1"/>
  <c r="J56" i="17"/>
  <c r="J36" i="17"/>
  <c r="J37" i="17" s="1"/>
  <c r="M44" i="16"/>
  <c r="M59" i="16" s="1"/>
  <c r="M36" i="17"/>
  <c r="M37" i="17" s="1"/>
  <c r="I44" i="16"/>
  <c r="I59" i="16" s="1"/>
  <c r="I36" i="17"/>
  <c r="I37" i="17" s="1"/>
  <c r="I43" i="16" s="1"/>
  <c r="E44" i="16"/>
  <c r="E59" i="16" s="1"/>
  <c r="E37" i="17"/>
  <c r="G36" i="17"/>
  <c r="G37" i="17" s="1"/>
  <c r="K36" i="17"/>
  <c r="K37" i="17" s="1"/>
  <c r="H56" i="17"/>
  <c r="H36" i="17"/>
  <c r="H37" i="17" s="1"/>
  <c r="L44" i="16"/>
  <c r="L59" i="16" s="1"/>
  <c r="L36" i="17"/>
  <c r="L37" i="17" s="1"/>
  <c r="L43" i="16" s="1"/>
  <c r="K36" i="27" l="1"/>
  <c r="K37" i="27" s="1"/>
  <c r="K44" i="27" s="1"/>
  <c r="K30" i="27"/>
  <c r="K33" i="27" s="1"/>
  <c r="L13" i="24"/>
  <c r="L15" i="24" s="1"/>
  <c r="L16" i="24" s="1"/>
  <c r="L17" i="24" s="1"/>
  <c r="L45" i="24"/>
  <c r="K55" i="24"/>
  <c r="K53" i="24"/>
  <c r="AB14" i="28"/>
  <c r="G56" i="17"/>
  <c r="J44" i="16"/>
  <c r="J59" i="16" s="1"/>
  <c r="G64" i="16"/>
  <c r="H64" i="16"/>
  <c r="K43" i="16"/>
  <c r="F43" i="16"/>
  <c r="J43" i="16"/>
  <c r="G43" i="16"/>
  <c r="M56" i="17"/>
  <c r="F56" i="17"/>
  <c r="K44" i="16"/>
  <c r="K59" i="16" s="1"/>
  <c r="F44" i="16"/>
  <c r="F59" i="16" s="1"/>
  <c r="G44" i="16"/>
  <c r="G59" i="16" s="1"/>
  <c r="H44" i="16"/>
  <c r="L56" i="17"/>
  <c r="I56" i="17"/>
  <c r="L51" i="24" l="1"/>
  <c r="L29" i="24"/>
  <c r="L31" i="24"/>
  <c r="L19" i="24"/>
  <c r="L22" i="24" s="1"/>
  <c r="L45" i="27"/>
  <c r="L13" i="27"/>
  <c r="L15" i="27" s="1"/>
  <c r="L16" i="27" s="1"/>
  <c r="L17" i="27" s="1"/>
  <c r="K55" i="27"/>
  <c r="K53" i="27"/>
  <c r="AC14" i="28"/>
  <c r="H59" i="16"/>
  <c r="M64" i="16"/>
  <c r="I64" i="16"/>
  <c r="M43" i="16"/>
  <c r="H43" i="16"/>
  <c r="E43" i="16"/>
  <c r="F64" i="16"/>
  <c r="J64" i="16"/>
  <c r="L64" i="16"/>
  <c r="E64" i="16"/>
  <c r="D36" i="17"/>
  <c r="D37" i="17" s="1"/>
  <c r="D56" i="17"/>
  <c r="D64" i="16" s="1"/>
  <c r="C56" i="17"/>
  <c r="C64" i="16" s="1"/>
  <c r="C56" i="16"/>
  <c r="C47" i="17"/>
  <c r="C50" i="17" s="1"/>
  <c r="L51" i="27" l="1"/>
  <c r="L29" i="27"/>
  <c r="L31" i="27"/>
  <c r="L19" i="27"/>
  <c r="L22" i="27" s="1"/>
  <c r="L35" i="27" s="1"/>
  <c r="L30" i="27" s="1"/>
  <c r="L36" i="27" s="1"/>
  <c r="L37" i="27" s="1"/>
  <c r="L44" i="27" s="1"/>
  <c r="L35" i="24"/>
  <c r="L30" i="24" s="1"/>
  <c r="L36" i="24" s="1"/>
  <c r="L37" i="24" s="1"/>
  <c r="L44" i="24" s="1"/>
  <c r="AD14" i="28"/>
  <c r="AE14" i="28" s="1"/>
  <c r="AF14" i="28" s="1"/>
  <c r="D43" i="16"/>
  <c r="D44" i="16"/>
  <c r="D59" i="16" s="1"/>
  <c r="G46" i="1" s="1" a="1"/>
  <c r="G46" i="1" s="1"/>
  <c r="C55" i="16"/>
  <c r="C52" i="16"/>
  <c r="B68" i="16"/>
  <c r="L49" i="1" s="1"/>
  <c r="C68" i="16"/>
  <c r="M49" i="1" s="1"/>
  <c r="C67" i="17"/>
  <c r="L33" i="24" l="1"/>
  <c r="M45" i="24"/>
  <c r="L55" i="24"/>
  <c r="M13" i="24"/>
  <c r="M15" i="24" s="1"/>
  <c r="M16" i="24" s="1"/>
  <c r="M17" i="24" s="1"/>
  <c r="M13" i="27"/>
  <c r="M15" i="27" s="1"/>
  <c r="M16" i="27" s="1"/>
  <c r="M17" i="27" s="1"/>
  <c r="L55" i="27"/>
  <c r="M45" i="27"/>
  <c r="L33" i="27"/>
  <c r="K56" i="17"/>
  <c r="K56" i="16"/>
  <c r="K52" i="16"/>
  <c r="K55" i="16"/>
  <c r="M51" i="27" l="1"/>
  <c r="M29" i="27"/>
  <c r="M31" i="27"/>
  <c r="M19" i="27"/>
  <c r="M22" i="27" s="1"/>
  <c r="M35" i="27" s="1"/>
  <c r="M30" i="27" s="1"/>
  <c r="M36" i="27" s="1"/>
  <c r="M37" i="27" s="1"/>
  <c r="M44" i="27" s="1"/>
  <c r="M31" i="24"/>
  <c r="M19" i="24"/>
  <c r="M22" i="24" s="1"/>
  <c r="M51" i="24"/>
  <c r="M29" i="24"/>
  <c r="K64" i="16"/>
  <c r="M35" i="24" l="1"/>
  <c r="M30" i="24" s="1"/>
  <c r="M36" i="24" s="1"/>
  <c r="M37" i="24" s="1"/>
  <c r="M44" i="24" s="1"/>
  <c r="N13" i="27"/>
  <c r="N15" i="27" s="1"/>
  <c r="N16" i="27" s="1"/>
  <c r="N17" i="27" s="1"/>
  <c r="N45" i="27"/>
  <c r="M55" i="27"/>
  <c r="M33" i="27"/>
  <c r="M33" i="24" l="1"/>
  <c r="N51" i="27"/>
  <c r="N29" i="27"/>
  <c r="N19" i="27"/>
  <c r="N22" i="27" s="1"/>
  <c r="N31" i="27"/>
  <c r="N45" i="24"/>
  <c r="M55" i="24"/>
  <c r="N13" i="24"/>
  <c r="N15" i="24" s="1"/>
  <c r="N16" i="24" s="1"/>
  <c r="N17" i="24" s="1"/>
  <c r="N51" i="24" l="1"/>
  <c r="N29" i="24"/>
  <c r="N35" i="27"/>
  <c r="N30" i="27" s="1"/>
  <c r="N36" i="27" s="1"/>
  <c r="N37" i="27" s="1"/>
  <c r="N44" i="27" s="1"/>
  <c r="N33" i="27"/>
  <c r="N19" i="24"/>
  <c r="N22" i="24" s="1"/>
  <c r="N31" i="24"/>
  <c r="N35" i="24" l="1"/>
  <c r="N30" i="24" s="1"/>
  <c r="N36" i="24" s="1"/>
  <c r="N37" i="24" s="1"/>
  <c r="N44" i="24" s="1"/>
  <c r="O13" i="27"/>
  <c r="O15" i="27" s="1"/>
  <c r="O16" i="27" s="1"/>
  <c r="O17" i="27" s="1"/>
  <c r="O45" i="27"/>
  <c r="N55" i="27"/>
  <c r="O45" i="24" l="1"/>
  <c r="N55" i="24"/>
  <c r="O13" i="24"/>
  <c r="O15" i="24" s="1"/>
  <c r="O16" i="24" s="1"/>
  <c r="O17" i="24" s="1"/>
  <c r="N33" i="24"/>
  <c r="O31" i="27"/>
  <c r="O19" i="27"/>
  <c r="O22" i="27" s="1"/>
  <c r="O51" i="27"/>
  <c r="O29" i="27"/>
  <c r="O19" i="24" l="1"/>
  <c r="O22" i="24" s="1"/>
  <c r="O31" i="24"/>
  <c r="O35" i="27"/>
  <c r="O30" i="27" s="1"/>
  <c r="O36" i="27" s="1"/>
  <c r="O37" i="27" s="1"/>
  <c r="O44" i="27" s="1"/>
  <c r="O51" i="24"/>
  <c r="O29" i="24"/>
  <c r="O35" i="24" l="1"/>
  <c r="O30" i="24" s="1"/>
  <c r="O36" i="24" s="1"/>
  <c r="O37" i="24" s="1"/>
  <c r="O44" i="24" s="1"/>
  <c r="O55" i="27"/>
  <c r="P45" i="27"/>
  <c r="P13" i="27"/>
  <c r="P15" i="27" s="1"/>
  <c r="P16" i="27" s="1"/>
  <c r="P17" i="27" s="1"/>
  <c r="O55" i="24"/>
  <c r="P45" i="24"/>
  <c r="P13" i="24"/>
  <c r="P15" i="24" s="1"/>
  <c r="P16" i="24" s="1"/>
  <c r="P17" i="24" s="1"/>
  <c r="O33" i="27"/>
  <c r="O33" i="24"/>
  <c r="P29" i="24" l="1"/>
  <c r="P51" i="24"/>
  <c r="P19" i="24"/>
  <c r="P22" i="24" s="1"/>
  <c r="P35" i="24" s="1"/>
  <c r="P30" i="24" s="1"/>
  <c r="P31" i="24"/>
  <c r="P19" i="27"/>
  <c r="P22" i="27" s="1"/>
  <c r="P31" i="27"/>
  <c r="P29" i="27"/>
  <c r="P51" i="27"/>
  <c r="AG39" i="24"/>
  <c r="P35" i="27" l="1"/>
  <c r="P30" i="27" s="1"/>
  <c r="P36" i="27" s="1"/>
  <c r="P37" i="27" s="1"/>
  <c r="P44" i="27" s="1"/>
  <c r="P36" i="24"/>
  <c r="P37" i="24" s="1"/>
  <c r="P44" i="24" s="1"/>
  <c r="P33" i="24"/>
  <c r="AG38" i="24"/>
  <c r="Q45" i="24" l="1"/>
  <c r="P55" i="24"/>
  <c r="Q13" i="24"/>
  <c r="Q15" i="24" s="1"/>
  <c r="Q16" i="24" s="1"/>
  <c r="Q17" i="24" s="1"/>
  <c r="P55" i="27"/>
  <c r="Q45" i="27"/>
  <c r="Q13" i="27"/>
  <c r="Q15" i="27" s="1"/>
  <c r="Q16" i="27" s="1"/>
  <c r="Q17" i="27" s="1"/>
  <c r="P33" i="27"/>
  <c r="Q19" i="27" l="1"/>
  <c r="Q22" i="27" s="1"/>
  <c r="Q31" i="27"/>
  <c r="Q29" i="27"/>
  <c r="Q51" i="27"/>
  <c r="Q31" i="24"/>
  <c r="Q19" i="24"/>
  <c r="Q22" i="24" s="1"/>
  <c r="Q29" i="24"/>
  <c r="Q51" i="24"/>
  <c r="Q35" i="24" l="1"/>
  <c r="Q30" i="24" s="1"/>
  <c r="Q36" i="24" s="1"/>
  <c r="Q37" i="24" s="1"/>
  <c r="Q44" i="24" s="1"/>
  <c r="R45" i="24"/>
  <c r="Q55" i="24"/>
  <c r="R13" i="24"/>
  <c r="R15" i="24" s="1"/>
  <c r="R16" i="24" s="1"/>
  <c r="R17" i="24" s="1"/>
  <c r="Q33" i="24"/>
  <c r="Q35" i="27"/>
  <c r="Q30" i="27" s="1"/>
  <c r="Q36" i="27" s="1"/>
  <c r="Q37" i="27" s="1"/>
  <c r="Q44" i="27" s="1"/>
  <c r="R45" i="27" l="1"/>
  <c r="Q55" i="27"/>
  <c r="R13" i="27"/>
  <c r="R15" i="27" s="1"/>
  <c r="R16" i="27" s="1"/>
  <c r="R17" i="27" s="1"/>
  <c r="Q33" i="27"/>
  <c r="R31" i="24"/>
  <c r="R19" i="24"/>
  <c r="R22" i="24" s="1"/>
  <c r="R51" i="24"/>
  <c r="R29" i="24"/>
  <c r="R35" i="24" l="1"/>
  <c r="R30" i="24" s="1"/>
  <c r="R36" i="24" s="1"/>
  <c r="R37" i="24" s="1"/>
  <c r="R44" i="24" s="1"/>
  <c r="R31" i="27"/>
  <c r="R19" i="27"/>
  <c r="R22" i="27" s="1"/>
  <c r="R29" i="27"/>
  <c r="R51" i="27"/>
  <c r="R35" i="27" l="1"/>
  <c r="R30" i="27" s="1"/>
  <c r="R36" i="27" s="1"/>
  <c r="R37" i="27" s="1"/>
  <c r="R44" i="27" s="1"/>
  <c r="S45" i="27" s="1"/>
  <c r="R33" i="24"/>
  <c r="R55" i="24"/>
  <c r="S45" i="24"/>
  <c r="S13" i="24"/>
  <c r="S15" i="24" s="1"/>
  <c r="S16" i="24" s="1"/>
  <c r="S17" i="24" s="1"/>
  <c r="R33" i="27" l="1"/>
  <c r="R55" i="27"/>
  <c r="S13" i="27"/>
  <c r="S15" i="27" s="1"/>
  <c r="S16" i="27" s="1"/>
  <c r="S17" i="27" s="1"/>
  <c r="S19" i="27" s="1"/>
  <c r="S22" i="27" s="1"/>
  <c r="S31" i="24"/>
  <c r="S19" i="24"/>
  <c r="S22" i="24" s="1"/>
  <c r="S51" i="24"/>
  <c r="S29" i="24"/>
  <c r="S51" i="27"/>
  <c r="S29" i="27"/>
  <c r="S31" i="27" l="1"/>
  <c r="S35" i="24"/>
  <c r="S30" i="24" s="1"/>
  <c r="S35" i="27"/>
  <c r="S30" i="27" s="1"/>
  <c r="S36" i="27" l="1"/>
  <c r="S37" i="27" s="1"/>
  <c r="S44" i="27" s="1"/>
  <c r="S55" i="27" s="1"/>
  <c r="S36" i="24"/>
  <c r="S37" i="24" s="1"/>
  <c r="S44" i="24" s="1"/>
  <c r="S33" i="24"/>
  <c r="S33" i="27"/>
  <c r="T13" i="27" l="1"/>
  <c r="T15" i="27" s="1"/>
  <c r="T16" i="27" s="1"/>
  <c r="T17" i="27" s="1"/>
  <c r="T31" i="27" s="1"/>
  <c r="T45" i="27"/>
  <c r="T29" i="27" s="1"/>
  <c r="T13" i="24"/>
  <c r="T15" i="24" s="1"/>
  <c r="T16" i="24" s="1"/>
  <c r="T17" i="24" s="1"/>
  <c r="T45" i="24"/>
  <c r="S55" i="24"/>
  <c r="T19" i="27" l="1"/>
  <c r="T22" i="27" s="1"/>
  <c r="T35" i="27" s="1"/>
  <c r="T30" i="27" s="1"/>
  <c r="T36" i="27" s="1"/>
  <c r="T37" i="27" s="1"/>
  <c r="T44" i="27" s="1"/>
  <c r="T51" i="27"/>
  <c r="T51" i="24"/>
  <c r="T29" i="24"/>
  <c r="T19" i="24"/>
  <c r="T22" i="24" s="1"/>
  <c r="T31" i="24"/>
  <c r="T35" i="24" l="1"/>
  <c r="T30" i="24" s="1"/>
  <c r="T36" i="24" s="1"/>
  <c r="T37" i="24" s="1"/>
  <c r="T44" i="24" s="1"/>
  <c r="T55" i="27"/>
  <c r="U13" i="27"/>
  <c r="U15" i="27" s="1"/>
  <c r="U16" i="27" s="1"/>
  <c r="U17" i="27" s="1"/>
  <c r="U45" i="27"/>
  <c r="T33" i="27"/>
  <c r="T33" i="24" l="1"/>
  <c r="U45" i="24"/>
  <c r="U13" i="24"/>
  <c r="U15" i="24" s="1"/>
  <c r="U16" i="24" s="1"/>
  <c r="U17" i="24" s="1"/>
  <c r="T55" i="24"/>
  <c r="U29" i="27"/>
  <c r="U51" i="27"/>
  <c r="U19" i="27"/>
  <c r="U22" i="27" s="1"/>
  <c r="U31" i="27"/>
  <c r="U35" i="27" l="1"/>
  <c r="U30" i="27" s="1"/>
  <c r="U36" i="27" s="1"/>
  <c r="U37" i="27" s="1"/>
  <c r="U44" i="27" s="1"/>
  <c r="V13" i="27" s="1"/>
  <c r="V15" i="27" s="1"/>
  <c r="V16" i="27" s="1"/>
  <c r="V17" i="27" s="1"/>
  <c r="U31" i="24"/>
  <c r="U19" i="24"/>
  <c r="U22" i="24" s="1"/>
  <c r="U51" i="24"/>
  <c r="U29" i="24"/>
  <c r="U33" i="27" l="1"/>
  <c r="V19" i="27"/>
  <c r="V22" i="27" s="1"/>
  <c r="V31" i="27"/>
  <c r="V45" i="27"/>
  <c r="U55" i="27"/>
  <c r="U35" i="24"/>
  <c r="U30" i="24" s="1"/>
  <c r="K63" i="17"/>
  <c r="K67" i="16"/>
  <c r="K76" i="16" s="1"/>
  <c r="L63" i="17"/>
  <c r="L67" i="16"/>
  <c r="L76" i="16" s="1"/>
  <c r="J68" i="16"/>
  <c r="L68" i="16"/>
  <c r="M68" i="16"/>
  <c r="V51" i="27" l="1"/>
  <c r="V29" i="27"/>
  <c r="V35" i="27" s="1"/>
  <c r="V30" i="27" s="1"/>
  <c r="U36" i="24"/>
  <c r="U37" i="24" s="1"/>
  <c r="U44" i="24" s="1"/>
  <c r="U33" i="24"/>
  <c r="C67" i="16"/>
  <c r="C63" i="17"/>
  <c r="C77" i="17"/>
  <c r="F53" i="1" s="1"/>
  <c r="C75" i="16"/>
  <c r="D77" i="17"/>
  <c r="F52" i="1" s="1"/>
  <c r="D75" i="16"/>
  <c r="E77" i="17"/>
  <c r="F51" i="1" s="1"/>
  <c r="E75" i="16"/>
  <c r="E63" i="17"/>
  <c r="E67" i="16"/>
  <c r="E76" i="16" s="1"/>
  <c r="D63" i="17"/>
  <c r="D67" i="16"/>
  <c r="D76" i="16" s="1"/>
  <c r="V13" i="24" l="1"/>
  <c r="V15" i="24" s="1"/>
  <c r="V16" i="24" s="1"/>
  <c r="V17" i="24" s="1"/>
  <c r="V45" i="24"/>
  <c r="U55" i="24"/>
  <c r="V36" i="27"/>
  <c r="V37" i="27" s="1"/>
  <c r="V44" i="27" s="1"/>
  <c r="V33" i="27"/>
  <c r="M48" i="1"/>
  <c r="M56" i="1" s="1"/>
  <c r="C76" i="16"/>
  <c r="Q51" i="1"/>
  <c r="Q52" i="1"/>
  <c r="Q53" i="1"/>
  <c r="B77" i="17"/>
  <c r="F54" i="1" s="1"/>
  <c r="B75" i="16"/>
  <c r="C47" i="10"/>
  <c r="B67" i="16"/>
  <c r="B76" i="16" s="1"/>
  <c r="L48" i="1"/>
  <c r="L56" i="1" s="1"/>
  <c r="V29" i="24" l="1"/>
  <c r="V51" i="24"/>
  <c r="V31" i="24"/>
  <c r="V19" i="24"/>
  <c r="V22" i="24" s="1"/>
  <c r="V55" i="27"/>
  <c r="W45" i="27"/>
  <c r="W13" i="27"/>
  <c r="W15" i="27" s="1"/>
  <c r="W16" i="27" s="1"/>
  <c r="W17" i="27" s="1"/>
  <c r="G47" i="10"/>
  <c r="H47" i="10"/>
  <c r="Q54" i="1"/>
  <c r="F56" i="1" s="1"/>
  <c r="F57" i="1"/>
  <c r="F55" i="1"/>
  <c r="F58" i="1"/>
  <c r="C85" i="22"/>
  <c r="C86" i="22" s="1"/>
  <c r="V35" i="24" l="1"/>
  <c r="V30" i="24" s="1"/>
  <c r="V36" i="24" s="1"/>
  <c r="V37" i="24" s="1"/>
  <c r="V44" i="24" s="1"/>
  <c r="W19" i="27"/>
  <c r="W22" i="27" s="1"/>
  <c r="W31" i="27"/>
  <c r="W29" i="27"/>
  <c r="W51" i="27"/>
  <c r="F86" i="22"/>
  <c r="F85" i="22"/>
  <c r="W13" i="24" l="1"/>
  <c r="W15" i="24" s="1"/>
  <c r="W16" i="24" s="1"/>
  <c r="W17" i="24" s="1"/>
  <c r="W45" i="24"/>
  <c r="V55" i="24"/>
  <c r="V33" i="24"/>
  <c r="W35" i="27"/>
  <c r="W29" i="24" l="1"/>
  <c r="W51" i="24"/>
  <c r="W31" i="24"/>
  <c r="W19" i="24"/>
  <c r="W22" i="24" s="1"/>
  <c r="W30" i="27"/>
  <c r="W35" i="24" l="1"/>
  <c r="W30" i="24" s="1"/>
  <c r="W36" i="24" s="1"/>
  <c r="W37" i="24" s="1"/>
  <c r="W44" i="24" s="1"/>
  <c r="X45" i="24" s="1"/>
  <c r="X29" i="24" s="1"/>
  <c r="W36" i="27"/>
  <c r="W37" i="27" s="1"/>
  <c r="W44" i="27" s="1"/>
  <c r="W33" i="27"/>
  <c r="W33" i="24" l="1"/>
  <c r="X51" i="24"/>
  <c r="W55" i="24"/>
  <c r="X13" i="24"/>
  <c r="X15" i="24" s="1"/>
  <c r="X16" i="24" s="1"/>
  <c r="X17" i="24" s="1"/>
  <c r="X31" i="24" s="1"/>
  <c r="W55" i="27"/>
  <c r="X13" i="27"/>
  <c r="X15" i="27" s="1"/>
  <c r="X16" i="27" s="1"/>
  <c r="X17" i="27" s="1"/>
  <c r="X45" i="27"/>
  <c r="X19" i="24" l="1"/>
  <c r="X22" i="24" s="1"/>
  <c r="X35" i="24" s="1"/>
  <c r="X30" i="24" s="1"/>
  <c r="X36" i="24" s="1"/>
  <c r="X37" i="24" s="1"/>
  <c r="X44" i="24" s="1"/>
  <c r="Y13" i="24" s="1"/>
  <c r="Y15" i="24" s="1"/>
  <c r="Y16" i="24" s="1"/>
  <c r="Y17" i="24" s="1"/>
  <c r="X29" i="27"/>
  <c r="X51" i="27"/>
  <c r="X19" i="27"/>
  <c r="X22" i="27" s="1"/>
  <c r="X31" i="27"/>
  <c r="X33" i="24" l="1"/>
  <c r="Y45" i="24"/>
  <c r="Y51" i="24" s="1"/>
  <c r="X55" i="24"/>
  <c r="X35" i="27"/>
  <c r="X30" i="27" s="1"/>
  <c r="X36" i="27" s="1"/>
  <c r="X37" i="27" s="1"/>
  <c r="X44" i="27" s="1"/>
  <c r="Y31" i="24"/>
  <c r="Y19" i="24"/>
  <c r="Y22" i="24" s="1"/>
  <c r="Y29" i="24" l="1"/>
  <c r="Y35" i="24" s="1"/>
  <c r="Y30" i="24" s="1"/>
  <c r="Y36" i="24" s="1"/>
  <c r="Y37" i="24" s="1"/>
  <c r="Y44" i="24" s="1"/>
  <c r="X33" i="27"/>
  <c r="X55" i="27"/>
  <c r="Y13" i="27"/>
  <c r="Y15" i="27" s="1"/>
  <c r="Y16" i="27" s="1"/>
  <c r="Y17" i="27" s="1"/>
  <c r="Y45" i="27"/>
  <c r="Y33" i="24" l="1"/>
  <c r="Z13" i="24"/>
  <c r="Z15" i="24" s="1"/>
  <c r="Z16" i="24" s="1"/>
  <c r="Z17" i="24" s="1"/>
  <c r="Y55" i="24"/>
  <c r="Z45" i="24"/>
  <c r="Y29" i="27"/>
  <c r="Y51" i="27"/>
  <c r="Y19" i="27"/>
  <c r="Y22" i="27" s="1"/>
  <c r="Y31" i="27"/>
  <c r="Y35" i="27" l="1"/>
  <c r="Y30" i="27" s="1"/>
  <c r="Y36" i="27" s="1"/>
  <c r="Y37" i="27" s="1"/>
  <c r="Y44" i="27" s="1"/>
  <c r="Z51" i="24"/>
  <c r="Z29" i="24"/>
  <c r="Z31" i="24"/>
  <c r="Z19" i="24"/>
  <c r="Z22" i="24" s="1"/>
  <c r="Y33" i="27" l="1"/>
  <c r="Z35" i="24"/>
  <c r="Z30" i="24" s="1"/>
  <c r="Z36" i="24" s="1"/>
  <c r="Z37" i="24" s="1"/>
  <c r="Z44" i="24" s="1"/>
  <c r="Z45" i="27"/>
  <c r="Y55" i="27"/>
  <c r="Z13" i="27"/>
  <c r="Z15" i="27" s="1"/>
  <c r="Z16" i="27" s="1"/>
  <c r="Z17" i="27" s="1"/>
  <c r="AA13" i="24" l="1"/>
  <c r="AA15" i="24" s="1"/>
  <c r="AA16" i="24" s="1"/>
  <c r="AA17" i="24" s="1"/>
  <c r="Z55" i="24"/>
  <c r="AA45" i="24"/>
  <c r="Z33" i="24"/>
  <c r="Z19" i="27"/>
  <c r="Z22" i="27" s="1"/>
  <c r="Z31" i="27"/>
  <c r="Z29" i="27"/>
  <c r="Z51" i="27"/>
  <c r="AA51" i="24" l="1"/>
  <c r="AA29" i="24"/>
  <c r="AA31" i="24"/>
  <c r="AA19" i="24"/>
  <c r="AA22" i="24" s="1"/>
  <c r="Z35" i="27"/>
  <c r="AA35" i="24" l="1"/>
  <c r="AA30" i="24" s="1"/>
  <c r="AA36" i="24" s="1"/>
  <c r="AA37" i="24" s="1"/>
  <c r="AA44" i="24" s="1"/>
  <c r="Z30" i="27"/>
  <c r="AA33" i="24" l="1"/>
  <c r="AB13" i="24"/>
  <c r="AB15" i="24" s="1"/>
  <c r="AB16" i="24" s="1"/>
  <c r="AB17" i="24" s="1"/>
  <c r="AB45" i="24"/>
  <c r="AA55" i="24"/>
  <c r="Z36" i="27"/>
  <c r="Z37" i="27" s="1"/>
  <c r="Z44" i="27" s="1"/>
  <c r="Z33" i="27"/>
  <c r="AB51" i="24" l="1"/>
  <c r="AB29" i="24"/>
  <c r="AB31" i="24"/>
  <c r="AB19" i="24"/>
  <c r="AB22" i="24" s="1"/>
  <c r="AA13" i="27"/>
  <c r="AA15" i="27" s="1"/>
  <c r="AA16" i="27" s="1"/>
  <c r="AA17" i="27" s="1"/>
  <c r="AA45" i="27"/>
  <c r="Z55" i="27"/>
  <c r="AB35" i="24" l="1"/>
  <c r="AB30" i="24" s="1"/>
  <c r="AB36" i="24" s="1"/>
  <c r="AB37" i="24" s="1"/>
  <c r="AB44" i="24" s="1"/>
  <c r="AA51" i="27"/>
  <c r="AA29" i="27"/>
  <c r="AA19" i="27"/>
  <c r="AA22" i="27" s="1"/>
  <c r="AA31" i="27"/>
  <c r="AA35" i="27" l="1"/>
  <c r="AA30" i="27" s="1"/>
  <c r="AA36" i="27" s="1"/>
  <c r="AA37" i="27" s="1"/>
  <c r="AA44" i="27" s="1"/>
  <c r="AC13" i="24"/>
  <c r="AC15" i="24" s="1"/>
  <c r="AC16" i="24" s="1"/>
  <c r="AC17" i="24" s="1"/>
  <c r="AC45" i="24"/>
  <c r="AB55" i="24"/>
  <c r="AB33" i="24"/>
  <c r="AA33" i="27" l="1"/>
  <c r="AC51" i="24"/>
  <c r="AC29" i="24"/>
  <c r="AC19" i="24"/>
  <c r="AC22" i="24" s="1"/>
  <c r="AC31" i="24"/>
  <c r="AB45" i="27"/>
  <c r="AB13" i="27"/>
  <c r="AB15" i="27" s="1"/>
  <c r="AB16" i="27" s="1"/>
  <c r="AB17" i="27" s="1"/>
  <c r="AA55" i="27"/>
  <c r="AC35" i="24" l="1"/>
  <c r="AC30" i="24" s="1"/>
  <c r="AC36" i="24" s="1"/>
  <c r="AC37" i="24" s="1"/>
  <c r="AC44" i="24" s="1"/>
  <c r="AB19" i="27"/>
  <c r="AB22" i="27" s="1"/>
  <c r="AB31" i="27"/>
  <c r="AB51" i="27"/>
  <c r="AB29" i="27"/>
  <c r="AC33" i="24" l="1"/>
  <c r="AB35" i="27"/>
  <c r="AB30" i="27" s="1"/>
  <c r="AB36" i="27" s="1"/>
  <c r="AB37" i="27" s="1"/>
  <c r="AB44" i="27" s="1"/>
  <c r="AD45" i="24"/>
  <c r="AC55" i="24"/>
  <c r="AD13" i="24"/>
  <c r="AD15" i="24" s="1"/>
  <c r="AD16" i="24" s="1"/>
  <c r="AD17" i="24" s="1"/>
  <c r="AD31" i="24" l="1"/>
  <c r="AD19" i="24"/>
  <c r="AD22" i="24" s="1"/>
  <c r="AD51" i="24"/>
  <c r="AD29" i="24"/>
  <c r="AC45" i="27"/>
  <c r="AC13" i="27"/>
  <c r="AC15" i="27" s="1"/>
  <c r="AC16" i="27" s="1"/>
  <c r="AC17" i="27" s="1"/>
  <c r="AB55" i="27"/>
  <c r="AB33" i="27"/>
  <c r="AD35" i="24" l="1"/>
  <c r="AC19" i="27"/>
  <c r="AC22" i="27" s="1"/>
  <c r="AC31" i="27"/>
  <c r="AC29" i="27"/>
  <c r="AC51" i="27"/>
  <c r="AD30" i="24" l="1"/>
  <c r="AC35" i="27"/>
  <c r="AD36" i="24" l="1"/>
  <c r="AD37" i="24" s="1"/>
  <c r="AD44" i="24" s="1"/>
  <c r="AD33" i="24"/>
  <c r="AC30" i="27"/>
  <c r="AE13" i="24" l="1"/>
  <c r="AE15" i="24" s="1"/>
  <c r="AE16" i="24" s="1"/>
  <c r="AE17" i="24" s="1"/>
  <c r="AE45" i="24"/>
  <c r="AD55" i="24"/>
  <c r="AC36" i="27"/>
  <c r="AC37" i="27" s="1"/>
  <c r="AC44" i="27" s="1"/>
  <c r="AC33" i="27"/>
  <c r="AE51" i="24" l="1"/>
  <c r="AE29" i="24"/>
  <c r="AE31" i="24"/>
  <c r="AE19" i="24"/>
  <c r="AE22" i="24" s="1"/>
  <c r="AD45" i="27"/>
  <c r="AD13" i="27"/>
  <c r="AD15" i="27" s="1"/>
  <c r="AD16" i="27" s="1"/>
  <c r="AD17" i="27" s="1"/>
  <c r="AC55" i="27"/>
  <c r="AE35" i="24" l="1"/>
  <c r="AE30" i="24" s="1"/>
  <c r="AE36" i="24" s="1"/>
  <c r="AE37" i="24" s="1"/>
  <c r="AE44" i="24" s="1"/>
  <c r="AD19" i="27"/>
  <c r="AD22" i="27" s="1"/>
  <c r="AD31" i="27"/>
  <c r="AD29" i="27"/>
  <c r="AD51" i="27"/>
  <c r="AF13" i="24" l="1"/>
  <c r="AF15" i="24" s="1"/>
  <c r="AF16" i="24" s="1"/>
  <c r="AF17" i="24" s="1"/>
  <c r="AF45" i="24"/>
  <c r="AE55" i="24"/>
  <c r="AE33" i="24"/>
  <c r="AD35" i="27"/>
  <c r="AF51" i="24" l="1"/>
  <c r="AF29" i="24"/>
  <c r="AF31" i="24"/>
  <c r="AF19" i="24"/>
  <c r="AF22" i="24" s="1"/>
  <c r="AD30" i="27"/>
  <c r="AF35" i="24" l="1"/>
  <c r="D72" i="24" s="1"/>
  <c r="AD36" i="27"/>
  <c r="AD37" i="27" s="1"/>
  <c r="AD44" i="27" s="1"/>
  <c r="AD33" i="27"/>
  <c r="AF30" i="24" l="1"/>
  <c r="AF36" i="24" s="1"/>
  <c r="AF37" i="24" s="1"/>
  <c r="AF44" i="24" s="1"/>
  <c r="AF58" i="24" s="1"/>
  <c r="AE45" i="27"/>
  <c r="AE13" i="27"/>
  <c r="AE15" i="27" s="1"/>
  <c r="AE16" i="27" s="1"/>
  <c r="AE17" i="27" s="1"/>
  <c r="AD55" i="27"/>
  <c r="D71" i="24" l="1"/>
  <c r="D73" i="24" s="1"/>
  <c r="D79" i="24"/>
  <c r="AF55" i="24"/>
  <c r="D78" i="24"/>
  <c r="AF33" i="24"/>
  <c r="AE19" i="27"/>
  <c r="AE22" i="27" s="1"/>
  <c r="AE31" i="27"/>
  <c r="AE29" i="27"/>
  <c r="AE51" i="27"/>
  <c r="D76" i="24" l="1"/>
  <c r="O64" i="24" s="1"/>
  <c r="E72" i="24"/>
  <c r="E71" i="24"/>
  <c r="AE35" i="27"/>
  <c r="D81" i="24" l="1"/>
  <c r="D75" i="24"/>
  <c r="E79" i="24"/>
  <c r="E78" i="24"/>
  <c r="AE30" i="27"/>
  <c r="AE36" i="27" l="1"/>
  <c r="AE37" i="27" s="1"/>
  <c r="AE44" i="27" s="1"/>
  <c r="AE33" i="27"/>
  <c r="AF45" i="27" l="1"/>
  <c r="AE55" i="27"/>
  <c r="AF13" i="27"/>
  <c r="AF15" i="27" s="1"/>
  <c r="AF16" i="27" s="1"/>
  <c r="AF17" i="27" s="1"/>
  <c r="H12" i="28"/>
  <c r="M12" i="28"/>
  <c r="Z12" i="28"/>
  <c r="S12" i="28"/>
  <c r="AE12" i="28"/>
  <c r="J12" i="28"/>
  <c r="U12" i="28"/>
  <c r="P12" i="28"/>
  <c r="R12" i="28"/>
  <c r="N12" i="28"/>
  <c r="X12" i="28"/>
  <c r="Q12" i="28"/>
  <c r="AB12" i="28"/>
  <c r="AD12" i="28"/>
  <c r="J7" i="28"/>
  <c r="K12" i="28"/>
  <c r="S7" i="28"/>
  <c r="AF12" i="28"/>
  <c r="T12" i="28"/>
  <c r="N7" i="28"/>
  <c r="X7" i="28"/>
  <c r="AD7" i="28"/>
  <c r="T7" i="28"/>
  <c r="H7" i="28"/>
  <c r="H15" i="28"/>
  <c r="H16" i="28" s="1"/>
  <c r="L12" i="28"/>
  <c r="AC12" i="28"/>
  <c r="R7" i="28"/>
  <c r="Z7" i="28"/>
  <c r="AB7" i="28"/>
  <c r="AC7" i="28"/>
  <c r="W12" i="28"/>
  <c r="V12" i="28"/>
  <c r="I7" i="28"/>
  <c r="I12" i="28"/>
  <c r="K7" i="28"/>
  <c r="L7" i="28"/>
  <c r="M7" i="28"/>
  <c r="O12" i="28"/>
  <c r="O7" i="28"/>
  <c r="P7" i="28"/>
  <c r="Q7" i="28"/>
  <c r="U7" i="28"/>
  <c r="V7" i="28"/>
  <c r="W7" i="28"/>
  <c r="Y7" i="28"/>
  <c r="Y12" i="28"/>
  <c r="AA12" i="28"/>
  <c r="AA7" i="28"/>
  <c r="AE7" i="28"/>
  <c r="AF7" i="28"/>
  <c r="AF19" i="27" l="1"/>
  <c r="AF22" i="27" s="1"/>
  <c r="AF31" i="27"/>
  <c r="AF29" i="27"/>
  <c r="AF51" i="27"/>
  <c r="H17" i="28"/>
  <c r="AF35" i="27" l="1"/>
  <c r="D72" i="27" s="1"/>
  <c r="H19" i="28"/>
  <c r="H22" i="28" s="1"/>
  <c r="H31" i="28"/>
  <c r="AF30" i="27" l="1"/>
  <c r="H35" i="28"/>
  <c r="AF36" i="27" l="1"/>
  <c r="AF37" i="27" s="1"/>
  <c r="AF44" i="27" s="1"/>
  <c r="AF33" i="27"/>
  <c r="H30" i="28"/>
  <c r="H33" i="28" s="1"/>
  <c r="H36" i="28"/>
  <c r="H37" i="28" s="1"/>
  <c r="H44" i="28" s="1"/>
  <c r="I13" i="28" s="1"/>
  <c r="AF55" i="27" l="1"/>
  <c r="AF58" i="27"/>
  <c r="D79" i="27"/>
  <c r="D78" i="27"/>
  <c r="D71" i="27"/>
  <c r="D73" i="27" s="1"/>
  <c r="I45" i="28"/>
  <c r="I29" i="28" s="1"/>
  <c r="I15" i="28"/>
  <c r="I16" i="28" s="1"/>
  <c r="E71" i="27" l="1"/>
  <c r="I17" i="28"/>
  <c r="D76" i="27" l="1"/>
  <c r="O64" i="27" s="1"/>
  <c r="E72" i="27"/>
  <c r="I31" i="28"/>
  <c r="I19" i="28"/>
  <c r="I22" i="28" s="1"/>
  <c r="D81" i="27" l="1"/>
  <c r="D75" i="27"/>
  <c r="J42" i="1" s="1"/>
  <c r="H40" i="1"/>
  <c r="E78" i="27"/>
  <c r="E79" i="27"/>
  <c r="I35" i="28"/>
  <c r="I30" i="28" l="1"/>
  <c r="I33" i="28" s="1"/>
  <c r="I36" i="28"/>
  <c r="I37" i="28" s="1"/>
  <c r="I44" i="28" s="1"/>
  <c r="J13" i="28" s="1"/>
  <c r="J15" i="28" l="1"/>
  <c r="J16" i="28" s="1"/>
  <c r="J45" i="28"/>
  <c r="J29" i="28" s="1"/>
  <c r="J17" i="28" l="1"/>
  <c r="J19" i="28" l="1"/>
  <c r="J22" i="28" s="1"/>
  <c r="J35" i="28" s="1"/>
  <c r="J31" i="28"/>
  <c r="J36" i="28" l="1"/>
  <c r="J37" i="28" s="1"/>
  <c r="J44" i="28" s="1"/>
  <c r="K13" i="28" s="1"/>
  <c r="J30" i="28"/>
  <c r="J33" i="28" s="1"/>
  <c r="K45" i="28" l="1"/>
  <c r="K15" i="28"/>
  <c r="K16" i="28" s="1"/>
  <c r="K17" i="28" l="1"/>
  <c r="K51" i="28"/>
  <c r="K29" i="28"/>
  <c r="K19" i="28" l="1"/>
  <c r="K22" i="28" s="1"/>
  <c r="K35" i="28" s="1"/>
  <c r="K31" i="28"/>
  <c r="K30" i="28" l="1"/>
  <c r="K33" i="28" s="1"/>
  <c r="K36" i="28"/>
  <c r="K37" i="28" s="1"/>
  <c r="K44" i="28" s="1"/>
  <c r="L13" i="28" l="1"/>
  <c r="L15" i="28" s="1"/>
  <c r="L16" i="28" s="1"/>
  <c r="K53" i="28"/>
  <c r="K55" i="28"/>
  <c r="L45" i="28"/>
  <c r="L29" i="28" l="1"/>
  <c r="L51" i="28"/>
  <c r="L17" i="28"/>
  <c r="L31" i="28" l="1"/>
  <c r="L19" i="28"/>
  <c r="L22" i="28" s="1"/>
  <c r="L35" i="28" s="1"/>
  <c r="L30" i="28" s="1"/>
  <c r="L36" i="28" l="1"/>
  <c r="L37" i="28" s="1"/>
  <c r="L44" i="28" s="1"/>
  <c r="M13" i="28" s="1"/>
  <c r="L33" i="28"/>
  <c r="L55" i="28" l="1"/>
  <c r="M45" i="28"/>
  <c r="M15" i="28"/>
  <c r="M16" i="28" s="1"/>
  <c r="M17" i="28" l="1"/>
  <c r="M29" i="28"/>
  <c r="M51" i="28"/>
  <c r="M31" i="28" l="1"/>
  <c r="M19" i="28"/>
  <c r="M22" i="28" s="1"/>
  <c r="M35" i="28" s="1"/>
  <c r="M30" i="28" l="1"/>
  <c r="M36" i="28" l="1"/>
  <c r="M37" i="28" s="1"/>
  <c r="M44" i="28" s="1"/>
  <c r="N13" i="28" s="1"/>
  <c r="M33" i="28"/>
  <c r="M55" i="28" l="1"/>
  <c r="N45" i="28"/>
  <c r="N15" i="28"/>
  <c r="N16" i="28" s="1"/>
  <c r="N17" i="28" l="1"/>
  <c r="N29" i="28"/>
  <c r="N51" i="28"/>
  <c r="N19" i="28" l="1"/>
  <c r="N22" i="28" s="1"/>
  <c r="N35" i="28" s="1"/>
  <c r="N31" i="28"/>
  <c r="N30" i="28" l="1"/>
  <c r="N36" i="28" l="1"/>
  <c r="N37" i="28" s="1"/>
  <c r="N44" i="28" s="1"/>
  <c r="O13" i="28" s="1"/>
  <c r="N33" i="28"/>
  <c r="N55" i="28" l="1"/>
  <c r="O45" i="28"/>
  <c r="O15" i="28"/>
  <c r="O16" i="28" s="1"/>
  <c r="O17" i="28" l="1"/>
  <c r="O51" i="28"/>
  <c r="O29" i="28"/>
  <c r="O19" i="28" l="1"/>
  <c r="O22" i="28" s="1"/>
  <c r="O35" i="28" s="1"/>
  <c r="O31" i="28"/>
  <c r="O30" i="28" l="1"/>
  <c r="O36" i="28" l="1"/>
  <c r="O37" i="28" s="1"/>
  <c r="O44" i="28" s="1"/>
  <c r="P13" i="28" s="1"/>
  <c r="O33" i="28"/>
  <c r="P15" i="28" l="1"/>
  <c r="P16" i="28" s="1"/>
  <c r="P45" i="28"/>
  <c r="O55" i="28"/>
  <c r="P17" i="28" l="1"/>
  <c r="P29" i="28"/>
  <c r="P51" i="28"/>
  <c r="P31" i="28" l="1"/>
  <c r="P19" i="28"/>
  <c r="P22" i="28" s="1"/>
  <c r="P35" i="28" s="1"/>
  <c r="P30" i="28" s="1"/>
  <c r="P36" i="28" l="1"/>
  <c r="P37" i="28" s="1"/>
  <c r="P44" i="28" s="1"/>
  <c r="Q13" i="28" s="1"/>
  <c r="P33" i="28"/>
  <c r="Q15" i="28" l="1"/>
  <c r="Q16" i="28" s="1"/>
  <c r="Q17" i="28" s="1"/>
  <c r="P55" i="28"/>
  <c r="Q45" i="28"/>
  <c r="Q51" i="28" s="1"/>
  <c r="Q29" i="28" l="1"/>
  <c r="Q19" i="28"/>
  <c r="Q22" i="28" s="1"/>
  <c r="Q31" i="28"/>
  <c r="Q35" i="28" l="1"/>
  <c r="Q30" i="28" s="1"/>
  <c r="Q36" i="28" s="1"/>
  <c r="Q37" i="28" s="1"/>
  <c r="Q44" i="28" s="1"/>
  <c r="R13" i="28" l="1"/>
  <c r="R15" i="28" s="1"/>
  <c r="R16" i="28" s="1"/>
  <c r="R17" i="28" s="1"/>
  <c r="R45" i="28"/>
  <c r="R51" i="28" s="1"/>
  <c r="Q55" i="28"/>
  <c r="Q33" i="28"/>
  <c r="R29" i="28" l="1"/>
  <c r="R19" i="28"/>
  <c r="R22" i="28" s="1"/>
  <c r="R35" i="28" s="1"/>
  <c r="R31" i="28"/>
  <c r="R30" i="28" l="1"/>
  <c r="R36" i="28" l="1"/>
  <c r="R37" i="28" s="1"/>
  <c r="R44" i="28" s="1"/>
  <c r="S13" i="28" s="1"/>
  <c r="R33" i="28"/>
  <c r="R55" i="28" l="1"/>
  <c r="S15" i="28"/>
  <c r="S16" i="28" s="1"/>
  <c r="S45" i="28"/>
  <c r="S17" i="28" l="1"/>
  <c r="S51" i="28"/>
  <c r="S29" i="28"/>
  <c r="S31" i="28" l="1"/>
  <c r="S19" i="28"/>
  <c r="S22" i="28" s="1"/>
  <c r="S35" i="28" s="1"/>
  <c r="S30" i="28" s="1"/>
  <c r="S36" i="28" l="1"/>
  <c r="S37" i="28" s="1"/>
  <c r="S44" i="28" s="1"/>
  <c r="T13" i="28" s="1"/>
  <c r="S33" i="28"/>
  <c r="T45" i="28" l="1"/>
  <c r="T29" i="28" s="1"/>
  <c r="T15" i="28"/>
  <c r="T16" i="28" s="1"/>
  <c r="T17" i="28" s="1"/>
  <c r="S55" i="28"/>
  <c r="T51" i="28" l="1"/>
  <c r="T19" i="28"/>
  <c r="T22" i="28" s="1"/>
  <c r="T35" i="28" s="1"/>
  <c r="T30" i="28" s="1"/>
  <c r="T31" i="28"/>
  <c r="T36" i="28" l="1"/>
  <c r="T37" i="28" s="1"/>
  <c r="T44" i="28" s="1"/>
  <c r="U13" i="28" s="1"/>
  <c r="T33" i="28"/>
  <c r="U45" i="28" l="1"/>
  <c r="U51" i="28" s="1"/>
  <c r="U15" i="28"/>
  <c r="U16" i="28" s="1"/>
  <c r="U17" i="28" s="1"/>
  <c r="T55" i="28"/>
  <c r="U29" i="28" l="1"/>
  <c r="U19" i="28"/>
  <c r="U22" i="28" s="1"/>
  <c r="U31" i="28"/>
  <c r="U35" i="28" l="1"/>
  <c r="U30" i="28" s="1"/>
  <c r="U36" i="28" l="1"/>
  <c r="U37" i="28" s="1"/>
  <c r="U44" i="28" s="1"/>
  <c r="V13" i="28" s="1"/>
  <c r="U33" i="28"/>
  <c r="V45" i="28" l="1"/>
  <c r="V15" i="28"/>
  <c r="V16" i="28" s="1"/>
  <c r="U55" i="28"/>
  <c r="V17" i="28" l="1"/>
  <c r="V51" i="28"/>
  <c r="V29" i="28"/>
  <c r="V19" i="28" l="1"/>
  <c r="V22" i="28" s="1"/>
  <c r="V35" i="28" s="1"/>
  <c r="V31" i="28"/>
  <c r="V30" i="28" l="1"/>
  <c r="V36" i="28" l="1"/>
  <c r="V37" i="28" s="1"/>
  <c r="V44" i="28" s="1"/>
  <c r="W13" i="28" s="1"/>
  <c r="V33" i="28"/>
  <c r="W45" i="28" l="1"/>
  <c r="W15" i="28"/>
  <c r="W16" i="28" s="1"/>
  <c r="V55" i="28"/>
  <c r="W17" i="28" l="1"/>
  <c r="W29" i="28"/>
  <c r="W51" i="28"/>
  <c r="W31" i="28" l="1"/>
  <c r="W19" i="28"/>
  <c r="W22" i="28" s="1"/>
  <c r="W35" i="28" s="1"/>
  <c r="W30" i="28" l="1"/>
  <c r="W36" i="28" l="1"/>
  <c r="W37" i="28" s="1"/>
  <c r="W44" i="28" s="1"/>
  <c r="X13" i="28" s="1"/>
  <c r="W33" i="28"/>
  <c r="W55" i="28" l="1"/>
  <c r="X45" i="28"/>
  <c r="X15" i="28"/>
  <c r="X16" i="28" s="1"/>
  <c r="X17" i="28" l="1"/>
  <c r="X51" i="28"/>
  <c r="X29" i="28"/>
  <c r="X19" i="28" l="1"/>
  <c r="X22" i="28" s="1"/>
  <c r="X35" i="28" s="1"/>
  <c r="X31" i="28"/>
  <c r="X30" i="28" l="1"/>
  <c r="X36" i="28" l="1"/>
  <c r="X37" i="28" s="1"/>
  <c r="X44" i="28" s="1"/>
  <c r="Y13" i="28" s="1"/>
  <c r="X33" i="28"/>
  <c r="X55" i="28" l="1"/>
  <c r="Y15" i="28"/>
  <c r="Y16" i="28" s="1"/>
  <c r="Y45" i="28"/>
  <c r="Y17" i="28" l="1"/>
  <c r="Y51" i="28"/>
  <c r="Y29" i="28"/>
  <c r="Y31" i="28" l="1"/>
  <c r="Y19" i="28"/>
  <c r="Y22" i="28" s="1"/>
  <c r="Y35" i="28" s="1"/>
  <c r="Y30" i="28" s="1"/>
  <c r="Y36" i="28" l="1"/>
  <c r="Y37" i="28" s="1"/>
  <c r="Y44" i="28" s="1"/>
  <c r="Z13" i="28" s="1"/>
  <c r="Y33" i="28"/>
  <c r="Y55" i="28" l="1"/>
  <c r="Z15" i="28"/>
  <c r="Z16" i="28" s="1"/>
  <c r="Z17" i="28" s="1"/>
  <c r="Z45" i="28"/>
  <c r="Z29" i="28" s="1"/>
  <c r="Z51" i="28" l="1"/>
  <c r="Z31" i="28"/>
  <c r="Z19" i="28"/>
  <c r="Z22" i="28" s="1"/>
  <c r="Z35" i="28" s="1"/>
  <c r="Z30" i="28" l="1"/>
  <c r="Z36" i="28" l="1"/>
  <c r="Z37" i="28" s="1"/>
  <c r="Z44" i="28" s="1"/>
  <c r="AA13" i="28" s="1"/>
  <c r="Z33" i="28"/>
  <c r="AA45" i="28" l="1"/>
  <c r="Z55" i="28"/>
  <c r="AA15" i="28"/>
  <c r="AA16" i="28" s="1"/>
  <c r="AA17" i="28" l="1"/>
  <c r="AA29" i="28"/>
  <c r="AA51" i="28"/>
  <c r="AA19" i="28" l="1"/>
  <c r="AA22" i="28" s="1"/>
  <c r="AA35" i="28" s="1"/>
  <c r="AA31" i="28"/>
  <c r="AA30" i="28" l="1"/>
  <c r="AA36" i="28" l="1"/>
  <c r="AA37" i="28" s="1"/>
  <c r="AA44" i="28" s="1"/>
  <c r="AB13" i="28" s="1"/>
  <c r="AA33" i="28"/>
  <c r="AB15" i="28" l="1"/>
  <c r="AB16" i="28" s="1"/>
  <c r="AA55" i="28"/>
  <c r="AB45" i="28"/>
  <c r="AB17" i="28" l="1"/>
  <c r="AB51" i="28"/>
  <c r="AB29" i="28"/>
  <c r="AB31" i="28" l="1"/>
  <c r="AB19" i="28"/>
  <c r="AB22" i="28" s="1"/>
  <c r="AB35" i="28" s="1"/>
  <c r="AB30" i="28" s="1"/>
  <c r="AB36" i="28" l="1"/>
  <c r="AB37" i="28" s="1"/>
  <c r="AB44" i="28" s="1"/>
  <c r="AC13" i="28" s="1"/>
  <c r="AC15" i="28" s="1"/>
  <c r="AC16" i="28" s="1"/>
  <c r="AB33" i="28"/>
  <c r="AB55" i="28" l="1"/>
  <c r="AC45" i="28"/>
  <c r="AC29" i="28" s="1"/>
  <c r="AC17" i="28"/>
  <c r="AC51" i="28" l="1"/>
  <c r="AC19" i="28"/>
  <c r="AC22" i="28" s="1"/>
  <c r="AC35" i="28" s="1"/>
  <c r="AC30" i="28" s="1"/>
  <c r="AC31" i="28"/>
  <c r="AC36" i="28" l="1"/>
  <c r="AC37" i="28" s="1"/>
  <c r="AC44" i="28" s="1"/>
  <c r="AD13" i="28" s="1"/>
  <c r="AC33" i="28"/>
  <c r="AD45" i="28" l="1"/>
  <c r="AD51" i="28" s="1"/>
  <c r="AD15" i="28"/>
  <c r="AD16" i="28" s="1"/>
  <c r="AC55" i="28"/>
  <c r="AD29" i="28" l="1"/>
  <c r="AD17" i="28"/>
  <c r="AD19" i="28" l="1"/>
  <c r="AD22" i="28" s="1"/>
  <c r="AD35" i="28" s="1"/>
  <c r="AD30" i="28" s="1"/>
  <c r="AD31" i="28"/>
  <c r="AD36" i="28" l="1"/>
  <c r="AD37" i="28" s="1"/>
  <c r="AD44" i="28" s="1"/>
  <c r="AE13" i="28" s="1"/>
  <c r="AD33" i="28"/>
  <c r="AD55" i="28" l="1"/>
  <c r="AE15" i="28"/>
  <c r="AE16" i="28" s="1"/>
  <c r="AE45" i="28"/>
  <c r="AE17" i="28" l="1"/>
  <c r="AE29" i="28"/>
  <c r="AE51" i="28"/>
  <c r="AE19" i="28" l="1"/>
  <c r="AE22" i="28" s="1"/>
  <c r="AE35" i="28" s="1"/>
  <c r="AE30" i="28" s="1"/>
  <c r="AE31" i="28"/>
  <c r="AE36" i="28" l="1"/>
  <c r="AE37" i="28" s="1"/>
  <c r="AE44" i="28" s="1"/>
  <c r="AF13" i="28" s="1"/>
  <c r="AE33" i="28"/>
  <c r="AF45" i="28" l="1"/>
  <c r="AF29" i="28" s="1"/>
  <c r="AE55" i="28"/>
  <c r="AF15" i="28"/>
  <c r="AF16" i="28" s="1"/>
  <c r="AF17" i="28" s="1"/>
  <c r="AF51" i="28" l="1"/>
  <c r="AF19" i="28"/>
  <c r="AF22" i="28" s="1"/>
  <c r="AF35" i="28" s="1"/>
  <c r="AF31" i="28"/>
  <c r="D72" i="28" l="1"/>
  <c r="AF30" i="28"/>
  <c r="AF36" i="28" l="1"/>
  <c r="AF33" i="28"/>
  <c r="AF37" i="28" l="1"/>
  <c r="AF44" i="28" s="1"/>
  <c r="D78" i="28" s="1"/>
  <c r="D79" i="28" l="1"/>
  <c r="D71" i="28"/>
  <c r="D73" i="28" s="1"/>
  <c r="AF55" i="28"/>
  <c r="AF58" i="28"/>
  <c r="G73" i="28" l="1"/>
  <c r="H73" i="28"/>
  <c r="H74" i="28" s="1"/>
  <c r="I73" i="28"/>
  <c r="I74" i="28" s="1"/>
  <c r="J73" i="28"/>
  <c r="J74" i="28" s="1"/>
  <c r="E71" i="28"/>
  <c r="D76" i="28"/>
  <c r="O64" i="28" s="1"/>
  <c r="E72" i="28"/>
  <c r="D75" i="28" l="1"/>
  <c r="D81" i="28"/>
  <c r="E79" i="28"/>
  <c r="E78"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Daniyar Myrzashev</author>
  </authors>
  <commentList>
    <comment ref="G18" authorId="0" shapeId="0" xr:uid="{28CBD1A3-9C8D-45DD-9AE8-AE7FCA554AC1}">
      <text>
        <r>
          <rPr>
            <sz val="10"/>
            <rFont val="Arial"/>
            <family val="2"/>
          </rPr>
          <t xml:space="preserve">Daniyar Myrzashev:
AMD has changed how they report their categories since 2021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Pilar Barrocal Fortunato</author>
  </authors>
  <commentList>
    <comment ref="C31" authorId="0" shapeId="0" xr:uid="{8775961D-D55A-44A3-AEB9-A86F61F16758}">
      <text>
        <r>
          <rPr>
            <sz val="10"/>
            <rFont val="Arial"/>
            <family val="2"/>
          </rPr>
          <t>Maria Pilar Barrocal Fortunato:
sobre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Damião Carvalho Perdigão Gonçalves Ribeiro</author>
  </authors>
  <commentList>
    <comment ref="K1" authorId="0" shapeId="0" xr:uid="{184A6058-1AB3-4A28-A1D1-6239237C27B5}">
      <text>
        <r>
          <rPr>
            <sz val="10"/>
            <rFont val="Arial"/>
            <family val="2"/>
          </rPr>
          <t>Damião Carvalho Perdigão Gonçalves Ribeiro:
Adjust length of formulas to number of companies provided by Refinitiv</t>
        </r>
      </text>
    </comment>
    <comment ref="V2" authorId="0" shapeId="0" xr:uid="{36153C84-419C-4EE8-AB46-BA7A3B30CBC2}">
      <text>
        <r>
          <rPr>
            <sz val="10"/>
            <rFont val="Arial"/>
            <family val="2"/>
          </rPr>
          <t>Damião Carvalho Perdigão Gonçalves Ribeiro:
Adjust length of formula to number of companies provided by Refinitiv</t>
        </r>
      </text>
    </comment>
    <comment ref="AE2" authorId="0" shapeId="0" xr:uid="{CBFE96F4-6BFC-42E0-B959-E7D7D2199F8A}">
      <text>
        <r>
          <rPr>
            <sz val="10"/>
            <rFont val="Arial"/>
            <family val="2"/>
          </rPr>
          <t>Damião Carvalho Perdigão Gonçalves Ribeiro:
Adjust length of formula to number of companies provided by Refinitiv</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tc={2EC4044A-76D6-496D-AC66-EEF03B5C5CE7}</author>
    <author>Daniyar Myrzashev</author>
  </authors>
  <commentList>
    <comment ref="D307" authorId="0" shapeId="0" xr:uid="{2EC4044A-76D6-496D-AC66-EEF03B5C5CE7}">
      <text>
        <t>[Threaded comment]
Your version of Excel allows you to read this threaded comment; however, any edits to it will get removed if the file is opened in a newer version of Excel. Learn more: https://go.microsoft.com/fwlink/?linkid=870924
Comment:
    The huge discrepancy between CapEx and Variation in Gross PPE derives from 692M$ of PPE acquired with Xilinx Acquisition in Feb 2022</t>
      </text>
    </comment>
    <comment ref="I348" authorId="1" shapeId="0" xr:uid="{B8F1B4E2-062F-495F-A8B7-5F733B15756C}">
      <text>
        <r>
          <rPr>
            <sz val="10"/>
            <rFont val="Arial"/>
            <family val="2"/>
          </rPr>
          <t xml:space="preserve">Daniyar Myrzashev:
Mean of 2020-2023
</t>
        </r>
      </text>
    </comment>
    <comment ref="I349" authorId="1" shapeId="0" xr:uid="{9B09376D-84B8-48D8-BA7C-C74CA0AA4B43}">
      <text>
        <r>
          <rPr>
            <sz val="10"/>
            <rFont val="Arial"/>
            <family val="2"/>
          </rPr>
          <t>Daniyar Myrzashev:
Mean of 2022-2023</t>
        </r>
      </text>
    </comment>
    <comment ref="I350" authorId="1" shapeId="0" xr:uid="{E8C546FF-F4E3-4486-B897-9BD304A35916}">
      <text>
        <r>
          <rPr>
            <sz val="10"/>
            <rFont val="Arial"/>
            <family val="2"/>
          </rPr>
          <t>Daniyar Myrzashev:
Mean of 2021-23</t>
        </r>
      </text>
    </comment>
    <comment ref="I352" authorId="1" shapeId="0" xr:uid="{D4924AF0-1563-4744-8138-21C0E82444EA}">
      <text>
        <r>
          <rPr>
            <sz val="10"/>
            <rFont val="Arial"/>
            <family val="2"/>
          </rPr>
          <t xml:space="preserve">Daniyar Myrzashev:
Median
</t>
        </r>
      </text>
    </comment>
    <comment ref="I353" authorId="1" shapeId="0" xr:uid="{4FB9CB8B-88AB-4A7D-A0E9-D85FB969C58F}">
      <text>
        <r>
          <rPr>
            <sz val="10"/>
            <rFont val="Arial"/>
            <family val="2"/>
          </rPr>
          <t xml:space="preserve">Daniyar Myrzashev:
Median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2"/>
        </ext>
      </extLst>
    </bk>
    <bk>
      <extLst>
        <ext uri="{3e2802c4-a4d2-4d8b-9148-e3be6c30e623}">
          <xlrd:rvb i="3"/>
        </ext>
      </extLst>
    </bk>
    <bk>
      <extLst>
        <ext uri="{3e2802c4-a4d2-4d8b-9148-e3be6c30e623}">
          <xlrd:rvb i="6"/>
        </ext>
      </extLst>
    </bk>
    <bk>
      <extLst>
        <ext uri="{3e2802c4-a4d2-4d8b-9148-e3be6c30e623}">
          <xlrd:rvb i="7"/>
        </ext>
      </extLst>
    </bk>
    <bk>
      <extLst>
        <ext uri="{3e2802c4-a4d2-4d8b-9148-e3be6c30e623}">
          <xlrd:rvb i="10"/>
        </ext>
      </extLst>
    </bk>
    <bk>
      <extLst>
        <ext uri="{3e2802c4-a4d2-4d8b-9148-e3be6c30e623}">
          <xlrd:rvb i="11"/>
        </ext>
      </extLst>
    </bk>
    <bk>
      <extLst>
        <ext uri="{3e2802c4-a4d2-4d8b-9148-e3be6c30e623}">
          <xlrd:rvb i="18"/>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<sst xmlns="http://schemas.openxmlformats.org/spreadsheetml/2006/main" count="2943" uniqueCount="1232">
  <si>
    <t>Team 1</t>
  </si>
  <si>
    <t>NYSE</t>
  </si>
  <si>
    <t xml:space="preserve">SIC: </t>
  </si>
  <si>
    <t>COMPANY DESCRIPTION</t>
  </si>
  <si>
    <t>CEO &amp; BOARD OF DIRECTORS</t>
  </si>
  <si>
    <t>Name</t>
  </si>
  <si>
    <t>Gender</t>
  </si>
  <si>
    <t>Age</t>
  </si>
  <si>
    <t>Tenure</t>
  </si>
  <si>
    <t>Executive?</t>
  </si>
  <si>
    <t>Other roles</t>
  </si>
  <si>
    <t>Dr. Lisa T. Su</t>
  </si>
  <si>
    <t>Female</t>
  </si>
  <si>
    <t>12 years</t>
  </si>
  <si>
    <t>MD’s Chair, President and Chief Executive Officer</t>
  </si>
  <si>
    <t xml:space="preserve">Chief Operating Officer, Senior Vice President and General Manager, </t>
  </si>
  <si>
    <t xml:space="preserve">Nora M. Denzel
</t>
  </si>
  <si>
    <t>10 years</t>
  </si>
  <si>
    <t xml:space="preserve">Lead Independent Director
</t>
  </si>
  <si>
    <t>Mark Durcan</t>
  </si>
  <si>
    <t>Male</t>
  </si>
  <si>
    <t>7 years</t>
  </si>
  <si>
    <t>Independent Director</t>
  </si>
  <si>
    <t>Mike P. Gregoire</t>
  </si>
  <si>
    <t>5 years</t>
  </si>
  <si>
    <t xml:space="preserve">Joseph A. Householder
</t>
  </si>
  <si>
    <t xml:space="preserve">John Marren
</t>
  </si>
  <si>
    <t xml:space="preserve">Jon A. Olson
</t>
  </si>
  <si>
    <t>2 years</t>
  </si>
  <si>
    <t xml:space="preserve">Abhi Talwalkar
</t>
  </si>
  <si>
    <t>Elizabeth (Beth) Vanderslice</t>
  </si>
  <si>
    <t>USD MILLIONS</t>
  </si>
  <si>
    <t>COMPANY OVERVIEW</t>
  </si>
  <si>
    <t>Stock</t>
  </si>
  <si>
    <t>Liquidity and Solvency</t>
  </si>
  <si>
    <t>Segments</t>
  </si>
  <si>
    <t>Profitability (2022)</t>
  </si>
  <si>
    <t>Multiples</t>
  </si>
  <si>
    <t>Last Price</t>
  </si>
  <si>
    <t>Total Assets</t>
  </si>
  <si>
    <t>Regions</t>
  </si>
  <si>
    <t>% Sales</t>
  </si>
  <si>
    <t>Reporting Year</t>
  </si>
  <si>
    <t>Float</t>
  </si>
  <si>
    <t>Outstanding Shares</t>
  </si>
  <si>
    <t>Total Liabilities</t>
  </si>
  <si>
    <t>End of Year</t>
  </si>
  <si>
    <t>Insiders Own</t>
  </si>
  <si>
    <t>Market Cap.</t>
  </si>
  <si>
    <t>Cash/Share</t>
  </si>
  <si>
    <t>EBITDA</t>
  </si>
  <si>
    <t>b (Yahoo)</t>
  </si>
  <si>
    <t>+Total Debt</t>
  </si>
  <si>
    <t>EBITDA/Net Financial Cost (NFC)</t>
  </si>
  <si>
    <t>Depreciation &amp; Amortization</t>
  </si>
  <si>
    <t>Score (S&amp;P)</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</si>
  <si>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</si>
  <si>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</si>
  <si>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</si>
  <si>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</si>
  <si>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</si>
  <si>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</si>
  <si>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</si>
  <si>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</si>
  <si>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</si>
  <si>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</si>
  <si>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</si>
  <si>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</si>
  <si>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</si>
  <si>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</si>
  <si>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</si>
  <si>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</si>
  <si>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</si>
  <si>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</si>
  <si>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</si>
  <si>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</si>
  <si>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</si>
  <si>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</si>
  <si>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</si>
  <si>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</si>
  <si>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</si>
  <si>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</si>
  <si>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</si>
  <si>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</si>
  <si>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</si>
  <si>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</si>
  <si>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</si>
  <si>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</si>
  <si>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</si>
  <si>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</si>
  <si>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</si>
  <si>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</si>
  <si>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</si>
  <si>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</si>
  <si>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</si>
  <si>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</si>
  <si>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</si>
  <si>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Buy</t>
  </si>
  <si>
    <t>High growth potential</t>
  </si>
  <si>
    <t>Increase in demand for AI chips to feed computing needs for generative lenguage models</t>
  </si>
  <si>
    <t>Special positioning in AI</t>
  </si>
  <si>
    <t>The company is posing itself to compete with NVIDIA and breaking it's competitive advantage of vertical integration of software and hardware</t>
  </si>
  <si>
    <t>Future technologies</t>
  </si>
  <si>
    <t>The company is posed to capitalize on future technologies such as Quantum computers or VR hardware chips might be capitlized and can't be counted on for current projections.</t>
  </si>
  <si>
    <t>Risks of Investment</t>
  </si>
  <si>
    <t>Price Target</t>
  </si>
  <si>
    <t>Valuation</t>
  </si>
  <si>
    <t>Risk</t>
  </si>
  <si>
    <t>Discount Rate</t>
  </si>
  <si>
    <t>Price M. Upside</t>
  </si>
  <si>
    <t>Uncertainty</t>
  </si>
  <si>
    <t>The AI chips industry is not estabeished and the market dynamics projections are merely based on scenarios</t>
  </si>
  <si>
    <t>High valuation</t>
  </si>
  <si>
    <t>If the company fails to position itself in the datacenter segment, it's current valuation is too high</t>
  </si>
  <si>
    <t>Upside</t>
  </si>
  <si>
    <t>EV M. Upside</t>
  </si>
  <si>
    <t>Geopolitical</t>
  </si>
  <si>
    <t>High relience on TSMC to outsource production and exposure to chinese market</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</si>
  <si>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</si>
  <si>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</si>
  <si>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</si>
  <si>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</si>
  <si>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</si>
  <si>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</si>
  <si>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</si>
  <si>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</si>
  <si>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</si>
  <si>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</si>
  <si>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</si>
  <si>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</si>
  <si>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</si>
  <si>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</si>
  <si>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</si>
  <si>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</si>
  <si>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</si>
  <si>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</si>
  <si>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</si>
  <si>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</si>
  <si>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</si>
  <si>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</si>
  <si>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</si>
  <si>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</si>
  <si>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</si>
  <si>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</si>
  <si>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</si>
  <si>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</si>
  <si>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 Stake</t>
  </si>
  <si>
    <t xml:space="preserve">Strong brand- AMD has been one of the industry leaders for a while, maintaining a respected brand name and constantly innovating their products
Lower pricing comparing to Intel- Especially in the mid range prices, AMD has cheaper prices with the same perfomance as Intel
Product inovation(chips)- For example the Ryzen 8000GE series, are chips from AMD that are more energy-efficient, used in mobile devices and some desktop devices.
</t>
  </si>
  <si>
    <t xml:space="preserve">Reliance on the PC market
Volatile stock, Beta of 1.63
Lack of presence in the mobile devices industry
</t>
  </si>
  <si>
    <t>Vanguard Group Inc</t>
  </si>
  <si>
    <t>8,81</t>
  </si>
  <si>
    <t>Blackrock Inc.</t>
  </si>
  <si>
    <t>7,65</t>
  </si>
  <si>
    <t>State Street Corporation</t>
  </si>
  <si>
    <t>4,10</t>
  </si>
  <si>
    <t>FMR, LLC</t>
  </si>
  <si>
    <t>2,5</t>
  </si>
  <si>
    <t xml:space="preserve">JP Morgan Chase &amp; Company	</t>
  </si>
  <si>
    <t>2,23</t>
  </si>
  <si>
    <t xml:space="preserve">Geode Capital Management, LLC	</t>
  </si>
  <si>
    <t>1,97</t>
  </si>
  <si>
    <t xml:space="preserve">Fisher Asset Management, LLC	</t>
  </si>
  <si>
    <t>1,75</t>
  </si>
  <si>
    <t xml:space="preserve">Price (T.Rowe) Associates Inc	</t>
  </si>
  <si>
    <t>1,71</t>
  </si>
  <si>
    <t xml:space="preserve">Jennison Associates LLC	</t>
  </si>
  <si>
    <t>1,66</t>
  </si>
  <si>
    <t xml:space="preserve">Morgan Stanley	</t>
  </si>
  <si>
    <t>1,65</t>
  </si>
  <si>
    <t>Opportunities</t>
  </si>
  <si>
    <t>Risks</t>
  </si>
  <si>
    <t>Increased demand of chips
Rise of mobile devices for gaming and work</t>
  </si>
  <si>
    <t>Strong competition between brands 
Environmental Regulations
Supply chain risk</t>
  </si>
  <si>
    <t>Environmental Regulations</t>
  </si>
  <si>
    <t>NOTES</t>
  </si>
  <si>
    <t>STOCK PERFORMANCE (5 years)</t>
  </si>
  <si>
    <t>Through our analysis, we have concluded that there is a high dispersion of possibilities for AMD earnings and it's intrinsic value. Given the higher potential for upside, we recomend a buy with caution. We also think that AMD's stock should be bought togheter with other AI stocks as a way to diversify exposure.</t>
  </si>
  <si>
    <t>Products</t>
  </si>
  <si>
    <t>Nominal value</t>
  </si>
  <si>
    <t>YoY Growth</t>
  </si>
  <si>
    <t>Weight</t>
  </si>
  <si>
    <t>Region</t>
  </si>
  <si>
    <t>United States</t>
  </si>
  <si>
    <t>Japan</t>
  </si>
  <si>
    <t>China (including Hong Kong)</t>
  </si>
  <si>
    <t>Singapore</t>
  </si>
  <si>
    <t>Europe</t>
  </si>
  <si>
    <t>Taiwan</t>
  </si>
  <si>
    <t>Other countries</t>
  </si>
  <si>
    <t>TOTAL</t>
  </si>
  <si>
    <t>Category</t>
  </si>
  <si>
    <t>Data Center</t>
  </si>
  <si>
    <t>Client</t>
  </si>
  <si>
    <t>Gaming</t>
  </si>
  <si>
    <t>Embedded</t>
  </si>
  <si>
    <t>Description</t>
  </si>
  <si>
    <t>Graphs</t>
  </si>
  <si>
    <t xml:space="preserve">Data Center segment offers products for data center market to address the computational, visual data processing and AI workload acceleration needs. Products are Server CPU, Data Center GPUs, FPGAs and Adaptive SoCs, and DPUs.
</t>
  </si>
  <si>
    <t xml:space="preserve">Client segment offers CPUs and chipsets for computing platforms such as desktops, notebooks, and commercial PCs solutions. </t>
  </si>
  <si>
    <t>AMD produces GPUs and CPUs for gaming industry specifically adressing graphic improvements.</t>
  </si>
  <si>
    <t>The Embedded segment primarily includes embedded CPUs, GPUs, APUs, FPGAs, and Adaptive SoC products. Embedded products address specific computing needs in automotive, industrial, medical and 12 other markets.</t>
  </si>
  <si>
    <t>Industry</t>
  </si>
  <si>
    <t>Graphs (Industry Forecasts)</t>
  </si>
  <si>
    <t>Drivers</t>
  </si>
  <si>
    <t>Automative industry</t>
  </si>
  <si>
    <t>The automotive industry's increasing demand for chips, driven by electric vehicles and autonomous features, is a major force in the semiconductor sector. Semiconductors are essential for powering functions like sensors, connectivity systems, and advanced driver-assistance systems. Regulatory mandates for electric vehicle production and the trend towards vehicle electrification further propel this reliance on semiconductors. Consequently, automotive applications have become a crucial focus area for semiconductor companies, expected to drive significant revenue growth in the industry.</t>
  </si>
  <si>
    <t>AI Chips</t>
  </si>
  <si>
    <t>AI chips represent a key driver in the semiconductor industry, catering to the growing demand for artificial intelligence (AI) technologies across various sectors. These specialized chips are designed to optimize the performance of AI algorithms, enabling faster processing speeds and energy efficiency for tasks like machine learning, deep learning, and neural network computations. The increasing adoption of AI in applications such as data centers, autonomous vehicles, healthcare, and smart devices has fueled the demand for AI chips.</t>
  </si>
  <si>
    <t>Wireless Industries</t>
  </si>
  <si>
    <t xml:space="preserve"> Semiconductors play a crucial role in enabling wireless communication technologies such as Wi-Fi, Bluetooth, cellular networks, and emerging standards like 5G. With the proliferation of mobile devices, smart homes, Internet of Things (IoT) devices, and the digitization of industries, the demand for wireless semiconductor solutions continues to grow.</t>
  </si>
  <si>
    <t>Cloud/Data Centers</t>
  </si>
  <si>
    <t>Semiconductors are essential components in the infrastructure of cloud computing and data centers, powering servers, networking equipment, storage devices, and other critical systems. As businesses and consumers rely more on cloud services for data storage, processing, and analytics, the demand for high-performance and energy-efficient semiconductor solutions continues to rise.</t>
  </si>
  <si>
    <t>Sales forecast</t>
  </si>
  <si>
    <t>Source</t>
  </si>
  <si>
    <t>Market Growth CAGR</t>
  </si>
  <si>
    <t>Period</t>
  </si>
  <si>
    <t xml:space="preserve">Statista </t>
  </si>
  <si>
    <t>2024-2027</t>
  </si>
  <si>
    <t>Precedence Research</t>
  </si>
  <si>
    <t>2024-2033</t>
  </si>
  <si>
    <t>DataHorizzon Research</t>
  </si>
  <si>
    <t>2023-2032</t>
  </si>
  <si>
    <t>Average</t>
  </si>
  <si>
    <t>Company's Strategy / Extra Notes</t>
  </si>
  <si>
    <t>AMD's strategy is focused on five strategic pillars: extend leadership in foundational technology and IP, provide competitive software, tools and open-source enablement, re-use core technology across platforms to achieve economies of scale, build effective ecosystems with disciplined partnerships, and drive customer-centric go-to-market that leverages all of AMD’s capabilities. They understand the potential of AI and expect this part of their business to grow. AMD offers products that include capabilities to support AI deployment. With the acquisitions of Mipsology SAS and Nod, Inc. in 2023, they expanded their AI software capabilities to accelerate their AI growth strategy centered on an open software ecosystem to help lower the barriers of entry for customers through developer tools, libraries and models. Moreover, AMD develop software platforms that are used to enable high-performance products. These software platforms include development tools, compilers, and drivers for our CPUs, APUs, GPUs and FPGAs. They work closely with customers to define and develop customized solutions to precisely match their requirements. In other words, they focus on industry specific customer orientation.</t>
  </si>
  <si>
    <t>Invertir</t>
  </si>
  <si>
    <t>NO invertir</t>
  </si>
  <si>
    <t>Mantener sin elevar posición</t>
  </si>
  <si>
    <t>Mantener (y seguir comprando)</t>
  </si>
  <si>
    <t>Liquidar</t>
  </si>
  <si>
    <t>PENDIENTE</t>
  </si>
  <si>
    <t>Peer Logo</t>
  </si>
  <si>
    <t>Peer Name</t>
  </si>
  <si>
    <t>Nvidia Corporation is an American multinational corporation and technology company headquartered in Santa Clara, California. It is a software and fabless company which designs and supplies GPUs, APIs for data science and high-performance computing as well as system on a chip unit for the mobile computing and automotive market. Nvidia is also a dominant supplier of artificial intelligence, hardware and software.</t>
  </si>
  <si>
    <r>
      <t>Intel Corporation</t>
    </r>
    <r>
      <rPr>
        <sz val="11"/>
        <color rgb="FF202122"/>
        <rFont val="Arial"/>
        <family val="2"/>
      </rPr>
      <t> is an American </t>
    </r>
    <r>
      <rPr>
        <sz val="11"/>
        <color rgb="FF3366CC"/>
        <rFont val="Arial"/>
        <family val="2"/>
      </rPr>
      <t>multinational corporation</t>
    </r>
    <r>
      <rPr>
        <sz val="11"/>
        <color rgb="FF202122"/>
        <rFont val="Arial"/>
        <family val="2"/>
      </rPr>
      <t> and </t>
    </r>
    <r>
      <rPr>
        <sz val="11"/>
        <color rgb="FF3366CC"/>
        <rFont val="Arial"/>
        <family val="2"/>
      </rPr>
      <t>technology company</t>
    </r>
    <r>
      <rPr>
        <sz val="11"/>
        <color rgb="FF202122"/>
        <rFont val="Arial"/>
        <family val="2"/>
      </rPr>
      <t> headquartered in </t>
    </r>
    <r>
      <rPr>
        <sz val="11"/>
        <color rgb="FF3366CC"/>
        <rFont val="Arial"/>
        <family val="2"/>
      </rPr>
      <t>Santa Clara, California</t>
    </r>
    <r>
      <rPr>
        <sz val="11"/>
        <color rgb="FF202122"/>
        <rFont val="Arial"/>
        <family val="2"/>
      </rPr>
      <t>, and </t>
    </r>
    <r>
      <rPr>
        <sz val="11"/>
        <color rgb="FF3366CC"/>
        <rFont val="Arial"/>
        <family val="2"/>
      </rPr>
      <t>incorporated in Delaware</t>
    </r>
    <r>
      <rPr>
        <sz val="11"/>
        <color rgb="FF202122"/>
        <rFont val="Arial"/>
        <family val="2"/>
      </rPr>
      <t>.</t>
    </r>
    <r>
      <rPr>
        <vertAlign val="superscript"/>
        <sz val="8"/>
        <color rgb="FF3366CC"/>
        <rFont val="Arial"/>
        <family val="2"/>
      </rPr>
      <t>[3]</t>
    </r>
    <r>
      <rPr>
        <sz val="11"/>
        <color rgb="FF202122"/>
        <rFont val="Arial"/>
        <family val="2"/>
      </rPr>
      <t> Intel is one of the world's largest </t>
    </r>
    <r>
      <rPr>
        <sz val="11"/>
        <color rgb="FF3366CC"/>
        <rFont val="Arial"/>
        <family val="2"/>
      </rPr>
      <t>semiconductor chip</t>
    </r>
    <r>
      <rPr>
        <sz val="11"/>
        <color rgb="FF202122"/>
        <rFont val="Arial"/>
        <family val="2"/>
      </rPr>
      <t> manufacturers by revenue</t>
    </r>
    <r>
      <rPr>
        <vertAlign val="superscript"/>
        <sz val="8"/>
        <color rgb="FF3366CC"/>
        <rFont val="Arial"/>
        <family val="2"/>
      </rPr>
      <t>[4][5]</t>
    </r>
    <r>
      <rPr>
        <sz val="11"/>
        <color rgb="FF202122"/>
        <rFont val="Arial"/>
        <family val="2"/>
      </rPr>
      <t> and ranked in the </t>
    </r>
    <r>
      <rPr>
        <i/>
        <sz val="11"/>
        <color rgb="FF3366CC"/>
        <rFont val="Arial"/>
        <family val="2"/>
      </rPr>
      <t>Fortune</t>
    </r>
    <r>
      <rPr>
        <sz val="11"/>
        <color rgb="FF3366CC"/>
        <rFont val="Arial"/>
        <family val="2"/>
      </rPr>
      <t> 500</t>
    </r>
    <r>
      <rPr>
        <sz val="11"/>
        <color rgb="FF202122"/>
        <rFont val="Arial"/>
        <family val="2"/>
      </rPr>
      <t> list of the largest United States corporations by revenue for nearly a decade, from 2007 to 2016 fiscal years, until it was removed from the ranking in 2018.</t>
    </r>
    <r>
      <rPr>
        <vertAlign val="superscript"/>
        <sz val="8"/>
        <color rgb="FF3366CC"/>
        <rFont val="Arial"/>
        <family val="2"/>
      </rPr>
      <t>[6]</t>
    </r>
    <r>
      <rPr>
        <sz val="11"/>
        <color rgb="FF202122"/>
        <rFont val="Arial"/>
        <family val="2"/>
      </rPr>
      <t> In 2020, it was reinstated and ranked 45th, being the </t>
    </r>
    <r>
      <rPr>
        <sz val="11"/>
        <color rgb="FF3366CC"/>
        <rFont val="Arial"/>
        <family val="2"/>
      </rPr>
      <t>7th-largest technology company in the ranking</t>
    </r>
    <r>
      <rPr>
        <sz val="11"/>
        <color rgb="FF202122"/>
        <rFont val="Arial"/>
        <family val="2"/>
      </rPr>
      <t>.</t>
    </r>
  </si>
  <si>
    <t xml:space="preserve">Intel Corporation is an American multinational corporation and technology company founded in 1968 headquartered in Santa Clara, California. Intel supplies microprocessors for most manufacturers of computer systems, and is one of the developers of the x86 series of instruction sets found in most personal computers (PCs). It also manufactures chipsets, network interface controllers, flash memory, GPUs, FPGAs, it has a strong presence in the high-performance general-purpose and gaming PC market. </t>
  </si>
  <si>
    <r>
      <t>Intel supplies </t>
    </r>
    <r>
      <rPr>
        <sz val="11"/>
        <color rgb="FF3366CC"/>
        <rFont val="Arial"/>
        <family val="2"/>
      </rPr>
      <t>microprocessors</t>
    </r>
    <r>
      <rPr>
        <sz val="11"/>
        <color rgb="FF202122"/>
        <rFont val="Arial"/>
        <family val="2"/>
      </rPr>
      <t> for most manufacturers of computer systems, and is one of the developers of the </t>
    </r>
    <r>
      <rPr>
        <sz val="11"/>
        <color rgb="FF3366CC"/>
        <rFont val="Arial"/>
        <family val="2"/>
      </rPr>
      <t>x86</t>
    </r>
    <r>
      <rPr>
        <sz val="11"/>
        <color rgb="FF202122"/>
        <rFont val="Arial"/>
        <family val="2"/>
      </rPr>
      <t> series of instruction sets found in most </t>
    </r>
    <r>
      <rPr>
        <sz val="11"/>
        <color rgb="FF3366CC"/>
        <rFont val="Arial"/>
        <family val="2"/>
      </rPr>
      <t>personal computers</t>
    </r>
    <r>
      <rPr>
        <sz val="11"/>
        <color rgb="FF202122"/>
        <rFont val="Arial"/>
        <family val="2"/>
      </rPr>
      <t> (PCs). It also manufactures </t>
    </r>
    <r>
      <rPr>
        <sz val="11"/>
        <color rgb="FF3366CC"/>
        <rFont val="Arial"/>
        <family val="2"/>
      </rPr>
      <t>chipsets</t>
    </r>
    <r>
      <rPr>
        <sz val="11"/>
        <color rgb="FF202122"/>
        <rFont val="Arial"/>
        <family val="2"/>
      </rPr>
      <t>, </t>
    </r>
    <r>
      <rPr>
        <sz val="11"/>
        <color rgb="FF3366CC"/>
        <rFont val="Arial"/>
        <family val="2"/>
      </rPr>
      <t>network interface controllers</t>
    </r>
    <r>
      <rPr>
        <sz val="11"/>
        <color rgb="FF202122"/>
        <rFont val="Arial"/>
        <family val="2"/>
      </rPr>
      <t>, </t>
    </r>
    <r>
      <rPr>
        <sz val="11"/>
        <color rgb="FF3366CC"/>
        <rFont val="Arial"/>
        <family val="2"/>
      </rPr>
      <t>flash memory</t>
    </r>
    <r>
      <rPr>
        <sz val="11"/>
        <color rgb="FF202122"/>
        <rFont val="Arial"/>
        <family val="2"/>
      </rPr>
      <t>, </t>
    </r>
    <r>
      <rPr>
        <sz val="11"/>
        <color rgb="FF3366CC"/>
        <rFont val="Arial"/>
        <family val="2"/>
      </rPr>
      <t>graphics processing units</t>
    </r>
    <r>
      <rPr>
        <sz val="11"/>
        <color rgb="FF202122"/>
        <rFont val="Arial"/>
        <family val="2"/>
      </rPr>
      <t> (GPUs), </t>
    </r>
    <r>
      <rPr>
        <sz val="11"/>
        <color rgb="FF3366CC"/>
        <rFont val="Arial"/>
        <family val="2"/>
      </rPr>
      <t>field-programmable gate arrays</t>
    </r>
    <r>
      <rPr>
        <sz val="11"/>
        <color rgb="FF202122"/>
        <rFont val="Arial"/>
        <family val="2"/>
      </rPr>
      <t> (FPGAs), and other devices related to communications and computing. Intel has a strong presence in the high-performance general-purpose and </t>
    </r>
    <r>
      <rPr>
        <sz val="11"/>
        <color rgb="FF3366CC"/>
        <rFont val="Arial"/>
        <family val="2"/>
      </rPr>
      <t>gaming PC</t>
    </r>
    <r>
      <rPr>
        <sz val="11"/>
        <color rgb="FF202122"/>
        <rFont val="Arial"/>
        <family val="2"/>
      </rPr>
      <t> market with its </t>
    </r>
    <r>
      <rPr>
        <sz val="11"/>
        <color rgb="FF3366CC"/>
        <rFont val="Arial"/>
        <family val="2"/>
      </rPr>
      <t>Intel Core</t>
    </r>
    <r>
      <rPr>
        <sz val="11"/>
        <color rgb="FF202122"/>
        <rFont val="Arial"/>
        <family val="2"/>
      </rPr>
      <t> line of CPUs, whose high-end models are among the fastest consumer CPUs, as well as its </t>
    </r>
    <r>
      <rPr>
        <sz val="11"/>
        <color rgb="FF3366CC"/>
        <rFont val="Arial"/>
        <family val="2"/>
      </rPr>
      <t>Intel Arc</t>
    </r>
    <r>
      <rPr>
        <sz val="11"/>
        <color rgb="FF202122"/>
        <rFont val="Arial"/>
        <family val="2"/>
      </rPr>
      <t> series of GPUs, and sponsors the </t>
    </r>
    <r>
      <rPr>
        <sz val="11"/>
        <color rgb="FF3366CC"/>
        <rFont val="Arial"/>
        <family val="2"/>
      </rPr>
      <t>Intel Extreme Masters</t>
    </r>
    <r>
      <rPr>
        <sz val="11"/>
        <color rgb="FF202122"/>
        <rFont val="Arial"/>
        <family val="2"/>
      </rPr>
      <t>, a series of international </t>
    </r>
    <r>
      <rPr>
        <sz val="11"/>
        <color rgb="FF3366CC"/>
        <rFont val="Arial"/>
        <family val="2"/>
      </rPr>
      <t>esports</t>
    </r>
    <r>
      <rPr>
        <sz val="11"/>
        <color rgb="FF202122"/>
        <rFont val="Arial"/>
        <family val="2"/>
      </rPr>
      <t> tournaments. The Open Source Technology Center at Intel hosts </t>
    </r>
    <r>
      <rPr>
        <sz val="11"/>
        <color rgb="FF3366CC"/>
        <rFont val="Arial"/>
        <family val="2"/>
      </rPr>
      <t>PowerTOP</t>
    </r>
    <r>
      <rPr>
        <sz val="11"/>
        <color rgb="FF202122"/>
        <rFont val="Arial"/>
        <family val="2"/>
      </rPr>
      <t> and </t>
    </r>
    <r>
      <rPr>
        <sz val="11"/>
        <color rgb="FF3366CC"/>
        <rFont val="Arial"/>
        <family val="2"/>
      </rPr>
      <t>LatencyTOP</t>
    </r>
    <r>
      <rPr>
        <sz val="11"/>
        <color rgb="FF202122"/>
        <rFont val="Arial"/>
        <family val="2"/>
      </rPr>
      <t>, and supports other open source projects such as </t>
    </r>
    <r>
      <rPr>
        <sz val="11"/>
        <color rgb="FF3366CC"/>
        <rFont val="Arial"/>
        <family val="2"/>
      </rPr>
      <t>Wayland</t>
    </r>
    <r>
      <rPr>
        <sz val="11"/>
        <color rgb="FF202122"/>
        <rFont val="Arial"/>
        <family val="2"/>
      </rPr>
      <t>, </t>
    </r>
    <r>
      <rPr>
        <sz val="11"/>
        <color rgb="FF3366CC"/>
        <rFont val="Arial"/>
        <family val="2"/>
      </rPr>
      <t>Mesa</t>
    </r>
    <r>
      <rPr>
        <sz val="11"/>
        <color rgb="FF202122"/>
        <rFont val="Arial"/>
        <family val="2"/>
      </rPr>
      <t>, </t>
    </r>
    <r>
      <rPr>
        <sz val="11"/>
        <color rgb="FF3366CC"/>
        <rFont val="Arial"/>
        <family val="2"/>
      </rPr>
      <t>Threading Building Blocks</t>
    </r>
    <r>
      <rPr>
        <sz val="11"/>
        <color rgb="FF202122"/>
        <rFont val="Arial"/>
        <family val="2"/>
      </rPr>
      <t> (TBB), and </t>
    </r>
    <r>
      <rPr>
        <sz val="11"/>
        <color rgb="FF3366CC"/>
        <rFont val="Arial"/>
        <family val="2"/>
      </rPr>
      <t>Xen</t>
    </r>
    <r>
      <rPr>
        <sz val="11"/>
        <color rgb="FF202122"/>
        <rFont val="Arial"/>
        <family val="2"/>
      </rPr>
      <t>.</t>
    </r>
    <r>
      <rPr>
        <vertAlign val="superscript"/>
        <sz val="8"/>
        <color rgb="FF3366CC"/>
        <rFont val="Arial"/>
        <family val="2"/>
      </rPr>
      <t>[7]</t>
    </r>
  </si>
  <si>
    <t>Qualcomm Incorporated is an American multinational corporation headquartered in San Diego, California. It creates semiconductors, software, and services related to wireless technology. It owns patents critical to the 5G, 4G, CDMA2000, TD-SCDMA and WCDMA mobile communications standards. Over the years, Qualcomm has expanded into selling semiconductor products in a predominantly fabless manufacturing model. It also developed semiconductor components or software for vehicles, watches, laptops, wi-fi, smartphones, and other devices.</t>
  </si>
  <si>
    <t>In Millions USD</t>
  </si>
  <si>
    <t>AVERAGE</t>
  </si>
  <si>
    <t>Deviation from Average</t>
  </si>
  <si>
    <t>Company Info</t>
  </si>
  <si>
    <t>TRAFFIC</t>
  </si>
  <si>
    <t>Market Cap</t>
  </si>
  <si>
    <t>Best Value</t>
  </si>
  <si>
    <t>Net Sales (current)</t>
  </si>
  <si>
    <t>Profitability</t>
  </si>
  <si>
    <t>Important Value</t>
  </si>
  <si>
    <t>Sales Growth (ttm)</t>
  </si>
  <si>
    <t>Sales Growth (36m)</t>
  </si>
  <si>
    <t>Worst Value</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</si>
  <si>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</si>
  <si>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</si>
  <si>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</si>
  <si>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</si>
  <si>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</si>
  <si>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</si>
  <si>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</si>
  <si>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</si>
  <si>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</si>
  <si>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</si>
  <si>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</si>
  <si>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</si>
  <si>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</si>
  <si>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</si>
  <si>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</si>
  <si>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</si>
  <si>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</si>
  <si>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</si>
  <si>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</si>
  <si>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</si>
  <si>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</si>
  <si>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</si>
  <si>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</si>
  <si>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</si>
  <si>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</si>
  <si>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</si>
  <si>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</si>
  <si>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Average Target Price</t>
  </si>
  <si>
    <t>Upside/Downside</t>
  </si>
  <si>
    <t>Extra</t>
  </si>
  <si>
    <t>3y Operating Cash Flow</t>
  </si>
  <si>
    <t>R&amp;D/Net Sales</t>
  </si>
  <si>
    <t>ROR</t>
  </si>
  <si>
    <t>RORC</t>
  </si>
  <si>
    <t>Financial Data</t>
  </si>
  <si>
    <t>IS</t>
  </si>
  <si>
    <t>Net Sales (36m ago)</t>
  </si>
  <si>
    <t>Net Sales (12m ago)</t>
  </si>
  <si>
    <t>COGS</t>
  </si>
  <si>
    <t xml:space="preserve">Gross profit </t>
  </si>
  <si>
    <t>Operating Income</t>
  </si>
  <si>
    <t>Net Financial Cost</t>
  </si>
  <si>
    <t>Taxes</t>
  </si>
  <si>
    <t>R&amp;D</t>
  </si>
  <si>
    <t>2022 R&amp;D</t>
  </si>
  <si>
    <t>BS</t>
  </si>
  <si>
    <t>Cash &amp; Eq.</t>
  </si>
  <si>
    <t>Acc. Receivables</t>
  </si>
  <si>
    <t>Inventory</t>
  </si>
  <si>
    <t>Current Assets</t>
  </si>
  <si>
    <t>Fixed Assets</t>
  </si>
  <si>
    <t>Acc. Payable</t>
  </si>
  <si>
    <t>Current Liabilities</t>
  </si>
  <si>
    <t>Total Debt</t>
  </si>
  <si>
    <t>Total Equity</t>
  </si>
  <si>
    <t>AMD</t>
  </si>
  <si>
    <t>Nvidia</t>
  </si>
  <si>
    <t>Data center</t>
  </si>
  <si>
    <t>Professional visualization</t>
  </si>
  <si>
    <t>Automotive</t>
  </si>
  <si>
    <t>OEM and other</t>
  </si>
  <si>
    <t>Intel</t>
  </si>
  <si>
    <t xml:space="preserve">Client computing </t>
  </si>
  <si>
    <t>Data center and AI</t>
  </si>
  <si>
    <t xml:space="preserve">Network and edge </t>
  </si>
  <si>
    <t>Mobileye</t>
  </si>
  <si>
    <t xml:space="preserve">Intel foundry services </t>
  </si>
  <si>
    <t xml:space="preserve">All other </t>
  </si>
  <si>
    <t>Qualcomm</t>
  </si>
  <si>
    <t>QCT</t>
  </si>
  <si>
    <t>QTL</t>
  </si>
  <si>
    <t>QSI</t>
  </si>
  <si>
    <t xml:space="preserve">Reconsiling items </t>
  </si>
  <si>
    <t>Variables</t>
  </si>
  <si>
    <t>Rankings</t>
  </si>
  <si>
    <t>Difference</t>
  </si>
  <si>
    <t>Results</t>
  </si>
  <si>
    <t>Additional Information</t>
  </si>
  <si>
    <t>Selected Peers</t>
  </si>
  <si>
    <t>Price Multiples (TTM)</t>
  </si>
  <si>
    <t>Enterprise Value Multiples (TTM)</t>
  </si>
  <si>
    <t>Ticker</t>
  </si>
  <si>
    <t>Company Name</t>
  </si>
  <si>
    <t>TRBC Industry</t>
  </si>
  <si>
    <t>Country</t>
  </si>
  <si>
    <t>ROE</t>
  </si>
  <si>
    <t>DEBT/EBIT</t>
  </si>
  <si>
    <t>EPS Growth (2019-2023) (Refinitiv Smart Estimate)</t>
  </si>
  <si>
    <t>EBIT Margin</t>
  </si>
  <si>
    <t>EPS Growth</t>
  </si>
  <si>
    <t>SARD Result</t>
  </si>
  <si>
    <t>SARD Peers</t>
  </si>
  <si>
    <t>SARD Peers adjusted Rank</t>
  </si>
  <si>
    <t>Suitability</t>
  </si>
  <si>
    <t>Relevant Information Missing</t>
  </si>
  <si>
    <t>Author's Override</t>
  </si>
  <si>
    <t>Observations</t>
  </si>
  <si>
    <t>P / E</t>
  </si>
  <si>
    <t>P / B</t>
  </si>
  <si>
    <t>Price / Sales</t>
  </si>
  <si>
    <t>EV / Sales</t>
  </si>
  <si>
    <t>EV / EBITDA</t>
  </si>
  <si>
    <t>Benchmark</t>
  </si>
  <si>
    <t>Comparison</t>
  </si>
  <si>
    <t>Median</t>
  </si>
  <si>
    <t>Benchmark Data</t>
  </si>
  <si>
    <t>Price / Share</t>
  </si>
  <si>
    <t>Multiplier</t>
  </si>
  <si>
    <t># Shares</t>
  </si>
  <si>
    <t>-Debt + Cash</t>
  </si>
  <si>
    <t>By Consolidated Average</t>
  </si>
  <si>
    <t>Company GICS Sector:</t>
  </si>
  <si>
    <t>Yes</t>
  </si>
  <si>
    <t>Information Technology</t>
  </si>
  <si>
    <t>&lt;- Select Industry</t>
  </si>
  <si>
    <t>No</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</si>
  <si>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</si>
  <si>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</si>
  <si>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</si>
  <si>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</si>
  <si>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</si>
  <si>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</si>
  <si>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</si>
  <si>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</si>
  <si>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</si>
  <si>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</si>
  <si>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</si>
  <si>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</si>
  <si>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</si>
  <si>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</si>
  <si>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Medium High</t>
  </si>
  <si>
    <t>Scope 1 emissions stayed almost the same in 2021 compared with 2020 but increased 30% in 2022. Consistant decrease in scope 2 emissions over the 3 years</t>
  </si>
  <si>
    <t>50%
absolute reduction in greenhouse gas (GHG) emissions
from AMD operations (Scope 1 and 2) by 2030
(base year 2020).     100%
of AMD direct manufacturing suppliers to have
a public GHG emissions reduction goal by 2025.</t>
  </si>
  <si>
    <t>CO2 Emissions/$M Sales</t>
  </si>
  <si>
    <t>2018</t>
  </si>
  <si>
    <t>2019</t>
  </si>
  <si>
    <t>2020</t>
  </si>
  <si>
    <t>2021</t>
  </si>
  <si>
    <t>2022</t>
  </si>
  <si>
    <t>Total Water Consumption</t>
  </si>
  <si>
    <t>Decreased between 2018-2021, increased in 2022</t>
  </si>
  <si>
    <t>Aiming to reduce water use by a goal of at least 5 percent or more per AMD MI by  2025 compared to 2020.</t>
  </si>
  <si>
    <t>Water Consumption/$M Sales</t>
  </si>
  <si>
    <t>Total Energy Consumption</t>
  </si>
  <si>
    <t>Almost the same between 2018-2021, increased in 2022</t>
  </si>
  <si>
    <t xml:space="preserve">30x increase in energy efficiency for AMD processors and accelerators powering servers for artificial intelligencetraining and high-performance computing by 2025 (base year 2020).                         80%
of AMD direct manufacturing suppliers to source
renewable energy by 2025   </t>
  </si>
  <si>
    <t>Energy Consumption/$M Sales</t>
  </si>
  <si>
    <t>Waste Management</t>
  </si>
  <si>
    <t>Decreased between 2019-2021, increased in 2022</t>
  </si>
  <si>
    <t>Waste Production/$M Sales</t>
  </si>
  <si>
    <t>Land Degradation/Deforestation/Biodiversity loss/Animal sufering/…</t>
  </si>
  <si>
    <t>Inputs</t>
  </si>
  <si>
    <t>Social</t>
  </si>
  <si>
    <t>Net Sales ($M) (2021)</t>
  </si>
  <si>
    <t>Employee Turnover %</t>
  </si>
  <si>
    <t>In absolute terms no. The percentage of total turnover is is the same compared with 2021 (previous year). The turnover is at 10.6% wich is relatively high.</t>
  </si>
  <si>
    <t>CO2 Emissions Total (Tonnes)</t>
  </si>
  <si>
    <t>Salaries &amp; Compensation</t>
  </si>
  <si>
    <t>N/A</t>
  </si>
  <si>
    <t>Water Withdrawal Total (Cubic Meters)</t>
  </si>
  <si>
    <t>Reputation</t>
  </si>
  <si>
    <t>Energy Consumption Total (Gigajoules)</t>
  </si>
  <si>
    <t>Discrimination Events</t>
  </si>
  <si>
    <t>Waste Production Total (Tonnes)</t>
  </si>
  <si>
    <t>Work Safety</t>
  </si>
  <si>
    <t>"Best in class"</t>
  </si>
  <si>
    <t>Yes, only 3 injured employees in 2023</t>
  </si>
  <si>
    <t>ESG Scores</t>
  </si>
  <si>
    <t>Damage to consumer health</t>
  </si>
  <si>
    <t>Refinitiv</t>
  </si>
  <si>
    <t>68 (42/255) 70/70/62</t>
  </si>
  <si>
    <t>76 (11/255) 67/73/90</t>
  </si>
  <si>
    <t>92 (1/255) 89/90/96</t>
  </si>
  <si>
    <t>73 (20/255) 70/90/48</t>
  </si>
  <si>
    <t>PXP?</t>
  </si>
  <si>
    <t>Sustainalytics</t>
  </si>
  <si>
    <t>15.0 (low risk)</t>
  </si>
  <si>
    <t>13.5 (low risk)</t>
  </si>
  <si>
    <t>17.5 (low risk)</t>
  </si>
  <si>
    <t>15.3 (low risk)</t>
  </si>
  <si>
    <t>Supply chain</t>
  </si>
  <si>
    <t>100 percent of AMD direct supplier manufacturing factories to have
a Responsible Business Alliance (RBA) audit or equivalent by 2025
(base year 2020) 80%
of AMD direct manufacturing suppliers
by spend to participate in a capacitybuilding activity by 2025</t>
  </si>
  <si>
    <t>ISS</t>
  </si>
  <si>
    <t>B-</t>
  </si>
  <si>
    <t>C+</t>
  </si>
  <si>
    <t>Community involvement</t>
  </si>
  <si>
    <t>CDP</t>
  </si>
  <si>
    <t>B/B</t>
  </si>
  <si>
    <t>A/A/A</t>
  </si>
  <si>
    <t>Public Sector</t>
  </si>
  <si>
    <t>Litigation</t>
  </si>
  <si>
    <t>Found several lawsuits against AMD in recent years but no signs of conviction</t>
  </si>
  <si>
    <t>Corporate Governance</t>
  </si>
  <si>
    <t>PARAMETERS</t>
  </si>
  <si>
    <t>Diversity (Gender, Age, Industry, Region)</t>
  </si>
  <si>
    <t>"Villain"</t>
  </si>
  <si>
    <t> </t>
  </si>
  <si>
    <t xml:space="preserve"> 67% of the board is composed by males. 78% of the board is white and the other 22% is asian. All ages range between 53-69 year old (most members are between 57-62 years old) </t>
  </si>
  <si>
    <t>IMPACT</t>
  </si>
  <si>
    <t>RANKING</t>
  </si>
  <si>
    <t>MITIGATION PLAN</t>
  </si>
  <si>
    <t>% Independence</t>
  </si>
  <si>
    <t>Low</t>
  </si>
  <si>
    <t>Is there evidence of a plan/program ?</t>
  </si>
  <si>
    <t>average time as independent directors</t>
  </si>
  <si>
    <t>6.3 is the average tenure at AMD what is positive.</t>
  </si>
  <si>
    <t>Medium</t>
  </si>
  <si>
    <t>Recent departures of directors / C-level executives?</t>
  </si>
  <si>
    <t>High</t>
  </si>
  <si>
    <t>CEO/Chairman duality</t>
  </si>
  <si>
    <t>Before February 2022 the CEO and Chairman were different persons, since that date Lisa T. Su acummulated her CEO functions with "chair of the board" functions</t>
  </si>
  <si>
    <t>Very high</t>
  </si>
  <si>
    <t>Transparency (ESG, segments, acquisitions, other)</t>
  </si>
  <si>
    <t>The reports are complete and easy to read</t>
  </si>
  <si>
    <t>Time taken to report after the end of the quarter / year</t>
  </si>
  <si>
    <t>The 2024 report (regarding the year 2023) hasn't been published</t>
  </si>
  <si>
    <t>Additional participation of the CEO in other boards or excessive participation of Ch.</t>
  </si>
  <si>
    <t>Audit / Consulting</t>
  </si>
  <si>
    <t>Bureau Veritas does the ESG audit. Other Audits are made internally. Consulted with Omdia for AI purposes and with BSR for ESG purposes</t>
  </si>
  <si>
    <t>ESG-compensation related</t>
  </si>
  <si>
    <t>Management compensation schemes</t>
  </si>
  <si>
    <t xml:space="preserve">Enterprise Value Calculation </t>
  </si>
  <si>
    <t>In millions, except per share price</t>
  </si>
  <si>
    <t>NVIDIA</t>
  </si>
  <si>
    <t>Release date of 10-K report</t>
  </si>
  <si>
    <t>In millions, except ratio</t>
  </si>
  <si>
    <t>Closing price of shares ~7 days after report release</t>
  </si>
  <si>
    <t>Operating Cash Flow</t>
  </si>
  <si>
    <t>x Fully Diluted Shares Outstanding:</t>
  </si>
  <si>
    <t>Less: Capital Expenditure</t>
  </si>
  <si>
    <t xml:space="preserve">Basic shares outstanding </t>
  </si>
  <si>
    <r>
      <rPr>
        <b/>
        <sz val="12"/>
        <color rgb="FF000000"/>
        <rFont val="Aptos Narrow"/>
        <family val="2"/>
      </rPr>
      <t>Enterprise Value</t>
    </r>
    <r>
      <rPr>
        <sz val="12"/>
        <color rgb="FF000000"/>
        <rFont val="Aptos Narrow"/>
        <family val="2"/>
      </rPr>
      <t xml:space="preserve"> (see calc.)</t>
    </r>
  </si>
  <si>
    <t>Employee Equity Incentive Plan</t>
  </si>
  <si>
    <t>Free Cash Flow</t>
  </si>
  <si>
    <t>Employee Stock Purchase Plan</t>
  </si>
  <si>
    <t>EV/FCF</t>
  </si>
  <si>
    <t>Market Capitalization</t>
  </si>
  <si>
    <t>EV/FCF/Growth</t>
  </si>
  <si>
    <t>Plus: Total Debt</t>
  </si>
  <si>
    <t>Plus: Noncontrolling Interest</t>
  </si>
  <si>
    <t>Less: Cash and Cash Equivalents</t>
  </si>
  <si>
    <t>Enterprise Value</t>
  </si>
  <si>
    <t>Assumptions</t>
  </si>
  <si>
    <t>Prospects:</t>
  </si>
  <si>
    <t>Links:</t>
  </si>
  <si>
    <t xml:space="preserve">10Y Average </t>
  </si>
  <si>
    <t xml:space="preserve">5Y Average </t>
  </si>
  <si>
    <t xml:space="preserve">3Y Average </t>
  </si>
  <si>
    <t>Short Term Forecast</t>
  </si>
  <si>
    <t>Long Term Forecast</t>
  </si>
  <si>
    <t>Revenue growth</t>
  </si>
  <si>
    <t xml:space="preserve"> </t>
  </si>
  <si>
    <t>Modelling Factors</t>
  </si>
  <si>
    <t>Revenues forecast</t>
  </si>
  <si>
    <t>Notes</t>
  </si>
  <si>
    <t>There are more than 200 million corporate computers that are over 4 years old</t>
  </si>
  <si>
    <t>NVIDIA Compute&amp;Networking</t>
  </si>
  <si>
    <t>NOTE: Forecast Database growth for next year based on NVIDIA's growth</t>
  </si>
  <si>
    <t>Note:  2.8B$ of acquisiton realted intangibles were amortized, hence reducing EBIT for 2023FY</t>
  </si>
  <si>
    <t>Revenue</t>
  </si>
  <si>
    <t>Other Risks:</t>
  </si>
  <si>
    <t>Recession risk (client and embedded segment would be the most affected)</t>
  </si>
  <si>
    <t>Margin</t>
  </si>
  <si>
    <t>Self-drviving, robotics and manufacturing automation are all industries set to grow at a CAGR of 12-15% with the chance of exponential growth in the longer term.</t>
  </si>
  <si>
    <t>Given the recent Sony's management downgrade of sales expectatitions for PS5 and the lack of new products releases, we are forecasting a decrease in consoles chips sales in the near term. However, the Global AR/VR chip market is set to grow at a CAGR of 18%</t>
  </si>
  <si>
    <t>Between 2024 and 2032, and AMD is a leader in VR Chips. That growth opportunity is set to cover the lack of it in the consoles space. Also, accordingly to AMD's guidance, demand for PC's gaming chips is strong and should offest the decrease in consoles related sales.</t>
  </si>
  <si>
    <t>Note: Cut projections for China (gov banned chips from intel and amd out of gov PCs)</t>
  </si>
  <si>
    <t>The recent launch of MI300X AI GPU to outcompete in the AI accelarator segment with NVIDIA stil hasn't been materialized in the company's balance sheet, but it certainly marks a shift of focus from PCs and gaming to AI. The company received 3.3B$ of orders after announcment (half the 23FY revenue for the segment)</t>
  </si>
  <si>
    <t>Tenstorrent Start-up</t>
  </si>
  <si>
    <t>The software engeneers at AMD are also smoothening techincal requirments to ease the transition between suppliers for cients.</t>
  </si>
  <si>
    <t>Despite the uncertainty, that leaves room for growth while shifting away from wekening segments.</t>
  </si>
  <si>
    <t>AI computers for developers and content creators</t>
  </si>
  <si>
    <t>Generative models will need a lot of processing power, which is controlled by Meta, Amazon, Googl and Microsoft cloud-based data-centers. For exemple, OpenAI's ChatGPT works on the MSFT Azzure Cloud. The recent innovations in AI chips</t>
  </si>
  <si>
    <t>Quantum computers?</t>
  </si>
  <si>
    <t>enable these data-bases to further escalate their processing capabilities and become more energy efficient. In that context, GPUs and AI accelators are the shovels for the gold rush that comes with AI.</t>
  </si>
  <si>
    <t>AGI?</t>
  </si>
  <si>
    <t>Given the large amplitude of possibilities in predicting a recently formed industry that assents in both the uncertainty of the innovation capabilities, exponential growth and business model adoption (AI still hasn't produced relevant revenue), the projection will</t>
  </si>
  <si>
    <t>NVIDIA 4Q 2023</t>
  </si>
  <si>
    <t>count with 3 scenarios (optimistic, neutral and pessimistic).</t>
  </si>
  <si>
    <t>Number of H100 sod</t>
  </si>
  <si>
    <t>Average price of sale</t>
  </si>
  <si>
    <t>Optimistic Case</t>
  </si>
  <si>
    <t>AMD and NVIDIA share the segment with same competitive dynamics in CPU market</t>
  </si>
  <si>
    <t>Neutral Scenario</t>
  </si>
  <si>
    <t>Intel and Qualcom are already delevoping their AI accelarators. The segment might get competitive in the next years</t>
  </si>
  <si>
    <t>Note: H100 chips price may vary between 20-40k</t>
  </si>
  <si>
    <t>Pessimistic</t>
  </si>
  <si>
    <t>Meta, Googl, Msft and amzn efforts of creating their own chips and outsource them to TSMC materialize and growth for chip providers is limited</t>
  </si>
  <si>
    <t>MSFT bought 150 000 of those chips at the price of 5B$</t>
  </si>
  <si>
    <t>which gives an average of 3300$. Amazon and Googl both bought 50k H100s</t>
  </si>
  <si>
    <t>It's worth noting that the PC industry is cyclical and using a moving average would give a skewed analysis given that the industry is in it's low.</t>
  </si>
  <si>
    <t>During the COVID, there was sky-high demand for new devices and sales grew exponentially. After that growth driver dried up, demand fell.</t>
  </si>
  <si>
    <t xml:space="preserve">There is going to be a huge increase in the short term given that the AI chips are in high demand (major tech companies are buying all the stock there is and TSMC is already expanding it's </t>
  </si>
  <si>
    <t>It's been 3 years since the industry all time high, and PC's got commoditazed with the new hibrid and remote work dynamic. There are also 200 million corporate</t>
  </si>
  <si>
    <t>production capacity, there will be a natural increase in the chips saes for AMD, which then should grow with the industry or in another specific way based on the forecast of industry dynamics</t>
  </si>
  <si>
    <t>PC's that have more than 4 years, so they should be replaced in the near term. But the biggest driver is expected to be AI computers, that will initially be sold</t>
  </si>
  <si>
    <t xml:space="preserve">at a premium. Because of those factors, we're bullish on the client segment to deliver high returns in 2024 and forward for AMD.  </t>
  </si>
  <si>
    <t>The chips market is not very fragmented, and usually there is a main player who controls a big part of it. If the same competitive dynamic between Intel and AMD</t>
  </si>
  <si>
    <t>The difference between the scenarios is wether AMD mantains it's 90% share of AI-PCs and is able to capitalize on the increasing demand.</t>
  </si>
  <si>
    <t>is seen in the AI chips, NVIDIA would have aprox. 80% of the market and AMD 20%. Currently, NVIDIA controls about 80-90% of the market</t>
  </si>
  <si>
    <t>The forecasts for AI enabled PC's is consistent across different reports</t>
  </si>
  <si>
    <t>Optimistic</t>
  </si>
  <si>
    <t>CAGR for hardware: 33%</t>
  </si>
  <si>
    <t>2028-2034</t>
  </si>
  <si>
    <t>Sales YoY growth at 42% (CapEx margins for data centers would remain constant after the initial increase)</t>
  </si>
  <si>
    <t>Broad adoption of AI in the next years and AMD becomes an important player (same Intel-AMD competitive dynamics)</t>
  </si>
  <si>
    <t>Li Su bullish projections</t>
  </si>
  <si>
    <t>AI chips</t>
  </si>
  <si>
    <t>Projections</t>
  </si>
  <si>
    <t>Market Value</t>
  </si>
  <si>
    <t>Implied CAGR</t>
  </si>
  <si>
    <t xml:space="preserve">Revenue from AI chips </t>
  </si>
  <si>
    <t>Implied share</t>
  </si>
  <si>
    <t>Statista and The Brainy Insights project te chip market to be worth between 340-375 B$ in 2032</t>
  </si>
  <si>
    <t>Li Su forecasted the market to be 400B$ by 2027</t>
  </si>
  <si>
    <t>Company will need to close ecossystem and buy up possible disruprive start-ups to keep its products competitive in the market (increase Acq. factor and correlate with intangibles and PPE)</t>
  </si>
  <si>
    <t xml:space="preserve">Data center segment </t>
  </si>
  <si>
    <t>(does'nt include AI chips)</t>
  </si>
  <si>
    <t>AI Chips Revenue</t>
  </si>
  <si>
    <t>2028E</t>
  </si>
  <si>
    <t>2029E</t>
  </si>
  <si>
    <t>2030E</t>
  </si>
  <si>
    <t>Data Center and AI segment</t>
  </si>
  <si>
    <t>2024E</t>
  </si>
  <si>
    <t>2025E</t>
  </si>
  <si>
    <t>2026E</t>
  </si>
  <si>
    <t>2027E</t>
  </si>
  <si>
    <t>Client Segment</t>
  </si>
  <si>
    <t>Revenue and EBIT Projections</t>
  </si>
  <si>
    <t>EBIT from segments</t>
  </si>
  <si>
    <t>Other operating costs</t>
  </si>
  <si>
    <t>EBIT margin</t>
  </si>
  <si>
    <t>Segments Margin</t>
  </si>
  <si>
    <t>Neutral</t>
  </si>
  <si>
    <t>Datacenter's infrastructure is not ready for full AI adoption</t>
  </si>
  <si>
    <t>Margin is derived based on the margin for each year with similar sales values for segment</t>
  </si>
  <si>
    <t>2028-2049</t>
  </si>
  <si>
    <t>Amortization projections</t>
  </si>
  <si>
    <t xml:space="preserve">13%(IntangiblesN-Intangibles2023) </t>
  </si>
  <si>
    <t>12% of intangibles</t>
  </si>
  <si>
    <t>adding guidance for each year</t>
  </si>
  <si>
    <t>Base Case</t>
  </si>
  <si>
    <t>Dell'Oro Group</t>
  </si>
  <si>
    <t>Data center IT Semiconductor Market</t>
  </si>
  <si>
    <t>AI Accelators Market</t>
  </si>
  <si>
    <t xml:space="preserve">Market Value </t>
  </si>
  <si>
    <t>Market Size</t>
  </si>
  <si>
    <t>2034-2049</t>
  </si>
  <si>
    <t>Stock-based comp</t>
  </si>
  <si>
    <r>
      <rPr>
        <b/>
        <sz val="10"/>
        <color rgb="FF000000"/>
        <rFont val="Arial"/>
        <family val="2"/>
      </rPr>
      <t>Notes:</t>
    </r>
    <r>
      <rPr>
        <sz val="10"/>
        <color rgb="FF000000"/>
        <rFont val="Arial"/>
        <family val="2"/>
      </rPr>
      <t xml:space="preserve"> Top 4 US cloud-based SPS will account for half of </t>
    </r>
  </si>
  <si>
    <t>2024-2030 projection</t>
  </si>
  <si>
    <t xml:space="preserve">global datacenter CapEx. AI accelators to account for aprox. 50% of </t>
  </si>
  <si>
    <t xml:space="preserve">market revenue in 2028. Given that the current market size is aprox. 45B$, the implied </t>
  </si>
  <si>
    <t xml:space="preserve">
</t>
  </si>
  <si>
    <t>Intense competition in the segment and tech companies develop their own chips. The company struggles to mantain market share in data center segment</t>
  </si>
  <si>
    <t>Bear Case</t>
  </si>
  <si>
    <t>AI Chips Market</t>
  </si>
  <si>
    <t>AMD AI chip revenue</t>
  </si>
  <si>
    <t>Implied Market Share</t>
  </si>
  <si>
    <t>D&amp;A + CapEx Factors</t>
  </si>
  <si>
    <r>
      <rPr>
        <b/>
        <sz val="10"/>
        <color rgb="FF000000"/>
        <rFont val="Arial"/>
        <family val="2"/>
      </rPr>
      <t>Note:</t>
    </r>
    <r>
      <rPr>
        <sz val="10"/>
        <color rgb="FF000000"/>
        <rFont val="Arial"/>
        <family val="2"/>
      </rPr>
      <t xml:space="preserve"> D&amp;A is provided on a straigh-line basis over the estimated useful lives</t>
    </r>
  </si>
  <si>
    <r>
      <rPr>
        <b/>
        <sz val="10"/>
        <color rgb="FF000000"/>
        <rFont val="Arial"/>
        <family val="2"/>
      </rPr>
      <t>Note</t>
    </r>
    <r>
      <rPr>
        <sz val="10"/>
        <color rgb="FF000000"/>
        <rFont val="Arial"/>
        <family val="2"/>
      </rPr>
      <t>: PPE iteams are stated at cost (potencial for increase in value for real estate in long-term)</t>
    </r>
  </si>
  <si>
    <r>
      <rPr>
        <b/>
        <u/>
        <sz val="10"/>
        <rFont val="Arial"/>
        <family val="2"/>
      </rPr>
      <t>Note:</t>
    </r>
    <r>
      <rPr>
        <sz val="10"/>
        <rFont val="Arial"/>
        <family val="2"/>
      </rPr>
      <t xml:space="preserve"> Differences between increase in gross PPE and CapEx derives from acquired assets. Because of that, PPE will be increasin at a premium of CapEx</t>
    </r>
  </si>
  <si>
    <t>Straigth-line method</t>
  </si>
  <si>
    <t>Useful Life</t>
  </si>
  <si>
    <t>Equipment</t>
  </si>
  <si>
    <t>2-15 years</t>
  </si>
  <si>
    <t>Depreciation factor</t>
  </si>
  <si>
    <t>Buildings</t>
  </si>
  <si>
    <t>34-44 years</t>
  </si>
  <si>
    <t>Gross PPE</t>
  </si>
  <si>
    <t>2026-2034</t>
  </si>
  <si>
    <t>2035-2049</t>
  </si>
  <si>
    <t xml:space="preserve"> YoY Growth</t>
  </si>
  <si>
    <t>Growth of Intangibles</t>
  </si>
  <si>
    <t xml:space="preserve">D&amp;A </t>
  </si>
  <si>
    <t>Amortization of acq. related intangibles</t>
  </si>
  <si>
    <t>Intangibles</t>
  </si>
  <si>
    <t>Amortization</t>
  </si>
  <si>
    <t>Short Term (2024-2027)</t>
  </si>
  <si>
    <t>Medium term (2028-2032)</t>
  </si>
  <si>
    <t>Long-term (2033-2049)</t>
  </si>
  <si>
    <t xml:space="preserve">Land/Improvements </t>
  </si>
  <si>
    <t>CapEx (as % of Net Sales)</t>
  </si>
  <si>
    <t xml:space="preserve"> % of PPE</t>
  </si>
  <si>
    <t xml:space="preserve">Machinery/Equipment </t>
  </si>
  <si>
    <r>
      <rPr>
        <b/>
        <u/>
        <sz val="10"/>
        <rFont val="Arial"/>
        <family val="2"/>
      </rPr>
      <t xml:space="preserve">NOTE: </t>
    </r>
    <r>
      <rPr>
        <sz val="10"/>
        <rFont val="Arial"/>
        <family val="2"/>
      </rPr>
      <t xml:space="preserve"> given that this business model focused on growth and not on asset base or asset turnover (common in tech), CapEx is forecasted as a % of net sales, and not Gross PPE. The values above are</t>
    </r>
  </si>
  <si>
    <t>Construction in Progress</t>
  </si>
  <si>
    <t xml:space="preserve">Other Property/Plant/Equipment </t>
  </si>
  <si>
    <t>Depreciation (as % of PPE)</t>
  </si>
  <si>
    <t>Sales</t>
  </si>
  <si>
    <t>CapEx</t>
  </si>
  <si>
    <t xml:space="preserve"> % of sales</t>
  </si>
  <si>
    <t xml:space="preserve"> % of Gross PPE</t>
  </si>
  <si>
    <t>Variation of Gross PPE</t>
  </si>
  <si>
    <t>Depreciation</t>
  </si>
  <si>
    <t>Company guidance for 2023 intangibles</t>
  </si>
  <si>
    <t>2024-2028</t>
  </si>
  <si>
    <t>2029-2049</t>
  </si>
  <si>
    <t xml:space="preserve">Even though the informmation is not available, it's possible to conclude that most of Land/Buildings is land, given that the weight increase in the account doesn't </t>
  </si>
  <si>
    <t>affect much of DA/Gross PE Ratio (Land is not depreciated).</t>
  </si>
  <si>
    <t>Short-term</t>
  </si>
  <si>
    <t>Long-term</t>
  </si>
  <si>
    <t>2Y Average</t>
  </si>
  <si>
    <t>Intangibles, Net</t>
  </si>
  <si>
    <t>21 363</t>
  </si>
  <si>
    <t>24 480</t>
  </si>
  <si>
    <t>Accumulated Intangible Amortization</t>
  </si>
  <si>
    <t>-6 359</t>
  </si>
  <si>
    <t>-3 548</t>
  </si>
  <si>
    <t>--</t>
  </si>
  <si>
    <t>Intangibles - Gross</t>
  </si>
  <si>
    <r>
      <rPr>
        <b/>
        <u/>
        <sz val="10"/>
        <rFont val="Arial"/>
        <family val="2"/>
      </rPr>
      <t>Note:</t>
    </r>
    <r>
      <rPr>
        <sz val="10"/>
        <rFont val="Arial"/>
        <family val="2"/>
      </rPr>
      <t xml:space="preserve"> the companies recently acquired have 2/3 of its intangibles still in development and those are not amortized. </t>
    </r>
  </si>
  <si>
    <t xml:space="preserve">Developed technology is amortized using a weighted average estimated useful life of 4 years. </t>
  </si>
  <si>
    <t>In the timeline where acq. factor is higher, then Amort. should decrease and if Acq. factor increases, then it should increase as</t>
  </si>
  <si>
    <t xml:space="preserve"> % of Gross Intangibles</t>
  </si>
  <si>
    <t>tech in development strarts being counted as delovoped tech and amortized (25% for 4y). Developed technology acquired from Xilinx is amortized with an useful life of 16y</t>
  </si>
  <si>
    <t>There is no pattern in intangibles acquired, so there can only made approximated estimations</t>
  </si>
  <si>
    <t>Gross Intangibles</t>
  </si>
  <si>
    <t>Long-term Projection</t>
  </si>
  <si>
    <t>Bullish</t>
  </si>
  <si>
    <t>Base case</t>
  </si>
  <si>
    <t xml:space="preserve"> % of net sales</t>
  </si>
  <si>
    <t>Bearish</t>
  </si>
  <si>
    <t>Long-term projection</t>
  </si>
  <si>
    <t>Tax</t>
  </si>
  <si>
    <t>Net Income Before Tax</t>
  </si>
  <si>
    <t>GILTI taxes abroad subsidiaries income from intangibles  at 10.5-13.125%. The difference between 21% statuary tax is added back as</t>
  </si>
  <si>
    <t>x Federal Income Tax (21%)</t>
  </si>
  <si>
    <t>a benefit tax income</t>
  </si>
  <si>
    <t>Research Credits</t>
  </si>
  <si>
    <t>The calculation of GILTI is quite complex and varies based on income, intagibles income, country tax and other factors.</t>
  </si>
  <si>
    <t>GILTI</t>
  </si>
  <si>
    <t>FDII</t>
  </si>
  <si>
    <t>Given that the GILTI comes from the excess of returns on intangibles above PPE, the company has an incentive to keep fixed assets stock low</t>
  </si>
  <si>
    <t>Sum of these 4 taxes</t>
  </si>
  <si>
    <t>Other taxes</t>
  </si>
  <si>
    <t>The same scheme works for FDII tax benefits for exports</t>
  </si>
  <si>
    <t>Tax provision (benefit)</t>
  </si>
  <si>
    <t>% of EBIT</t>
  </si>
  <si>
    <t>The local tax on Singapore was reduced from 17% to 5% thanks to the DEI granted by Xilinx acq.</t>
  </si>
  <si>
    <t>Total EBIT from 2016</t>
  </si>
  <si>
    <t>Total Benefits from 2016</t>
  </si>
  <si>
    <t>Total Taxes from 2016</t>
  </si>
  <si>
    <t>Balance</t>
  </si>
  <si>
    <t>Balance as % of total EBIT</t>
  </si>
  <si>
    <r>
      <rPr>
        <b/>
        <u/>
        <sz val="10"/>
        <rFont val="Arial"/>
        <family val="2"/>
      </rPr>
      <t>Note:</t>
    </r>
    <r>
      <rPr>
        <sz val="10"/>
        <rFont val="Arial"/>
        <family val="2"/>
      </rPr>
      <t xml:space="preserve"> given the unporedicatbility of long-term tax, a sensitivity analysis was done to account for each possibility and it's impact on valuation</t>
    </r>
  </si>
  <si>
    <t>Tax Interest Rate</t>
  </si>
  <si>
    <t>Notes:</t>
  </si>
  <si>
    <t xml:space="preserve">1) Effective tax rates are highly unpredictable due to the nature of the business/industry and tax benefits. For example, in 2020 AMD received 1,210 million in tax benefits and in the next year paid 513 million. </t>
  </si>
  <si>
    <t>2) Calculating benefits is hard because of big deviations from year to year and introduction of new taxes GILTI and FDII from 2017 TCJ Act with complex calculations due to several hardly predictable variables.</t>
  </si>
  <si>
    <t>3) We can be sure that the company will receive benefits in the short and medium terms due to the demand and the potential of the industry, including the rivalry between countries over semiconductor industry.</t>
  </si>
  <si>
    <t xml:space="preserve">4) In analysis based on averages from and including 2018, the effective tax rate of AMD was -5% which can be taken for a short term predictions. </t>
  </si>
  <si>
    <t>5) From analysis from 2016 to 2023, we see that in total AMD paid taxes rather than received benefits; it accounts for 1% of EBIT. Consider that in 2016 and 2017, corporate tax rate was 35% and not 21% which skews the result. But the change in corporate tax rate is desirable in prediction for the long-term effective tax rate. So, 1% can be taken as long-term effective tax rate for EBIT.</t>
  </si>
  <si>
    <t xml:space="preserve">I do not consider previous years because of the dramatic change in industry and demand for chips, and introduction of additional taxes from TCJ Act of 2017 which are very unlikely to disappear. </t>
  </si>
  <si>
    <t>6) To finish up, in medium term AMD will likely receive benefits but at a lower rate of around (-4)% - (-1)%. Given high rivalry in the industry and principles of conservatism &amp; prudence, we take -1% as medium tax rate as share of EBIT.</t>
  </si>
  <si>
    <t>Debt and Interest expense</t>
  </si>
  <si>
    <t>Carrying amount</t>
  </si>
  <si>
    <t>Maturity</t>
  </si>
  <si>
    <t>Cost of debt</t>
  </si>
  <si>
    <r>
      <rPr>
        <b/>
        <u/>
        <sz val="10"/>
        <rFont val="Arial"/>
        <family val="2"/>
      </rPr>
      <t>Note:</t>
    </r>
    <r>
      <rPr>
        <sz val="10"/>
        <rFont val="Arial"/>
        <family val="2"/>
      </rPr>
      <t xml:space="preserve"> the company doesn't have stable revenues, nor any other income metric to obtain a reliable ratio to forecast debt.</t>
    </r>
  </si>
  <si>
    <t xml:space="preserve">Given the decrease in debt/assets ratio the predominance of cash, intangibles and PPE as assets and the company </t>
  </si>
  <si>
    <t>recurring to the market for financing, the debt is forecasted based on a refinancing basis and to keep the debt/assets ratio stable at 3% and a stable EBITA/Debt ratio</t>
  </si>
  <si>
    <t>Given the high margins and outsourcing of production, the company shouldn't have high debt requirments in the future to fund CapEx.</t>
  </si>
  <si>
    <t>As excess cash accumulates and the company wishes to keep it's stock demand competitive, the company should issue debt</t>
  </si>
  <si>
    <t>to fund stock buy-backs, which is something done by consolidated tech companies.</t>
  </si>
  <si>
    <t>Given the peculiarities of AMD's historical financials and projections, debt was based on a costum assets ratio</t>
  </si>
  <si>
    <r>
      <rPr>
        <b/>
        <u/>
        <sz val="10"/>
        <rFont val="Arial"/>
        <family val="2"/>
      </rPr>
      <t>Note:</t>
    </r>
    <r>
      <rPr>
        <sz val="10"/>
        <rFont val="Arial"/>
        <family val="2"/>
      </rPr>
      <t xml:space="preserve"> long-term leases are operating, and were not included as debt given that they don't affect capital structure and its interest is considered a rental that is counted</t>
    </r>
  </si>
  <si>
    <t>as an operational cost based on the company's accounting policies.</t>
  </si>
  <si>
    <t>Cash</t>
  </si>
  <si>
    <t>Future payments for 2023 debt</t>
  </si>
  <si>
    <t>Interest epense forecast</t>
  </si>
  <si>
    <t>Sum</t>
  </si>
  <si>
    <t>Debt</t>
  </si>
  <si>
    <t>%</t>
  </si>
  <si>
    <t>Debt/Assets Ratio</t>
  </si>
  <si>
    <t>Interest rate on cash</t>
  </si>
  <si>
    <t>Interest Income (net of losses from equities)</t>
  </si>
  <si>
    <t>Cash and Equiv.</t>
  </si>
  <si>
    <t>Return on cash</t>
  </si>
  <si>
    <t>2024-2026</t>
  </si>
  <si>
    <t>Benchamark</t>
  </si>
  <si>
    <t>US2Y</t>
  </si>
  <si>
    <t>The company has no intention of paying any dividend in the near future</t>
  </si>
  <si>
    <t>Forecast</t>
  </si>
  <si>
    <t>Acquisition Factor</t>
  </si>
  <si>
    <t>Acquistions net of cash</t>
  </si>
  <si>
    <t>Xilinx was an all stock deal to diversify AMD's portfolio (FPGAs to capitalize data centers and embedded computing). The 131 million regeisted were from the acquisitions of other businesses with residual revenue.</t>
  </si>
  <si>
    <t>In the financial year, there was a cash inflow of 2366 from Xilinx and net outflow of 1544 from the Pensando acquisition. There was no other relevant flows related to acquisitions.</t>
  </si>
  <si>
    <t xml:space="preserve">Given that the company doesn't issue much debt to fund its operations and recurrs to the market, also to finance its acquisitions, we decided to give a -0.5% factor to acquisition as the inflows of cash </t>
  </si>
  <si>
    <t>balance the outflows. Expenses related to fees and amortization of acquired intangibles are registed as operational expenses, to which projections are adjusted.</t>
  </si>
  <si>
    <t>In the long-term, the company needs to keep buying start-ups such as Pensando to keep its products competitive and cut companies that might be disruptive in the future. That usually comes at a premium</t>
  </si>
  <si>
    <t>Company needs to acquire companies with the focus of improving their products to gain competitivity. There is not enough market dominance to buy companies to cut competition.</t>
  </si>
  <si>
    <t>Company needs to acquire companies with the focus of improving their products to gain competitivity and increase market share. There is not enough market dominance to buy companies to cut competition.</t>
  </si>
  <si>
    <t>Net Working Capital</t>
  </si>
  <si>
    <t>Historical Data</t>
  </si>
  <si>
    <t>Averages</t>
  </si>
  <si>
    <t>chagens in revenue</t>
  </si>
  <si>
    <t>Growth</t>
  </si>
  <si>
    <t>Changes in Operating assets and liabilities</t>
  </si>
  <si>
    <t>Accounts receivables</t>
  </si>
  <si>
    <t>% of revenue</t>
  </si>
  <si>
    <t>Inventories</t>
  </si>
  <si>
    <t xml:space="preserve">Receivables </t>
  </si>
  <si>
    <t>Prepaid expenses and other assets</t>
  </si>
  <si>
    <t>Accounts payables</t>
  </si>
  <si>
    <t>Accrued and other liabilities</t>
  </si>
  <si>
    <t xml:space="preserve">Changes in NWC </t>
  </si>
  <si>
    <t>% of changes in revenue</t>
  </si>
  <si>
    <t>DIO</t>
  </si>
  <si>
    <t>DAI</t>
  </si>
  <si>
    <t>DAP</t>
  </si>
  <si>
    <t>Cash Conversion Cycle</t>
  </si>
  <si>
    <t>NWC as % of net sales</t>
  </si>
  <si>
    <t>Stock-based cmpensation</t>
  </si>
  <si>
    <t>Stock-based Comp</t>
  </si>
  <si>
    <t>% of sales</t>
  </si>
  <si>
    <t>Stock-repurchases</t>
  </si>
  <si>
    <t>Stock Repurchases</t>
  </si>
  <si>
    <t>The company has an approved stock repurchase program to buy uo to 12B$ of common stock. Aprox. 5.6B$ remain avaliable for future stock repurchases</t>
  </si>
  <si>
    <t>The plan has no termination date and doesn't obly the company to acquire stock</t>
  </si>
  <si>
    <r>
      <rPr>
        <b/>
        <u/>
        <sz val="10"/>
        <rFont val="Arial"/>
        <family val="2"/>
      </rPr>
      <t>NOTE:</t>
    </r>
    <r>
      <rPr>
        <sz val="10"/>
        <rFont val="Arial"/>
        <family val="2"/>
      </rPr>
      <t>Stock repurchases will ba based on excess cash to Cash/Operational costs ratio and Debt issuing</t>
    </r>
  </si>
  <si>
    <t>Leases</t>
  </si>
  <si>
    <t>Leases Cash expense</t>
  </si>
  <si>
    <t>Projection</t>
  </si>
  <si>
    <t>Risk Free Rate (US20 yield)</t>
  </si>
  <si>
    <t>CRWD Beta</t>
  </si>
  <si>
    <r>
      <rPr>
        <b/>
        <u/>
        <sz val="10"/>
        <rFont val="Arial"/>
        <family val="2"/>
      </rPr>
      <t>Company specific risk factors:</t>
    </r>
    <r>
      <rPr>
        <sz val="10"/>
        <rFont val="Arial"/>
        <family val="2"/>
      </rPr>
      <t xml:space="preserve"> high dependance on TSMC for production, gaining exposure to geopolitical risks; suplly chain risks; technological disruption risk and volatility</t>
    </r>
  </si>
  <si>
    <t>Market Risk Premium</t>
  </si>
  <si>
    <t>CAPM</t>
  </si>
  <si>
    <t>Size Risk Premium</t>
  </si>
  <si>
    <t>Company Specific Risk Premium</t>
  </si>
  <si>
    <t>Modified CAPM</t>
  </si>
  <si>
    <t>Interest Expense</t>
  </si>
  <si>
    <t>Interest rate</t>
  </si>
  <si>
    <t>Equity/(Debt+Equity)</t>
  </si>
  <si>
    <t>Debt/(Debt+Equity)</t>
  </si>
  <si>
    <t>Cost of equity</t>
  </si>
  <si>
    <t>Tax Rate</t>
  </si>
  <si>
    <t>WACC</t>
  </si>
  <si>
    <t>Extra notes</t>
  </si>
  <si>
    <t>The company had a consistent cash budgeting of 20% its operational costs. That ratio was used to forecast its ending cash position for each financial year, adjusted for growth and debt management.</t>
  </si>
  <si>
    <t>Operational costs</t>
  </si>
  <si>
    <t>Ending cash position</t>
  </si>
  <si>
    <t>% of operational costs</t>
  </si>
  <si>
    <r>
      <rPr>
        <b/>
        <u/>
        <sz val="10"/>
        <color theme="0"/>
        <rFont val="Arial"/>
        <family val="2"/>
      </rPr>
      <t>Final Note:</t>
    </r>
    <r>
      <rPr>
        <sz val="10"/>
        <color theme="0"/>
        <rFont val="Arial"/>
        <family val="2"/>
      </rPr>
      <t xml:space="preserve"> Given the extensive assumption, In the DCF page, I recommend using f2+shift left+ (ctrl+c) to copy the reference and f5 to locate it the assumptions page</t>
    </r>
  </si>
  <si>
    <t>VALUATION MODEL</t>
  </si>
  <si>
    <t>Short Term</t>
  </si>
  <si>
    <t>Long Term</t>
  </si>
  <si>
    <t>Section</t>
  </si>
  <si>
    <t>Line #</t>
  </si>
  <si>
    <t>ITEM</t>
  </si>
  <si>
    <t>2021 (Real)</t>
  </si>
  <si>
    <t>2022 (Real)</t>
  </si>
  <si>
    <t>2023 (Real)</t>
  </si>
  <si>
    <t>INCOME STATEMENT</t>
  </si>
  <si>
    <t>Revenues/Sales</t>
  </si>
  <si>
    <t>EBIT/Operating Margin</t>
  </si>
  <si>
    <t>5a</t>
  </si>
  <si>
    <t>(Dep)</t>
  </si>
  <si>
    <t>5b</t>
  </si>
  <si>
    <t>(Amort)</t>
  </si>
  <si>
    <t>5c</t>
  </si>
  <si>
    <t>(Stock based compensation)</t>
  </si>
  <si>
    <t>(Net financing cost)</t>
  </si>
  <si>
    <t>Other income/(cost)</t>
  </si>
  <si>
    <t>Earnings before taxes</t>
  </si>
  <si>
    <t>(Income tax)</t>
  </si>
  <si>
    <t>Net income</t>
  </si>
  <si>
    <t>CASH FLOW STATEMENT</t>
  </si>
  <si>
    <t>Operating cash flows before WK</t>
  </si>
  <si>
    <t>(Stock-based compensation)</t>
  </si>
  <si>
    <t>(Working Capital Flows)</t>
  </si>
  <si>
    <t>-Total Operating Cash Flow</t>
  </si>
  <si>
    <t>(CAPEX)</t>
  </si>
  <si>
    <t>Acquistions</t>
  </si>
  <si>
    <t>Investments</t>
  </si>
  <si>
    <t>(Other investing flows)</t>
  </si>
  <si>
    <t>-Total Investing Flows</t>
  </si>
  <si>
    <t>(Flows related to leases)</t>
  </si>
  <si>
    <t>Net 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</si>
  <si>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</si>
  <si>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</si>
  <si>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</si>
  <si>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</si>
  <si>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</si>
  <si>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</si>
  <si>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</si>
  <si>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</si>
  <si>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</si>
  <si>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</si>
  <si>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</si>
  <si>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</si>
  <si>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</si>
  <si>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-1 134</t>
  </si>
  <si>
    <t>-1 507</t>
  </si>
  <si>
    <t>CASH &amp; DEBT &amp; DISCOUNTING</t>
  </si>
  <si>
    <t>Ending cash balance</t>
  </si>
  <si>
    <t>Discount factor</t>
  </si>
  <si>
    <t>DF + 0.1%</t>
  </si>
  <si>
    <t>+0.1%</t>
  </si>
  <si>
    <t>DF+0.5%</t>
  </si>
  <si>
    <t>+0.5%</t>
  </si>
  <si>
    <t> Discount Rate</t>
  </si>
  <si>
    <t>Risk free rate</t>
  </si>
  <si>
    <t>Equity premium</t>
  </si>
  <si>
    <t>Firm premium</t>
  </si>
  <si>
    <t>Total</t>
  </si>
  <si>
    <t>Implied DEBT/EBITDA</t>
  </si>
  <si>
    <t>Modelling factors</t>
  </si>
  <si>
    <t>Medium Term</t>
  </si>
  <si>
    <t>Reference (line)</t>
  </si>
  <si>
    <t>Cash/Operational Costs</t>
  </si>
  <si>
    <t>% Gross PPE</t>
  </si>
  <si>
    <t>Amortization factor</t>
  </si>
  <si>
    <t>% Gross Intangibles</t>
  </si>
  <si>
    <t>Cash/Sales</t>
  </si>
  <si>
    <t>% of Revenue</t>
  </si>
  <si>
    <t>% EBT</t>
  </si>
  <si>
    <t>Interest Rate on debt</t>
  </si>
  <si>
    <t>% Debt</t>
  </si>
  <si>
    <r>
      <rPr>
        <b/>
        <u/>
        <sz val="11"/>
        <color rgb="FF000000"/>
        <rFont val="Calibri"/>
        <family val="2"/>
      </rPr>
      <t>Important Note:</t>
    </r>
    <r>
      <rPr>
        <sz val="11"/>
        <color rgb="FF000000"/>
        <rFont val="Calibri"/>
        <family val="2"/>
      </rPr>
      <t xml:space="preserve"> medium-term might differ for each factor given it's specific projections. I recommend checking each one individually.</t>
    </r>
  </si>
  <si>
    <t>Interest Rate on cash</t>
  </si>
  <si>
    <t>% Cash</t>
  </si>
  <si>
    <t>PPE+ROA</t>
  </si>
  <si>
    <t>Growing with CapEx</t>
  </si>
  <si>
    <t>Working capital flows</t>
  </si>
  <si>
    <t>Intangible Assets</t>
  </si>
  <si>
    <t>Costum growth (acq.)</t>
  </si>
  <si>
    <t>Sensitivity analysis</t>
  </si>
  <si>
    <t>Capex</t>
  </si>
  <si>
    <t>% Revenue</t>
  </si>
  <si>
    <t>Acquisition factor</t>
  </si>
  <si>
    <t>Repurchases</t>
  </si>
  <si>
    <t>Custom formula</t>
  </si>
  <si>
    <t>See A544 in Assumpt.</t>
  </si>
  <si>
    <t>Custom ratio</t>
  </si>
  <si>
    <t>$ millions</t>
  </si>
  <si>
    <t>2023 EV</t>
  </si>
  <si>
    <t>Value of flows</t>
  </si>
  <si>
    <t>Value of perpetuity</t>
  </si>
  <si>
    <t>EV/FCF Ratio projection</t>
  </si>
  <si>
    <t>Total Value</t>
  </si>
  <si>
    <t>Implied EV/FCF</t>
  </si>
  <si>
    <t>Actual share price</t>
  </si>
  <si>
    <t>Implied EV/FCF/Growth</t>
  </si>
  <si>
    <t>Total value vs Mkt Cap</t>
  </si>
  <si>
    <t>Estimated NPV per share</t>
  </si>
  <si>
    <t>Implied Upside</t>
  </si>
  <si>
    <t>Sensibility</t>
  </si>
  <si>
    <t>Sensitivity +0.1%</t>
  </si>
  <si>
    <t>Sensitivity +0.5%</t>
  </si>
  <si>
    <t>Price where it'd be a "BUY"</t>
  </si>
  <si>
    <t>Long-Term Tax</t>
  </si>
  <si>
    <t>Figures in Millions of USD</t>
  </si>
  <si>
    <t>dep &amp; amo</t>
  </si>
  <si>
    <t>Company</t>
  </si>
  <si>
    <t>Report in millions</t>
  </si>
  <si>
    <t>RESULTS</t>
  </si>
  <si>
    <t>Hoja</t>
  </si>
  <si>
    <t>Nombre campo Bloomberg</t>
  </si>
  <si>
    <t>Cambio de signo</t>
  </si>
  <si>
    <t>Income Statement</t>
  </si>
  <si>
    <t>Ingreso</t>
  </si>
  <si>
    <t>Gross Profit</t>
  </si>
  <si>
    <t xml:space="preserve">    + Coste de bienes y servicios</t>
  </si>
  <si>
    <t xml:space="preserve">    + Ventas, generales y admin</t>
  </si>
  <si>
    <t>Other Expenses (Revenues)</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</si>
  <si>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</si>
  <si>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</si>
  <si>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</si>
  <si>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</si>
  <si>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</si>
  <si>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</si>
  <si>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</si>
  <si>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</si>
  <si>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</si>
  <si>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</si>
  <si>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</si>
  <si>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</si>
  <si>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</si>
  <si>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</si>
  <si>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</si>
  <si>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</si>
  <si>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Changes Net Working Capital</t>
  </si>
  <si>
    <t>cash flows</t>
  </si>
  <si>
    <t>NWC</t>
  </si>
  <si>
    <t xml:space="preserve">  + Dividendos pagados</t>
  </si>
  <si>
    <t>Cambiar signo</t>
  </si>
  <si>
    <t xml:space="preserve">    + Aumento en capital</t>
  </si>
  <si>
    <t xml:space="preserve">    + Baja en capital</t>
  </si>
  <si>
    <t>Cambiar signo y hacer suma</t>
  </si>
  <si>
    <t>ASSETS</t>
  </si>
  <si>
    <t>Current</t>
  </si>
  <si>
    <t>Balance Sheet</t>
  </si>
  <si>
    <t>Accounts Receivable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</si>
  <si>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</si>
  <si>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</si>
  <si>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</si>
  <si>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</si>
  <si>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</si>
  <si>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</si>
  <si>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Property, Plant and Equipment</t>
  </si>
  <si>
    <t xml:space="preserve">  + Inventarios</t>
  </si>
  <si>
    <t>Operating leases</t>
  </si>
  <si>
    <t>Equity Method Investments</t>
  </si>
  <si>
    <t>Other Non-Current Assets</t>
  </si>
  <si>
    <t>Other Assets</t>
  </si>
  <si>
    <t xml:space="preserve">  + Propiedad, planta y equipo; neto</t>
  </si>
  <si>
    <t>Activos totales</t>
  </si>
  <si>
    <t>LIABILITIES</t>
  </si>
  <si>
    <t>Payables</t>
  </si>
  <si>
    <t xml:space="preserve">   Short-Term Debt</t>
  </si>
  <si>
    <t>Short term Debt</t>
  </si>
  <si>
    <t>Pasivos totales corrientes</t>
  </si>
  <si>
    <t xml:space="preserve">   Short-Term Leases</t>
  </si>
  <si>
    <t>Other current liabilities</t>
  </si>
  <si>
    <t xml:space="preserve">    + Préstamos CP</t>
  </si>
  <si>
    <t>Non-current Liabilities</t>
  </si>
  <si>
    <t>Total non current liabilities</t>
  </si>
  <si>
    <t xml:space="preserve">   Long-Term Debt</t>
  </si>
  <si>
    <t>Long term debt</t>
  </si>
  <si>
    <t xml:space="preserve">   Long-Term Leases</t>
  </si>
  <si>
    <t>Pasivos totales no corrientes</t>
  </si>
  <si>
    <t>Other non-current liabilities</t>
  </si>
  <si>
    <t>Other non current Liabilities</t>
  </si>
  <si>
    <t xml:space="preserve">    + Préstamos a largo plazo</t>
  </si>
  <si>
    <t>Minority Interest</t>
  </si>
  <si>
    <t xml:space="preserve">Shareholder's Equity </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</si>
  <si>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</si>
  <si>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</si>
  <si>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</si>
  <si>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</si>
  <si>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</si>
  <si>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</si>
  <si>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</si>
  <si>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</si>
  <si>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</si>
  <si>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</si>
  <si>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</si>
  <si>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Share buyback</t>
  </si>
  <si>
    <t>Changes in cash</t>
  </si>
  <si>
    <t>(Vitalis will later fill this info)</t>
  </si>
  <si>
    <t xml:space="preserve">Other Data </t>
  </si>
  <si>
    <t>Corporate Bonds 3, 5 Y 10</t>
  </si>
  <si>
    <t xml:space="preserve">Average Price </t>
  </si>
  <si>
    <t>Moody's</t>
  </si>
  <si>
    <t>YTM</t>
  </si>
  <si>
    <t>DIVISA</t>
  </si>
  <si>
    <t xml:space="preserve">Number of employees </t>
  </si>
  <si>
    <t>10-K</t>
  </si>
  <si>
    <t>NO BONDS</t>
  </si>
  <si>
    <t>bloomberg</t>
  </si>
  <si>
    <t>Shares Outstanding (Thousands)</t>
  </si>
  <si>
    <t>Yahoo finance</t>
  </si>
  <si>
    <t>Fitch/ S&amp;P Rating</t>
  </si>
  <si>
    <t>A-</t>
  </si>
  <si>
    <t>Dividend Yield(Yahoo Finance)</t>
  </si>
  <si>
    <t>Daily Volume in Millions of USD</t>
  </si>
  <si>
    <t>Yahoo Finance</t>
  </si>
  <si>
    <t xml:space="preserve">Short % of Float </t>
  </si>
  <si>
    <t>Derive interest rate from bonds current yields (weighted average)</t>
  </si>
  <si>
    <t>Normalized Income Statement Financials</t>
  </si>
  <si>
    <t>Non Recurring Revenue (engineering fees)</t>
  </si>
  <si>
    <t>Adjusted Gross Income</t>
  </si>
  <si>
    <t>Selling/General/Admin. Expenses, Total</t>
  </si>
  <si>
    <t>Selling/General/Administrative Expense</t>
  </si>
  <si>
    <t>Labor &amp; Related Expense</t>
  </si>
  <si>
    <t>Advertising Expense</t>
  </si>
  <si>
    <t>Research &amp; Development</t>
  </si>
  <si>
    <t>Amortization of acquisiton related intangibles</t>
  </si>
  <si>
    <t>Unusual Expense (Income)</t>
  </si>
  <si>
    <t>Adjusted EBIT</t>
  </si>
  <si>
    <t>Investment Income - Operating</t>
  </si>
  <si>
    <t>Interest Expense, Net Non-Operating</t>
  </si>
  <si>
    <t>Interest Expense - Non-Operating</t>
  </si>
  <si>
    <t>Interest Capitalized - Non-Operating</t>
  </si>
  <si>
    <t>Interest/Invest Income - Non-Operating</t>
  </si>
  <si>
    <t>Interest Income - Non-Operating</t>
  </si>
  <si>
    <t>Investment Income - Non-Operating</t>
  </si>
  <si>
    <t>Interest Inc.(Exp.),Net-Non-Op., Total</t>
  </si>
  <si>
    <t>Gain (Loss) on Sale of Assets</t>
  </si>
  <si>
    <t>Other, Net</t>
  </si>
  <si>
    <t>Other Non-Operating Income (Expense)</t>
  </si>
  <si>
    <t>Normalized Income Before Taxes</t>
  </si>
  <si>
    <t>Effect of Special Items on Income Taxes</t>
  </si>
  <si>
    <t>Inc Tax Ex Impact of Sp Items</t>
  </si>
  <si>
    <t>Normalized Income After Taxes</t>
  </si>
  <si>
    <t>&lt;</t>
  </si>
  <si>
    <t>D&amp;A Expense (included in COGS)</t>
  </si>
  <si>
    <t>EBITDA (non GAAP)</t>
  </si>
  <si>
    <t xml:space="preserve"> Margin</t>
  </si>
  <si>
    <t>Sales YoY Growth</t>
  </si>
  <si>
    <t>Gross Margin</t>
  </si>
  <si>
    <t>YoY Gross Income Growth</t>
  </si>
  <si>
    <t>YoY EBIT Growth</t>
  </si>
  <si>
    <t>EBT Margin</t>
  </si>
  <si>
    <t>YoY EBT Growth</t>
  </si>
  <si>
    <t>YoY Net Income Growth</t>
  </si>
  <si>
    <t>Growth vs. Previous year</t>
  </si>
  <si>
    <t>% over sales</t>
  </si>
  <si>
    <t>Operating expenses</t>
  </si>
  <si>
    <t xml:space="preserve">     Growth vs. Previous year</t>
  </si>
  <si>
    <t>EBITDA Margin</t>
  </si>
  <si>
    <t>% Tax</t>
  </si>
  <si>
    <t>Cash Generated</t>
  </si>
  <si>
    <t>FNP''</t>
  </si>
  <si>
    <t>FNP'</t>
  </si>
  <si>
    <t>Payout Ratio</t>
  </si>
  <si>
    <t>Assets</t>
  </si>
  <si>
    <t>COGs</t>
  </si>
  <si>
    <t>Cash/Operational Costs ratio</t>
  </si>
  <si>
    <t>Liabilities</t>
  </si>
  <si>
    <t>Net Debt</t>
  </si>
  <si>
    <t>Other Data</t>
  </si>
  <si>
    <t>Number of employees</t>
  </si>
  <si>
    <t xml:space="preserve">Shares Outstanding </t>
  </si>
  <si>
    <t>Dividend Yield</t>
  </si>
  <si>
    <t>Average Price</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</si>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</sst>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quot;$&quot;#,##0_);[Red]\(&quot;$&quot;#,##0\)"/>
    <numFmt numFmtId="165" formatCode="_-&quot;$&quot;* #,##0.00_-;\-&quot;$&quot;* #,##0.00_-;_-&quot;$&quot;* &quot;-&quot;??_-;_-@_-"/>
    <numFmt numFmtId="166" formatCode="&quot;$&quot;#,##0.00"/>
    <numFmt numFmtId="167" formatCode="&quot;$&quot;#,##0"/>
    <numFmt numFmtId="168" formatCode="0.0%"/>
    <numFmt numFmtId="169" formatCode="0.0"/>
    <numFmt numFmtId="170" formatCode="#,##0.0"/>
    <numFmt numFmtId="171" formatCode="[$$-409]#,##0.00"/>
    <numFmt numFmtId="172" formatCode="[$$-409]#,##0"/>
    <numFmt numFmtId="173" formatCode="_-[$$-409]* #,##0.00_ ;_-[$$-409]* \-#,##0.00\ ;_-[$$-409]* &quot;-&quot;??_ ;_-@_ "/>
    <numFmt numFmtId="174" formatCode="0.000%"/>
    <numFmt numFmtId="175" formatCode="_-* #,##0\ [$€-816]_-;\-* #,##0\ [$€-816]_-;_-* &quot;-&quot;??\ [$€-816]_-;_-@_-"/>
    <numFmt numFmtId="176" formatCode="0.000"/>
    <numFmt numFmtId="177" formatCode="#,##0.00\ &quot;€&quot;"/>
    <numFmt numFmtId="178" formatCode="[$$-409]#,##0.00_ ;\-[$$-409]#,##0.00\ "/>
  </numFmts>
  <fonts count="10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u/>
      <sz val="10"/>
      <color theme="4"/>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b/>
      <sz val="11"/>
      <color theme="0"/>
      <name val="Calibri"/>
      <family val="2"/>
      <scheme val="minor"/>
    </font>
    <font>
      <b/>
      <sz val="14"/>
      <color theme="0"/>
      <name val="Calibri"/>
      <family val="2"/>
      <scheme val="minor"/>
    </font>
    <font>
      <sz val="11"/>
      <color rgb="FF444444"/>
      <name val="Calibri"/>
      <family val="2"/>
      <charset val="1"/>
    </font>
    <font>
      <b/>
      <sz val="11"/>
      <color rgb="FF000000"/>
      <name val="Aptos Narrow"/>
      <family val="2"/>
    </font>
    <font>
      <sz val="11"/>
      <color rgb="FF000000"/>
      <name val="Aptos Narrow"/>
      <family val="2"/>
    </font>
    <font>
      <b/>
      <sz val="11"/>
      <color rgb="FFFF0000"/>
      <name val="Aptos Narrow"/>
      <family val="2"/>
    </font>
    <font>
      <sz val="11"/>
      <color rgb="FFFF0000"/>
      <name val="Aptos Narrow"/>
      <family val="2"/>
    </font>
    <font>
      <sz val="11"/>
      <color rgb="FF202122"/>
      <name val="Arial"/>
      <family val="2"/>
    </font>
    <font>
      <sz val="11"/>
      <color rgb="FF3366CC"/>
      <name val="Arial"/>
      <family val="2"/>
    </font>
    <font>
      <vertAlign val="superscript"/>
      <sz val="8"/>
      <color rgb="FF3366CC"/>
      <name val="Arial"/>
      <family val="2"/>
    </font>
    <font>
      <i/>
      <sz val="11"/>
      <color rgb="FF3366CC"/>
      <name val="Arial"/>
      <family val="2"/>
    </font>
    <font>
      <b/>
      <sz val="11"/>
      <color rgb="FF202122"/>
      <name val="Arial"/>
      <family val="2"/>
    </font>
    <font>
      <b/>
      <sz val="11"/>
      <color rgb="FF374151"/>
      <name val="Calibri"/>
      <family val="2"/>
      <charset val="1"/>
    </font>
    <font>
      <b/>
      <sz val="12"/>
      <color rgb="FFFFFFFF"/>
      <name val="Arial"/>
      <family val="2"/>
    </font>
    <font>
      <b/>
      <sz val="14"/>
      <color rgb="FF000000"/>
      <name val="Arial"/>
      <family val="2"/>
    </font>
    <font>
      <sz val="12"/>
      <color rgb="FFFFFFFF"/>
      <name val="Arial"/>
      <family val="2"/>
    </font>
    <font>
      <sz val="12"/>
      <color rgb="FF000000"/>
      <name val="Calibri"/>
      <family val="2"/>
      <charset val="238"/>
    </font>
    <font>
      <sz val="14"/>
      <color rgb="FFFFFFFF"/>
      <name val="Arial"/>
      <family val="2"/>
    </font>
    <font>
      <sz val="12"/>
      <color rgb="FF000000"/>
      <name val="Aptos Narrow"/>
      <family val="2"/>
    </font>
    <font>
      <b/>
      <sz val="12"/>
      <color rgb="FF000000"/>
      <name val="Aptos Narrow"/>
      <family val="2"/>
    </font>
    <font>
      <i/>
      <sz val="12"/>
      <color rgb="FF000000"/>
      <name val="Aptos Narrow"/>
      <family val="2"/>
    </font>
    <font>
      <b/>
      <sz val="11"/>
      <color rgb="FF000000"/>
      <name val="Arial"/>
      <family val="2"/>
    </font>
    <font>
      <sz val="9"/>
      <color rgb="FF000000"/>
      <name val="NVIDIA Sans"/>
      <family val="2"/>
      <charset val="1"/>
    </font>
    <font>
      <sz val="13.5"/>
      <color rgb="FF000000"/>
      <name val="Times New Roman"/>
      <family val="1"/>
    </font>
    <font>
      <b/>
      <sz val="8"/>
      <color rgb="FFFFFFFF"/>
      <name val="Arial"/>
      <family val="2"/>
    </font>
    <font>
      <sz val="8"/>
      <color rgb="FF000000"/>
      <name val="Arial"/>
      <family val="2"/>
    </font>
    <font>
      <sz val="10"/>
      <color rgb="FFFFFF00"/>
      <name val="Arial"/>
      <family val="2"/>
    </font>
    <font>
      <sz val="12"/>
      <color rgb="FF000000"/>
      <name val="Aptos"/>
      <family val="2"/>
    </font>
    <font>
      <sz val="12"/>
      <color theme="0"/>
      <name val="Arial"/>
      <family val="2"/>
    </font>
    <font>
      <b/>
      <u/>
      <sz val="10"/>
      <name val="Arial"/>
      <family val="2"/>
    </font>
    <font>
      <b/>
      <u/>
      <sz val="10"/>
      <color theme="0"/>
      <name val="Arial"/>
      <family val="2"/>
    </font>
    <font>
      <b/>
      <u/>
      <sz val="11"/>
      <color rgb="FF000000"/>
      <name val="Calibri"/>
      <family val="2"/>
    </font>
    <font>
      <sz val="7"/>
      <color rgb="FF000000"/>
      <name val="Times New Roman"/>
      <family val="1"/>
    </font>
  </fonts>
  <fills count="68">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rgb="FF339966"/>
        <bgColor rgb="FF000000"/>
      </patternFill>
    </fill>
    <fill>
      <patternFill patternType="solid">
        <fgColor rgb="FF44B3E1"/>
        <bgColor rgb="FF000000"/>
      </patternFill>
    </fill>
    <fill>
      <patternFill patternType="solid">
        <fgColor rgb="FFC0E6F5"/>
        <bgColor rgb="FF000000"/>
      </patternFill>
    </fill>
    <fill>
      <patternFill patternType="solid">
        <fgColor rgb="FFF2CEEF"/>
        <bgColor rgb="FF000000"/>
      </patternFill>
    </fill>
    <fill>
      <patternFill patternType="solid">
        <fgColor rgb="FFFFFFFF"/>
        <bgColor rgb="FF000000"/>
      </patternFill>
    </fill>
    <fill>
      <patternFill patternType="solid">
        <fgColor rgb="FFCAEDFB"/>
        <bgColor rgb="FF000000"/>
      </patternFill>
    </fill>
    <fill>
      <patternFill patternType="solid">
        <fgColor rgb="FFD0D0D0"/>
        <bgColor rgb="FF000000"/>
      </patternFill>
    </fill>
    <fill>
      <patternFill patternType="solid">
        <fgColor theme="9" tint="0.59999389629810485"/>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rgb="FF8DB4E2"/>
        <bgColor rgb="FF000000"/>
      </patternFill>
    </fill>
    <fill>
      <patternFill patternType="solid">
        <fgColor theme="4" tint="0.59999389629810485"/>
        <bgColor indexed="64"/>
      </patternFill>
    </fill>
    <fill>
      <patternFill patternType="solid">
        <fgColor rgb="FFC5D9F1"/>
        <bgColor rgb="FF000000"/>
      </patternFill>
    </fill>
    <fill>
      <patternFill patternType="solid">
        <fgColor theme="2"/>
        <bgColor indexed="64"/>
      </patternFill>
    </fill>
    <fill>
      <patternFill patternType="solid">
        <fgColor rgb="FFB8CCE4"/>
        <bgColor rgb="FF000000"/>
      </patternFill>
    </fill>
    <fill>
      <patternFill patternType="solid">
        <fgColor theme="5"/>
        <bgColor indexed="64"/>
      </patternFill>
    </fill>
    <fill>
      <patternFill patternType="solid">
        <fgColor rgb="FF001DFF"/>
        <bgColor rgb="FF001DFF"/>
      </patternFill>
    </fill>
    <fill>
      <patternFill patternType="solid">
        <fgColor rgb="FFFFFFFF"/>
        <bgColor rgb="FFFFFFFF"/>
      </patternFill>
    </fill>
    <fill>
      <patternFill patternType="solid">
        <fgColor rgb="FF92D050"/>
        <bgColor rgb="FF000000"/>
      </patternFill>
    </fill>
    <fill>
      <patternFill patternType="solid">
        <fgColor theme="4" tint="0.79998168889431442"/>
        <bgColor rgb="FF000000"/>
      </patternFill>
    </fill>
    <fill>
      <patternFill patternType="solid">
        <fgColor rgb="FFFFC000"/>
        <bgColor indexed="64"/>
      </patternFill>
    </fill>
  </fills>
  <borders count="316">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style="medium">
        <color indexed="64"/>
      </right>
      <top style="medium">
        <color indexed="64"/>
      </top>
      <bottom/>
      <diagonal/>
    </border>
    <border>
      <left/>
      <right style="medium">
        <color theme="3"/>
      </right>
      <top/>
      <bottom style="thin">
        <color theme="0" tint="-0.249977111117893"/>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medium">
        <color theme="3"/>
      </right>
      <top/>
      <bottom style="thin">
        <color theme="0" tint="-0.249977111117893"/>
      </bottom>
      <diagonal/>
    </border>
    <border>
      <left style="thin">
        <color theme="0" tint="-0.14999847407452621"/>
      </left>
      <right style="thin">
        <color theme="0" tint="-0.14999847407452621"/>
      </right>
      <top style="medium">
        <color theme="3"/>
      </top>
      <bottom/>
      <diagonal/>
    </border>
    <border>
      <left style="thin">
        <color theme="0" tint="-0.249977111117893"/>
      </left>
      <right/>
      <top style="medium">
        <color theme="3"/>
      </top>
      <bottom/>
      <diagonal/>
    </border>
    <border>
      <left/>
      <right style="thin">
        <color theme="0" tint="-0.249977111117893"/>
      </right>
      <top style="medium">
        <color theme="3"/>
      </top>
      <bottom/>
      <diagonal/>
    </border>
    <border>
      <left style="thin">
        <color theme="0" tint="-0.249977111117893"/>
      </left>
      <right style="thin">
        <color theme="0" tint="-0.249977111117893"/>
      </right>
      <top style="medium">
        <color theme="3"/>
      </top>
      <bottom/>
      <diagonal/>
    </border>
    <border>
      <left style="thin">
        <color theme="0" tint="-0.249977111117893"/>
      </left>
      <right style="medium">
        <color theme="3"/>
      </right>
      <top style="medium">
        <color theme="3"/>
      </top>
      <bottom/>
      <diagonal/>
    </border>
    <border>
      <left style="thin">
        <color indexed="64"/>
      </left>
      <right style="medium">
        <color rgb="FF1F497D"/>
      </right>
      <top style="thin">
        <color indexed="64"/>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style="medium">
        <color theme="3"/>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rgb="FF1F497D"/>
      </left>
      <right/>
      <top style="medium">
        <color theme="3"/>
      </top>
      <bottom style="medium">
        <color theme="3"/>
      </bottom>
      <diagonal/>
    </border>
    <border>
      <left style="medium">
        <color rgb="FF1F497D"/>
      </left>
      <right/>
      <top style="medium">
        <color theme="3"/>
      </top>
      <bottom style="medium">
        <color rgb="FF1F497D"/>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style="thin">
        <color indexed="64"/>
      </right>
      <top style="medium">
        <color indexed="64"/>
      </top>
      <bottom style="thin">
        <color indexed="64"/>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theme="3"/>
      </right>
      <top/>
      <bottom/>
      <diagonal/>
    </border>
    <border>
      <left style="medium">
        <color rgb="FF000000"/>
      </left>
      <right style="thin">
        <color theme="0" tint="-0.24994659260841701"/>
      </right>
      <top style="medium">
        <color rgb="FF000000"/>
      </top>
      <bottom/>
      <diagonal/>
    </border>
    <border>
      <left style="thin">
        <color theme="0" tint="-0.24994659260841701"/>
      </left>
      <right style="thin">
        <color theme="0" tint="-0.24994659260841701"/>
      </right>
      <top style="medium">
        <color rgb="FF000000"/>
      </top>
      <bottom/>
      <diagonal/>
    </border>
    <border>
      <left style="thin">
        <color theme="0" tint="-0.24994659260841701"/>
      </left>
      <right style="medium">
        <color rgb="FF000000"/>
      </right>
      <top style="medium">
        <color rgb="FF000000"/>
      </top>
      <bottom/>
      <diagonal/>
    </border>
    <border>
      <left style="medium">
        <color rgb="FF000000"/>
      </left>
      <right style="thin">
        <color theme="0" tint="-0.24994659260841701"/>
      </right>
      <top style="medium">
        <color rgb="FF000000"/>
      </top>
      <bottom style="medium">
        <color rgb="FF000000"/>
      </bottom>
      <diagonal/>
    </border>
    <border>
      <left style="thin">
        <color theme="0" tint="-0.24994659260841701"/>
      </left>
      <right style="thin">
        <color theme="0" tint="-0.24994659260841701"/>
      </right>
      <top style="medium">
        <color rgb="FF000000"/>
      </top>
      <bottom style="medium">
        <color rgb="FF000000"/>
      </bottom>
      <diagonal/>
    </border>
    <border>
      <left style="thin">
        <color theme="0" tint="-0.24994659260841701"/>
      </left>
      <right style="medium">
        <color rgb="FF000000"/>
      </right>
      <top style="medium">
        <color rgb="FF000000"/>
      </top>
      <bottom style="medium">
        <color rgb="FF000000"/>
      </bottom>
      <diagonal/>
    </border>
    <border>
      <left style="medium">
        <color rgb="FF000000"/>
      </left>
      <right style="medium">
        <color theme="3"/>
      </right>
      <top/>
      <bottom style="medium">
        <color rgb="FF000000"/>
      </bottom>
      <diagonal/>
    </border>
    <border>
      <left/>
      <right style="medium">
        <color rgb="FF1F497D"/>
      </right>
      <top/>
      <bottom style="medium">
        <color theme="0" tint="-0.24994659260841701"/>
      </bottom>
      <diagonal/>
    </border>
    <border>
      <left style="medium">
        <color rgb="FF1F497D"/>
      </left>
      <right/>
      <top/>
      <bottom style="thin">
        <color theme="0" tint="-0.24994659260841701"/>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style="medium">
        <color theme="3"/>
      </left>
      <right style="thin">
        <color theme="0" tint="-0.24994659260841701"/>
      </right>
      <top style="thin">
        <color theme="0" tint="-0.24994659260841701"/>
      </top>
      <bottom style="thin">
        <color theme="0" tint="-0.24994659260841701"/>
      </bottom>
      <diagonal/>
    </border>
    <border>
      <left style="medium">
        <color theme="3"/>
      </left>
      <right/>
      <top style="thin">
        <color theme="0" tint="-0.24994659260841701"/>
      </top>
      <bottom/>
      <diagonal/>
    </border>
    <border>
      <left style="medium">
        <color theme="3"/>
      </left>
      <right/>
      <top/>
      <bottom style="thin">
        <color theme="0" tint="-0.24994659260841701"/>
      </bottom>
      <diagonal/>
    </border>
    <border>
      <left style="medium">
        <color theme="3"/>
      </left>
      <right style="thin">
        <color indexed="64"/>
      </right>
      <top style="thin">
        <color indexed="64"/>
      </top>
      <bottom style="thin">
        <color indexed="64"/>
      </bottom>
      <diagonal/>
    </border>
    <border>
      <left style="medium">
        <color theme="3"/>
      </left>
      <right style="thin">
        <color indexed="64"/>
      </right>
      <top style="thin">
        <color indexed="64"/>
      </top>
      <bottom style="medium">
        <color theme="3"/>
      </bottom>
      <diagonal/>
    </border>
    <border>
      <left style="thin">
        <color indexed="64"/>
      </left>
      <right style="thin">
        <color indexed="64"/>
      </right>
      <top style="thin">
        <color indexed="64"/>
      </top>
      <bottom style="medium">
        <color theme="3"/>
      </bottom>
      <diagonal/>
    </border>
    <border>
      <left style="thin">
        <color indexed="64"/>
      </left>
      <right style="medium">
        <color rgb="FF1F497D"/>
      </right>
      <top style="thin">
        <color indexed="64"/>
      </top>
      <bottom style="medium">
        <color theme="3"/>
      </bottom>
      <diagonal/>
    </border>
    <border>
      <left/>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theme="0" tint="-0.249977111117893"/>
      </bottom>
      <diagonal/>
    </border>
    <border>
      <left style="medium">
        <color rgb="FF000000"/>
      </left>
      <right style="medium">
        <color theme="3"/>
      </right>
      <top style="medium">
        <color rgb="FF000000"/>
      </top>
      <bottom/>
      <diagonal/>
    </border>
    <border>
      <left style="medium">
        <color rgb="FF000000"/>
      </left>
      <right style="medium">
        <color rgb="FF000000"/>
      </right>
      <top/>
      <bottom style="thin">
        <color indexed="64"/>
      </bottom>
      <diagonal/>
    </border>
    <border>
      <left style="medium">
        <color indexed="64"/>
      </left>
      <right/>
      <top style="thin">
        <color indexed="64"/>
      </top>
      <bottom style="thin">
        <color indexed="64"/>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rgb="FF1F497D"/>
      </left>
      <right/>
      <top style="thin">
        <color theme="0" tint="-0.24994659260841701"/>
      </top>
      <bottom/>
      <diagonal/>
    </border>
    <border>
      <left/>
      <right style="medium">
        <color rgb="FF1F497D"/>
      </right>
      <top style="thin">
        <color theme="0" tint="-0.24994659260841701"/>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top style="medium">
        <color rgb="FF000000"/>
      </top>
      <bottom/>
      <diagonal/>
    </border>
    <border>
      <left style="medium">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style="medium">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rgb="FF000000"/>
      </right>
      <top/>
      <bottom style="thin">
        <color indexed="64"/>
      </bottom>
      <diagonal/>
    </border>
    <border>
      <left style="medium">
        <color rgb="FF000000"/>
      </left>
      <right style="thin">
        <color indexed="64"/>
      </right>
      <top/>
      <bottom style="medium">
        <color rgb="FF000000"/>
      </bottom>
      <diagonal/>
    </border>
    <border>
      <left/>
      <right style="thin">
        <color indexed="64"/>
      </right>
      <top style="thin">
        <color indexed="64"/>
      </top>
      <bottom style="medium">
        <color indexed="64"/>
      </bottom>
      <diagonal/>
    </border>
    <border>
      <left style="medium">
        <color rgb="FF000000"/>
      </left>
      <right style="thin">
        <color indexed="64"/>
      </right>
      <top style="medium">
        <color rgb="FF000000"/>
      </top>
      <bottom style="medium">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bottom/>
      <diagonal/>
    </border>
    <border>
      <left/>
      <right/>
      <top style="medium">
        <color rgb="FFBFBFBF"/>
      </top>
      <bottom style="medium">
        <color rgb="FFBFBFBF"/>
      </bottom>
      <diagonal/>
    </border>
    <border>
      <left/>
      <right/>
      <top/>
      <bottom style="medium">
        <color rgb="FFBFBFBF"/>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1F497D"/>
      </right>
      <top style="thin">
        <color rgb="FF000000"/>
      </top>
      <bottom style="thin">
        <color rgb="FF1F497D"/>
      </bottom>
      <diagonal/>
    </border>
    <border>
      <left style="thin">
        <color rgb="FF000000"/>
      </left>
      <right style="thin">
        <color rgb="FF1F497D"/>
      </right>
      <top style="thin">
        <color rgb="FF1F497D"/>
      </top>
      <bottom style="thin">
        <color rgb="FF1F497D"/>
      </bottom>
      <diagonal/>
    </border>
    <border>
      <left style="thin">
        <color rgb="FF000000"/>
      </left>
      <right style="thin">
        <color rgb="FF1F497D"/>
      </right>
      <top style="thin">
        <color rgb="FF1F497D"/>
      </top>
      <bottom style="thin">
        <color rgb="FF000000"/>
      </bottom>
      <diagonal/>
    </border>
    <border>
      <left style="thin">
        <color rgb="FF1F497D"/>
      </left>
      <right/>
      <top style="thin">
        <color rgb="FF1F497D"/>
      </top>
      <bottom style="thin">
        <color rgb="FF000000"/>
      </bottom>
      <diagonal/>
    </border>
    <border>
      <left style="medium">
        <color rgb="FF000000"/>
      </left>
      <right style="medium">
        <color theme="3"/>
      </right>
      <top style="thin">
        <color theme="0" tint="-0.499984740745262"/>
      </top>
      <bottom/>
      <diagonal/>
    </border>
    <border>
      <left style="medium">
        <color theme="3"/>
      </left>
      <right style="medium">
        <color rgb="FF000000"/>
      </right>
      <top style="thin">
        <color theme="0" tint="-0.499984740745262"/>
      </top>
      <bottom/>
      <diagonal/>
    </border>
    <border>
      <left style="medium">
        <color rgb="FF000000"/>
      </left>
      <right/>
      <top style="medium">
        <color rgb="FF1F497D"/>
      </top>
      <bottom style="thin">
        <color theme="0" tint="-0.24994659260841701"/>
      </bottom>
      <diagonal/>
    </border>
    <border>
      <left style="medium">
        <color rgb="FF1F497D"/>
      </left>
      <right style="medium">
        <color rgb="FF000000"/>
      </right>
      <top style="medium">
        <color rgb="FF1F497D"/>
      </top>
      <bottom style="thin">
        <color theme="0" tint="-0.24994659260841701"/>
      </bottom>
      <diagonal/>
    </border>
    <border>
      <left style="medium">
        <color rgb="FF000000"/>
      </left>
      <right/>
      <top style="thin">
        <color theme="0" tint="-0.24994659260841701"/>
      </top>
      <bottom style="thin">
        <color theme="0" tint="-0.24994659260841701"/>
      </bottom>
      <diagonal/>
    </border>
    <border>
      <left style="medium">
        <color rgb="FF000000"/>
      </left>
      <right/>
      <top style="medium">
        <color rgb="FF1F497D"/>
      </top>
      <bottom style="medium">
        <color rgb="FF000000"/>
      </bottom>
      <diagonal/>
    </border>
    <border>
      <left style="medium">
        <color rgb="FF000000"/>
      </left>
      <right/>
      <top style="medium">
        <color rgb="FF000000"/>
      </top>
      <bottom style="thin">
        <color theme="0" tint="-0.499984740745262"/>
      </bottom>
      <diagonal/>
    </border>
    <border>
      <left/>
      <right style="medium">
        <color rgb="FF000000"/>
      </right>
      <top style="medium">
        <color rgb="FF000000"/>
      </top>
      <bottom style="thin">
        <color theme="0" tint="-0.499984740745262"/>
      </bottom>
      <diagonal/>
    </border>
    <border>
      <left/>
      <right style="medium">
        <color rgb="FF1F497D"/>
      </right>
      <top style="medium">
        <color theme="0" tint="-0.24994659260841701"/>
      </top>
      <bottom/>
      <diagonal/>
    </border>
    <border>
      <left/>
      <right style="medium">
        <color rgb="FF1F497D"/>
      </right>
      <top style="medium">
        <color theme="0" tint="-0.24994659260841701"/>
      </top>
      <bottom style="medium">
        <color rgb="FF1F497D"/>
      </bottom>
      <diagonal/>
    </border>
    <border>
      <left style="medium">
        <color theme="1" tint="0.24994659260841701"/>
      </left>
      <right style="medium">
        <color theme="1" tint="0.24994659260841701"/>
      </right>
      <top style="medium">
        <color theme="1" tint="0.24994659260841701"/>
      </top>
      <bottom/>
      <diagonal/>
    </border>
    <border>
      <left style="medium">
        <color theme="1" tint="0.24994659260841701"/>
      </left>
      <right style="medium">
        <color theme="1" tint="0.24994659260841701"/>
      </right>
      <top/>
      <bottom style="medium">
        <color theme="1" tint="0.24994659260841701"/>
      </bottom>
      <diagonal/>
    </border>
    <border>
      <left style="medium">
        <color rgb="FF404040"/>
      </left>
      <right style="medium">
        <color rgb="FF404040"/>
      </right>
      <top style="medium">
        <color rgb="FF404040"/>
      </top>
      <bottom style="medium">
        <color rgb="FF404040"/>
      </bottom>
      <diagonal/>
    </border>
    <border>
      <left style="medium">
        <color rgb="FF404040"/>
      </left>
      <right style="medium">
        <color rgb="FF404040"/>
      </right>
      <top/>
      <bottom style="medium">
        <color rgb="FF404040"/>
      </bottom>
      <diagonal/>
    </border>
    <border>
      <left/>
      <right style="medium">
        <color rgb="FF404040"/>
      </right>
      <top style="medium">
        <color rgb="FF404040"/>
      </top>
      <bottom style="medium">
        <color rgb="FF404040"/>
      </bottom>
      <diagonal/>
    </border>
    <border>
      <left/>
      <right style="medium">
        <color rgb="FF404040"/>
      </right>
      <top/>
      <bottom style="medium">
        <color rgb="FF404040"/>
      </bottom>
      <diagonal/>
    </border>
    <border>
      <left style="medium">
        <color rgb="FF000000"/>
      </left>
      <right style="thin">
        <color rgb="FF1F497D"/>
      </right>
      <top style="medium">
        <color rgb="FF000000"/>
      </top>
      <bottom style="thin">
        <color rgb="FF1F497D"/>
      </bottom>
      <diagonal/>
    </border>
    <border>
      <left style="thin">
        <color rgb="FF1F497D"/>
      </left>
      <right style="medium">
        <color rgb="FF000000"/>
      </right>
      <top style="medium">
        <color rgb="FF000000"/>
      </top>
      <bottom style="thin">
        <color rgb="FF1F497D"/>
      </bottom>
      <diagonal/>
    </border>
    <border>
      <left style="medium">
        <color rgb="FF000000"/>
      </left>
      <right/>
      <top style="thin">
        <color rgb="FF1F497D"/>
      </top>
      <bottom style="thin">
        <color rgb="FF1F497D"/>
      </bottom>
      <diagonal/>
    </border>
    <border>
      <left/>
      <right style="medium">
        <color rgb="FF000000"/>
      </right>
      <top style="thin">
        <color rgb="FF1F497D"/>
      </top>
      <bottom style="thin">
        <color rgb="FF1F497D"/>
      </bottom>
      <diagonal/>
    </border>
    <border>
      <left style="medium">
        <color rgb="FF000000"/>
      </left>
      <right/>
      <top style="thin">
        <color rgb="FF1F497D"/>
      </top>
      <bottom style="medium">
        <color rgb="FF000000"/>
      </bottom>
      <diagonal/>
    </border>
    <border>
      <left/>
      <right style="medium">
        <color rgb="FF000000"/>
      </right>
      <top style="thin">
        <color rgb="FF1F497D"/>
      </top>
      <bottom style="medium">
        <color rgb="FF000000"/>
      </bottom>
      <diagonal/>
    </border>
    <border>
      <left style="thin">
        <color rgb="FF1F497D"/>
      </left>
      <right/>
      <top style="thin">
        <color rgb="FF000000"/>
      </top>
      <bottom style="thin">
        <color rgb="FF1F497D"/>
      </bottom>
      <diagonal/>
    </border>
    <border>
      <left style="medium">
        <color rgb="FF000000"/>
      </left>
      <right/>
      <top style="medium">
        <color rgb="FF000000"/>
      </top>
      <bottom style="medium">
        <color rgb="FF1F497D"/>
      </bottom>
      <diagonal/>
    </border>
    <border>
      <left style="medium">
        <color rgb="FF1F497D"/>
      </left>
      <right/>
      <top style="medium">
        <color rgb="FF000000"/>
      </top>
      <bottom style="medium">
        <color rgb="FF1F497D"/>
      </bottom>
      <diagonal/>
    </border>
    <border>
      <left/>
      <right/>
      <top style="medium">
        <color rgb="FF000000"/>
      </top>
      <bottom style="medium">
        <color rgb="FF1F497D"/>
      </bottom>
      <diagonal/>
    </border>
    <border>
      <left/>
      <right style="medium">
        <color rgb="FF000000"/>
      </right>
      <top style="medium">
        <color rgb="FF000000"/>
      </top>
      <bottom style="medium">
        <color rgb="FF1F497D"/>
      </bottom>
      <diagonal/>
    </border>
    <border>
      <left style="medium">
        <color rgb="FF000000"/>
      </left>
      <right/>
      <top style="medium">
        <color rgb="FF1F497D"/>
      </top>
      <bottom style="medium">
        <color theme="0" tint="-0.24994659260841701"/>
      </bottom>
      <diagonal/>
    </border>
    <border>
      <left/>
      <right style="medium">
        <color rgb="FF000000"/>
      </right>
      <top style="medium">
        <color rgb="FF1F497D"/>
      </top>
      <bottom style="medium">
        <color theme="0" tint="-0.24994659260841701"/>
      </bottom>
      <diagonal/>
    </border>
    <border>
      <left style="medium">
        <color rgb="FF000000"/>
      </left>
      <right/>
      <top style="medium">
        <color theme="0" tint="-0.24994659260841701"/>
      </top>
      <bottom style="medium">
        <color theme="0" tint="-0.24994659260841701"/>
      </bottom>
      <diagonal/>
    </border>
    <border>
      <left/>
      <right style="medium">
        <color rgb="FF000000"/>
      </right>
      <top style="medium">
        <color theme="0" tint="-0.24994659260841701"/>
      </top>
      <bottom style="medium">
        <color theme="0" tint="-0.24994659260841701"/>
      </bottom>
      <diagonal/>
    </border>
    <border>
      <left style="medium">
        <color rgb="FF000000"/>
      </left>
      <right/>
      <top style="medium">
        <color theme="0" tint="-0.24994659260841701"/>
      </top>
      <bottom style="medium">
        <color rgb="FF000000"/>
      </bottom>
      <diagonal/>
    </border>
    <border>
      <left/>
      <right/>
      <top style="medium">
        <color theme="0" tint="-0.24994659260841701"/>
      </top>
      <bottom style="medium">
        <color rgb="FF000000"/>
      </bottom>
      <diagonal/>
    </border>
    <border>
      <left/>
      <right style="medium">
        <color rgb="FF000000"/>
      </right>
      <top style="medium">
        <color theme="0" tint="-0.24994659260841701"/>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rgb="FF000000"/>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rgb="FF000000"/>
      </left>
      <right style="medium">
        <color indexed="64"/>
      </right>
      <top/>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style="medium">
        <color rgb="FF000000"/>
      </top>
      <bottom style="medium">
        <color indexed="64"/>
      </bottom>
      <diagonal/>
    </border>
  </borders>
  <cellStyleXfs count="33">
    <xf numFmtId="0" fontId="0" fillId="0" borderId="0"/>
    <xf numFmtId="0" fontId="16" fillId="2" borderId="1" applyNumberFormat="0" applyProtection="0">
      <alignment horizontal="left" vertical="center" readingOrder="1"/>
    </xf>
    <xf numFmtId="0" fontId="17" fillId="2" borderId="2">
      <alignment horizontal="left"/>
    </xf>
    <xf numFmtId="0" fontId="17" fillId="2" borderId="3">
      <alignment horizontal="right"/>
    </xf>
    <xf numFmtId="0" fontId="17" fillId="2" borderId="3">
      <alignment horizontal="left"/>
    </xf>
    <xf numFmtId="3" fontId="18" fillId="3" borderId="4">
      <alignment horizontal="right"/>
    </xf>
    <xf numFmtId="170" fontId="11" fillId="3" borderId="4">
      <alignment horizontal="right"/>
    </xf>
    <xf numFmtId="4" fontId="11" fillId="3" borderId="4">
      <alignment horizontal="right"/>
    </xf>
    <xf numFmtId="0" fontId="18" fillId="3" borderId="6"/>
    <xf numFmtId="0" fontId="19" fillId="3" borderId="6"/>
    <xf numFmtId="0" fontId="10" fillId="0" borderId="0" applyNumberFormat="0" applyFill="0" applyBorder="0" applyAlignment="0" applyProtection="0">
      <alignment vertical="top"/>
      <protection locked="0"/>
    </xf>
    <xf numFmtId="165" fontId="21" fillId="0" borderId="0" applyFont="0" applyFill="0" applyBorder="0" applyAlignment="0" applyProtection="0"/>
    <xf numFmtId="165" fontId="12" fillId="0" borderId="0" applyFont="0" applyFill="0" applyBorder="0" applyAlignment="0" applyProtection="0"/>
    <xf numFmtId="0" fontId="23" fillId="0" borderId="0"/>
    <xf numFmtId="0" fontId="12" fillId="0" borderId="0"/>
    <xf numFmtId="9" fontId="8" fillId="0" borderId="0" applyFont="0" applyFill="0" applyBorder="0" applyAlignment="0" applyProtection="0"/>
    <xf numFmtId="9" fontId="21" fillId="0" borderId="0" applyFont="0" applyFill="0" applyBorder="0" applyAlignment="0" applyProtection="0"/>
    <xf numFmtId="9" fontId="12" fillId="0" borderId="0" applyFont="0" applyFill="0" applyBorder="0" applyAlignment="0" applyProtection="0"/>
    <xf numFmtId="9" fontId="23" fillId="0" borderId="0" applyFont="0" applyFill="0" applyBorder="0" applyAlignment="0" applyProtection="0"/>
    <xf numFmtId="0" fontId="7" fillId="0" borderId="0"/>
    <xf numFmtId="0" fontId="7"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6" fillId="0" borderId="0"/>
    <xf numFmtId="9" fontId="6"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9" fontId="3" fillId="0" borderId="0" applyFont="0" applyFill="0" applyBorder="0" applyAlignment="0" applyProtection="0"/>
    <xf numFmtId="0" fontId="2" fillId="0" borderId="0"/>
  </cellStyleXfs>
  <cellXfs count="1979">
    <xf numFmtId="0" fontId="0" fillId="0" borderId="0" xfId="0"/>
    <xf numFmtId="0" fontId="0" fillId="0" borderId="0" xfId="0" applyAlignment="1">
      <alignment horizontal="center"/>
    </xf>
    <xf numFmtId="167" fontId="0" fillId="0" borderId="0" xfId="0" applyNumberFormat="1"/>
    <xf numFmtId="0" fontId="13" fillId="0" borderId="0" xfId="0" applyFont="1" applyAlignment="1">
      <alignment horizontal="center"/>
    </xf>
    <xf numFmtId="0" fontId="25" fillId="0" borderId="0" xfId="0" applyFont="1"/>
    <xf numFmtId="0" fontId="15" fillId="0" borderId="19" xfId="0" applyFont="1" applyBorder="1"/>
    <xf numFmtId="0" fontId="13" fillId="0" borderId="22" xfId="0" applyFont="1" applyBorder="1" applyAlignment="1">
      <alignment horizontal="center"/>
    </xf>
    <xf numFmtId="0" fontId="22" fillId="0" borderId="0" xfId="0" applyFont="1"/>
    <xf numFmtId="0" fontId="8" fillId="0" borderId="0" xfId="0" applyFont="1"/>
    <xf numFmtId="0" fontId="8" fillId="0" borderId="19" xfId="0" applyFont="1" applyBorder="1"/>
    <xf numFmtId="0" fontId="8" fillId="0" borderId="19" xfId="0" applyFont="1" applyBorder="1" applyAlignment="1">
      <alignment horizontal="left"/>
    </xf>
    <xf numFmtId="0" fontId="13" fillId="0" borderId="0" xfId="0" applyFont="1"/>
    <xf numFmtId="167" fontId="13" fillId="0" borderId="0" xfId="0" applyNumberFormat="1" applyFont="1" applyAlignment="1">
      <alignment horizontal="center"/>
    </xf>
    <xf numFmtId="9" fontId="13" fillId="0" borderId="0" xfId="15" applyFont="1"/>
    <xf numFmtId="9" fontId="8" fillId="7" borderId="19" xfId="15" applyFont="1" applyFill="1" applyBorder="1" applyAlignment="1">
      <alignment horizontal="center"/>
    </xf>
    <xf numFmtId="10" fontId="8" fillId="7" borderId="19" xfId="0" applyNumberFormat="1" applyFont="1" applyFill="1" applyBorder="1" applyAlignment="1">
      <alignment horizontal="center"/>
    </xf>
    <xf numFmtId="0" fontId="8" fillId="7" borderId="26" xfId="0" applyFont="1" applyFill="1" applyBorder="1" applyAlignment="1">
      <alignment horizontal="center" vertical="center"/>
    </xf>
    <xf numFmtId="0" fontId="25" fillId="7" borderId="0" xfId="0" applyFont="1" applyFill="1"/>
    <xf numFmtId="0" fontId="31" fillId="0" borderId="0" xfId="0" applyFont="1"/>
    <xf numFmtId="0" fontId="25" fillId="7" borderId="0" xfId="0" applyFont="1" applyFill="1" applyAlignment="1">
      <alignment horizontal="center"/>
    </xf>
    <xf numFmtId="0" fontId="33" fillId="0" borderId="0" xfId="0" applyFont="1"/>
    <xf numFmtId="3" fontId="33" fillId="0" borderId="0" xfId="0" applyNumberFormat="1" applyFont="1" applyAlignment="1">
      <alignment horizontal="center"/>
    </xf>
    <xf numFmtId="0" fontId="33" fillId="0" borderId="0" xfId="0" applyFont="1" applyAlignment="1">
      <alignment horizontal="left"/>
    </xf>
    <xf numFmtId="0" fontId="33" fillId="17" borderId="0" xfId="0" applyFont="1" applyFill="1"/>
    <xf numFmtId="3" fontId="33" fillId="17" borderId="0" xfId="0" applyNumberFormat="1" applyFont="1" applyFill="1" applyAlignment="1">
      <alignment horizontal="center"/>
    </xf>
    <xf numFmtId="0" fontId="0" fillId="11" borderId="0" xfId="0" applyFill="1"/>
    <xf numFmtId="3" fontId="33" fillId="0" borderId="0" xfId="0" applyNumberFormat="1" applyFont="1"/>
    <xf numFmtId="3" fontId="34" fillId="17" borderId="0" xfId="0" applyNumberFormat="1" applyFont="1" applyFill="1" applyAlignment="1">
      <alignment horizontal="center"/>
    </xf>
    <xf numFmtId="3" fontId="33" fillId="11" borderId="0" xfId="0" applyNumberFormat="1" applyFont="1" applyFill="1" applyAlignment="1">
      <alignment horizontal="center"/>
    </xf>
    <xf numFmtId="3" fontId="34" fillId="11" borderId="0" xfId="0" applyNumberFormat="1" applyFont="1" applyFill="1" applyAlignment="1">
      <alignment horizontal="center"/>
    </xf>
    <xf numFmtId="0" fontId="19" fillId="3" borderId="6" xfId="9"/>
    <xf numFmtId="0" fontId="0" fillId="18" borderId="0" xfId="0" applyFill="1"/>
    <xf numFmtId="3" fontId="22" fillId="0" borderId="0" xfId="0" applyNumberFormat="1" applyFont="1" applyAlignment="1">
      <alignment horizontal="center"/>
    </xf>
    <xf numFmtId="3" fontId="22" fillId="0" borderId="0" xfId="0" applyNumberFormat="1" applyFont="1"/>
    <xf numFmtId="0" fontId="0" fillId="19" borderId="0" xfId="0" applyFill="1"/>
    <xf numFmtId="3" fontId="22" fillId="17" borderId="0" xfId="0" applyNumberFormat="1" applyFont="1" applyFill="1" applyAlignment="1">
      <alignment horizontal="center"/>
    </xf>
    <xf numFmtId="0" fontId="22" fillId="17" borderId="0" xfId="0" applyFont="1" applyFill="1"/>
    <xf numFmtId="0" fontId="0" fillId="20" borderId="0" xfId="0" applyFill="1"/>
    <xf numFmtId="170" fontId="33" fillId="0" borderId="0" xfId="0" applyNumberFormat="1" applyFont="1" applyAlignment="1">
      <alignment horizontal="center"/>
    </xf>
    <xf numFmtId="9" fontId="0" fillId="7" borderId="19" xfId="15" applyFont="1" applyFill="1" applyBorder="1" applyAlignment="1">
      <alignment horizontal="center"/>
    </xf>
    <xf numFmtId="0" fontId="35" fillId="0" borderId="0" xfId="0" applyFont="1"/>
    <xf numFmtId="0" fontId="36" fillId="0" borderId="0" xfId="0" applyFont="1"/>
    <xf numFmtId="0" fontId="37" fillId="0" borderId="0" xfId="0" applyFont="1" applyAlignment="1">
      <alignment horizontal="center"/>
    </xf>
    <xf numFmtId="169" fontId="36" fillId="0" borderId="0" xfId="0" applyNumberFormat="1" applyFont="1" applyAlignment="1">
      <alignment horizontal="center"/>
    </xf>
    <xf numFmtId="0" fontId="38" fillId="0" borderId="0" xfId="0" applyFont="1"/>
    <xf numFmtId="0" fontId="39" fillId="0" borderId="0" xfId="0" applyFont="1"/>
    <xf numFmtId="0" fontId="0" fillId="0" borderId="12" xfId="0" applyBorder="1"/>
    <xf numFmtId="0" fontId="22" fillId="0" borderId="0" xfId="0" applyFont="1" applyAlignment="1">
      <alignment horizontal="center"/>
    </xf>
    <xf numFmtId="0" fontId="36" fillId="0" borderId="0" xfId="0" applyFont="1" applyAlignment="1">
      <alignment horizontal="center"/>
    </xf>
    <xf numFmtId="167" fontId="8" fillId="22" borderId="19" xfId="0" applyNumberFormat="1" applyFont="1" applyFill="1" applyBorder="1" applyAlignment="1">
      <alignment horizontal="center"/>
    </xf>
    <xf numFmtId="0" fontId="37" fillId="15" borderId="0" xfId="0" applyFont="1" applyFill="1" applyAlignment="1">
      <alignment horizontal="center"/>
    </xf>
    <xf numFmtId="3" fontId="0" fillId="23" borderId="1" xfId="0" applyNumberFormat="1" applyFill="1" applyBorder="1" applyAlignment="1">
      <alignment horizontal="center"/>
    </xf>
    <xf numFmtId="3" fontId="0" fillId="23" borderId="45" xfId="0" applyNumberFormat="1" applyFill="1" applyBorder="1" applyAlignment="1">
      <alignment horizontal="center"/>
    </xf>
    <xf numFmtId="168" fontId="13" fillId="24" borderId="1" xfId="15" applyNumberFormat="1" applyFont="1" applyFill="1" applyBorder="1" applyAlignment="1">
      <alignment horizontal="center"/>
    </xf>
    <xf numFmtId="168" fontId="13" fillId="24" borderId="45" xfId="15" applyNumberFormat="1" applyFont="1" applyFill="1" applyBorder="1" applyAlignment="1">
      <alignment horizontal="center"/>
    </xf>
    <xf numFmtId="3" fontId="0" fillId="23" borderId="1" xfId="15" applyNumberFormat="1" applyFont="1" applyFill="1" applyBorder="1" applyAlignment="1">
      <alignment horizontal="center"/>
    </xf>
    <xf numFmtId="3" fontId="0" fillId="23" borderId="45" xfId="15" applyNumberFormat="1" applyFont="1" applyFill="1" applyBorder="1" applyAlignment="1">
      <alignment horizontal="center"/>
    </xf>
    <xf numFmtId="3" fontId="13" fillId="25" borderId="1" xfId="15" applyNumberFormat="1" applyFont="1" applyFill="1" applyBorder="1" applyAlignment="1">
      <alignment horizontal="center"/>
    </xf>
    <xf numFmtId="3" fontId="0" fillId="0" borderId="0" xfId="0" applyNumberFormat="1" applyAlignment="1">
      <alignment horizontal="center"/>
    </xf>
    <xf numFmtId="170" fontId="33" fillId="17" borderId="0" xfId="0" applyNumberFormat="1" applyFont="1" applyFill="1" applyAlignment="1">
      <alignment horizontal="center"/>
    </xf>
    <xf numFmtId="9" fontId="33" fillId="0" borderId="0" xfId="15" applyFont="1" applyFill="1" applyAlignment="1">
      <alignment horizontal="center"/>
    </xf>
    <xf numFmtId="168" fontId="33" fillId="0" borderId="0" xfId="15" applyNumberFormat="1" applyFont="1" applyFill="1" applyAlignment="1">
      <alignment horizontal="center"/>
    </xf>
    <xf numFmtId="9" fontId="33" fillId="0" borderId="0" xfId="21" applyFont="1" applyFill="1" applyAlignment="1">
      <alignment horizontal="center"/>
    </xf>
    <xf numFmtId="171" fontId="8" fillId="22" borderId="19" xfId="0" applyNumberFormat="1" applyFont="1" applyFill="1" applyBorder="1" applyAlignment="1">
      <alignment horizontal="center"/>
    </xf>
    <xf numFmtId="168" fontId="31" fillId="22" borderId="19" xfId="15" applyNumberFormat="1" applyFont="1" applyFill="1" applyBorder="1" applyAlignment="1">
      <alignment horizontal="center"/>
    </xf>
    <xf numFmtId="0" fontId="13" fillId="0" borderId="37" xfId="0" applyFont="1" applyBorder="1"/>
    <xf numFmtId="0" fontId="17" fillId="4" borderId="8" xfId="4" applyFill="1" applyBorder="1" applyAlignment="1"/>
    <xf numFmtId="0" fontId="8" fillId="0" borderId="0" xfId="25"/>
    <xf numFmtId="0" fontId="26" fillId="4" borderId="7" xfId="25" applyFont="1" applyFill="1" applyBorder="1" applyAlignment="1">
      <alignment horizontal="center"/>
    </xf>
    <xf numFmtId="0" fontId="26" fillId="4" borderId="11" xfId="25" applyFont="1" applyFill="1" applyBorder="1" applyAlignment="1">
      <alignment horizontal="center"/>
    </xf>
    <xf numFmtId="0" fontId="28" fillId="3" borderId="10" xfId="9" applyFont="1" applyBorder="1"/>
    <xf numFmtId="0" fontId="8" fillId="0" borderId="0" xfId="25" applyAlignment="1">
      <alignment vertical="center"/>
    </xf>
    <xf numFmtId="0" fontId="28" fillId="3" borderId="13" xfId="9" applyFont="1" applyBorder="1"/>
    <xf numFmtId="0" fontId="28" fillId="0" borderId="10" xfId="9" applyFont="1" applyFill="1" applyBorder="1"/>
    <xf numFmtId="0" fontId="26" fillId="27" borderId="0" xfId="25" applyFont="1" applyFill="1" applyAlignment="1">
      <alignment horizontal="center" vertical="center"/>
    </xf>
    <xf numFmtId="0" fontId="27" fillId="0" borderId="9" xfId="8" applyFont="1" applyFill="1" applyBorder="1"/>
    <xf numFmtId="0" fontId="19" fillId="3" borderId="13" xfId="9" applyBorder="1"/>
    <xf numFmtId="0" fontId="19" fillId="3" borderId="10" xfId="9" applyBorder="1"/>
    <xf numFmtId="0" fontId="25" fillId="0" borderId="0" xfId="25" applyFont="1"/>
    <xf numFmtId="0" fontId="13" fillId="0" borderId="32" xfId="0" applyFont="1" applyBorder="1"/>
    <xf numFmtId="0" fontId="13" fillId="0" borderId="38" xfId="0" applyFont="1" applyBorder="1"/>
    <xf numFmtId="0" fontId="0" fillId="0" borderId="4" xfId="0" applyBorder="1"/>
    <xf numFmtId="0" fontId="0" fillId="0" borderId="6" xfId="0" applyBorder="1"/>
    <xf numFmtId="0" fontId="0" fillId="0" borderId="36" xfId="0" applyBorder="1"/>
    <xf numFmtId="0" fontId="0" fillId="0" borderId="2" xfId="0" applyBorder="1"/>
    <xf numFmtId="0" fontId="0" fillId="0" borderId="37" xfId="0" applyBorder="1"/>
    <xf numFmtId="0" fontId="0" fillId="0" borderId="32" xfId="0" applyBorder="1"/>
    <xf numFmtId="0" fontId="0" fillId="0" borderId="38" xfId="0" applyBorder="1"/>
    <xf numFmtId="0" fontId="13" fillId="0" borderId="44" xfId="0" applyFont="1" applyBorder="1"/>
    <xf numFmtId="0" fontId="13" fillId="0" borderId="1" xfId="0" applyFont="1" applyBorder="1"/>
    <xf numFmtId="0" fontId="13" fillId="0" borderId="45" xfId="0" applyFont="1" applyBorder="1"/>
    <xf numFmtId="0" fontId="0" fillId="7" borderId="0" xfId="0" applyFill="1"/>
    <xf numFmtId="0" fontId="33" fillId="17" borderId="0" xfId="0" applyFont="1" applyFill="1" applyAlignment="1">
      <alignment horizontal="left" indent="1"/>
    </xf>
    <xf numFmtId="170" fontId="33" fillId="17" borderId="0" xfId="0" applyNumberFormat="1" applyFont="1" applyFill="1" applyAlignment="1">
      <alignment horizontal="left" indent="1"/>
    </xf>
    <xf numFmtId="0" fontId="33" fillId="28" borderId="0" xfId="0" applyFont="1" applyFill="1" applyAlignment="1">
      <alignment horizontal="left" indent="1"/>
    </xf>
    <xf numFmtId="0" fontId="22" fillId="0" borderId="0" xfId="0" applyFont="1" applyAlignment="1">
      <alignment horizontal="left"/>
    </xf>
    <xf numFmtId="0" fontId="26" fillId="30" borderId="28" xfId="0" applyFont="1" applyFill="1" applyBorder="1" applyAlignment="1">
      <alignment horizontal="center"/>
    </xf>
    <xf numFmtId="0" fontId="26" fillId="30" borderId="25" xfId="0" applyFont="1" applyFill="1" applyBorder="1" applyAlignment="1">
      <alignment horizontal="center"/>
    </xf>
    <xf numFmtId="9" fontId="31" fillId="7" borderId="52" xfId="15" applyFont="1" applyFill="1" applyBorder="1" applyAlignment="1">
      <alignment horizontal="center"/>
    </xf>
    <xf numFmtId="9" fontId="8" fillId="7" borderId="52" xfId="15" applyFont="1" applyFill="1" applyBorder="1" applyAlignment="1">
      <alignment horizontal="center"/>
    </xf>
    <xf numFmtId="0" fontId="13" fillId="0" borderId="52" xfId="0" applyFont="1" applyBorder="1" applyAlignment="1">
      <alignment horizontal="center"/>
    </xf>
    <xf numFmtId="168" fontId="31" fillId="22" borderId="52" xfId="15" applyNumberFormat="1" applyFont="1" applyFill="1" applyBorder="1" applyAlignment="1">
      <alignment horizontal="center"/>
    </xf>
    <xf numFmtId="0" fontId="26" fillId="30" borderId="19" xfId="0" applyFont="1" applyFill="1" applyBorder="1" applyAlignment="1">
      <alignment horizontal="center" vertical="center" wrapText="1"/>
    </xf>
    <xf numFmtId="0" fontId="26" fillId="30" borderId="19" xfId="0" applyFont="1" applyFill="1" applyBorder="1" applyAlignment="1">
      <alignment horizontal="center"/>
    </xf>
    <xf numFmtId="0" fontId="26" fillId="30" borderId="23" xfId="0" applyFont="1" applyFill="1" applyBorder="1" applyAlignment="1">
      <alignment horizontal="center" vertical="center" wrapText="1"/>
    </xf>
    <xf numFmtId="0" fontId="8" fillId="7" borderId="19" xfId="0" applyFont="1" applyFill="1" applyBorder="1" applyAlignment="1">
      <alignment vertical="center" wrapText="1"/>
    </xf>
    <xf numFmtId="0" fontId="26" fillId="30" borderId="52" xfId="0" applyFont="1" applyFill="1" applyBorder="1" applyAlignment="1">
      <alignment horizontal="center"/>
    </xf>
    <xf numFmtId="3" fontId="8" fillId="0" borderId="0" xfId="0" applyNumberFormat="1" applyFont="1"/>
    <xf numFmtId="0" fontId="8" fillId="15" borderId="44" xfId="0" applyFont="1" applyFill="1" applyBorder="1"/>
    <xf numFmtId="0" fontId="8" fillId="0" borderId="44" xfId="0" applyFont="1" applyBorder="1" applyAlignment="1">
      <alignment horizontal="left" indent="1"/>
    </xf>
    <xf numFmtId="0" fontId="8" fillId="0" borderId="44" xfId="0" applyFont="1" applyBorder="1" applyAlignment="1">
      <alignment horizontal="left"/>
    </xf>
    <xf numFmtId="0" fontId="8" fillId="15" borderId="44" xfId="0" applyFont="1" applyFill="1" applyBorder="1" applyAlignment="1">
      <alignment horizontal="left" indent="1"/>
    </xf>
    <xf numFmtId="0" fontId="13" fillId="0" borderId="44" xfId="0" applyFont="1" applyBorder="1" applyAlignment="1">
      <alignment horizontal="left"/>
    </xf>
    <xf numFmtId="0" fontId="13" fillId="15" borderId="44" xfId="0" applyFont="1" applyFill="1" applyBorder="1"/>
    <xf numFmtId="0" fontId="8" fillId="0" borderId="44" xfId="0" applyFont="1" applyBorder="1"/>
    <xf numFmtId="172" fontId="8" fillId="22" borderId="19" xfId="0" applyNumberFormat="1" applyFont="1" applyFill="1" applyBorder="1" applyAlignment="1">
      <alignment horizontal="center"/>
    </xf>
    <xf numFmtId="9" fontId="8" fillId="22" borderId="19" xfId="15" applyFont="1" applyFill="1" applyBorder="1" applyAlignment="1">
      <alignment horizontal="center"/>
    </xf>
    <xf numFmtId="171" fontId="8" fillId="0" borderId="19" xfId="0" applyNumberFormat="1" applyFont="1" applyBorder="1" applyAlignment="1">
      <alignment horizontal="center"/>
    </xf>
    <xf numFmtId="167" fontId="8" fillId="6" borderId="19" xfId="0" applyNumberFormat="1" applyFont="1" applyFill="1" applyBorder="1" applyAlignment="1">
      <alignment horizontal="center"/>
    </xf>
    <xf numFmtId="4" fontId="8" fillId="6" borderId="19" xfId="0" applyNumberFormat="1" applyFont="1" applyFill="1" applyBorder="1" applyAlignment="1">
      <alignment horizontal="center"/>
    </xf>
    <xf numFmtId="9" fontId="31" fillId="6" borderId="52" xfId="15" applyFont="1" applyFill="1" applyBorder="1" applyAlignment="1">
      <alignment horizontal="center"/>
    </xf>
    <xf numFmtId="0" fontId="8" fillId="6" borderId="19" xfId="0" applyFont="1" applyFill="1" applyBorder="1"/>
    <xf numFmtId="9" fontId="8" fillId="6" borderId="19" xfId="15" applyFont="1" applyFill="1" applyBorder="1" applyAlignment="1">
      <alignment horizontal="center"/>
    </xf>
    <xf numFmtId="168" fontId="8" fillId="6" borderId="19" xfId="15" applyNumberFormat="1" applyFont="1" applyFill="1" applyBorder="1" applyAlignment="1">
      <alignment horizontal="center"/>
    </xf>
    <xf numFmtId="9" fontId="8" fillId="6" borderId="19" xfId="15" applyFont="1" applyFill="1" applyBorder="1"/>
    <xf numFmtId="172" fontId="31" fillId="7" borderId="52" xfId="15" applyNumberFormat="1" applyFont="1" applyFill="1" applyBorder="1" applyAlignment="1">
      <alignment horizontal="center"/>
    </xf>
    <xf numFmtId="172" fontId="8" fillId="7" borderId="52" xfId="0" applyNumberFormat="1" applyFont="1" applyFill="1" applyBorder="1" applyAlignment="1">
      <alignment horizontal="center"/>
    </xf>
    <xf numFmtId="0" fontId="45" fillId="30" borderId="52" xfId="0" applyFont="1" applyFill="1" applyBorder="1" applyAlignment="1">
      <alignment horizontal="center"/>
    </xf>
    <xf numFmtId="0" fontId="46" fillId="30" borderId="52" xfId="0" applyFont="1" applyFill="1" applyBorder="1" applyAlignment="1">
      <alignment horizontal="center"/>
    </xf>
    <xf numFmtId="167" fontId="13" fillId="22" borderId="19" xfId="0" applyNumberFormat="1" applyFont="1" applyFill="1" applyBorder="1" applyAlignment="1">
      <alignment horizontal="center"/>
    </xf>
    <xf numFmtId="0" fontId="13" fillId="12" borderId="12" xfId="0" applyFont="1" applyFill="1" applyBorder="1" applyAlignment="1">
      <alignment horizontal="center"/>
    </xf>
    <xf numFmtId="0" fontId="0" fillId="0" borderId="50" xfId="0" applyBorder="1"/>
    <xf numFmtId="0" fontId="0" fillId="0" borderId="71" xfId="0" applyBorder="1"/>
    <xf numFmtId="0" fontId="13" fillId="0" borderId="89" xfId="0" applyFont="1" applyBorder="1" applyAlignment="1">
      <alignment horizontal="left"/>
    </xf>
    <xf numFmtId="0" fontId="13" fillId="0" borderId="90" xfId="0" applyFont="1" applyBorder="1" applyAlignment="1">
      <alignment horizontal="left"/>
    </xf>
    <xf numFmtId="9" fontId="0" fillId="0" borderId="67" xfId="0" applyNumberFormat="1" applyBorder="1"/>
    <xf numFmtId="167" fontId="0" fillId="0" borderId="84" xfId="0" applyNumberFormat="1" applyBorder="1" applyAlignment="1">
      <alignment horizontal="center"/>
    </xf>
    <xf numFmtId="0" fontId="0" fillId="31" borderId="91" xfId="0" applyFill="1" applyBorder="1"/>
    <xf numFmtId="0" fontId="0" fillId="31" borderId="92" xfId="0" applyFill="1" applyBorder="1"/>
    <xf numFmtId="10" fontId="0" fillId="31" borderId="92" xfId="0" applyNumberFormat="1" applyFill="1" applyBorder="1"/>
    <xf numFmtId="0" fontId="13" fillId="7" borderId="39" xfId="0" applyFont="1" applyFill="1" applyBorder="1" applyAlignment="1">
      <alignment horizontal="center"/>
    </xf>
    <xf numFmtId="9" fontId="0" fillId="0" borderId="94" xfId="15" applyFont="1" applyBorder="1"/>
    <xf numFmtId="0" fontId="13" fillId="0" borderId="94" xfId="0" applyFont="1" applyBorder="1"/>
    <xf numFmtId="0" fontId="13" fillId="12" borderId="66" xfId="0" applyFont="1" applyFill="1" applyBorder="1" applyAlignment="1">
      <alignment horizontal="center"/>
    </xf>
    <xf numFmtId="9" fontId="13" fillId="12" borderId="66" xfId="15" applyFont="1" applyFill="1" applyBorder="1" applyAlignment="1">
      <alignment horizontal="center"/>
    </xf>
    <xf numFmtId="0" fontId="13" fillId="0" borderId="66" xfId="0" applyFont="1" applyBorder="1" applyAlignment="1">
      <alignment horizontal="center"/>
    </xf>
    <xf numFmtId="167" fontId="0" fillId="0" borderId="95" xfId="0" applyNumberFormat="1" applyBorder="1" applyAlignment="1">
      <alignment horizontal="center"/>
    </xf>
    <xf numFmtId="0" fontId="0" fillId="0" borderId="68" xfId="0" applyBorder="1"/>
    <xf numFmtId="0" fontId="10" fillId="0" borderId="69" xfId="10" applyBorder="1" applyAlignment="1" applyProtection="1">
      <alignment horizontal="center"/>
    </xf>
    <xf numFmtId="0" fontId="0" fillId="0" borderId="69" xfId="0" applyBorder="1" applyAlignment="1">
      <alignment horizontal="center"/>
    </xf>
    <xf numFmtId="0" fontId="0" fillId="0" borderId="69" xfId="0" applyBorder="1"/>
    <xf numFmtId="0" fontId="0" fillId="0" borderId="70" xfId="0" applyBorder="1"/>
    <xf numFmtId="0" fontId="0" fillId="0" borderId="51" xfId="0" applyBorder="1"/>
    <xf numFmtId="0" fontId="0" fillId="0" borderId="76" xfId="0" applyBorder="1"/>
    <xf numFmtId="9" fontId="0" fillId="0" borderId="0" xfId="0" applyNumberFormat="1"/>
    <xf numFmtId="0" fontId="13" fillId="12" borderId="93" xfId="0" applyFont="1" applyFill="1" applyBorder="1" applyAlignment="1">
      <alignment horizontal="center"/>
    </xf>
    <xf numFmtId="0" fontId="0" fillId="31" borderId="73" xfId="0" applyFill="1" applyBorder="1"/>
    <xf numFmtId="0" fontId="0" fillId="31" borderId="75" xfId="0" applyFill="1" applyBorder="1"/>
    <xf numFmtId="0" fontId="13" fillId="0" borderId="73" xfId="0" applyFont="1" applyBorder="1" applyAlignment="1">
      <alignment horizontal="center"/>
    </xf>
    <xf numFmtId="167" fontId="0" fillId="0" borderId="85" xfId="0" applyNumberFormat="1" applyBorder="1" applyAlignment="1">
      <alignment horizontal="center"/>
    </xf>
    <xf numFmtId="167" fontId="0" fillId="0" borderId="88" xfId="0" applyNumberFormat="1" applyBorder="1" applyAlignment="1">
      <alignment horizontal="center"/>
    </xf>
    <xf numFmtId="0" fontId="13" fillId="7" borderId="9" xfId="0" applyFont="1" applyFill="1" applyBorder="1" applyAlignment="1">
      <alignment horizontal="center"/>
    </xf>
    <xf numFmtId="172" fontId="0" fillId="0" borderId="98" xfId="0" applyNumberFormat="1" applyBorder="1" applyAlignment="1">
      <alignment horizontal="center"/>
    </xf>
    <xf numFmtId="172" fontId="0" fillId="0" borderId="100" xfId="0" applyNumberFormat="1" applyBorder="1" applyAlignment="1">
      <alignment horizontal="center"/>
    </xf>
    <xf numFmtId="0" fontId="0" fillId="29" borderId="74" xfId="0" applyFill="1" applyBorder="1"/>
    <xf numFmtId="0" fontId="26" fillId="29" borderId="74" xfId="0" applyFont="1" applyFill="1" applyBorder="1" applyAlignment="1">
      <alignment horizontal="left"/>
    </xf>
    <xf numFmtId="0" fontId="0" fillId="30" borderId="107" xfId="0" applyFill="1" applyBorder="1"/>
    <xf numFmtId="0" fontId="0" fillId="30" borderId="100" xfId="0" applyFill="1" applyBorder="1"/>
    <xf numFmtId="0" fontId="13" fillId="0" borderId="101" xfId="0" applyFont="1" applyBorder="1" applyAlignment="1">
      <alignment horizontal="left" vertical="center"/>
    </xf>
    <xf numFmtId="0" fontId="44" fillId="4" borderId="73" xfId="0" applyFont="1" applyFill="1" applyBorder="1" applyAlignment="1">
      <alignment horizontal="left" vertical="center"/>
    </xf>
    <xf numFmtId="0" fontId="44" fillId="29" borderId="73" xfId="0" applyFont="1" applyFill="1" applyBorder="1" applyAlignment="1">
      <alignment horizontal="left" vertical="center"/>
    </xf>
    <xf numFmtId="0" fontId="13" fillId="7" borderId="101" xfId="0" applyFont="1" applyFill="1" applyBorder="1" applyAlignment="1">
      <alignment horizontal="left" vertical="center"/>
    </xf>
    <xf numFmtId="0" fontId="13" fillId="7" borderId="103" xfId="0" applyFont="1" applyFill="1" applyBorder="1" applyAlignment="1">
      <alignment horizontal="left" vertical="center"/>
    </xf>
    <xf numFmtId="0" fontId="0" fillId="29" borderId="74" xfId="0" applyFill="1" applyBorder="1" applyAlignment="1">
      <alignment horizontal="center"/>
    </xf>
    <xf numFmtId="0" fontId="8" fillId="0" borderId="68" xfId="0" applyFont="1" applyBorder="1"/>
    <xf numFmtId="172" fontId="0" fillId="22" borderId="100" xfId="0" applyNumberFormat="1" applyFill="1" applyBorder="1" applyAlignment="1">
      <alignment horizontal="center"/>
    </xf>
    <xf numFmtId="0" fontId="28" fillId="0" borderId="10" xfId="25" applyFont="1" applyBorder="1" applyAlignment="1">
      <alignment horizontal="center"/>
    </xf>
    <xf numFmtId="0" fontId="28" fillId="0" borderId="16" xfId="25" applyFont="1" applyBorder="1" applyAlignment="1">
      <alignment horizontal="center"/>
    </xf>
    <xf numFmtId="0" fontId="28" fillId="0" borderId="10" xfId="25" applyFont="1" applyBorder="1" applyAlignment="1">
      <alignment horizontal="center" vertical="center"/>
    </xf>
    <xf numFmtId="0" fontId="28" fillId="0" borderId="16" xfId="25" applyFont="1" applyBorder="1" applyAlignment="1">
      <alignment horizontal="center" vertical="center"/>
    </xf>
    <xf numFmtId="0" fontId="28" fillId="0" borderId="14" xfId="25" applyFont="1" applyBorder="1" applyAlignment="1">
      <alignment horizontal="center"/>
    </xf>
    <xf numFmtId="0" fontId="28" fillId="0" borderId="17" xfId="25" applyFont="1" applyBorder="1" applyAlignment="1">
      <alignment horizontal="center"/>
    </xf>
    <xf numFmtId="0" fontId="48" fillId="4" borderId="109" xfId="4" applyFont="1" applyFill="1" applyBorder="1" applyAlignment="1">
      <alignment horizontal="center" vertical="center"/>
    </xf>
    <xf numFmtId="0" fontId="48" fillId="4" borderId="109" xfId="3" applyFont="1" applyFill="1" applyBorder="1" applyAlignment="1">
      <alignment horizontal="center" vertical="center" wrapText="1"/>
    </xf>
    <xf numFmtId="0" fontId="48" fillId="4" borderId="109" xfId="3" applyFont="1" applyFill="1" applyBorder="1" applyAlignment="1">
      <alignment horizontal="center" vertical="center"/>
    </xf>
    <xf numFmtId="0" fontId="8" fillId="3" borderId="109" xfId="9" applyFont="1" applyBorder="1" applyAlignment="1">
      <alignment horizontal="center" vertical="center"/>
    </xf>
    <xf numFmtId="170" fontId="8" fillId="7" borderId="109" xfId="6" applyFont="1" applyFill="1" applyBorder="1" applyAlignment="1">
      <alignment horizontal="right" vertical="center" wrapText="1"/>
    </xf>
    <xf numFmtId="0" fontId="28" fillId="3" borderId="109" xfId="9" applyFont="1" applyBorder="1" applyAlignment="1">
      <alignment vertical="center"/>
    </xf>
    <xf numFmtId="170" fontId="8" fillId="3" borderId="109" xfId="6" applyFont="1" applyBorder="1" applyAlignment="1">
      <alignment horizontal="right" vertical="center" wrapText="1"/>
    </xf>
    <xf numFmtId="0" fontId="28" fillId="3" borderId="109" xfId="9" applyFont="1" applyBorder="1" applyAlignment="1">
      <alignment horizontal="center" vertical="center"/>
    </xf>
    <xf numFmtId="3" fontId="13" fillId="32" borderId="111" xfId="5" applyFont="1" applyFill="1" applyBorder="1" applyAlignment="1">
      <alignment horizontal="center" vertical="center"/>
    </xf>
    <xf numFmtId="0" fontId="13" fillId="0" borderId="0" xfId="25" applyFont="1" applyAlignment="1">
      <alignment vertical="center"/>
    </xf>
    <xf numFmtId="0" fontId="8" fillId="11" borderId="0" xfId="25" applyFill="1" applyAlignment="1">
      <alignment vertical="center"/>
    </xf>
    <xf numFmtId="0" fontId="27" fillId="0" borderId="109" xfId="8" applyFont="1" applyFill="1" applyBorder="1" applyAlignment="1">
      <alignment horizontal="center" vertical="center"/>
    </xf>
    <xf numFmtId="3" fontId="49" fillId="32" borderId="110" xfId="5" applyFont="1" applyFill="1" applyBorder="1" applyAlignment="1">
      <alignment horizontal="right" vertical="center"/>
    </xf>
    <xf numFmtId="3" fontId="49" fillId="32" borderId="111" xfId="5" applyFont="1" applyFill="1" applyBorder="1" applyAlignment="1">
      <alignment horizontal="right" vertical="center"/>
    </xf>
    <xf numFmtId="3" fontId="49" fillId="32" borderId="112" xfId="5" applyFont="1" applyFill="1" applyBorder="1" applyAlignment="1">
      <alignment horizontal="right" vertical="center"/>
    </xf>
    <xf numFmtId="170" fontId="8" fillId="3" borderId="109" xfId="6" applyFont="1" applyBorder="1" applyAlignment="1">
      <alignment horizontal="center" vertical="center"/>
    </xf>
    <xf numFmtId="4" fontId="30" fillId="0" borderId="109" xfId="7" applyFont="1" applyFill="1" applyBorder="1" applyAlignment="1">
      <alignment horizontal="right" vertical="center"/>
    </xf>
    <xf numFmtId="0" fontId="0" fillId="32" borderId="111" xfId="0" applyFill="1" applyBorder="1" applyAlignment="1">
      <alignment horizontal="center" vertical="center"/>
    </xf>
    <xf numFmtId="4" fontId="8" fillId="32" borderId="111" xfId="7" applyFont="1" applyFill="1" applyBorder="1" applyAlignment="1">
      <alignment horizontal="right" vertical="center"/>
    </xf>
    <xf numFmtId="3" fontId="13" fillId="32" borderId="112" xfId="5" applyFont="1" applyFill="1" applyBorder="1" applyAlignment="1">
      <alignment horizontal="right" vertical="center" wrapText="1"/>
    </xf>
    <xf numFmtId="4" fontId="8" fillId="7" borderId="109" xfId="7" applyFont="1" applyFill="1" applyBorder="1" applyAlignment="1">
      <alignment horizontal="right" vertical="center" wrapText="1"/>
    </xf>
    <xf numFmtId="4" fontId="8" fillId="3" borderId="109" xfId="7" applyFont="1" applyBorder="1" applyAlignment="1">
      <alignment horizontal="center" vertical="center"/>
    </xf>
    <xf numFmtId="4" fontId="8" fillId="3" borderId="109" xfId="7" applyFont="1" applyBorder="1" applyAlignment="1">
      <alignment horizontal="right" vertical="center" wrapText="1"/>
    </xf>
    <xf numFmtId="0" fontId="28" fillId="0" borderId="109" xfId="9" applyFont="1" applyFill="1" applyBorder="1" applyAlignment="1">
      <alignment vertical="center"/>
    </xf>
    <xf numFmtId="0" fontId="8" fillId="0" borderId="109" xfId="9" applyFont="1" applyFill="1" applyBorder="1" applyAlignment="1">
      <alignment horizontal="center" vertical="center"/>
    </xf>
    <xf numFmtId="0" fontId="8" fillId="0" borderId="109" xfId="26" applyFont="1" applyBorder="1" applyAlignment="1">
      <alignment horizontal="right" vertical="center" wrapText="1"/>
    </xf>
    <xf numFmtId="3" fontId="13" fillId="32" borderId="110" xfId="5" applyFont="1" applyFill="1" applyBorder="1" applyAlignment="1">
      <alignment horizontal="right" vertical="center"/>
    </xf>
    <xf numFmtId="4" fontId="8" fillId="5" borderId="109" xfId="7" applyFont="1" applyFill="1" applyBorder="1" applyAlignment="1">
      <alignment horizontal="right" vertical="center"/>
    </xf>
    <xf numFmtId="4" fontId="8" fillId="5" borderId="109" xfId="7" applyFont="1" applyFill="1" applyBorder="1" applyAlignment="1">
      <alignment horizontal="center" vertical="center"/>
    </xf>
    <xf numFmtId="0" fontId="28" fillId="3" borderId="109" xfId="9" applyFont="1" applyBorder="1" applyAlignment="1">
      <alignment vertical="center" wrapText="1"/>
    </xf>
    <xf numFmtId="4" fontId="8" fillId="0" borderId="109" xfId="7" applyFont="1" applyFill="1" applyBorder="1" applyAlignment="1">
      <alignment horizontal="center" vertical="center"/>
    </xf>
    <xf numFmtId="0" fontId="48" fillId="30" borderId="109" xfId="3" applyFont="1" applyFill="1" applyBorder="1" applyAlignment="1">
      <alignment horizontal="center" vertical="center" wrapText="1"/>
    </xf>
    <xf numFmtId="0" fontId="8" fillId="0" borderId="109" xfId="25" applyBorder="1"/>
    <xf numFmtId="0" fontId="8" fillId="0" borderId="109" xfId="25" applyBorder="1" applyAlignment="1">
      <alignment vertical="center"/>
    </xf>
    <xf numFmtId="0" fontId="33" fillId="11" borderId="109" xfId="25" applyFont="1" applyFill="1" applyBorder="1" applyAlignment="1">
      <alignment horizontal="center" vertical="center"/>
    </xf>
    <xf numFmtId="0" fontId="51" fillId="0" borderId="0" xfId="0" applyFont="1"/>
    <xf numFmtId="0" fontId="53" fillId="0" borderId="0" xfId="0" applyFont="1"/>
    <xf numFmtId="0" fontId="13" fillId="0" borderId="38" xfId="0" applyFont="1" applyBorder="1" applyAlignment="1">
      <alignment horizontal="center"/>
    </xf>
    <xf numFmtId="0" fontId="13" fillId="0" borderId="36" xfId="0" applyFont="1" applyBorder="1" applyAlignment="1">
      <alignment horizontal="center"/>
    </xf>
    <xf numFmtId="0" fontId="53" fillId="0" borderId="38" xfId="0" applyFont="1" applyBorder="1" applyAlignment="1">
      <alignment horizontal="center"/>
    </xf>
    <xf numFmtId="0" fontId="53" fillId="0" borderId="36" xfId="0" applyFont="1" applyBorder="1" applyAlignment="1">
      <alignment horizontal="center"/>
    </xf>
    <xf numFmtId="0" fontId="53" fillId="0" borderId="32" xfId="0" applyFont="1" applyBorder="1"/>
    <xf numFmtId="0" fontId="53" fillId="0" borderId="114" xfId="0" applyFont="1" applyBorder="1" applyAlignment="1">
      <alignment horizontal="center" vertical="center"/>
    </xf>
    <xf numFmtId="0" fontId="53" fillId="0" borderId="118" xfId="0" applyFont="1" applyBorder="1" applyAlignment="1">
      <alignment horizontal="center" vertical="center"/>
    </xf>
    <xf numFmtId="0" fontId="13" fillId="11" borderId="121" xfId="0" applyFont="1" applyFill="1" applyBorder="1" applyAlignment="1">
      <alignment horizontal="center"/>
    </xf>
    <xf numFmtId="0" fontId="53" fillId="11" borderId="121" xfId="0" applyFont="1" applyFill="1" applyBorder="1"/>
    <xf numFmtId="0" fontId="53" fillId="11" borderId="127" xfId="0" applyFont="1" applyFill="1" applyBorder="1"/>
    <xf numFmtId="0" fontId="51" fillId="11" borderId="127" xfId="0" applyFont="1" applyFill="1" applyBorder="1"/>
    <xf numFmtId="10" fontId="0" fillId="0" borderId="124" xfId="0" applyNumberFormat="1" applyBorder="1" applyAlignment="1">
      <alignment horizontal="center" vertical="center"/>
    </xf>
    <xf numFmtId="10" fontId="0" fillId="0" borderId="128" xfId="0" applyNumberFormat="1" applyBorder="1" applyAlignment="1">
      <alignment horizontal="center" vertical="center"/>
    </xf>
    <xf numFmtId="10" fontId="0" fillId="0" borderId="129" xfId="0" applyNumberFormat="1" applyBorder="1" applyAlignment="1">
      <alignment horizontal="center" vertical="center"/>
    </xf>
    <xf numFmtId="10" fontId="0" fillId="0" borderId="130" xfId="0" applyNumberFormat="1" applyBorder="1" applyAlignment="1">
      <alignment horizontal="center" vertical="center"/>
    </xf>
    <xf numFmtId="0" fontId="53" fillId="0" borderId="131" xfId="0" applyFont="1" applyBorder="1" applyAlignment="1">
      <alignment horizontal="center" vertical="center"/>
    </xf>
    <xf numFmtId="0" fontId="53" fillId="0" borderId="132" xfId="0" applyFont="1" applyBorder="1" applyAlignment="1">
      <alignment horizontal="center" vertical="center"/>
    </xf>
    <xf numFmtId="0" fontId="26" fillId="4" borderId="8" xfId="25" applyFont="1" applyFill="1" applyBorder="1" applyAlignment="1">
      <alignment horizontal="center"/>
    </xf>
    <xf numFmtId="0" fontId="51" fillId="7" borderId="0" xfId="0" applyFont="1" applyFill="1"/>
    <xf numFmtId="0" fontId="55" fillId="40" borderId="0" xfId="0" applyFont="1" applyFill="1"/>
    <xf numFmtId="0" fontId="8" fillId="35" borderId="32" xfId="0" applyFont="1" applyFill="1" applyBorder="1"/>
    <xf numFmtId="0" fontId="53" fillId="0" borderId="137" xfId="0" applyFont="1" applyBorder="1" applyAlignment="1">
      <alignment horizontal="center"/>
    </xf>
    <xf numFmtId="0" fontId="51" fillId="11" borderId="138" xfId="0" applyFont="1" applyFill="1" applyBorder="1" applyAlignment="1">
      <alignment horizontal="center"/>
    </xf>
    <xf numFmtId="0" fontId="8" fillId="37" borderId="138" xfId="0" applyFont="1" applyFill="1" applyBorder="1"/>
    <xf numFmtId="0" fontId="8" fillId="37" borderId="0" xfId="0" applyFont="1" applyFill="1"/>
    <xf numFmtId="0" fontId="13" fillId="39" borderId="32" xfId="0" quotePrefix="1" applyFont="1" applyFill="1" applyBorder="1"/>
    <xf numFmtId="0" fontId="13" fillId="39" borderId="0" xfId="0" quotePrefix="1" applyFont="1" applyFill="1"/>
    <xf numFmtId="0" fontId="51" fillId="37" borderId="0" xfId="0" applyFont="1" applyFill="1"/>
    <xf numFmtId="0" fontId="13" fillId="0" borderId="153" xfId="0" applyFont="1" applyBorder="1" applyAlignment="1">
      <alignment horizontal="center"/>
    </xf>
    <xf numFmtId="0" fontId="13" fillId="0" borderId="41" xfId="0" applyFont="1" applyBorder="1" applyAlignment="1">
      <alignment horizontal="center"/>
    </xf>
    <xf numFmtId="0" fontId="13" fillId="0" borderId="154" xfId="0" applyFont="1" applyBorder="1" applyAlignment="1">
      <alignment horizontal="center"/>
    </xf>
    <xf numFmtId="0" fontId="13" fillId="0" borderId="145" xfId="0" applyFont="1" applyBorder="1" applyAlignment="1">
      <alignment horizontal="center"/>
    </xf>
    <xf numFmtId="0" fontId="8" fillId="37" borderId="122" xfId="0" applyFont="1" applyFill="1" applyBorder="1"/>
    <xf numFmtId="14" fontId="13" fillId="0" borderId="21" xfId="0" applyNumberFormat="1" applyFont="1" applyBorder="1" applyAlignment="1">
      <alignment horizontal="center" vertical="center"/>
    </xf>
    <xf numFmtId="0" fontId="8" fillId="0" borderId="57" xfId="0" applyFont="1" applyBorder="1" applyAlignment="1">
      <alignment horizontal="center" vertical="center"/>
    </xf>
    <xf numFmtId="0" fontId="36" fillId="7" borderId="23" xfId="0" applyFont="1" applyFill="1" applyBorder="1" applyAlignment="1">
      <alignment horizontal="left" vertical="center" wrapText="1"/>
    </xf>
    <xf numFmtId="3" fontId="22" fillId="0" borderId="0" xfId="0" applyNumberFormat="1" applyFont="1" applyAlignment="1">
      <alignment horizontal="center" vertical="center"/>
    </xf>
    <xf numFmtId="3" fontId="33" fillId="17" borderId="0" xfId="0" applyNumberFormat="1" applyFont="1" applyFill="1" applyAlignment="1">
      <alignment horizontal="center" vertical="center"/>
    </xf>
    <xf numFmtId="168" fontId="31" fillId="41" borderId="148" xfId="29" applyNumberFormat="1" applyFont="1" applyFill="1" applyBorder="1" applyAlignment="1">
      <alignment horizontal="center" vertical="center"/>
    </xf>
    <xf numFmtId="0" fontId="56" fillId="0" borderId="148" xfId="0" applyFont="1" applyBorder="1" applyAlignment="1">
      <alignment horizontal="center" vertical="center"/>
    </xf>
    <xf numFmtId="0" fontId="56" fillId="0" borderId="150" xfId="0" applyFont="1" applyBorder="1" applyAlignment="1">
      <alignment horizontal="center" vertical="center"/>
    </xf>
    <xf numFmtId="0" fontId="56" fillId="0" borderId="46" xfId="0" applyFont="1" applyBorder="1" applyAlignment="1">
      <alignment horizontal="center" vertical="center"/>
    </xf>
    <xf numFmtId="0" fontId="56" fillId="39" borderId="46" xfId="0" applyFont="1" applyFill="1" applyBorder="1" applyAlignment="1">
      <alignment horizontal="center" vertical="center"/>
    </xf>
    <xf numFmtId="3" fontId="56" fillId="38" borderId="46" xfId="0" applyNumberFormat="1" applyFont="1" applyFill="1" applyBorder="1" applyAlignment="1">
      <alignment horizontal="center" vertical="center"/>
    </xf>
    <xf numFmtId="3" fontId="56" fillId="38" borderId="150" xfId="0" applyNumberFormat="1" applyFont="1" applyFill="1" applyBorder="1" applyAlignment="1">
      <alignment horizontal="center" vertical="center"/>
    </xf>
    <xf numFmtId="0" fontId="59" fillId="0" borderId="46" xfId="0" applyFont="1" applyBorder="1" applyAlignment="1">
      <alignment horizontal="center" vertical="center"/>
    </xf>
    <xf numFmtId="9" fontId="0" fillId="0" borderId="95" xfId="0" applyNumberFormat="1" applyBorder="1" applyAlignment="1">
      <alignment horizontal="center"/>
    </xf>
    <xf numFmtId="9" fontId="13" fillId="0" borderId="73" xfId="0" applyNumberFormat="1" applyFont="1" applyBorder="1" applyAlignment="1">
      <alignment horizontal="center"/>
    </xf>
    <xf numFmtId="9" fontId="13" fillId="0" borderId="74" xfId="0" applyNumberFormat="1" applyFont="1" applyBorder="1" applyAlignment="1">
      <alignment horizontal="center"/>
    </xf>
    <xf numFmtId="9" fontId="8" fillId="0" borderId="78" xfId="0" applyNumberFormat="1" applyFont="1" applyBorder="1" applyAlignment="1">
      <alignment horizontal="center"/>
    </xf>
    <xf numFmtId="9" fontId="8" fillId="0" borderId="83" xfId="0" applyNumberFormat="1" applyFont="1" applyBorder="1" applyAlignment="1">
      <alignment horizontal="center"/>
    </xf>
    <xf numFmtId="3" fontId="0" fillId="0" borderId="0" xfId="0" applyNumberFormat="1"/>
    <xf numFmtId="0" fontId="10" fillId="0" borderId="50" xfId="10" applyBorder="1" applyAlignment="1" applyProtection="1"/>
    <xf numFmtId="10" fontId="0" fillId="0" borderId="0" xfId="0" applyNumberFormat="1"/>
    <xf numFmtId="4" fontId="30" fillId="11" borderId="109" xfId="7" applyFont="1" applyFill="1" applyBorder="1" applyAlignment="1">
      <alignment horizontal="right" vertical="center"/>
    </xf>
    <xf numFmtId="4" fontId="8" fillId="0" borderId="0" xfId="7" applyFont="1" applyFill="1" applyBorder="1">
      <alignment horizontal="right"/>
    </xf>
    <xf numFmtId="4" fontId="30" fillId="0" borderId="0" xfId="7" applyFont="1" applyFill="1" applyBorder="1">
      <alignment horizontal="right"/>
    </xf>
    <xf numFmtId="4" fontId="30" fillId="8" borderId="109" xfId="7" applyFont="1" applyFill="1" applyBorder="1" applyAlignment="1">
      <alignment horizontal="right" vertical="center"/>
    </xf>
    <xf numFmtId="4" fontId="30" fillId="26" borderId="109" xfId="7" applyFont="1" applyFill="1" applyBorder="1" applyAlignment="1">
      <alignment horizontal="right" vertical="center"/>
    </xf>
    <xf numFmtId="4" fontId="24" fillId="11" borderId="109" xfId="7" applyFont="1" applyFill="1" applyBorder="1" applyAlignment="1">
      <alignment horizontal="right" vertical="center"/>
    </xf>
    <xf numFmtId="4" fontId="24" fillId="26" borderId="109" xfId="7" applyFont="1" applyFill="1" applyBorder="1" applyAlignment="1">
      <alignment horizontal="right" vertical="center"/>
    </xf>
    <xf numFmtId="1" fontId="51" fillId="38" borderId="38" xfId="0" applyNumberFormat="1" applyFont="1" applyFill="1" applyBorder="1" applyAlignment="1">
      <alignment horizontal="center" vertical="center"/>
    </xf>
    <xf numFmtId="4" fontId="5" fillId="0" borderId="46" xfId="28" applyNumberFormat="1" applyBorder="1" applyAlignment="1">
      <alignment horizontal="center"/>
    </xf>
    <xf numFmtId="0" fontId="25" fillId="0" borderId="0" xfId="0" applyFont="1" applyAlignment="1">
      <alignment horizontal="center"/>
    </xf>
    <xf numFmtId="0" fontId="63" fillId="0" borderId="0" xfId="0" applyFont="1"/>
    <xf numFmtId="0" fontId="0" fillId="0" borderId="46" xfId="0" applyBorder="1"/>
    <xf numFmtId="0" fontId="62" fillId="0" borderId="0" xfId="0" applyFont="1"/>
    <xf numFmtId="3" fontId="51" fillId="0" borderId="38" xfId="0" applyNumberFormat="1" applyFont="1" applyBorder="1" applyAlignment="1">
      <alignment horizontal="center" vertical="center"/>
    </xf>
    <xf numFmtId="0" fontId="51" fillId="0" borderId="38" xfId="0" applyFont="1" applyBorder="1" applyAlignment="1">
      <alignment horizontal="center" vertical="center"/>
    </xf>
    <xf numFmtId="3" fontId="8" fillId="7" borderId="15" xfId="0" applyNumberFormat="1" applyFont="1" applyFill="1" applyBorder="1" applyAlignment="1">
      <alignment horizontal="center"/>
    </xf>
    <xf numFmtId="3" fontId="59" fillId="0" borderId="46" xfId="0" applyNumberFormat="1" applyFont="1" applyBorder="1" applyAlignment="1">
      <alignment horizontal="center" vertical="center"/>
    </xf>
    <xf numFmtId="3" fontId="59" fillId="36" borderId="46" xfId="0" applyNumberFormat="1" applyFont="1" applyFill="1" applyBorder="1" applyAlignment="1">
      <alignment horizontal="center" vertical="center"/>
    </xf>
    <xf numFmtId="168" fontId="31" fillId="41" borderId="166" xfId="29" applyNumberFormat="1" applyFont="1" applyFill="1" applyBorder="1" applyAlignment="1">
      <alignment horizontal="center" vertical="center"/>
    </xf>
    <xf numFmtId="3" fontId="4" fillId="41" borderId="44" xfId="29" applyNumberFormat="1" applyFill="1" applyBorder="1" applyAlignment="1">
      <alignment horizontal="center" vertical="center"/>
    </xf>
    <xf numFmtId="3" fontId="59" fillId="0" borderId="44" xfId="0" applyNumberFormat="1" applyFont="1" applyBorder="1" applyAlignment="1">
      <alignment horizontal="center" vertical="center"/>
    </xf>
    <xf numFmtId="0" fontId="59" fillId="0" borderId="44" xfId="0" applyFont="1" applyBorder="1" applyAlignment="1">
      <alignment horizontal="center" vertical="center"/>
    </xf>
    <xf numFmtId="3" fontId="59" fillId="36" borderId="44" xfId="0" applyNumberFormat="1" applyFont="1" applyFill="1" applyBorder="1" applyAlignment="1">
      <alignment horizontal="center" vertical="center"/>
    </xf>
    <xf numFmtId="0" fontId="59" fillId="36" borderId="167" xfId="0" applyFont="1" applyFill="1" applyBorder="1" applyAlignment="1">
      <alignment horizontal="center" vertical="center"/>
    </xf>
    <xf numFmtId="1" fontId="51" fillId="0" borderId="46" xfId="0" applyNumberFormat="1" applyFont="1" applyBorder="1" applyAlignment="1">
      <alignment horizontal="center" vertical="center"/>
    </xf>
    <xf numFmtId="1" fontId="56" fillId="0" borderId="46" xfId="0" applyNumberFormat="1" applyFont="1" applyBorder="1" applyAlignment="1">
      <alignment horizontal="center" vertical="center"/>
    </xf>
    <xf numFmtId="1" fontId="51" fillId="0" borderId="150" xfId="0" applyNumberFormat="1" applyFont="1" applyBorder="1" applyAlignment="1">
      <alignment horizontal="center" vertical="center"/>
    </xf>
    <xf numFmtId="1" fontId="51" fillId="0" borderId="141" xfId="0" applyNumberFormat="1" applyFont="1" applyBorder="1" applyAlignment="1">
      <alignment horizontal="center" vertical="center"/>
    </xf>
    <xf numFmtId="1" fontId="56" fillId="0" borderId="150" xfId="0" applyNumberFormat="1" applyFont="1" applyBorder="1" applyAlignment="1">
      <alignment horizontal="center" vertical="center"/>
    </xf>
    <xf numFmtId="1" fontId="59" fillId="36" borderId="151" xfId="0" applyNumberFormat="1" applyFont="1" applyFill="1" applyBorder="1" applyAlignment="1">
      <alignment horizontal="center" vertical="center"/>
    </xf>
    <xf numFmtId="1" fontId="59" fillId="36" borderId="164" xfId="0" applyNumberFormat="1" applyFont="1" applyFill="1" applyBorder="1" applyAlignment="1">
      <alignment horizontal="center" vertical="center"/>
    </xf>
    <xf numFmtId="1" fontId="59" fillId="36" borderId="165" xfId="0" applyNumberFormat="1" applyFont="1" applyFill="1" applyBorder="1" applyAlignment="1">
      <alignment horizontal="center" vertical="center"/>
    </xf>
    <xf numFmtId="168" fontId="8" fillId="0" borderId="147" xfId="15" applyNumberFormat="1" applyFont="1" applyFill="1" applyBorder="1" applyAlignment="1">
      <alignment horizontal="center" vertical="center"/>
    </xf>
    <xf numFmtId="168" fontId="8" fillId="0" borderId="148" xfId="15" applyNumberFormat="1" applyFont="1" applyFill="1" applyBorder="1" applyAlignment="1">
      <alignment horizontal="center" vertical="center"/>
    </xf>
    <xf numFmtId="168" fontId="0" fillId="0" borderId="149" xfId="15" applyNumberFormat="1" applyFont="1" applyFill="1" applyBorder="1" applyAlignment="1">
      <alignment horizontal="center" vertical="center"/>
    </xf>
    <xf numFmtId="168" fontId="31" fillId="0" borderId="150" xfId="15" applyNumberFormat="1" applyFont="1" applyFill="1" applyBorder="1" applyAlignment="1">
      <alignment horizontal="center" vertical="center"/>
    </xf>
    <xf numFmtId="168" fontId="31" fillId="0" borderId="46" xfId="15" applyNumberFormat="1" applyFont="1" applyFill="1" applyBorder="1" applyAlignment="1">
      <alignment horizontal="center" vertical="center"/>
    </xf>
    <xf numFmtId="168" fontId="31" fillId="0" borderId="141" xfId="15" applyNumberFormat="1" applyFont="1" applyFill="1" applyBorder="1" applyAlignment="1">
      <alignment horizontal="center" vertical="center"/>
    </xf>
    <xf numFmtId="1" fontId="59" fillId="0" borderId="150" xfId="0" applyNumberFormat="1" applyFont="1" applyBorder="1" applyAlignment="1">
      <alignment horizontal="center" vertical="center"/>
    </xf>
    <xf numFmtId="1" fontId="59" fillId="0" borderId="46" xfId="0" applyNumberFormat="1" applyFont="1" applyBorder="1" applyAlignment="1">
      <alignment horizontal="center" vertical="center"/>
    </xf>
    <xf numFmtId="1" fontId="59" fillId="0" borderId="141" xfId="0" applyNumberFormat="1" applyFont="1" applyBorder="1" applyAlignment="1">
      <alignment horizontal="center" vertical="center"/>
    </xf>
    <xf numFmtId="1" fontId="56" fillId="39" borderId="46" xfId="0" applyNumberFormat="1" applyFont="1" applyFill="1" applyBorder="1" applyAlignment="1">
      <alignment horizontal="center" vertical="center"/>
    </xf>
    <xf numFmtId="1" fontId="56" fillId="39" borderId="150" xfId="0" applyNumberFormat="1" applyFont="1" applyFill="1" applyBorder="1" applyAlignment="1">
      <alignment horizontal="center" vertical="center"/>
    </xf>
    <xf numFmtId="1" fontId="51" fillId="38" borderId="46" xfId="0" applyNumberFormat="1" applyFont="1" applyFill="1" applyBorder="1" applyAlignment="1">
      <alignment horizontal="center" vertical="center"/>
    </xf>
    <xf numFmtId="1" fontId="51" fillId="38" borderId="147" xfId="0" applyNumberFormat="1" applyFont="1" applyFill="1" applyBorder="1" applyAlignment="1">
      <alignment horizontal="center" vertical="center"/>
    </xf>
    <xf numFmtId="1" fontId="51" fillId="38" borderId="148" xfId="0" applyNumberFormat="1" applyFont="1" applyFill="1" applyBorder="1" applyAlignment="1">
      <alignment horizontal="center" vertical="center"/>
    </xf>
    <xf numFmtId="1" fontId="51" fillId="38" borderId="150" xfId="0" applyNumberFormat="1" applyFont="1" applyFill="1" applyBorder="1" applyAlignment="1">
      <alignment horizontal="center" vertical="center"/>
    </xf>
    <xf numFmtId="1" fontId="51" fillId="38" borderId="166" xfId="0" applyNumberFormat="1" applyFont="1" applyFill="1" applyBorder="1" applyAlignment="1">
      <alignment horizontal="center" vertical="center"/>
    </xf>
    <xf numFmtId="1" fontId="51" fillId="38" borderId="44" xfId="0" applyNumberFormat="1" applyFont="1" applyFill="1" applyBorder="1" applyAlignment="1">
      <alignment horizontal="center" vertical="center"/>
    </xf>
    <xf numFmtId="1" fontId="51" fillId="38" borderId="167" xfId="0" applyNumberFormat="1" applyFont="1" applyFill="1" applyBorder="1" applyAlignment="1">
      <alignment horizontal="center" vertical="center"/>
    </xf>
    <xf numFmtId="1" fontId="0" fillId="0" borderId="46" xfId="0" applyNumberFormat="1" applyBorder="1" applyAlignment="1">
      <alignment horizontal="center" vertical="center"/>
    </xf>
    <xf numFmtId="1" fontId="0" fillId="0" borderId="147" xfId="0" applyNumberFormat="1" applyBorder="1" applyAlignment="1">
      <alignment horizontal="center" vertical="center"/>
    </xf>
    <xf numFmtId="1" fontId="0" fillId="0" borderId="148" xfId="0" applyNumberFormat="1" applyBorder="1" applyAlignment="1">
      <alignment horizontal="center" vertical="center"/>
    </xf>
    <xf numFmtId="1" fontId="0" fillId="0" borderId="149" xfId="0" applyNumberFormat="1" applyBorder="1" applyAlignment="1">
      <alignment horizontal="center" vertical="center"/>
    </xf>
    <xf numFmtId="1" fontId="0" fillId="0" borderId="150" xfId="0" applyNumberFormat="1" applyBorder="1" applyAlignment="1">
      <alignment horizontal="center" vertical="center"/>
    </xf>
    <xf numFmtId="1" fontId="0" fillId="0" borderId="141" xfId="0" applyNumberFormat="1" applyBorder="1" applyAlignment="1">
      <alignment horizontal="center" vertical="center"/>
    </xf>
    <xf numFmtId="1" fontId="51" fillId="38" borderId="139" xfId="0" applyNumberFormat="1" applyFont="1" applyFill="1" applyBorder="1" applyAlignment="1">
      <alignment horizontal="center" vertical="center"/>
    </xf>
    <xf numFmtId="1" fontId="51" fillId="38" borderId="140" xfId="0" applyNumberFormat="1" applyFont="1" applyFill="1" applyBorder="1" applyAlignment="1">
      <alignment horizontal="center" vertical="center"/>
    </xf>
    <xf numFmtId="1" fontId="51" fillId="38" borderId="142" xfId="0" applyNumberFormat="1" applyFont="1" applyFill="1" applyBorder="1" applyAlignment="1">
      <alignment horizontal="center" vertical="center"/>
    </xf>
    <xf numFmtId="1" fontId="51" fillId="38" borderId="143" xfId="0" applyNumberFormat="1" applyFont="1" applyFill="1" applyBorder="1" applyAlignment="1">
      <alignment horizontal="center" vertical="center"/>
    </xf>
    <xf numFmtId="1" fontId="51" fillId="38" borderId="144" xfId="0" applyNumberFormat="1" applyFont="1" applyFill="1" applyBorder="1" applyAlignment="1">
      <alignment horizontal="center" vertical="center"/>
    </xf>
    <xf numFmtId="4" fontId="5" fillId="0" borderId="150" xfId="28" applyNumberFormat="1" applyBorder="1" applyAlignment="1">
      <alignment horizontal="center"/>
    </xf>
    <xf numFmtId="4" fontId="5" fillId="0" borderId="141" xfId="28" applyNumberFormat="1" applyBorder="1" applyAlignment="1">
      <alignment horizontal="center"/>
    </xf>
    <xf numFmtId="9" fontId="0" fillId="0" borderId="0" xfId="15" applyFont="1" applyBorder="1" applyAlignment="1">
      <alignment horizontal="left"/>
    </xf>
    <xf numFmtId="3" fontId="56" fillId="0" borderId="46" xfId="0" applyNumberFormat="1" applyFont="1" applyBorder="1" applyAlignment="1">
      <alignment horizontal="center" vertical="center"/>
    </xf>
    <xf numFmtId="3" fontId="56" fillId="0" borderId="150" xfId="0" applyNumberFormat="1" applyFont="1" applyBorder="1" applyAlignment="1">
      <alignment horizontal="center" vertical="center"/>
    </xf>
    <xf numFmtId="2" fontId="8" fillId="22" borderId="19" xfId="0" applyNumberFormat="1" applyFont="1" applyFill="1" applyBorder="1" applyAlignment="1">
      <alignment horizontal="center"/>
    </xf>
    <xf numFmtId="0" fontId="22" fillId="0" borderId="0" xfId="0" applyFont="1" applyAlignment="1">
      <alignment horizontal="center" vertical="center"/>
    </xf>
    <xf numFmtId="3" fontId="33" fillId="17" borderId="0" xfId="20" applyNumberFormat="1" applyFont="1" applyFill="1" applyAlignment="1">
      <alignment horizontal="center" vertical="center"/>
    </xf>
    <xf numFmtId="3" fontId="34" fillId="17" borderId="0" xfId="20" applyNumberFormat="1" applyFont="1" applyFill="1" applyAlignment="1">
      <alignment horizontal="center" vertical="center"/>
    </xf>
    <xf numFmtId="3" fontId="34" fillId="17" borderId="0" xfId="0" applyNumberFormat="1" applyFont="1" applyFill="1" applyAlignment="1">
      <alignment horizontal="center" vertical="center"/>
    </xf>
    <xf numFmtId="3" fontId="33" fillId="0" borderId="0" xfId="0" applyNumberFormat="1" applyFont="1" applyAlignment="1">
      <alignment horizontal="center" vertical="center"/>
    </xf>
    <xf numFmtId="4" fontId="33" fillId="17" borderId="0" xfId="0" applyNumberFormat="1" applyFont="1" applyFill="1" applyAlignment="1">
      <alignment horizontal="center" vertical="center"/>
    </xf>
    <xf numFmtId="4" fontId="33" fillId="17" borderId="0" xfId="20" applyNumberFormat="1" applyFont="1" applyFill="1" applyAlignment="1">
      <alignment horizontal="center" vertical="center"/>
    </xf>
    <xf numFmtId="3" fontId="22" fillId="17" borderId="0" xfId="0" applyNumberFormat="1" applyFont="1" applyFill="1" applyAlignment="1">
      <alignment horizontal="center" vertical="center"/>
    </xf>
    <xf numFmtId="0" fontId="0" fillId="0" borderId="0" xfId="0" applyAlignment="1">
      <alignment horizontal="center" vertical="center"/>
    </xf>
    <xf numFmtId="0" fontId="25" fillId="0" borderId="0" xfId="0" applyFont="1" applyAlignment="1">
      <alignment horizontal="center" vertical="center"/>
    </xf>
    <xf numFmtId="0" fontId="8" fillId="7" borderId="19" xfId="0" applyFont="1" applyFill="1" applyBorder="1" applyAlignment="1">
      <alignment horizontal="center" vertical="center" wrapText="1"/>
    </xf>
    <xf numFmtId="0" fontId="32" fillId="7" borderId="19" xfId="0" applyFont="1" applyFill="1" applyBorder="1" applyAlignment="1">
      <alignment horizontal="center" vertical="center" wrapText="1"/>
    </xf>
    <xf numFmtId="0" fontId="44" fillId="8" borderId="73" xfId="0" applyFont="1" applyFill="1" applyBorder="1" applyAlignment="1">
      <alignment horizontal="center" vertical="center" wrapText="1"/>
    </xf>
    <xf numFmtId="0" fontId="44" fillId="9" borderId="74" xfId="0" applyFont="1" applyFill="1" applyBorder="1" applyAlignment="1">
      <alignment horizontal="center" vertical="center" wrapText="1"/>
    </xf>
    <xf numFmtId="0" fontId="44" fillId="10" borderId="74" xfId="0" applyFont="1" applyFill="1" applyBorder="1" applyAlignment="1">
      <alignment horizontal="center" vertical="center" wrapText="1"/>
    </xf>
    <xf numFmtId="0" fontId="44" fillId="13" borderId="74" xfId="0" applyFont="1" applyFill="1" applyBorder="1" applyAlignment="1">
      <alignment horizontal="center" vertical="center" wrapText="1"/>
    </xf>
    <xf numFmtId="0" fontId="53" fillId="0" borderId="0" xfId="0" applyFont="1" applyAlignment="1">
      <alignment horizontal="center" vertical="center"/>
    </xf>
    <xf numFmtId="14" fontId="13" fillId="0" borderId="20" xfId="0" applyNumberFormat="1" applyFont="1" applyBorder="1" applyAlignment="1">
      <alignment horizontal="center" vertical="center"/>
    </xf>
    <xf numFmtId="14" fontId="13" fillId="0" borderId="54" xfId="0" applyNumberFormat="1" applyFont="1" applyBorder="1" applyAlignment="1">
      <alignment horizontal="center" vertical="center"/>
    </xf>
    <xf numFmtId="2" fontId="8" fillId="22" borderId="52" xfId="0" applyNumberFormat="1" applyFont="1" applyFill="1" applyBorder="1" applyAlignment="1">
      <alignment horizontal="center"/>
    </xf>
    <xf numFmtId="2" fontId="31" fillId="22" borderId="52" xfId="15" applyNumberFormat="1" applyFont="1" applyFill="1" applyBorder="1" applyAlignment="1">
      <alignment horizontal="center"/>
    </xf>
    <xf numFmtId="0" fontId="8" fillId="6" borderId="168" xfId="0" applyFont="1" applyFill="1" applyBorder="1"/>
    <xf numFmtId="0" fontId="26" fillId="30" borderId="62" xfId="0" applyFont="1" applyFill="1" applyBorder="1" applyAlignment="1">
      <alignment horizontal="center"/>
    </xf>
    <xf numFmtId="0" fontId="13" fillId="0" borderId="62" xfId="0" applyFont="1" applyBorder="1" applyAlignment="1">
      <alignment horizontal="center"/>
    </xf>
    <xf numFmtId="167" fontId="13" fillId="22" borderId="23" xfId="0" applyNumberFormat="1" applyFont="1" applyFill="1" applyBorder="1" applyAlignment="1">
      <alignment horizontal="center"/>
    </xf>
    <xf numFmtId="2" fontId="31" fillId="22" borderId="62" xfId="15" applyNumberFormat="1" applyFont="1" applyFill="1" applyBorder="1" applyAlignment="1">
      <alignment horizontal="center"/>
    </xf>
    <xf numFmtId="10" fontId="61" fillId="7" borderId="62" xfId="0" applyNumberFormat="1" applyFont="1" applyFill="1" applyBorder="1" applyAlignment="1">
      <alignment horizontal="center"/>
    </xf>
    <xf numFmtId="0" fontId="8" fillId="0" borderId="0" xfId="0" applyFont="1" applyAlignment="1">
      <alignment horizontal="center"/>
    </xf>
    <xf numFmtId="10" fontId="8" fillId="0" borderId="120" xfId="0" applyNumberFormat="1" applyFont="1" applyBorder="1" applyAlignment="1">
      <alignment horizontal="center" vertical="center"/>
    </xf>
    <xf numFmtId="10" fontId="8" fillId="0" borderId="5" xfId="0" applyNumberFormat="1" applyFont="1" applyBorder="1" applyAlignment="1">
      <alignment horizontal="center" vertical="center"/>
    </xf>
    <xf numFmtId="1" fontId="56" fillId="38" borderId="151" xfId="0" applyNumberFormat="1" applyFont="1" applyFill="1" applyBorder="1" applyAlignment="1">
      <alignment horizontal="center" vertical="center"/>
    </xf>
    <xf numFmtId="1" fontId="56" fillId="38" borderId="164" xfId="0" applyNumberFormat="1" applyFont="1" applyFill="1" applyBorder="1" applyAlignment="1">
      <alignment horizontal="center" vertical="center"/>
    </xf>
    <xf numFmtId="0" fontId="0" fillId="0" borderId="46" xfId="0" applyBorder="1" applyAlignment="1">
      <alignment horizontal="center"/>
    </xf>
    <xf numFmtId="167" fontId="0" fillId="0" borderId="46" xfId="0" applyNumberFormat="1" applyBorder="1" applyAlignment="1">
      <alignment horizontal="center"/>
    </xf>
    <xf numFmtId="0" fontId="62" fillId="0" borderId="46" xfId="0" applyFont="1" applyBorder="1"/>
    <xf numFmtId="166" fontId="62" fillId="0" borderId="46" xfId="0" applyNumberFormat="1" applyFont="1" applyBorder="1" applyAlignment="1">
      <alignment horizontal="center"/>
    </xf>
    <xf numFmtId="9" fontId="0" fillId="0" borderId="0" xfId="15" applyFont="1" applyAlignment="1">
      <alignment horizontal="left"/>
    </xf>
    <xf numFmtId="0" fontId="51" fillId="0" borderId="35" xfId="0" applyFont="1" applyBorder="1"/>
    <xf numFmtId="3" fontId="56" fillId="0" borderId="147" xfId="0" applyNumberFormat="1" applyFont="1" applyBorder="1" applyAlignment="1">
      <alignment horizontal="center" vertical="center"/>
    </xf>
    <xf numFmtId="3" fontId="65" fillId="0" borderId="150" xfId="0" quotePrefix="1" applyNumberFormat="1" applyFont="1" applyBorder="1" applyAlignment="1">
      <alignment horizontal="center" vertical="center"/>
    </xf>
    <xf numFmtId="3" fontId="65" fillId="0" borderId="46" xfId="0" quotePrefix="1" applyNumberFormat="1" applyFont="1" applyBorder="1" applyAlignment="1">
      <alignment horizontal="center" vertical="center"/>
    </xf>
    <xf numFmtId="3" fontId="65" fillId="0" borderId="141" xfId="0" quotePrefix="1" applyNumberFormat="1" applyFont="1" applyBorder="1" applyAlignment="1">
      <alignment horizontal="center" vertical="center"/>
    </xf>
    <xf numFmtId="0" fontId="51" fillId="38" borderId="139" xfId="0" applyFont="1" applyFill="1" applyBorder="1" applyAlignment="1">
      <alignment horizontal="center" vertical="center"/>
    </xf>
    <xf numFmtId="0" fontId="51" fillId="38" borderId="2" xfId="0" applyFont="1" applyFill="1" applyBorder="1" applyAlignment="1">
      <alignment horizontal="center" vertical="center"/>
    </xf>
    <xf numFmtId="1" fontId="51" fillId="38" borderId="118" xfId="0" applyNumberFormat="1" applyFont="1" applyFill="1" applyBorder="1" applyAlignment="1">
      <alignment horizontal="center" vertical="center"/>
    </xf>
    <xf numFmtId="1" fontId="51" fillId="38" borderId="171" xfId="0" applyNumberFormat="1" applyFont="1" applyFill="1" applyBorder="1" applyAlignment="1">
      <alignment horizontal="center" vertical="center"/>
    </xf>
    <xf numFmtId="3" fontId="56" fillId="39" borderId="172" xfId="0" applyNumberFormat="1" applyFont="1" applyFill="1" applyBorder="1" applyAlignment="1">
      <alignment horizontal="center" vertical="center"/>
    </xf>
    <xf numFmtId="3" fontId="56" fillId="39" borderId="3" xfId="0" applyNumberFormat="1" applyFont="1" applyFill="1" applyBorder="1" applyAlignment="1">
      <alignment horizontal="center" vertical="center"/>
    </xf>
    <xf numFmtId="3" fontId="56" fillId="39" borderId="34" xfId="0" applyNumberFormat="1" applyFont="1" applyFill="1" applyBorder="1" applyAlignment="1">
      <alignment horizontal="center" vertical="center"/>
    </xf>
    <xf numFmtId="3" fontId="57" fillId="11" borderId="0" xfId="0" applyNumberFormat="1" applyFont="1" applyFill="1" applyAlignment="1">
      <alignment horizontal="center" vertical="center"/>
    </xf>
    <xf numFmtId="3" fontId="57" fillId="11" borderId="173" xfId="0" applyNumberFormat="1" applyFont="1" applyFill="1" applyBorder="1" applyAlignment="1">
      <alignment horizontal="center" vertical="center"/>
    </xf>
    <xf numFmtId="1" fontId="56" fillId="39" borderId="44" xfId="0" applyNumberFormat="1" applyFont="1" applyFill="1" applyBorder="1" applyAlignment="1">
      <alignment horizontal="center" vertical="center"/>
    </xf>
    <xf numFmtId="1" fontId="56" fillId="0" borderId="44" xfId="0" applyNumberFormat="1" applyFont="1" applyBorder="1" applyAlignment="1">
      <alignment horizontal="center" vertical="center"/>
    </xf>
    <xf numFmtId="0" fontId="0" fillId="35" borderId="32" xfId="0" applyFill="1" applyBorder="1"/>
    <xf numFmtId="0" fontId="62" fillId="0" borderId="0" xfId="28" applyFont="1" applyAlignment="1">
      <alignment horizontal="center" vertical="center"/>
    </xf>
    <xf numFmtId="0" fontId="5" fillId="0" borderId="0" xfId="28"/>
    <xf numFmtId="0" fontId="5" fillId="0" borderId="36" xfId="28" applyBorder="1"/>
    <xf numFmtId="0" fontId="51" fillId="0" borderId="174" xfId="0" applyFont="1" applyBorder="1"/>
    <xf numFmtId="0" fontId="51" fillId="0" borderId="115" xfId="0" applyFont="1" applyBorder="1" applyAlignment="1">
      <alignment horizontal="center" vertical="center"/>
    </xf>
    <xf numFmtId="10" fontId="0" fillId="0" borderId="0" xfId="0" applyNumberFormat="1" applyAlignment="1">
      <alignment horizontal="center" vertical="center"/>
    </xf>
    <xf numFmtId="9" fontId="22" fillId="0" borderId="0" xfId="15" applyFont="1" applyAlignment="1">
      <alignment horizontal="center" vertical="center"/>
    </xf>
    <xf numFmtId="1" fontId="56" fillId="39" borderId="139" xfId="0" applyNumberFormat="1" applyFont="1" applyFill="1" applyBorder="1" applyAlignment="1">
      <alignment horizontal="center" vertical="center"/>
    </xf>
    <xf numFmtId="1" fontId="56" fillId="39" borderId="2" xfId="0" applyNumberFormat="1" applyFont="1" applyFill="1" applyBorder="1" applyAlignment="1">
      <alignment horizontal="center" vertical="center"/>
    </xf>
    <xf numFmtId="1" fontId="56" fillId="39" borderId="37" xfId="0" applyNumberFormat="1" applyFont="1" applyFill="1" applyBorder="1" applyAlignment="1">
      <alignment horizontal="center" vertical="center"/>
    </xf>
    <xf numFmtId="3" fontId="0" fillId="0" borderId="46" xfId="0" applyNumberFormat="1" applyBorder="1" applyAlignment="1">
      <alignment horizontal="center" vertical="center"/>
    </xf>
    <xf numFmtId="3" fontId="0" fillId="0" borderId="141" xfId="0" applyNumberFormat="1" applyBorder="1" applyAlignment="1">
      <alignment horizontal="center" vertical="center"/>
    </xf>
    <xf numFmtId="1" fontId="51" fillId="38" borderId="178" xfId="0" applyNumberFormat="1" applyFont="1" applyFill="1" applyBorder="1" applyAlignment="1">
      <alignment horizontal="center" vertical="center"/>
    </xf>
    <xf numFmtId="0" fontId="51" fillId="38" borderId="37" xfId="0" applyFont="1" applyFill="1" applyBorder="1" applyAlignment="1">
      <alignment horizontal="center" vertical="center"/>
    </xf>
    <xf numFmtId="1" fontId="0" fillId="0" borderId="179" xfId="0" applyNumberFormat="1" applyBorder="1" applyAlignment="1">
      <alignment horizontal="center" vertical="center"/>
    </xf>
    <xf numFmtId="1" fontId="0" fillId="0" borderId="45" xfId="0" applyNumberFormat="1" applyBorder="1" applyAlignment="1">
      <alignment horizontal="center" vertical="center"/>
    </xf>
    <xf numFmtId="3" fontId="65" fillId="0" borderId="150" xfId="0" applyNumberFormat="1" applyFont="1" applyBorder="1" applyAlignment="1">
      <alignment horizontal="center" vertical="center"/>
    </xf>
    <xf numFmtId="2" fontId="0" fillId="22" borderId="62" xfId="0" applyNumberFormat="1" applyFill="1" applyBorder="1" applyAlignment="1">
      <alignment horizontal="center"/>
    </xf>
    <xf numFmtId="167" fontId="0" fillId="22" borderId="23" xfId="0" applyNumberFormat="1" applyFill="1" applyBorder="1" applyAlignment="1">
      <alignment horizontal="center"/>
    </xf>
    <xf numFmtId="10" fontId="0" fillId="7" borderId="23" xfId="24" applyNumberFormat="1" applyFont="1" applyFill="1" applyBorder="1" applyAlignment="1">
      <alignment horizontal="center"/>
    </xf>
    <xf numFmtId="168" fontId="0" fillId="7" borderId="23" xfId="24" applyNumberFormat="1" applyFont="1" applyFill="1" applyBorder="1" applyAlignment="1">
      <alignment horizontal="center"/>
    </xf>
    <xf numFmtId="168" fontId="0" fillId="7" borderId="23" xfId="15" quotePrefix="1" applyNumberFormat="1" applyFont="1" applyFill="1" applyBorder="1" applyAlignment="1">
      <alignment horizontal="center"/>
    </xf>
    <xf numFmtId="169" fontId="0" fillId="22" borderId="23" xfId="0" applyNumberFormat="1" applyFill="1" applyBorder="1" applyAlignment="1">
      <alignment horizontal="center"/>
    </xf>
    <xf numFmtId="169" fontId="0" fillId="22" borderId="23" xfId="15" applyNumberFormat="1" applyFont="1" applyFill="1" applyBorder="1" applyAlignment="1">
      <alignment horizontal="center"/>
    </xf>
    <xf numFmtId="168" fontId="0" fillId="22" borderId="23" xfId="15" applyNumberFormat="1" applyFont="1" applyFill="1" applyBorder="1" applyAlignment="1">
      <alignment horizontal="center"/>
    </xf>
    <xf numFmtId="2" fontId="0" fillId="22" borderId="23" xfId="15" applyNumberFormat="1" applyFont="1" applyFill="1" applyBorder="1" applyAlignment="1">
      <alignment horizontal="center"/>
    </xf>
    <xf numFmtId="168" fontId="0" fillId="7" borderId="23" xfId="15" applyNumberFormat="1" applyFont="1" applyFill="1" applyBorder="1" applyAlignment="1">
      <alignment horizontal="center"/>
    </xf>
    <xf numFmtId="0" fontId="0" fillId="0" borderId="22" xfId="0" quotePrefix="1" applyBorder="1"/>
    <xf numFmtId="10" fontId="0" fillId="7" borderId="23" xfId="15" applyNumberFormat="1" applyFont="1" applyFill="1" applyBorder="1" applyAlignment="1">
      <alignment horizontal="center"/>
    </xf>
    <xf numFmtId="4" fontId="0" fillId="7" borderId="23" xfId="0" applyNumberFormat="1" applyFill="1" applyBorder="1" applyAlignment="1">
      <alignment horizontal="center"/>
    </xf>
    <xf numFmtId="0" fontId="0" fillId="0" borderId="22" xfId="0" applyBorder="1"/>
    <xf numFmtId="0" fontId="0" fillId="7" borderId="23" xfId="0" applyFill="1" applyBorder="1" applyAlignment="1">
      <alignment horizontal="left" vertical="center" wrapText="1"/>
    </xf>
    <xf numFmtId="0" fontId="0" fillId="0" borderId="58" xfId="0" applyBorder="1" applyAlignment="1">
      <alignment horizontal="center" vertical="center"/>
    </xf>
    <xf numFmtId="1" fontId="56" fillId="0" borderId="139" xfId="0" applyNumberFormat="1" applyFont="1" applyBorder="1" applyAlignment="1">
      <alignment horizontal="center" vertical="center"/>
    </xf>
    <xf numFmtId="1" fontId="56" fillId="0" borderId="2" xfId="0" applyNumberFormat="1" applyFont="1" applyBorder="1" applyAlignment="1">
      <alignment horizontal="center" vertical="center"/>
    </xf>
    <xf numFmtId="1" fontId="8" fillId="0" borderId="172" xfId="0" applyNumberFormat="1" applyFont="1" applyBorder="1" applyAlignment="1">
      <alignment horizontal="center" vertical="center"/>
    </xf>
    <xf numFmtId="10" fontId="67" fillId="33" borderId="109" xfId="25" applyNumberFormat="1" applyFont="1" applyFill="1" applyBorder="1"/>
    <xf numFmtId="173" fontId="8" fillId="0" borderId="109" xfId="25" applyNumberFormat="1" applyBorder="1"/>
    <xf numFmtId="3" fontId="24" fillId="36" borderId="46" xfId="0" applyNumberFormat="1" applyFont="1" applyFill="1" applyBorder="1" applyAlignment="1">
      <alignment horizontal="center" vertical="center"/>
    </xf>
    <xf numFmtId="3" fontId="24" fillId="36" borderId="44" xfId="0" applyNumberFormat="1" applyFont="1" applyFill="1" applyBorder="1" applyAlignment="1">
      <alignment horizontal="center" vertical="center"/>
    </xf>
    <xf numFmtId="0" fontId="65" fillId="36" borderId="46" xfId="0" applyFont="1" applyFill="1" applyBorder="1" applyAlignment="1">
      <alignment horizontal="center" vertical="center"/>
    </xf>
    <xf numFmtId="0" fontId="65" fillId="36" borderId="44" xfId="0" applyFont="1" applyFill="1" applyBorder="1" applyAlignment="1">
      <alignment horizontal="center" vertical="center"/>
    </xf>
    <xf numFmtId="1" fontId="65" fillId="0" borderId="150" xfId="0" applyNumberFormat="1" applyFont="1" applyBorder="1" applyAlignment="1">
      <alignment horizontal="center" vertical="center"/>
    </xf>
    <xf numFmtId="1" fontId="65" fillId="0" borderId="46" xfId="0" quotePrefix="1" applyNumberFormat="1" applyFont="1" applyBorder="1" applyAlignment="1">
      <alignment horizontal="center" vertical="center"/>
    </xf>
    <xf numFmtId="1" fontId="65" fillId="0" borderId="141" xfId="0" quotePrefix="1" applyNumberFormat="1" applyFont="1" applyBorder="1" applyAlignment="1">
      <alignment horizontal="center" vertical="center"/>
    </xf>
    <xf numFmtId="1" fontId="24" fillId="0" borderId="150" xfId="0" applyNumberFormat="1" applyFont="1" applyBorder="1" applyAlignment="1">
      <alignment horizontal="center" vertical="center"/>
    </xf>
    <xf numFmtId="1" fontId="24" fillId="0" borderId="46" xfId="0" applyNumberFormat="1" applyFont="1" applyBorder="1" applyAlignment="1">
      <alignment horizontal="center" vertical="center"/>
    </xf>
    <xf numFmtId="1" fontId="24" fillId="0" borderId="141" xfId="0" applyNumberFormat="1" applyFont="1" applyBorder="1" applyAlignment="1">
      <alignment horizontal="center" vertical="center"/>
    </xf>
    <xf numFmtId="1" fontId="65" fillId="0" borderId="46" xfId="0" applyNumberFormat="1" applyFont="1" applyBorder="1" applyAlignment="1">
      <alignment horizontal="center" vertical="center"/>
    </xf>
    <xf numFmtId="1" fontId="65" fillId="0" borderId="141" xfId="0" applyNumberFormat="1" applyFont="1" applyBorder="1" applyAlignment="1">
      <alignment horizontal="center" vertical="center"/>
    </xf>
    <xf numFmtId="1" fontId="8" fillId="0" borderId="3" xfId="0" applyNumberFormat="1" applyFont="1" applyBorder="1" applyAlignment="1">
      <alignment horizontal="center" vertical="center"/>
    </xf>
    <xf numFmtId="1" fontId="8" fillId="0" borderId="34" xfId="0" applyNumberFormat="1" applyFont="1" applyBorder="1" applyAlignment="1">
      <alignment horizontal="center" vertical="center"/>
    </xf>
    <xf numFmtId="0" fontId="63" fillId="0" borderId="0" xfId="0" applyFont="1" applyAlignment="1">
      <alignment horizontal="center"/>
    </xf>
    <xf numFmtId="1" fontId="63" fillId="0" borderId="0" xfId="0" applyNumberFormat="1" applyFont="1" applyAlignment="1">
      <alignment horizontal="center"/>
    </xf>
    <xf numFmtId="1" fontId="68" fillId="0" borderId="0" xfId="0" applyNumberFormat="1" applyFont="1" applyAlignment="1">
      <alignment horizontal="left"/>
    </xf>
    <xf numFmtId="0" fontId="8" fillId="0" borderId="0" xfId="25" applyAlignment="1">
      <alignment vertical="center" wrapText="1"/>
    </xf>
    <xf numFmtId="3" fontId="49" fillId="32" borderId="111" xfId="5" applyFont="1" applyFill="1" applyBorder="1" applyAlignment="1">
      <alignment horizontal="right" vertical="center" wrapText="1"/>
    </xf>
    <xf numFmtId="4" fontId="8" fillId="32" borderId="111" xfId="7" applyFont="1" applyFill="1" applyBorder="1" applyAlignment="1">
      <alignment horizontal="right" vertical="center" wrapText="1"/>
    </xf>
    <xf numFmtId="4" fontId="30" fillId="0" borderId="109" xfId="7" applyFont="1" applyFill="1" applyBorder="1" applyAlignment="1">
      <alignment horizontal="right" vertical="center" wrapText="1"/>
    </xf>
    <xf numFmtId="0" fontId="8" fillId="0" borderId="109" xfId="9" applyFont="1" applyFill="1" applyBorder="1" applyAlignment="1">
      <alignment horizontal="right" vertical="center" wrapText="1"/>
    </xf>
    <xf numFmtId="0" fontId="8" fillId="0" borderId="0" xfId="25" applyAlignment="1">
      <alignment wrapText="1"/>
    </xf>
    <xf numFmtId="9" fontId="0" fillId="7" borderId="23" xfId="15" applyFont="1" applyFill="1" applyBorder="1" applyAlignment="1">
      <alignment horizontal="center"/>
    </xf>
    <xf numFmtId="2" fontId="8" fillId="0" borderId="0" xfId="25" applyNumberFormat="1"/>
    <xf numFmtId="2" fontId="0" fillId="0" borderId="0" xfId="25" applyNumberFormat="1" applyFont="1"/>
    <xf numFmtId="0" fontId="56" fillId="0" borderId="0" xfId="0" applyFont="1"/>
    <xf numFmtId="0" fontId="56" fillId="0" borderId="0" xfId="0" applyFont="1" applyAlignment="1">
      <alignment horizontal="center"/>
    </xf>
    <xf numFmtId="167" fontId="25" fillId="0" borderId="0" xfId="0" applyNumberFormat="1" applyFont="1"/>
    <xf numFmtId="168" fontId="8" fillId="22" borderId="19" xfId="15" applyNumberFormat="1" applyFont="1" applyFill="1" applyBorder="1" applyAlignment="1">
      <alignment horizontal="center"/>
    </xf>
    <xf numFmtId="172" fontId="32" fillId="22" borderId="100" xfId="0" applyNumberFormat="1" applyFont="1" applyFill="1" applyBorder="1" applyAlignment="1">
      <alignment horizontal="center"/>
    </xf>
    <xf numFmtId="4" fontId="24" fillId="8" borderId="109" xfId="7" applyFont="1" applyFill="1" applyBorder="1" applyAlignment="1">
      <alignment horizontal="right" vertical="center"/>
    </xf>
    <xf numFmtId="0" fontId="24" fillId="0" borderId="19" xfId="0" applyFont="1" applyBorder="1" applyAlignment="1">
      <alignment horizontal="center"/>
    </xf>
    <xf numFmtId="0" fontId="8" fillId="0" borderId="19" xfId="0" applyFont="1" applyBorder="1" applyAlignment="1">
      <alignment horizontal="center"/>
    </xf>
    <xf numFmtId="0" fontId="44" fillId="4" borderId="137" xfId="0" applyFont="1" applyFill="1" applyBorder="1" applyAlignment="1">
      <alignment horizontal="center"/>
    </xf>
    <xf numFmtId="0" fontId="26" fillId="30" borderId="10" xfId="0" applyFont="1" applyFill="1" applyBorder="1" applyAlignment="1">
      <alignment horizontal="center"/>
    </xf>
    <xf numFmtId="0" fontId="0" fillId="7" borderId="183" xfId="0" applyFill="1" applyBorder="1" applyAlignment="1">
      <alignment vertical="center" wrapText="1"/>
    </xf>
    <xf numFmtId="0" fontId="0" fillId="7" borderId="180" xfId="0" applyFill="1" applyBorder="1" applyAlignment="1">
      <alignment vertical="center" wrapText="1"/>
    </xf>
    <xf numFmtId="0" fontId="44" fillId="4" borderId="122" xfId="0" applyFont="1" applyFill="1" applyBorder="1" applyAlignment="1">
      <alignment horizontal="center"/>
    </xf>
    <xf numFmtId="0" fontId="26" fillId="30" borderId="183" xfId="0" applyFont="1" applyFill="1" applyBorder="1" applyAlignment="1">
      <alignment horizontal="center"/>
    </xf>
    <xf numFmtId="0" fontId="0" fillId="7" borderId="183" xfId="0" applyFill="1" applyBorder="1" applyAlignment="1">
      <alignment horizontal="left"/>
    </xf>
    <xf numFmtId="0" fontId="0" fillId="7" borderId="180" xfId="0" applyFill="1" applyBorder="1" applyAlignment="1">
      <alignment horizontal="left"/>
    </xf>
    <xf numFmtId="0" fontId="13" fillId="15" borderId="102" xfId="0" applyFont="1" applyFill="1" applyBorder="1" applyAlignment="1">
      <alignment horizontal="left" vertical="center"/>
    </xf>
    <xf numFmtId="172" fontId="0" fillId="15" borderId="99" xfId="0" applyNumberFormat="1" applyFill="1" applyBorder="1" applyAlignment="1">
      <alignment horizontal="center"/>
    </xf>
    <xf numFmtId="0" fontId="13" fillId="15" borderId="103" xfId="0" applyFont="1" applyFill="1" applyBorder="1" applyAlignment="1">
      <alignment horizontal="left" vertical="center"/>
    </xf>
    <xf numFmtId="9" fontId="0" fillId="15" borderId="100" xfId="15" applyFont="1" applyFill="1" applyBorder="1" applyAlignment="1">
      <alignment horizontal="center"/>
    </xf>
    <xf numFmtId="9" fontId="8" fillId="15" borderId="99" xfId="15" applyFont="1" applyFill="1" applyBorder="1" applyAlignment="1">
      <alignment horizontal="center"/>
    </xf>
    <xf numFmtId="2" fontId="0" fillId="15" borderId="100" xfId="0" applyNumberFormat="1" applyFill="1" applyBorder="1" applyAlignment="1">
      <alignment horizontal="center"/>
    </xf>
    <xf numFmtId="0" fontId="13" fillId="15" borderId="101" xfId="0" applyFont="1" applyFill="1" applyBorder="1" applyAlignment="1">
      <alignment horizontal="left" vertical="center"/>
    </xf>
    <xf numFmtId="2" fontId="0" fillId="15" borderId="98" xfId="0" applyNumberFormat="1" applyFill="1" applyBorder="1" applyAlignment="1">
      <alignment horizontal="center"/>
    </xf>
    <xf numFmtId="2" fontId="8" fillId="15" borderId="100" xfId="0" applyNumberFormat="1" applyFont="1" applyFill="1" applyBorder="1" applyAlignment="1">
      <alignment horizontal="center"/>
    </xf>
    <xf numFmtId="169" fontId="0" fillId="15" borderId="100" xfId="0" applyNumberFormat="1" applyFill="1" applyBorder="1" applyAlignment="1">
      <alignment horizontal="center"/>
    </xf>
    <xf numFmtId="9" fontId="0" fillId="0" borderId="98" xfId="15" applyFont="1" applyFill="1" applyBorder="1" applyAlignment="1">
      <alignment horizontal="center"/>
    </xf>
    <xf numFmtId="0" fontId="13" fillId="0" borderId="103" xfId="0" applyFont="1" applyBorder="1" applyAlignment="1">
      <alignment horizontal="left" vertical="center"/>
    </xf>
    <xf numFmtId="9" fontId="0" fillId="0" borderId="100" xfId="15" applyFont="1" applyFill="1" applyBorder="1" applyAlignment="1">
      <alignment horizontal="center"/>
    </xf>
    <xf numFmtId="2" fontId="0" fillId="0" borderId="98" xfId="0" applyNumberFormat="1" applyBorder="1" applyAlignment="1">
      <alignment horizontal="center"/>
    </xf>
    <xf numFmtId="0" fontId="13" fillId="0" borderId="102" xfId="0" applyFont="1" applyBorder="1" applyAlignment="1">
      <alignment horizontal="left" vertical="center"/>
    </xf>
    <xf numFmtId="2" fontId="0" fillId="0" borderId="100" xfId="0" applyNumberFormat="1" applyBorder="1" applyAlignment="1">
      <alignment horizontal="center"/>
    </xf>
    <xf numFmtId="2" fontId="8" fillId="15" borderId="98" xfId="0" applyNumberFormat="1" applyFont="1" applyFill="1" applyBorder="1" applyAlignment="1">
      <alignment horizontal="center"/>
    </xf>
    <xf numFmtId="2" fontId="0" fillId="15" borderId="99" xfId="0" applyNumberFormat="1" applyFill="1" applyBorder="1" applyAlignment="1">
      <alignment horizontal="center"/>
    </xf>
    <xf numFmtId="0" fontId="14" fillId="15" borderId="103" xfId="0" applyFont="1" applyFill="1" applyBorder="1" applyAlignment="1">
      <alignment horizontal="left" vertical="center"/>
    </xf>
    <xf numFmtId="2" fontId="0" fillId="15" borderId="100" xfId="15" applyNumberFormat="1" applyFont="1" applyFill="1" applyBorder="1" applyAlignment="1">
      <alignment horizontal="center"/>
    </xf>
    <xf numFmtId="0" fontId="13" fillId="0" borderId="105" xfId="0" applyFont="1" applyBorder="1" applyAlignment="1">
      <alignment horizontal="left" vertical="center"/>
    </xf>
    <xf numFmtId="9" fontId="0" fillId="0" borderId="106" xfId="15" applyFont="1" applyFill="1" applyBorder="1" applyAlignment="1">
      <alignment horizontal="center"/>
    </xf>
    <xf numFmtId="10" fontId="8" fillId="0" borderId="99" xfId="15" applyNumberFormat="1" applyFont="1" applyFill="1" applyBorder="1" applyAlignment="1">
      <alignment horizontal="center"/>
    </xf>
    <xf numFmtId="10" fontId="0" fillId="0" borderId="99" xfId="15" applyNumberFormat="1" applyFont="1" applyFill="1" applyBorder="1" applyAlignment="1">
      <alignment horizontal="center"/>
    </xf>
    <xf numFmtId="169" fontId="0" fillId="0" borderId="99" xfId="0" applyNumberFormat="1" applyBorder="1" applyAlignment="1">
      <alignment horizontal="center"/>
    </xf>
    <xf numFmtId="169" fontId="0" fillId="0" borderId="98" xfId="0" applyNumberFormat="1" applyBorder="1" applyAlignment="1">
      <alignment horizontal="center"/>
    </xf>
    <xf numFmtId="2" fontId="0" fillId="0" borderId="99" xfId="0" applyNumberFormat="1" applyBorder="1" applyAlignment="1">
      <alignment horizontal="center"/>
    </xf>
    <xf numFmtId="169" fontId="0" fillId="0" borderId="100" xfId="0" applyNumberFormat="1" applyBorder="1" applyAlignment="1">
      <alignment horizontal="center"/>
    </xf>
    <xf numFmtId="168" fontId="0" fillId="0" borderId="98" xfId="15" applyNumberFormat="1" applyFont="1" applyFill="1" applyBorder="1" applyAlignment="1">
      <alignment horizontal="center"/>
    </xf>
    <xf numFmtId="9" fontId="25" fillId="16" borderId="197" xfId="15" applyFont="1" applyFill="1" applyBorder="1" applyAlignment="1">
      <alignment horizontal="center"/>
    </xf>
    <xf numFmtId="9" fontId="25" fillId="16" borderId="104" xfId="15" applyFont="1" applyFill="1" applyBorder="1" applyAlignment="1">
      <alignment horizontal="center"/>
    </xf>
    <xf numFmtId="0" fontId="13" fillId="0" borderId="94" xfId="0" applyFont="1" applyBorder="1" applyAlignment="1">
      <alignment horizontal="left"/>
    </xf>
    <xf numFmtId="9" fontId="8" fillId="0" borderId="198" xfId="0" applyNumberFormat="1" applyFont="1" applyBorder="1" applyAlignment="1">
      <alignment horizontal="center"/>
    </xf>
    <xf numFmtId="3" fontId="51" fillId="0" borderId="139" xfId="0" applyNumberFormat="1" applyFont="1" applyBorder="1" applyAlignment="1">
      <alignment horizontal="center" vertical="center"/>
    </xf>
    <xf numFmtId="3" fontId="51" fillId="7" borderId="140" xfId="0" applyNumberFormat="1" applyFont="1" applyFill="1" applyBorder="1" applyAlignment="1">
      <alignment horizontal="center" vertical="center"/>
    </xf>
    <xf numFmtId="0" fontId="51" fillId="0" borderId="199" xfId="0" applyFont="1" applyBorder="1"/>
    <xf numFmtId="4" fontId="5" fillId="0" borderId="200" xfId="28" applyNumberFormat="1" applyBorder="1" applyAlignment="1">
      <alignment horizontal="center"/>
    </xf>
    <xf numFmtId="0" fontId="51" fillId="0" borderId="43" xfId="0" applyFont="1" applyBorder="1"/>
    <xf numFmtId="10" fontId="5" fillId="0" borderId="0" xfId="28" quotePrefix="1" applyNumberFormat="1" applyAlignment="1">
      <alignment horizontal="right"/>
    </xf>
    <xf numFmtId="1" fontId="51" fillId="38" borderId="201" xfId="0" applyNumberFormat="1" applyFont="1" applyFill="1" applyBorder="1" applyAlignment="1">
      <alignment horizontal="center" vertical="center"/>
    </xf>
    <xf numFmtId="1" fontId="51" fillId="38" borderId="172" xfId="0" applyNumberFormat="1" applyFont="1" applyFill="1" applyBorder="1" applyAlignment="1">
      <alignment horizontal="center" vertical="center"/>
    </xf>
    <xf numFmtId="1" fontId="51" fillId="38" borderId="3" xfId="0" applyNumberFormat="1" applyFont="1" applyFill="1" applyBorder="1" applyAlignment="1">
      <alignment horizontal="center" vertical="center"/>
    </xf>
    <xf numFmtId="1" fontId="51" fillId="38" borderId="34" xfId="0" applyNumberFormat="1" applyFont="1" applyFill="1" applyBorder="1" applyAlignment="1">
      <alignment horizontal="center" vertical="center"/>
    </xf>
    <xf numFmtId="1" fontId="0" fillId="0" borderId="172" xfId="0" applyNumberFormat="1" applyBorder="1" applyAlignment="1">
      <alignment horizontal="center" vertical="center"/>
    </xf>
    <xf numFmtId="1" fontId="0" fillId="0" borderId="3" xfId="0" applyNumberFormat="1" applyBorder="1" applyAlignment="1">
      <alignment horizontal="center" vertical="center"/>
    </xf>
    <xf numFmtId="1" fontId="0" fillId="0" borderId="177" xfId="0" applyNumberFormat="1" applyBorder="1" applyAlignment="1">
      <alignment horizontal="center" vertical="center"/>
    </xf>
    <xf numFmtId="1" fontId="0" fillId="0" borderId="35" xfId="0" applyNumberFormat="1" applyBorder="1" applyAlignment="1">
      <alignment horizontal="center" vertical="center"/>
    </xf>
    <xf numFmtId="0" fontId="51" fillId="0" borderId="140" xfId="0" applyFont="1" applyBorder="1" applyAlignment="1">
      <alignment horizontal="center" vertical="center"/>
    </xf>
    <xf numFmtId="1" fontId="51" fillId="0" borderId="139" xfId="0" applyNumberFormat="1" applyFont="1" applyBorder="1" applyAlignment="1">
      <alignment horizontal="center" vertical="center"/>
    </xf>
    <xf numFmtId="1" fontId="51" fillId="0" borderId="2" xfId="0" applyNumberFormat="1" applyFont="1" applyBorder="1" applyAlignment="1">
      <alignment horizontal="center" vertical="center"/>
    </xf>
    <xf numFmtId="1" fontId="51" fillId="0" borderId="170" xfId="0" applyNumberFormat="1" applyFont="1" applyBorder="1" applyAlignment="1">
      <alignment horizontal="center" vertical="center"/>
    </xf>
    <xf numFmtId="4" fontId="5" fillId="0" borderId="177" xfId="28" applyNumberFormat="1" applyBorder="1" applyAlignment="1">
      <alignment horizontal="center"/>
    </xf>
    <xf numFmtId="4" fontId="5" fillId="0" borderId="172" xfId="28" applyNumberFormat="1" applyBorder="1" applyAlignment="1">
      <alignment horizontal="center"/>
    </xf>
    <xf numFmtId="4" fontId="5" fillId="0" borderId="3" xfId="28" applyNumberFormat="1" applyBorder="1" applyAlignment="1">
      <alignment horizontal="center"/>
    </xf>
    <xf numFmtId="0" fontId="26" fillId="0" borderId="0" xfId="25" applyFont="1" applyAlignment="1">
      <alignment horizontal="center" vertical="center"/>
    </xf>
    <xf numFmtId="4" fontId="24" fillId="0" borderId="0" xfId="7" applyFont="1" applyFill="1" applyBorder="1">
      <alignment horizontal="right"/>
    </xf>
    <xf numFmtId="0" fontId="13" fillId="7" borderId="105" xfId="0" applyFont="1" applyFill="1" applyBorder="1" applyAlignment="1">
      <alignment horizontal="left" vertical="center"/>
    </xf>
    <xf numFmtId="10" fontId="0" fillId="7" borderId="106" xfId="15" applyNumberFormat="1" applyFont="1" applyFill="1" applyBorder="1" applyAlignment="1">
      <alignment horizontal="center" vertical="center"/>
    </xf>
    <xf numFmtId="9" fontId="0" fillId="0" borderId="0" xfId="15" applyFont="1" applyBorder="1" applyAlignment="1">
      <alignment horizontal="center" vertical="center"/>
    </xf>
    <xf numFmtId="0" fontId="26" fillId="4" borderId="205" xfId="25" applyFont="1" applyFill="1" applyBorder="1" applyAlignment="1">
      <alignment horizontal="center" vertical="center"/>
    </xf>
    <xf numFmtId="4" fontId="24" fillId="26" borderId="206" xfId="7" applyFont="1" applyFill="1" applyBorder="1">
      <alignment horizontal="right"/>
    </xf>
    <xf numFmtId="4" fontId="8" fillId="11" borderId="206" xfId="7" applyFont="1" applyFill="1" applyBorder="1">
      <alignment horizontal="right"/>
    </xf>
    <xf numFmtId="4" fontId="30" fillId="8" borderId="207" xfId="7" applyFont="1" applyFill="1" applyBorder="1">
      <alignment horizontal="right"/>
    </xf>
    <xf numFmtId="0" fontId="55" fillId="34" borderId="0" xfId="23" applyFont="1" applyFill="1"/>
    <xf numFmtId="0" fontId="70" fillId="34" borderId="0" xfId="23" applyFont="1" applyFill="1" applyAlignment="1">
      <alignment horizontal="left" vertical="center"/>
    </xf>
    <xf numFmtId="0" fontId="70" fillId="34" borderId="0" xfId="23" applyFont="1" applyFill="1" applyAlignment="1">
      <alignment horizontal="center" vertical="center"/>
    </xf>
    <xf numFmtId="0" fontId="8" fillId="29" borderId="0" xfId="23" applyFill="1"/>
    <xf numFmtId="0" fontId="8" fillId="0" borderId="0" xfId="23"/>
    <xf numFmtId="10" fontId="0" fillId="0" borderId="0" xfId="15" applyNumberFormat="1" applyFont="1" applyAlignment="1">
      <alignment horizontal="left"/>
    </xf>
    <xf numFmtId="0" fontId="13" fillId="0" borderId="0" xfId="23" applyFont="1"/>
    <xf numFmtId="0" fontId="8" fillId="7" borderId="0" xfId="23" applyFill="1"/>
    <xf numFmtId="0" fontId="35" fillId="0" borderId="0" xfId="23" applyFont="1"/>
    <xf numFmtId="10" fontId="8" fillId="7" borderId="0" xfId="23" applyNumberFormat="1" applyFill="1"/>
    <xf numFmtId="10" fontId="8" fillId="0" borderId="0" xfId="23" applyNumberFormat="1"/>
    <xf numFmtId="0" fontId="0" fillId="6" borderId="0" xfId="0" applyFill="1"/>
    <xf numFmtId="0" fontId="26" fillId="30" borderId="216" xfId="0" applyFont="1" applyFill="1" applyBorder="1" applyAlignment="1">
      <alignment horizontal="center"/>
    </xf>
    <xf numFmtId="0" fontId="13" fillId="0" borderId="216" xfId="0" applyFont="1" applyBorder="1" applyAlignment="1">
      <alignment horizontal="center"/>
    </xf>
    <xf numFmtId="0" fontId="0" fillId="0" borderId="216" xfId="0" applyBorder="1" applyAlignment="1">
      <alignment horizontal="center"/>
    </xf>
    <xf numFmtId="0" fontId="8" fillId="22" borderId="0" xfId="0" applyFont="1" applyFill="1" applyAlignment="1">
      <alignment horizontal="center" vertical="center"/>
    </xf>
    <xf numFmtId="174" fontId="72" fillId="44" borderId="0" xfId="15" applyNumberFormat="1" applyFont="1" applyFill="1" applyBorder="1" applyAlignment="1">
      <alignment horizontal="center"/>
    </xf>
    <xf numFmtId="0" fontId="55" fillId="0" borderId="0" xfId="23" applyFont="1"/>
    <xf numFmtId="0" fontId="70" fillId="0" borderId="0" xfId="23" applyFont="1" applyAlignment="1">
      <alignment horizontal="center" vertical="center"/>
    </xf>
    <xf numFmtId="0" fontId="71" fillId="0" borderId="0" xfId="0" applyFont="1" applyAlignment="1">
      <alignment horizontal="center"/>
    </xf>
    <xf numFmtId="0" fontId="13" fillId="7" borderId="0" xfId="23" applyFont="1" applyFill="1" applyAlignment="1">
      <alignment horizontal="center" vertical="center"/>
    </xf>
    <xf numFmtId="0" fontId="74" fillId="4" borderId="109" xfId="4" applyFont="1" applyFill="1" applyBorder="1" applyAlignment="1">
      <alignment horizontal="center" vertical="center"/>
    </xf>
    <xf numFmtId="9" fontId="0" fillId="0" borderId="116" xfId="15" applyFont="1" applyBorder="1" applyAlignment="1">
      <alignment horizontal="center" vertical="center"/>
    </xf>
    <xf numFmtId="0" fontId="0" fillId="0" borderId="116" xfId="0" applyBorder="1" applyAlignment="1">
      <alignment horizontal="center"/>
    </xf>
    <xf numFmtId="0" fontId="62" fillId="33" borderId="115" xfId="0" applyFont="1" applyFill="1" applyBorder="1" applyAlignment="1">
      <alignment horizontal="center" vertical="center"/>
    </xf>
    <xf numFmtId="9" fontId="62" fillId="33" borderId="118" xfId="15" applyFont="1" applyFill="1" applyBorder="1" applyAlignment="1">
      <alignment horizontal="center" vertical="center" wrapText="1"/>
    </xf>
    <xf numFmtId="0" fontId="62" fillId="33" borderId="118" xfId="15" applyNumberFormat="1" applyFont="1" applyFill="1" applyBorder="1" applyAlignment="1">
      <alignment horizontal="center" vertical="center" wrapText="1"/>
    </xf>
    <xf numFmtId="175" fontId="62" fillId="33" borderId="118" xfId="15" applyNumberFormat="1" applyFont="1" applyFill="1" applyBorder="1" applyAlignment="1">
      <alignment horizontal="center" vertical="center" wrapText="1"/>
    </xf>
    <xf numFmtId="9" fontId="62" fillId="33" borderId="115" xfId="15" applyFont="1" applyFill="1" applyBorder="1" applyAlignment="1">
      <alignment horizontal="center" vertical="center" wrapText="1"/>
    </xf>
    <xf numFmtId="0" fontId="62" fillId="33" borderId="115" xfId="0" applyFont="1" applyFill="1" applyBorder="1" applyAlignment="1">
      <alignment horizontal="center" vertical="center" wrapText="1"/>
    </xf>
    <xf numFmtId="0" fontId="0" fillId="7" borderId="0" xfId="0" applyFill="1" applyAlignment="1">
      <alignment horizontal="center" vertical="center"/>
    </xf>
    <xf numFmtId="0" fontId="0" fillId="0" borderId="0" xfId="0" applyAlignment="1">
      <alignment vertical="center"/>
    </xf>
    <xf numFmtId="0" fontId="0" fillId="0" borderId="46" xfId="0" applyBorder="1" applyAlignment="1">
      <alignment horizontal="center" vertical="center"/>
    </xf>
    <xf numFmtId="2" fontId="0" fillId="0" borderId="46" xfId="0" applyNumberFormat="1" applyBorder="1" applyAlignment="1">
      <alignment horizontal="center" vertical="center"/>
    </xf>
    <xf numFmtId="2" fontId="62" fillId="0" borderId="46" xfId="0" applyNumberFormat="1" applyFont="1" applyBorder="1" applyAlignment="1">
      <alignment horizontal="center" vertical="center"/>
    </xf>
    <xf numFmtId="0" fontId="0" fillId="7" borderId="46" xfId="0" applyFill="1" applyBorder="1" applyAlignment="1">
      <alignment horizontal="center" vertical="center"/>
    </xf>
    <xf numFmtId="2" fontId="0" fillId="7" borderId="46" xfId="0" applyNumberFormat="1" applyFill="1" applyBorder="1" applyAlignment="1">
      <alignment horizontal="center" vertical="center"/>
    </xf>
    <xf numFmtId="0" fontId="0" fillId="0" borderId="119" xfId="0" applyBorder="1" applyAlignment="1">
      <alignment horizontal="center"/>
    </xf>
    <xf numFmtId="9" fontId="0" fillId="0" borderId="119" xfId="15" applyFont="1" applyBorder="1" applyAlignment="1">
      <alignment horizontal="center" vertical="center"/>
    </xf>
    <xf numFmtId="0" fontId="77" fillId="0" borderId="46" xfId="0" applyFont="1" applyBorder="1" applyAlignment="1">
      <alignment horizontal="center" vertical="center"/>
    </xf>
    <xf numFmtId="9" fontId="73" fillId="33" borderId="46" xfId="15" applyFont="1" applyFill="1" applyBorder="1" applyAlignment="1">
      <alignment horizontal="center" vertical="center" wrapText="1"/>
    </xf>
    <xf numFmtId="9" fontId="73" fillId="33" borderId="46" xfId="15" applyFont="1" applyFill="1" applyBorder="1" applyAlignment="1">
      <alignment horizontal="center" vertical="center"/>
    </xf>
    <xf numFmtId="0" fontId="13" fillId="0" borderId="0" xfId="0" applyFont="1" applyAlignment="1">
      <alignment horizontal="left" vertical="center"/>
    </xf>
    <xf numFmtId="0" fontId="25" fillId="7" borderId="0" xfId="0" applyFont="1" applyFill="1" applyAlignment="1">
      <alignment horizontal="center" vertical="center"/>
    </xf>
    <xf numFmtId="0" fontId="75" fillId="30" borderId="115" xfId="0" applyFont="1" applyFill="1" applyBorder="1" applyAlignment="1">
      <alignment horizontal="left" vertical="center"/>
    </xf>
    <xf numFmtId="0" fontId="62" fillId="0" borderId="224" xfId="0" applyFont="1" applyBorder="1" applyAlignment="1">
      <alignment horizontal="center" vertical="center"/>
    </xf>
    <xf numFmtId="0" fontId="0" fillId="0" borderId="116" xfId="0" applyBorder="1" applyAlignment="1">
      <alignment horizontal="left" vertical="center"/>
    </xf>
    <xf numFmtId="2" fontId="0" fillId="0" borderId="116" xfId="15" applyNumberFormat="1" applyFont="1" applyBorder="1" applyAlignment="1">
      <alignment horizontal="center" vertical="center"/>
    </xf>
    <xf numFmtId="175" fontId="0" fillId="0" borderId="116" xfId="15" applyNumberFormat="1" applyFont="1" applyBorder="1" applyAlignment="1">
      <alignment horizontal="center" vertical="center"/>
    </xf>
    <xf numFmtId="0" fontId="0" fillId="0" borderId="116" xfId="0" applyBorder="1" applyAlignment="1">
      <alignment horizontal="center" vertical="center"/>
    </xf>
    <xf numFmtId="0" fontId="0" fillId="0" borderId="115" xfId="0" applyBorder="1" applyAlignment="1">
      <alignment horizontal="center" vertical="center"/>
    </xf>
    <xf numFmtId="0" fontId="26" fillId="30" borderId="0" xfId="0" applyFont="1" applyFill="1" applyAlignment="1">
      <alignment vertical="center"/>
    </xf>
    <xf numFmtId="0" fontId="62" fillId="0" borderId="116" xfId="0" applyFont="1" applyBorder="1" applyAlignment="1">
      <alignment horizontal="center" vertical="center"/>
    </xf>
    <xf numFmtId="0" fontId="0" fillId="0" borderId="224" xfId="0" applyBorder="1" applyAlignment="1">
      <alignment horizontal="left" vertical="center"/>
    </xf>
    <xf numFmtId="0" fontId="0" fillId="0" borderId="174" xfId="0" applyBorder="1" applyAlignment="1">
      <alignment horizontal="center" vertical="center"/>
    </xf>
    <xf numFmtId="0" fontId="0" fillId="0" borderId="224" xfId="0" applyBorder="1" applyAlignment="1">
      <alignment horizontal="center" vertical="center"/>
    </xf>
    <xf numFmtId="0" fontId="0" fillId="0" borderId="119" xfId="0" applyBorder="1" applyAlignment="1">
      <alignment horizontal="center" vertical="center"/>
    </xf>
    <xf numFmtId="0" fontId="0" fillId="7" borderId="226" xfId="0" applyFill="1" applyBorder="1" applyAlignment="1">
      <alignment horizontal="center" vertical="center"/>
    </xf>
    <xf numFmtId="0" fontId="75" fillId="30" borderId="0" xfId="0" applyFont="1" applyFill="1" applyAlignment="1">
      <alignment horizontal="left" vertical="center"/>
    </xf>
    <xf numFmtId="0" fontId="62" fillId="0" borderId="119" xfId="0" applyFont="1" applyBorder="1" applyAlignment="1">
      <alignment horizontal="center" vertical="center"/>
    </xf>
    <xf numFmtId="0" fontId="0" fillId="0" borderId="169" xfId="0" applyBorder="1" applyAlignment="1">
      <alignment horizontal="left" vertical="center"/>
    </xf>
    <xf numFmtId="0" fontId="0" fillId="0" borderId="119" xfId="0" applyBorder="1" applyAlignment="1">
      <alignment horizontal="left" vertical="center"/>
    </xf>
    <xf numFmtId="0" fontId="0" fillId="0" borderId="226" xfId="0" applyBorder="1" applyAlignment="1">
      <alignment horizontal="left" vertical="center"/>
    </xf>
    <xf numFmtId="2" fontId="0" fillId="0" borderId="119" xfId="15" applyNumberFormat="1" applyFont="1" applyBorder="1" applyAlignment="1">
      <alignment horizontal="center" vertical="center"/>
    </xf>
    <xf numFmtId="175" fontId="0" fillId="0" borderId="119" xfId="15" applyNumberFormat="1" applyFont="1" applyBorder="1" applyAlignment="1">
      <alignment horizontal="center" vertical="center"/>
    </xf>
    <xf numFmtId="0" fontId="0" fillId="0" borderId="226" xfId="0" applyBorder="1" applyAlignment="1">
      <alignment horizontal="center" vertical="center"/>
    </xf>
    <xf numFmtId="0" fontId="0" fillId="7" borderId="0" xfId="0" applyFill="1" applyAlignment="1">
      <alignment vertical="center"/>
    </xf>
    <xf numFmtId="0" fontId="0" fillId="0" borderId="118" xfId="0" applyBorder="1" applyAlignment="1">
      <alignment horizontal="left" vertical="center"/>
    </xf>
    <xf numFmtId="0" fontId="13" fillId="0" borderId="0" xfId="0" applyFont="1" applyAlignment="1">
      <alignment vertical="center"/>
    </xf>
    <xf numFmtId="0" fontId="0" fillId="0" borderId="118" xfId="0" applyBorder="1" applyAlignment="1">
      <alignment horizontal="center" vertical="center"/>
    </xf>
    <xf numFmtId="0" fontId="0" fillId="0" borderId="178" xfId="0" applyBorder="1" applyAlignment="1">
      <alignment horizontal="center" vertical="center"/>
    </xf>
    <xf numFmtId="176" fontId="0" fillId="0" borderId="46" xfId="0" applyNumberFormat="1" applyBorder="1" applyAlignment="1">
      <alignment horizontal="center" vertical="center"/>
    </xf>
    <xf numFmtId="0" fontId="13" fillId="0" borderId="226" xfId="0" applyFont="1" applyBorder="1" applyAlignment="1">
      <alignment vertical="center"/>
    </xf>
    <xf numFmtId="0" fontId="0" fillId="7" borderId="178" xfId="0" applyFill="1" applyBorder="1" applyAlignment="1">
      <alignment horizontal="center" vertical="center"/>
    </xf>
    <xf numFmtId="0" fontId="26" fillId="30" borderId="178" xfId="0" applyFont="1" applyFill="1" applyBorder="1" applyAlignment="1">
      <alignment vertical="center"/>
    </xf>
    <xf numFmtId="9" fontId="62" fillId="11" borderId="115" xfId="15" applyFont="1" applyFill="1" applyBorder="1" applyAlignment="1">
      <alignment horizontal="center" vertical="center" wrapText="1"/>
    </xf>
    <xf numFmtId="0" fontId="62" fillId="11" borderId="115" xfId="15" applyNumberFormat="1" applyFont="1" applyFill="1" applyBorder="1" applyAlignment="1">
      <alignment horizontal="center" vertical="center" wrapText="1"/>
    </xf>
    <xf numFmtId="9" fontId="73" fillId="11" borderId="46" xfId="15" applyFont="1" applyFill="1" applyBorder="1" applyAlignment="1">
      <alignment horizontal="center" vertical="center" wrapText="1"/>
    </xf>
    <xf numFmtId="3" fontId="59" fillId="36" borderId="167" xfId="0" applyNumberFormat="1" applyFont="1" applyFill="1" applyBorder="1" applyAlignment="1">
      <alignment horizontal="center" vertical="center"/>
    </xf>
    <xf numFmtId="3" fontId="1" fillId="41" borderId="44" xfId="29" applyNumberFormat="1" applyFont="1" applyFill="1" applyBorder="1" applyAlignment="1">
      <alignment horizontal="center" vertical="center"/>
    </xf>
    <xf numFmtId="9" fontId="8" fillId="0" borderId="107" xfId="15" applyFont="1" applyBorder="1" applyAlignment="1">
      <alignment horizontal="center" vertical="center"/>
    </xf>
    <xf numFmtId="9" fontId="8" fillId="15" borderId="100" xfId="15" applyFont="1" applyFill="1" applyBorder="1" applyAlignment="1">
      <alignment horizontal="center" vertical="center"/>
    </xf>
    <xf numFmtId="10" fontId="33" fillId="17" borderId="0" xfId="15" applyNumberFormat="1" applyFont="1" applyFill="1" applyAlignment="1">
      <alignment horizontal="center"/>
    </xf>
    <xf numFmtId="168" fontId="33" fillId="17" borderId="0" xfId="15" applyNumberFormat="1" applyFont="1" applyFill="1" applyAlignment="1">
      <alignment horizontal="center"/>
    </xf>
    <xf numFmtId="10" fontId="33" fillId="17" borderId="0" xfId="0" applyNumberFormat="1" applyFont="1" applyFill="1" applyAlignment="1">
      <alignment horizontal="center"/>
    </xf>
    <xf numFmtId="0" fontId="1" fillId="0" borderId="46" xfId="0" applyFont="1" applyBorder="1"/>
    <xf numFmtId="166" fontId="1" fillId="0" borderId="46" xfId="0" applyNumberFormat="1" applyFont="1" applyBorder="1" applyAlignment="1">
      <alignment horizontal="center"/>
    </xf>
    <xf numFmtId="166" fontId="1" fillId="0" borderId="0" xfId="0" applyNumberFormat="1" applyFont="1" applyAlignment="1">
      <alignment horizontal="center"/>
    </xf>
    <xf numFmtId="172" fontId="8" fillId="22" borderId="19" xfId="0" applyNumberFormat="1" applyFont="1" applyFill="1" applyBorder="1" applyAlignment="1">
      <alignment horizontal="center" vertical="center"/>
    </xf>
    <xf numFmtId="3" fontId="5" fillId="0" borderId="150" xfId="28" applyNumberFormat="1" applyBorder="1" applyAlignment="1">
      <alignment horizontal="center"/>
    </xf>
    <xf numFmtId="1" fontId="51" fillId="0" borderId="147" xfId="0" applyNumberFormat="1" applyFont="1" applyBorder="1" applyAlignment="1">
      <alignment horizontal="center" vertical="center"/>
    </xf>
    <xf numFmtId="1" fontId="51" fillId="0" borderId="148" xfId="0" applyNumberFormat="1" applyFont="1" applyBorder="1" applyAlignment="1">
      <alignment horizontal="center" vertical="center"/>
    </xf>
    <xf numFmtId="1" fontId="51" fillId="0" borderId="149" xfId="0" applyNumberFormat="1" applyFont="1" applyBorder="1" applyAlignment="1">
      <alignment horizontal="center" vertical="center"/>
    </xf>
    <xf numFmtId="4" fontId="5" fillId="0" borderId="151" xfId="28" applyNumberFormat="1" applyBorder="1" applyAlignment="1">
      <alignment horizontal="center"/>
    </xf>
    <xf numFmtId="4" fontId="5" fillId="0" borderId="164" xfId="28" applyNumberFormat="1" applyBorder="1" applyAlignment="1">
      <alignment horizontal="center"/>
    </xf>
    <xf numFmtId="0" fontId="51" fillId="0" borderId="225" xfId="0" applyFont="1" applyBorder="1" applyAlignment="1">
      <alignment horizontal="center" vertical="center"/>
    </xf>
    <xf numFmtId="167" fontId="13" fillId="0" borderId="231" xfId="0" applyNumberFormat="1" applyFont="1" applyBorder="1" applyAlignment="1">
      <alignment horizontal="center"/>
    </xf>
    <xf numFmtId="167" fontId="13" fillId="0" borderId="40" xfId="0" applyNumberFormat="1" applyFont="1" applyBorder="1" applyAlignment="1">
      <alignment horizontal="center"/>
    </xf>
    <xf numFmtId="0" fontId="13" fillId="0" borderId="231" xfId="0" applyFont="1" applyBorder="1" applyAlignment="1">
      <alignment horizontal="center"/>
    </xf>
    <xf numFmtId="10" fontId="0" fillId="31" borderId="77" xfId="0" applyNumberFormat="1" applyFill="1" applyBorder="1"/>
    <xf numFmtId="166" fontId="8" fillId="0" borderId="100" xfId="0" applyNumberFormat="1" applyFont="1" applyBorder="1" applyAlignment="1">
      <alignment horizontal="center"/>
    </xf>
    <xf numFmtId="1" fontId="8" fillId="0" borderId="235" xfId="0" applyNumberFormat="1" applyFont="1" applyBorder="1" applyAlignment="1">
      <alignment horizontal="center" vertical="center"/>
    </xf>
    <xf numFmtId="1" fontId="8" fillId="0" borderId="236" xfId="0" applyNumberFormat="1" applyFont="1" applyBorder="1" applyAlignment="1">
      <alignment horizontal="center" vertical="center"/>
    </xf>
    <xf numFmtId="1" fontId="8" fillId="0" borderId="237" xfId="0" applyNumberFormat="1" applyFont="1" applyBorder="1" applyAlignment="1">
      <alignment horizontal="center" vertical="center"/>
    </xf>
    <xf numFmtId="1" fontId="8" fillId="0" borderId="238" xfId="0" applyNumberFormat="1" applyFont="1" applyBorder="1" applyAlignment="1">
      <alignment horizontal="center" vertical="center"/>
    </xf>
    <xf numFmtId="1" fontId="8" fillId="0" borderId="239" xfId="0" applyNumberFormat="1" applyFont="1" applyBorder="1" applyAlignment="1">
      <alignment horizontal="center" vertical="center"/>
    </xf>
    <xf numFmtId="1" fontId="8" fillId="0" borderId="240" xfId="0" applyNumberFormat="1" applyFont="1" applyBorder="1" applyAlignment="1">
      <alignment horizontal="center" vertical="center"/>
    </xf>
    <xf numFmtId="1" fontId="8" fillId="0" borderId="241" xfId="0" applyNumberFormat="1" applyFont="1" applyBorder="1" applyAlignment="1">
      <alignment horizontal="center" vertical="center"/>
    </xf>
    <xf numFmtId="3" fontId="8" fillId="0" borderId="242" xfId="0" applyNumberFormat="1" applyFont="1" applyBorder="1" applyAlignment="1">
      <alignment horizontal="center" vertical="center"/>
    </xf>
    <xf numFmtId="1" fontId="56" fillId="0" borderId="243" xfId="0" applyNumberFormat="1" applyFont="1" applyBorder="1" applyAlignment="1">
      <alignment horizontal="center" vertical="center"/>
    </xf>
    <xf numFmtId="1" fontId="56" fillId="39" borderId="244" xfId="0" applyNumberFormat="1" applyFont="1" applyFill="1" applyBorder="1" applyAlignment="1">
      <alignment horizontal="center" vertical="center"/>
    </xf>
    <xf numFmtId="1" fontId="56" fillId="39" borderId="245" xfId="0" applyNumberFormat="1" applyFont="1" applyFill="1" applyBorder="1" applyAlignment="1">
      <alignment horizontal="center" vertical="center"/>
    </xf>
    <xf numFmtId="1" fontId="56" fillId="0" borderId="242" xfId="0" applyNumberFormat="1" applyFont="1" applyBorder="1" applyAlignment="1">
      <alignment horizontal="center" vertical="center"/>
    </xf>
    <xf numFmtId="1" fontId="56" fillId="39" borderId="242" xfId="0" applyNumberFormat="1" applyFont="1" applyFill="1" applyBorder="1" applyAlignment="1">
      <alignment horizontal="center" vertical="center"/>
    </xf>
    <xf numFmtId="1" fontId="56" fillId="39" borderId="243" xfId="0" applyNumberFormat="1" applyFont="1" applyFill="1" applyBorder="1" applyAlignment="1">
      <alignment horizontal="center" vertical="center"/>
    </xf>
    <xf numFmtId="1" fontId="56" fillId="0" borderId="245" xfId="0" applyNumberFormat="1" applyFont="1" applyBorder="1" applyAlignment="1">
      <alignment horizontal="center" vertical="center"/>
    </xf>
    <xf numFmtId="3" fontId="56" fillId="39" borderId="247" xfId="0" applyNumberFormat="1" applyFont="1" applyFill="1" applyBorder="1" applyAlignment="1">
      <alignment horizontal="center" vertical="center"/>
    </xf>
    <xf numFmtId="3" fontId="56" fillId="39" borderId="248" xfId="0" applyNumberFormat="1" applyFont="1" applyFill="1" applyBorder="1" applyAlignment="1">
      <alignment horizontal="center" vertical="center"/>
    </xf>
    <xf numFmtId="3" fontId="56" fillId="39" borderId="249" xfId="0" applyNumberFormat="1" applyFont="1" applyFill="1" applyBorder="1" applyAlignment="1">
      <alignment horizontal="center" vertical="center"/>
    </xf>
    <xf numFmtId="3" fontId="56" fillId="39" borderId="250" xfId="0" applyNumberFormat="1" applyFont="1" applyFill="1" applyBorder="1" applyAlignment="1">
      <alignment horizontal="center" vertical="center"/>
    </xf>
    <xf numFmtId="3" fontId="56" fillId="39" borderId="251" xfId="0" applyNumberFormat="1" applyFont="1" applyFill="1" applyBorder="1" applyAlignment="1">
      <alignment horizontal="center" vertical="center"/>
    </xf>
    <xf numFmtId="0" fontId="56" fillId="0" borderId="166" xfId="0" applyFont="1" applyBorder="1" applyAlignment="1">
      <alignment horizontal="center" vertical="center"/>
    </xf>
    <xf numFmtId="0" fontId="56" fillId="0" borderId="44" xfId="0" applyFont="1" applyBorder="1" applyAlignment="1">
      <alignment horizontal="center" vertical="center"/>
    </xf>
    <xf numFmtId="3" fontId="56" fillId="38" borderId="44" xfId="0" applyNumberFormat="1" applyFont="1" applyFill="1" applyBorder="1" applyAlignment="1">
      <alignment horizontal="center" vertical="center"/>
    </xf>
    <xf numFmtId="0" fontId="56" fillId="39" borderId="44" xfId="0" applyFont="1" applyFill="1" applyBorder="1" applyAlignment="1">
      <alignment horizontal="center" vertical="center"/>
    </xf>
    <xf numFmtId="3" fontId="56" fillId="38" borderId="44" xfId="0" quotePrefix="1" applyNumberFormat="1" applyFont="1" applyFill="1" applyBorder="1" applyAlignment="1">
      <alignment horizontal="center" vertical="center"/>
    </xf>
    <xf numFmtId="3" fontId="56" fillId="0" borderId="44" xfId="0" applyNumberFormat="1" applyFont="1" applyBorder="1" applyAlignment="1">
      <alignment horizontal="center" vertical="center"/>
    </xf>
    <xf numFmtId="0" fontId="53" fillId="0" borderId="115" xfId="0" applyFont="1" applyBorder="1" applyAlignment="1">
      <alignment horizontal="center"/>
    </xf>
    <xf numFmtId="0" fontId="13" fillId="0" borderId="244" xfId="0" applyFont="1" applyBorder="1" applyAlignment="1">
      <alignment horizontal="center"/>
    </xf>
    <xf numFmtId="0" fontId="8" fillId="35" borderId="252" xfId="0" applyFont="1" applyFill="1" applyBorder="1"/>
    <xf numFmtId="0" fontId="13" fillId="0" borderId="252" xfId="0" applyFont="1" applyBorder="1"/>
    <xf numFmtId="0" fontId="8" fillId="0" borderId="252" xfId="0" applyFont="1" applyBorder="1"/>
    <xf numFmtId="0" fontId="13" fillId="0" borderId="253" xfId="0" applyFont="1" applyBorder="1" applyAlignment="1">
      <alignment horizontal="center"/>
    </xf>
    <xf numFmtId="0" fontId="8" fillId="0" borderId="146" xfId="0" applyFont="1" applyBorder="1"/>
    <xf numFmtId="9" fontId="31" fillId="36" borderId="179" xfId="15" applyFont="1" applyFill="1" applyBorder="1" applyAlignment="1">
      <alignment horizontal="center" vertical="center"/>
    </xf>
    <xf numFmtId="3" fontId="1" fillId="41" borderId="1" xfId="29" applyNumberFormat="1" applyFont="1" applyFill="1" applyBorder="1" applyAlignment="1">
      <alignment horizontal="center" vertical="center"/>
    </xf>
    <xf numFmtId="168" fontId="31" fillId="36" borderId="45" xfId="15" applyNumberFormat="1" applyFont="1" applyFill="1" applyBorder="1" applyAlignment="1">
      <alignment horizontal="center" vertical="center"/>
    </xf>
    <xf numFmtId="3" fontId="59" fillId="0" borderId="45" xfId="0" applyNumberFormat="1" applyFont="1" applyBorder="1" applyAlignment="1">
      <alignment horizontal="center" vertical="center"/>
    </xf>
    <xf numFmtId="0" fontId="65" fillId="36" borderId="45" xfId="0" applyFont="1" applyFill="1" applyBorder="1" applyAlignment="1">
      <alignment horizontal="center" vertical="center"/>
    </xf>
    <xf numFmtId="3" fontId="24" fillId="36" borderId="45" xfId="0" applyNumberFormat="1" applyFont="1" applyFill="1" applyBorder="1" applyAlignment="1">
      <alignment horizontal="center" vertical="center"/>
    </xf>
    <xf numFmtId="3" fontId="59" fillId="36" borderId="45" xfId="0" applyNumberFormat="1" applyFont="1" applyFill="1" applyBorder="1" applyAlignment="1">
      <alignment horizontal="center" vertical="center"/>
    </xf>
    <xf numFmtId="0" fontId="53" fillId="0" borderId="255" xfId="0" applyFont="1" applyBorder="1" applyAlignment="1">
      <alignment horizontal="center"/>
    </xf>
    <xf numFmtId="0" fontId="54" fillId="0" borderId="188" xfId="0" applyFont="1" applyBorder="1" applyAlignment="1">
      <alignment horizontal="center"/>
    </xf>
    <xf numFmtId="0" fontId="13" fillId="35" borderId="252" xfId="0" applyFont="1" applyFill="1" applyBorder="1"/>
    <xf numFmtId="3" fontId="33" fillId="45" borderId="0" xfId="0" applyNumberFormat="1" applyFont="1" applyFill="1" applyAlignment="1">
      <alignment horizontal="center"/>
    </xf>
    <xf numFmtId="0" fontId="33" fillId="45" borderId="0" xfId="0" applyFont="1" applyFill="1" applyAlignment="1">
      <alignment horizontal="center"/>
    </xf>
    <xf numFmtId="10" fontId="33" fillId="0" borderId="0" xfId="0" applyNumberFormat="1" applyFont="1"/>
    <xf numFmtId="10" fontId="0" fillId="31" borderId="51" xfId="0" applyNumberFormat="1" applyFill="1" applyBorder="1"/>
    <xf numFmtId="0" fontId="78" fillId="46" borderId="256" xfId="0" applyFont="1" applyFill="1" applyBorder="1"/>
    <xf numFmtId="0" fontId="78" fillId="46" borderId="41" xfId="0" applyFont="1" applyFill="1" applyBorder="1"/>
    <xf numFmtId="0" fontId="78" fillId="46" borderId="257" xfId="0" applyFont="1" applyFill="1" applyBorder="1"/>
    <xf numFmtId="3" fontId="78" fillId="47" borderId="204" xfId="0" applyNumberFormat="1" applyFont="1" applyFill="1" applyBorder="1" applyAlignment="1">
      <alignment wrapText="1"/>
    </xf>
    <xf numFmtId="3" fontId="78" fillId="47" borderId="258" xfId="0" applyNumberFormat="1" applyFont="1" applyFill="1" applyBorder="1" applyAlignment="1">
      <alignment wrapText="1"/>
    </xf>
    <xf numFmtId="3" fontId="78" fillId="47" borderId="0" xfId="0" applyNumberFormat="1" applyFont="1" applyFill="1" applyAlignment="1">
      <alignment wrapText="1"/>
    </xf>
    <xf numFmtId="0" fontId="78" fillId="48" borderId="204" xfId="0" applyFont="1" applyFill="1" applyBorder="1" applyAlignment="1">
      <alignment wrapText="1"/>
    </xf>
    <xf numFmtId="0" fontId="78" fillId="48" borderId="258" xfId="0" applyFont="1" applyFill="1" applyBorder="1" applyAlignment="1">
      <alignment wrapText="1"/>
    </xf>
    <xf numFmtId="0" fontId="78" fillId="48" borderId="258" xfId="0" quotePrefix="1" applyFont="1" applyFill="1" applyBorder="1" applyAlignment="1">
      <alignment wrapText="1"/>
    </xf>
    <xf numFmtId="0" fontId="78" fillId="48" borderId="0" xfId="0" applyFont="1" applyFill="1" applyAlignment="1">
      <alignment wrapText="1"/>
    </xf>
    <xf numFmtId="0" fontId="78" fillId="48" borderId="0" xfId="0" quotePrefix="1" applyFont="1" applyFill="1" applyAlignment="1">
      <alignment wrapText="1"/>
    </xf>
    <xf numFmtId="0" fontId="78" fillId="48" borderId="204" xfId="0" quotePrefix="1" applyFont="1" applyFill="1" applyBorder="1" applyAlignment="1">
      <alignment wrapText="1"/>
    </xf>
    <xf numFmtId="0" fontId="79" fillId="49" borderId="204" xfId="0" applyFont="1" applyFill="1" applyBorder="1" applyAlignment="1">
      <alignment wrapText="1"/>
    </xf>
    <xf numFmtId="3" fontId="79" fillId="49" borderId="204" xfId="0" applyNumberFormat="1" applyFont="1" applyFill="1" applyBorder="1" applyAlignment="1">
      <alignment wrapText="1"/>
    </xf>
    <xf numFmtId="0" fontId="79" fillId="49" borderId="258" xfId="0" applyFont="1" applyFill="1" applyBorder="1" applyAlignment="1">
      <alignment wrapText="1"/>
    </xf>
    <xf numFmtId="3" fontId="79" fillId="49" borderId="258" xfId="0" applyNumberFormat="1" applyFont="1" applyFill="1" applyBorder="1" applyAlignment="1">
      <alignment wrapText="1"/>
    </xf>
    <xf numFmtId="0" fontId="79" fillId="49" borderId="0" xfId="0" applyFont="1" applyFill="1" applyAlignment="1">
      <alignment wrapText="1"/>
    </xf>
    <xf numFmtId="3" fontId="79" fillId="49" borderId="0" xfId="0" applyNumberFormat="1" applyFont="1" applyFill="1" applyAlignment="1">
      <alignment wrapText="1"/>
    </xf>
    <xf numFmtId="3" fontId="78" fillId="47" borderId="204" xfId="0" applyNumberFormat="1" applyFont="1" applyFill="1" applyBorder="1"/>
    <xf numFmtId="3" fontId="78" fillId="47" borderId="258" xfId="0" applyNumberFormat="1" applyFont="1" applyFill="1" applyBorder="1"/>
    <xf numFmtId="3" fontId="78" fillId="47" borderId="0" xfId="0" applyNumberFormat="1" applyFont="1" applyFill="1"/>
    <xf numFmtId="0" fontId="79" fillId="49" borderId="204" xfId="0" quotePrefix="1" applyFont="1" applyFill="1" applyBorder="1" applyAlignment="1">
      <alignment wrapText="1"/>
    </xf>
    <xf numFmtId="0" fontId="79" fillId="49" borderId="258" xfId="0" quotePrefix="1" applyFont="1" applyFill="1" applyBorder="1" applyAlignment="1">
      <alignment wrapText="1"/>
    </xf>
    <xf numFmtId="0" fontId="79" fillId="49" borderId="0" xfId="0" quotePrefix="1" applyFont="1" applyFill="1" applyAlignment="1">
      <alignment wrapText="1"/>
    </xf>
    <xf numFmtId="0" fontId="78" fillId="50" borderId="204" xfId="0" applyFont="1" applyFill="1" applyBorder="1"/>
    <xf numFmtId="0" fontId="78" fillId="50" borderId="258" xfId="0" applyFont="1" applyFill="1" applyBorder="1"/>
    <xf numFmtId="0" fontId="78" fillId="50" borderId="0" xfId="0" applyFont="1" applyFill="1"/>
    <xf numFmtId="0" fontId="79" fillId="38" borderId="204" xfId="0" quotePrefix="1" applyFont="1" applyFill="1" applyBorder="1" applyAlignment="1">
      <alignment wrapText="1"/>
    </xf>
    <xf numFmtId="0" fontId="79" fillId="38" borderId="258" xfId="0" applyFont="1" applyFill="1" applyBorder="1" applyAlignment="1">
      <alignment wrapText="1"/>
    </xf>
    <xf numFmtId="0" fontId="79" fillId="38" borderId="258" xfId="0" quotePrefix="1" applyFont="1" applyFill="1" applyBorder="1" applyAlignment="1">
      <alignment wrapText="1"/>
    </xf>
    <xf numFmtId="0" fontId="79" fillId="38" borderId="0" xfId="0" quotePrefix="1" applyFont="1" applyFill="1" applyAlignment="1">
      <alignment wrapText="1"/>
    </xf>
    <xf numFmtId="0" fontId="81" fillId="38" borderId="258" xfId="0" applyFont="1" applyFill="1" applyBorder="1" applyAlignment="1">
      <alignment wrapText="1"/>
    </xf>
    <xf numFmtId="0" fontId="81" fillId="49" borderId="204" xfId="0" applyFont="1" applyFill="1" applyBorder="1" applyAlignment="1">
      <alignment wrapText="1"/>
    </xf>
    <xf numFmtId="0" fontId="81" fillId="49" borderId="258" xfId="0" applyFont="1" applyFill="1" applyBorder="1" applyAlignment="1">
      <alignment wrapText="1"/>
    </xf>
    <xf numFmtId="0" fontId="81" fillId="49" borderId="0" xfId="0" applyFont="1" applyFill="1" applyAlignment="1">
      <alignment wrapText="1"/>
    </xf>
    <xf numFmtId="0" fontId="81" fillId="38" borderId="0" xfId="0" applyFont="1" applyFill="1" applyAlignment="1">
      <alignment wrapText="1"/>
    </xf>
    <xf numFmtId="0" fontId="81" fillId="38" borderId="204" xfId="0" applyFont="1" applyFill="1" applyBorder="1" applyAlignment="1">
      <alignment wrapText="1"/>
    </xf>
    <xf numFmtId="0" fontId="79" fillId="0" borderId="204" xfId="0" applyFont="1" applyBorder="1" applyAlignment="1">
      <alignment wrapText="1"/>
    </xf>
    <xf numFmtId="0" fontId="79" fillId="0" borderId="258" xfId="0" applyFont="1" applyBorder="1" applyAlignment="1">
      <alignment wrapText="1"/>
    </xf>
    <xf numFmtId="0" fontId="79" fillId="0" borderId="258" xfId="0" quotePrefix="1" applyFont="1" applyBorder="1" applyAlignment="1">
      <alignment wrapText="1"/>
    </xf>
    <xf numFmtId="0" fontId="79" fillId="0" borderId="0" xfId="0" applyFont="1" applyAlignment="1">
      <alignment wrapText="1"/>
    </xf>
    <xf numFmtId="0" fontId="79" fillId="0" borderId="0" xfId="0" quotePrefix="1" applyFont="1" applyAlignment="1">
      <alignment wrapText="1"/>
    </xf>
    <xf numFmtId="0" fontId="81" fillId="0" borderId="204" xfId="0" applyFont="1" applyBorder="1" applyAlignment="1">
      <alignment wrapText="1"/>
    </xf>
    <xf numFmtId="0" fontId="81" fillId="51" borderId="258" xfId="0" applyFont="1" applyFill="1" applyBorder="1"/>
    <xf numFmtId="0" fontId="81" fillId="51" borderId="0" xfId="0" applyFont="1" applyFill="1"/>
    <xf numFmtId="0" fontId="81" fillId="51" borderId="204" xfId="0" applyFont="1" applyFill="1" applyBorder="1"/>
    <xf numFmtId="0" fontId="81" fillId="48" borderId="204" xfId="0" applyFont="1" applyFill="1" applyBorder="1" applyAlignment="1">
      <alignment wrapText="1"/>
    </xf>
    <xf numFmtId="0" fontId="81" fillId="48" borderId="258" xfId="0" applyFont="1" applyFill="1" applyBorder="1" applyAlignment="1">
      <alignment wrapText="1"/>
    </xf>
    <xf numFmtId="0" fontId="79" fillId="48" borderId="204" xfId="0" applyFont="1" applyFill="1" applyBorder="1" applyAlignment="1">
      <alignment wrapText="1"/>
    </xf>
    <xf numFmtId="0" fontId="79" fillId="48" borderId="0" xfId="0" applyFont="1" applyFill="1" applyAlignment="1">
      <alignment wrapText="1"/>
    </xf>
    <xf numFmtId="0" fontId="78" fillId="50" borderId="163" xfId="0" applyFont="1" applyFill="1" applyBorder="1" applyAlignment="1">
      <alignment wrapText="1"/>
    </xf>
    <xf numFmtId="0" fontId="78" fillId="50" borderId="144" xfId="0" applyFont="1" applyFill="1" applyBorder="1" applyAlignment="1">
      <alignment wrapText="1"/>
    </xf>
    <xf numFmtId="0" fontId="78" fillId="50" borderId="152" xfId="0" applyFont="1" applyFill="1" applyBorder="1" applyAlignment="1">
      <alignment wrapText="1"/>
    </xf>
    <xf numFmtId="0" fontId="78" fillId="46" borderId="127" xfId="0" applyFont="1" applyFill="1" applyBorder="1"/>
    <xf numFmtId="0" fontId="78" fillId="46" borderId="145" xfId="0" applyFont="1" applyFill="1" applyBorder="1"/>
    <xf numFmtId="0" fontId="79" fillId="49" borderId="125" xfId="0" applyFont="1" applyFill="1" applyBorder="1"/>
    <xf numFmtId="0" fontId="79" fillId="49" borderId="122" xfId="0" applyFont="1" applyFill="1" applyBorder="1"/>
    <xf numFmtId="0" fontId="78" fillId="50" borderId="125" xfId="0" applyFont="1" applyFill="1" applyBorder="1"/>
    <xf numFmtId="0" fontId="78" fillId="50" borderId="122" xfId="0" applyFont="1" applyFill="1" applyBorder="1"/>
    <xf numFmtId="0" fontId="79" fillId="38" borderId="125" xfId="0" applyFont="1" applyFill="1" applyBorder="1"/>
    <xf numFmtId="0" fontId="79" fillId="38" borderId="122" xfId="0" applyFont="1" applyFill="1" applyBorder="1"/>
    <xf numFmtId="0" fontId="79" fillId="0" borderId="125" xfId="0" applyFont="1" applyBorder="1"/>
    <xf numFmtId="0" fontId="79" fillId="0" borderId="122" xfId="0" applyFont="1" applyBorder="1"/>
    <xf numFmtId="0" fontId="78" fillId="51" borderId="125" xfId="0" applyFont="1" applyFill="1" applyBorder="1"/>
    <xf numFmtId="0" fontId="78" fillId="51" borderId="122" xfId="0" applyFont="1" applyFill="1" applyBorder="1"/>
    <xf numFmtId="0" fontId="78" fillId="46" borderId="256" xfId="0" applyFont="1" applyFill="1" applyBorder="1" applyAlignment="1">
      <alignment horizontal="center" vertical="center"/>
    </xf>
    <xf numFmtId="0" fontId="78" fillId="46" borderId="41" xfId="0" applyFont="1" applyFill="1" applyBorder="1" applyAlignment="1">
      <alignment horizontal="center" vertical="center"/>
    </xf>
    <xf numFmtId="0" fontId="78" fillId="46" borderId="257" xfId="0" applyFont="1" applyFill="1" applyBorder="1" applyAlignment="1">
      <alignment horizontal="center" vertical="center"/>
    </xf>
    <xf numFmtId="3" fontId="78" fillId="47" borderId="204" xfId="0" applyNumberFormat="1" applyFont="1" applyFill="1" applyBorder="1" applyAlignment="1">
      <alignment horizontal="center" vertical="center" wrapText="1"/>
    </xf>
    <xf numFmtId="3" fontId="78" fillId="47" borderId="258" xfId="0" applyNumberFormat="1" applyFont="1" applyFill="1" applyBorder="1" applyAlignment="1">
      <alignment horizontal="center" vertical="center" wrapText="1"/>
    </xf>
    <xf numFmtId="3" fontId="78" fillId="47" borderId="0" xfId="0" applyNumberFormat="1" applyFont="1" applyFill="1" applyAlignment="1">
      <alignment horizontal="center" vertical="center" wrapText="1"/>
    </xf>
    <xf numFmtId="0" fontId="78" fillId="48" borderId="204" xfId="0" applyFont="1" applyFill="1" applyBorder="1" applyAlignment="1">
      <alignment horizontal="center" vertical="center" wrapText="1"/>
    </xf>
    <xf numFmtId="0" fontId="78" fillId="48" borderId="258" xfId="0" applyFont="1" applyFill="1" applyBorder="1" applyAlignment="1">
      <alignment horizontal="center" vertical="center" wrapText="1"/>
    </xf>
    <xf numFmtId="0" fontId="78" fillId="48" borderId="258" xfId="0" quotePrefix="1" applyFont="1" applyFill="1" applyBorder="1" applyAlignment="1">
      <alignment horizontal="center" vertical="center" wrapText="1"/>
    </xf>
    <xf numFmtId="0" fontId="78" fillId="48" borderId="0" xfId="0" quotePrefix="1" applyFont="1" applyFill="1" applyAlignment="1">
      <alignment horizontal="center" vertical="center" wrapText="1"/>
    </xf>
    <xf numFmtId="0" fontId="78" fillId="48" borderId="204" xfId="0" quotePrefix="1" applyFont="1" applyFill="1" applyBorder="1" applyAlignment="1">
      <alignment horizontal="center" vertical="center" wrapText="1"/>
    </xf>
    <xf numFmtId="3" fontId="79" fillId="49" borderId="204" xfId="0" applyNumberFormat="1" applyFont="1" applyFill="1" applyBorder="1" applyAlignment="1">
      <alignment horizontal="center" vertical="center" wrapText="1"/>
    </xf>
    <xf numFmtId="3" fontId="79" fillId="49" borderId="258" xfId="0" applyNumberFormat="1" applyFont="1" applyFill="1" applyBorder="1" applyAlignment="1">
      <alignment horizontal="center" vertical="center" wrapText="1"/>
    </xf>
    <xf numFmtId="3" fontId="79" fillId="49" borderId="0" xfId="0" applyNumberFormat="1" applyFont="1" applyFill="1" applyAlignment="1">
      <alignment horizontal="center" vertical="center" wrapText="1"/>
    </xf>
    <xf numFmtId="3" fontId="78" fillId="47" borderId="204" xfId="0" applyNumberFormat="1" applyFont="1" applyFill="1" applyBorder="1" applyAlignment="1">
      <alignment horizontal="center" vertical="center"/>
    </xf>
    <xf numFmtId="3" fontId="78" fillId="47" borderId="258" xfId="0" applyNumberFormat="1" applyFont="1" applyFill="1" applyBorder="1" applyAlignment="1">
      <alignment horizontal="center" vertical="center"/>
    </xf>
    <xf numFmtId="3" fontId="78" fillId="47" borderId="0" xfId="0" applyNumberFormat="1" applyFont="1" applyFill="1" applyAlignment="1">
      <alignment horizontal="center" vertical="center"/>
    </xf>
    <xf numFmtId="0" fontId="78" fillId="47" borderId="0" xfId="0" applyFont="1" applyFill="1" applyAlignment="1">
      <alignment horizontal="center" vertical="center"/>
    </xf>
    <xf numFmtId="0" fontId="79" fillId="49" borderId="258" xfId="0" applyFont="1" applyFill="1" applyBorder="1" applyAlignment="1">
      <alignment horizontal="center" vertical="center" wrapText="1"/>
    </xf>
    <xf numFmtId="0" fontId="79" fillId="49" borderId="0" xfId="0" applyFont="1" applyFill="1" applyAlignment="1">
      <alignment horizontal="center" vertical="center" wrapText="1"/>
    </xf>
    <xf numFmtId="0" fontId="79" fillId="49" borderId="204" xfId="0" applyFont="1" applyFill="1" applyBorder="1" applyAlignment="1">
      <alignment horizontal="center" vertical="center" wrapText="1"/>
    </xf>
    <xf numFmtId="0" fontId="79" fillId="49" borderId="204" xfId="0" quotePrefix="1" applyFont="1" applyFill="1" applyBorder="1" applyAlignment="1">
      <alignment horizontal="center" vertical="center" wrapText="1"/>
    </xf>
    <xf numFmtId="0" fontId="79" fillId="49" borderId="258" xfId="0" quotePrefix="1" applyFont="1" applyFill="1" applyBorder="1" applyAlignment="1">
      <alignment horizontal="center" vertical="center" wrapText="1"/>
    </xf>
    <xf numFmtId="0" fontId="79" fillId="49" borderId="0" xfId="0" quotePrefix="1" applyFont="1" applyFill="1" applyAlignment="1">
      <alignment horizontal="center" vertical="center" wrapText="1"/>
    </xf>
    <xf numFmtId="0" fontId="80" fillId="48" borderId="204" xfId="0" applyFont="1" applyFill="1" applyBorder="1" applyAlignment="1">
      <alignment horizontal="center" vertical="center" wrapText="1"/>
    </xf>
    <xf numFmtId="0" fontId="80" fillId="48" borderId="258" xfId="0" applyFont="1" applyFill="1" applyBorder="1" applyAlignment="1">
      <alignment horizontal="center" vertical="center" wrapText="1"/>
    </xf>
    <xf numFmtId="0" fontId="78" fillId="48" borderId="0" xfId="0" applyFont="1" applyFill="1" applyAlignment="1">
      <alignment horizontal="center" vertical="center" wrapText="1"/>
    </xf>
    <xf numFmtId="0" fontId="80" fillId="48" borderId="0" xfId="0" applyFont="1" applyFill="1" applyAlignment="1">
      <alignment horizontal="center" vertical="center" wrapText="1"/>
    </xf>
    <xf numFmtId="3" fontId="80" fillId="48" borderId="204" xfId="0" applyNumberFormat="1" applyFont="1" applyFill="1" applyBorder="1" applyAlignment="1">
      <alignment horizontal="center" vertical="center" wrapText="1"/>
    </xf>
    <xf numFmtId="3" fontId="80" fillId="48" borderId="258" xfId="0" applyNumberFormat="1" applyFont="1" applyFill="1" applyBorder="1" applyAlignment="1">
      <alignment horizontal="center" vertical="center" wrapText="1"/>
    </xf>
    <xf numFmtId="3" fontId="78" fillId="48" borderId="0" xfId="0" applyNumberFormat="1" applyFont="1" applyFill="1" applyAlignment="1">
      <alignment horizontal="center" vertical="center" wrapText="1"/>
    </xf>
    <xf numFmtId="3" fontId="78" fillId="48" borderId="258" xfId="0" applyNumberFormat="1" applyFont="1" applyFill="1" applyBorder="1" applyAlignment="1">
      <alignment horizontal="center" vertical="center" wrapText="1"/>
    </xf>
    <xf numFmtId="3" fontId="78" fillId="48" borderId="204" xfId="0" applyNumberFormat="1" applyFont="1" applyFill="1" applyBorder="1" applyAlignment="1">
      <alignment horizontal="center" vertical="center" wrapText="1"/>
    </xf>
    <xf numFmtId="0" fontId="78" fillId="50" borderId="204" xfId="0" applyFont="1" applyFill="1" applyBorder="1" applyAlignment="1">
      <alignment horizontal="center" vertical="center"/>
    </xf>
    <xf numFmtId="3" fontId="78" fillId="50" borderId="258" xfId="0" applyNumberFormat="1" applyFont="1" applyFill="1" applyBorder="1" applyAlignment="1">
      <alignment horizontal="center" vertical="center"/>
    </xf>
    <xf numFmtId="0" fontId="78" fillId="50" borderId="258" xfId="0" applyFont="1" applyFill="1" applyBorder="1" applyAlignment="1">
      <alignment horizontal="center" vertical="center"/>
    </xf>
    <xf numFmtId="0" fontId="78" fillId="50" borderId="0" xfId="0" applyFont="1" applyFill="1" applyAlignment="1">
      <alignment horizontal="center" vertical="center"/>
    </xf>
    <xf numFmtId="0" fontId="80" fillId="50" borderId="0" xfId="0" applyFont="1" applyFill="1" applyAlignment="1">
      <alignment horizontal="center" vertical="center"/>
    </xf>
    <xf numFmtId="0" fontId="80" fillId="50" borderId="204" xfId="0" applyFont="1" applyFill="1" applyBorder="1" applyAlignment="1">
      <alignment horizontal="center" vertical="center"/>
    </xf>
    <xf numFmtId="0" fontId="80" fillId="50" borderId="258" xfId="0" applyFont="1" applyFill="1" applyBorder="1" applyAlignment="1">
      <alignment horizontal="center" vertical="center"/>
    </xf>
    <xf numFmtId="3" fontId="80" fillId="50" borderId="258" xfId="0" applyNumberFormat="1" applyFont="1" applyFill="1" applyBorder="1" applyAlignment="1">
      <alignment horizontal="center" vertical="center"/>
    </xf>
    <xf numFmtId="3" fontId="80" fillId="50" borderId="0" xfId="0" applyNumberFormat="1" applyFont="1" applyFill="1" applyAlignment="1">
      <alignment horizontal="center" vertical="center"/>
    </xf>
    <xf numFmtId="3" fontId="80" fillId="50" borderId="204" xfId="0" applyNumberFormat="1" applyFont="1" applyFill="1" applyBorder="1" applyAlignment="1">
      <alignment horizontal="center" vertical="center"/>
    </xf>
    <xf numFmtId="0" fontId="79" fillId="38" borderId="204" xfId="0" quotePrefix="1" applyFont="1" applyFill="1" applyBorder="1" applyAlignment="1">
      <alignment horizontal="center" vertical="center" wrapText="1"/>
    </xf>
    <xf numFmtId="0" fontId="79" fillId="38" borderId="258" xfId="0" quotePrefix="1" applyFont="1" applyFill="1" applyBorder="1" applyAlignment="1">
      <alignment horizontal="center" vertical="center" wrapText="1"/>
    </xf>
    <xf numFmtId="0" fontId="79" fillId="38" borderId="0" xfId="0" quotePrefix="1" applyFont="1" applyFill="1" applyAlignment="1">
      <alignment horizontal="center" vertical="center" wrapText="1"/>
    </xf>
    <xf numFmtId="0" fontId="79" fillId="38" borderId="204" xfId="0" applyFont="1" applyFill="1" applyBorder="1" applyAlignment="1">
      <alignment horizontal="center" vertical="center" wrapText="1"/>
    </xf>
    <xf numFmtId="0" fontId="81" fillId="38" borderId="258" xfId="0" applyFont="1" applyFill="1" applyBorder="1" applyAlignment="1">
      <alignment horizontal="center" vertical="center" wrapText="1"/>
    </xf>
    <xf numFmtId="0" fontId="79" fillId="38" borderId="0" xfId="0" applyFont="1" applyFill="1" applyAlignment="1">
      <alignment horizontal="center" vertical="center" wrapText="1"/>
    </xf>
    <xf numFmtId="0" fontId="81" fillId="49" borderId="204" xfId="0" applyFont="1" applyFill="1" applyBorder="1" applyAlignment="1">
      <alignment horizontal="center" vertical="center" wrapText="1"/>
    </xf>
    <xf numFmtId="0" fontId="81" fillId="49" borderId="258" xfId="0" applyFont="1" applyFill="1" applyBorder="1" applyAlignment="1">
      <alignment horizontal="center" vertical="center" wrapText="1"/>
    </xf>
    <xf numFmtId="0" fontId="81" fillId="49" borderId="0" xfId="0" applyFont="1" applyFill="1" applyAlignment="1">
      <alignment horizontal="center" vertical="center" wrapText="1"/>
    </xf>
    <xf numFmtId="0" fontId="79" fillId="38" borderId="258" xfId="0" applyFont="1" applyFill="1" applyBorder="1" applyAlignment="1">
      <alignment horizontal="center" vertical="center" wrapText="1"/>
    </xf>
    <xf numFmtId="0" fontId="81" fillId="38" borderId="0" xfId="0" applyFont="1" applyFill="1" applyAlignment="1">
      <alignment horizontal="center" vertical="center" wrapText="1"/>
    </xf>
    <xf numFmtId="0" fontId="81" fillId="38" borderId="204" xfId="0" applyFont="1" applyFill="1" applyBorder="1" applyAlignment="1">
      <alignment horizontal="center" vertical="center" wrapText="1"/>
    </xf>
    <xf numFmtId="0" fontId="79" fillId="0" borderId="204" xfId="0" quotePrefix="1" applyFont="1" applyBorder="1" applyAlignment="1">
      <alignment horizontal="center" vertical="center" wrapText="1"/>
    </xf>
    <xf numFmtId="0" fontId="79" fillId="0" borderId="258" xfId="0" quotePrefix="1" applyFont="1" applyBorder="1" applyAlignment="1">
      <alignment horizontal="center" vertical="center" wrapText="1"/>
    </xf>
    <xf numFmtId="0" fontId="79" fillId="0" borderId="0" xfId="0" quotePrefix="1" applyFont="1" applyAlignment="1">
      <alignment horizontal="center" vertical="center" wrapText="1"/>
    </xf>
    <xf numFmtId="0" fontId="79" fillId="0" borderId="0" xfId="0" applyFont="1" applyAlignment="1">
      <alignment horizontal="center" vertical="center" wrapText="1"/>
    </xf>
    <xf numFmtId="0" fontId="79" fillId="0" borderId="204" xfId="0" applyFont="1" applyBorder="1" applyAlignment="1">
      <alignment horizontal="center" vertical="center" wrapText="1"/>
    </xf>
    <xf numFmtId="0" fontId="79" fillId="0" borderId="258" xfId="0" applyFont="1" applyBorder="1" applyAlignment="1">
      <alignment horizontal="center" vertical="center" wrapText="1"/>
    </xf>
    <xf numFmtId="0" fontId="81" fillId="51" borderId="258" xfId="0" applyFont="1" applyFill="1" applyBorder="1" applyAlignment="1">
      <alignment horizontal="center" vertical="center"/>
    </xf>
    <xf numFmtId="0" fontId="79" fillId="51" borderId="258" xfId="0" applyFont="1" applyFill="1" applyBorder="1" applyAlignment="1">
      <alignment horizontal="center" vertical="center"/>
    </xf>
    <xf numFmtId="0" fontId="81" fillId="51" borderId="0" xfId="0" applyFont="1" applyFill="1" applyAlignment="1">
      <alignment horizontal="center" vertical="center"/>
    </xf>
    <xf numFmtId="0" fontId="81" fillId="51" borderId="204" xfId="0" applyFont="1" applyFill="1" applyBorder="1" applyAlignment="1">
      <alignment horizontal="center" vertical="center"/>
    </xf>
    <xf numFmtId="0" fontId="81" fillId="0" borderId="258" xfId="0" applyFont="1" applyBorder="1" applyAlignment="1">
      <alignment horizontal="center" vertical="center" wrapText="1"/>
    </xf>
    <xf numFmtId="0" fontId="81" fillId="0" borderId="204" xfId="0" applyFont="1" applyBorder="1" applyAlignment="1">
      <alignment horizontal="center" vertical="center" wrapText="1"/>
    </xf>
    <xf numFmtId="0" fontId="81" fillId="0" borderId="0" xfId="0" applyFont="1" applyAlignment="1">
      <alignment horizontal="center" vertical="center" wrapText="1"/>
    </xf>
    <xf numFmtId="0" fontId="81" fillId="48" borderId="204" xfId="0" applyFont="1" applyFill="1" applyBorder="1" applyAlignment="1">
      <alignment horizontal="center" vertical="center" wrapText="1"/>
    </xf>
    <xf numFmtId="0" fontId="79" fillId="48" borderId="258" xfId="0" applyFont="1" applyFill="1" applyBorder="1" applyAlignment="1">
      <alignment horizontal="center" vertical="center" wrapText="1"/>
    </xf>
    <xf numFmtId="3" fontId="81" fillId="48" borderId="258" xfId="0" applyNumberFormat="1" applyFont="1" applyFill="1" applyBorder="1" applyAlignment="1">
      <alignment horizontal="center" vertical="center" wrapText="1"/>
    </xf>
    <xf numFmtId="0" fontId="81" fillId="48" borderId="0" xfId="0" applyFont="1" applyFill="1" applyAlignment="1">
      <alignment horizontal="center" vertical="center" wrapText="1"/>
    </xf>
    <xf numFmtId="3" fontId="79" fillId="48" borderId="204" xfId="0" applyNumberFormat="1" applyFont="1" applyFill="1" applyBorder="1" applyAlignment="1">
      <alignment horizontal="center" vertical="center" wrapText="1"/>
    </xf>
    <xf numFmtId="3" fontId="79" fillId="48" borderId="258" xfId="0" applyNumberFormat="1" applyFont="1" applyFill="1" applyBorder="1" applyAlignment="1">
      <alignment horizontal="center" vertical="center" wrapText="1"/>
    </xf>
    <xf numFmtId="0" fontId="79" fillId="48" borderId="0" xfId="0" applyFont="1" applyFill="1" applyAlignment="1">
      <alignment horizontal="center" vertical="center" wrapText="1"/>
    </xf>
    <xf numFmtId="0" fontId="79" fillId="48" borderId="204" xfId="0" applyFont="1" applyFill="1" applyBorder="1" applyAlignment="1">
      <alignment horizontal="center" vertical="center" wrapText="1"/>
    </xf>
    <xf numFmtId="0" fontId="81" fillId="48" borderId="258" xfId="0" applyFont="1" applyFill="1" applyBorder="1" applyAlignment="1">
      <alignment horizontal="center" vertical="center" wrapText="1"/>
    </xf>
    <xf numFmtId="3" fontId="78" fillId="50" borderId="144" xfId="0" applyNumberFormat="1" applyFont="1" applyFill="1" applyBorder="1" applyAlignment="1">
      <alignment horizontal="center" vertical="center" wrapText="1"/>
    </xf>
    <xf numFmtId="0" fontId="78" fillId="50" borderId="144" xfId="0" applyFont="1" applyFill="1" applyBorder="1" applyAlignment="1">
      <alignment horizontal="center" vertical="center" wrapText="1"/>
    </xf>
    <xf numFmtId="0" fontId="78" fillId="50" borderId="152" xfId="0" applyFont="1" applyFill="1" applyBorder="1" applyAlignment="1">
      <alignment horizontal="center" vertical="center" wrapText="1"/>
    </xf>
    <xf numFmtId="3" fontId="80" fillId="50" borderId="163" xfId="0" applyNumberFormat="1" applyFont="1" applyFill="1" applyBorder="1" applyAlignment="1">
      <alignment horizontal="center" vertical="center" wrapText="1"/>
    </xf>
    <xf numFmtId="3" fontId="80" fillId="50" borderId="144" xfId="0" applyNumberFormat="1" applyFont="1" applyFill="1" applyBorder="1" applyAlignment="1">
      <alignment horizontal="center" vertical="center" wrapText="1"/>
    </xf>
    <xf numFmtId="0" fontId="80" fillId="50" borderId="152" xfId="0" applyFont="1" applyFill="1" applyBorder="1" applyAlignment="1">
      <alignment horizontal="center" vertical="center" wrapText="1"/>
    </xf>
    <xf numFmtId="0" fontId="80" fillId="50" borderId="163" xfId="0" applyFont="1" applyFill="1" applyBorder="1" applyAlignment="1">
      <alignment horizontal="center" vertical="center" wrapText="1"/>
    </xf>
    <xf numFmtId="0" fontId="80" fillId="50" borderId="144" xfId="0" applyFont="1" applyFill="1" applyBorder="1" applyAlignment="1">
      <alignment horizontal="center" vertical="center" wrapText="1"/>
    </xf>
    <xf numFmtId="3" fontId="80" fillId="50" borderId="152" xfId="0" applyNumberFormat="1" applyFont="1" applyFill="1" applyBorder="1" applyAlignment="1">
      <alignment horizontal="center" vertical="center" wrapText="1"/>
    </xf>
    <xf numFmtId="0" fontId="33" fillId="44" borderId="0" xfId="0" applyFont="1" applyFill="1"/>
    <xf numFmtId="0" fontId="33" fillId="7" borderId="0" xfId="0" applyFont="1" applyFill="1"/>
    <xf numFmtId="0" fontId="33" fillId="52" borderId="0" xfId="0" applyFont="1" applyFill="1"/>
    <xf numFmtId="0" fontId="33" fillId="0" borderId="127" xfId="0" applyFont="1" applyBorder="1" applyAlignment="1">
      <alignment horizontal="left" vertical="top"/>
    </xf>
    <xf numFmtId="0" fontId="33" fillId="0" borderId="181" xfId="0" applyFont="1" applyBorder="1" applyAlignment="1">
      <alignment horizontal="left" vertical="top"/>
    </xf>
    <xf numFmtId="0" fontId="33" fillId="0" borderId="181" xfId="0" applyFont="1" applyBorder="1" applyAlignment="1">
      <alignment horizontal="center" vertical="center"/>
    </xf>
    <xf numFmtId="3" fontId="33" fillId="0" borderId="181" xfId="0" applyNumberFormat="1" applyFont="1" applyBorder="1" applyAlignment="1">
      <alignment horizontal="center" vertical="center"/>
    </xf>
    <xf numFmtId="0" fontId="22" fillId="53" borderId="125" xfId="0" applyFont="1" applyFill="1" applyBorder="1" applyAlignment="1">
      <alignment horizontal="left" vertical="top"/>
    </xf>
    <xf numFmtId="0" fontId="33" fillId="52" borderId="125" xfId="0" applyFont="1" applyFill="1" applyBorder="1" applyAlignment="1">
      <alignment horizontal="left" vertical="top"/>
    </xf>
    <xf numFmtId="0" fontId="33" fillId="52" borderId="122" xfId="0" applyFont="1" applyFill="1" applyBorder="1" applyAlignment="1">
      <alignment horizontal="center" vertical="center"/>
    </xf>
    <xf numFmtId="0" fontId="22" fillId="44" borderId="125" xfId="0" applyFont="1" applyFill="1" applyBorder="1" applyAlignment="1">
      <alignment horizontal="left" vertical="top"/>
    </xf>
    <xf numFmtId="0" fontId="33" fillId="44" borderId="122" xfId="0" applyFont="1" applyFill="1" applyBorder="1" applyAlignment="1">
      <alignment horizontal="center" vertical="center"/>
    </xf>
    <xf numFmtId="0" fontId="33" fillId="0" borderId="125" xfId="0" applyFont="1" applyBorder="1" applyAlignment="1">
      <alignment horizontal="left" vertical="top"/>
    </xf>
    <xf numFmtId="0" fontId="33" fillId="0" borderId="122" xfId="0" applyFont="1" applyBorder="1" applyAlignment="1">
      <alignment horizontal="center" vertical="center"/>
    </xf>
    <xf numFmtId="10" fontId="33" fillId="44" borderId="122" xfId="0" applyNumberFormat="1" applyFont="1" applyFill="1" applyBorder="1" applyAlignment="1">
      <alignment horizontal="center" vertical="center"/>
    </xf>
    <xf numFmtId="10" fontId="33" fillId="52" borderId="122" xfId="0" applyNumberFormat="1" applyFont="1" applyFill="1" applyBorder="1" applyAlignment="1">
      <alignment horizontal="center" vertical="center"/>
    </xf>
    <xf numFmtId="0" fontId="22" fillId="44" borderId="124" xfId="0" applyFont="1" applyFill="1" applyBorder="1" applyAlignment="1">
      <alignment horizontal="left" vertical="top"/>
    </xf>
    <xf numFmtId="0" fontId="33" fillId="44" borderId="138" xfId="0" applyFont="1" applyFill="1" applyBorder="1" applyAlignment="1">
      <alignment horizontal="left" vertical="top"/>
    </xf>
    <xf numFmtId="10" fontId="33" fillId="44" borderId="138" xfId="0" applyNumberFormat="1" applyFont="1" applyFill="1" applyBorder="1" applyAlignment="1">
      <alignment horizontal="center" vertical="center"/>
    </xf>
    <xf numFmtId="10" fontId="33" fillId="44" borderId="146" xfId="0" applyNumberFormat="1" applyFont="1" applyFill="1" applyBorder="1" applyAlignment="1">
      <alignment horizontal="center" vertical="center"/>
    </xf>
    <xf numFmtId="0" fontId="13" fillId="0" borderId="122" xfId="23" applyFont="1" applyBorder="1" applyAlignment="1">
      <alignment horizontal="center" vertical="center"/>
    </xf>
    <xf numFmtId="0" fontId="13" fillId="0" borderId="0" xfId="23" applyFont="1" applyAlignment="1">
      <alignment horizontal="center" vertical="center"/>
    </xf>
    <xf numFmtId="0" fontId="0" fillId="0" borderId="125" xfId="0" applyBorder="1" applyAlignment="1">
      <alignment horizontal="center" vertical="center"/>
    </xf>
    <xf numFmtId="0" fontId="8" fillId="0" borderId="125" xfId="23" applyBorder="1"/>
    <xf numFmtId="9" fontId="0" fillId="0" borderId="125" xfId="0" applyNumberFormat="1" applyBorder="1" applyAlignment="1">
      <alignment horizontal="center" vertical="center"/>
    </xf>
    <xf numFmtId="0" fontId="8" fillId="0" borderId="125" xfId="23" applyBorder="1" applyAlignment="1">
      <alignment horizontal="center" vertical="center"/>
    </xf>
    <xf numFmtId="0" fontId="0" fillId="0" borderId="124" xfId="0" applyBorder="1"/>
    <xf numFmtId="0" fontId="33" fillId="0" borderId="145" xfId="0" applyFont="1" applyBorder="1" applyAlignment="1">
      <alignment horizontal="center" vertical="center"/>
    </xf>
    <xf numFmtId="0" fontId="22" fillId="53" borderId="122" xfId="0" applyFont="1" applyFill="1" applyBorder="1" applyAlignment="1">
      <alignment horizontal="center" vertical="center"/>
    </xf>
    <xf numFmtId="0" fontId="33" fillId="54" borderId="0" xfId="0" applyFont="1" applyFill="1" applyAlignment="1">
      <alignment horizontal="left" indent="1"/>
    </xf>
    <xf numFmtId="3" fontId="33" fillId="54" borderId="0" xfId="0" applyNumberFormat="1" applyFont="1" applyFill="1" applyAlignment="1">
      <alignment horizontal="center" vertical="center"/>
    </xf>
    <xf numFmtId="0" fontId="86" fillId="3" borderId="0" xfId="0" applyFont="1" applyFill="1" applyAlignment="1">
      <alignment wrapText="1"/>
    </xf>
    <xf numFmtId="0" fontId="82" fillId="3" borderId="0" xfId="0" applyFont="1" applyFill="1" applyAlignment="1">
      <alignment wrapText="1"/>
    </xf>
    <xf numFmtId="166" fontId="0" fillId="0" borderId="259" xfId="0" applyNumberFormat="1" applyBorder="1" applyAlignment="1">
      <alignment horizontal="center"/>
    </xf>
    <xf numFmtId="166" fontId="0" fillId="0" borderId="260" xfId="0" applyNumberFormat="1" applyBorder="1" applyAlignment="1">
      <alignment horizontal="center"/>
    </xf>
    <xf numFmtId="166" fontId="0" fillId="0" borderId="100" xfId="0" applyNumberFormat="1" applyBorder="1" applyAlignment="1">
      <alignment horizontal="center"/>
    </xf>
    <xf numFmtId="166" fontId="0" fillId="30" borderId="100" xfId="0" applyNumberFormat="1" applyFill="1" applyBorder="1"/>
    <xf numFmtId="3" fontId="36" fillId="0" borderId="0" xfId="0" applyNumberFormat="1" applyFont="1" applyAlignment="1">
      <alignment horizontal="center"/>
    </xf>
    <xf numFmtId="0" fontId="8" fillId="0" borderId="0" xfId="0" applyFont="1" applyAlignment="1">
      <alignment horizontal="left"/>
    </xf>
    <xf numFmtId="166" fontId="0" fillId="0" borderId="0" xfId="0" applyNumberFormat="1"/>
    <xf numFmtId="0" fontId="0" fillId="0" borderId="181" xfId="0" applyBorder="1"/>
    <xf numFmtId="0" fontId="0" fillId="0" borderId="145" xfId="0" applyBorder="1"/>
    <xf numFmtId="0" fontId="0" fillId="0" borderId="138" xfId="0" applyBorder="1"/>
    <xf numFmtId="0" fontId="0" fillId="0" borderId="146" xfId="0" applyBorder="1"/>
    <xf numFmtId="0" fontId="0" fillId="0" borderId="121" xfId="0" applyBorder="1"/>
    <xf numFmtId="0" fontId="0" fillId="0" borderId="188" xfId="0" applyBorder="1"/>
    <xf numFmtId="168" fontId="0" fillId="0" borderId="100" xfId="15" applyNumberFormat="1" applyFont="1" applyFill="1" applyBorder="1" applyAlignment="1">
      <alignment horizontal="center"/>
    </xf>
    <xf numFmtId="10" fontId="0" fillId="0" borderId="100" xfId="15" applyNumberFormat="1" applyFont="1" applyFill="1" applyBorder="1" applyAlignment="1">
      <alignment horizontal="center"/>
    </xf>
    <xf numFmtId="166" fontId="0" fillId="15" borderId="100" xfId="0" applyNumberFormat="1" applyFill="1" applyBorder="1" applyAlignment="1">
      <alignment horizontal="center"/>
    </xf>
    <xf numFmtId="0" fontId="8" fillId="0" borderId="138" xfId="23" applyBorder="1" applyAlignment="1">
      <alignment horizontal="center" vertical="center"/>
    </xf>
    <xf numFmtId="0" fontId="0" fillId="0" borderId="123" xfId="0" applyBorder="1" applyAlignment="1">
      <alignment horizontal="center" vertical="center"/>
    </xf>
    <xf numFmtId="0" fontId="0" fillId="0" borderId="261" xfId="0" applyBorder="1" applyAlignment="1">
      <alignment horizontal="center" vertical="center"/>
    </xf>
    <xf numFmtId="9" fontId="0" fillId="0" borderId="123" xfId="0" applyNumberFormat="1" applyBorder="1" applyAlignment="1">
      <alignment horizontal="center" vertical="center"/>
    </xf>
    <xf numFmtId="9" fontId="0" fillId="0" borderId="261" xfId="0" applyNumberFormat="1" applyBorder="1" applyAlignment="1">
      <alignment horizontal="center" vertical="center"/>
    </xf>
    <xf numFmtId="0" fontId="13" fillId="0" borderId="125" xfId="23" applyFont="1" applyBorder="1" applyAlignment="1">
      <alignment horizontal="center" vertical="center"/>
    </xf>
    <xf numFmtId="0" fontId="8" fillId="0" borderId="0" xfId="23" applyAlignment="1">
      <alignment horizontal="center" vertical="center"/>
    </xf>
    <xf numFmtId="9" fontId="8" fillId="0" borderId="122" xfId="23" applyNumberFormat="1" applyBorder="1" applyAlignment="1">
      <alignment horizontal="center" vertical="center"/>
    </xf>
    <xf numFmtId="0" fontId="8" fillId="0" borderId="124" xfId="23" applyBorder="1" applyAlignment="1">
      <alignment horizontal="center" vertical="center"/>
    </xf>
    <xf numFmtId="0" fontId="0" fillId="0" borderId="138" xfId="0" applyBorder="1" applyAlignment="1">
      <alignment horizontal="center" vertical="center"/>
    </xf>
    <xf numFmtId="9" fontId="8" fillId="0" borderId="146" xfId="23" applyNumberFormat="1" applyBorder="1" applyAlignment="1">
      <alignment horizontal="center" vertical="center"/>
    </xf>
    <xf numFmtId="1" fontId="0" fillId="0" borderId="0" xfId="0" applyNumberFormat="1" applyAlignment="1">
      <alignment horizontal="center" vertical="center"/>
    </xf>
    <xf numFmtId="9" fontId="0" fillId="0" borderId="138" xfId="0" applyNumberFormat="1" applyBorder="1"/>
    <xf numFmtId="1" fontId="0" fillId="0" borderId="123" xfId="0" applyNumberFormat="1" applyBorder="1"/>
    <xf numFmtId="1" fontId="0" fillId="0" borderId="261" xfId="0" applyNumberFormat="1" applyBorder="1"/>
    <xf numFmtId="0" fontId="0" fillId="0" borderId="123" xfId="0" applyBorder="1"/>
    <xf numFmtId="9" fontId="0" fillId="0" borderId="261" xfId="0" applyNumberFormat="1" applyBorder="1"/>
    <xf numFmtId="10" fontId="61" fillId="7" borderId="62" xfId="0" applyNumberFormat="1" applyFont="1" applyFill="1" applyBorder="1" applyAlignment="1">
      <alignment horizontal="center" wrapText="1"/>
    </xf>
    <xf numFmtId="0" fontId="0" fillId="7" borderId="19" xfId="0" applyFill="1" applyBorder="1" applyAlignment="1">
      <alignment horizontal="center" vertical="center" wrapText="1"/>
    </xf>
    <xf numFmtId="0" fontId="8" fillId="0" borderId="123" xfId="23" applyBorder="1"/>
    <xf numFmtId="9" fontId="0" fillId="0" borderId="124" xfId="0" applyNumberFormat="1" applyBorder="1" applyAlignment="1">
      <alignment horizontal="center" vertical="center"/>
    </xf>
    <xf numFmtId="0" fontId="8" fillId="0" borderId="122" xfId="23" applyBorder="1" applyAlignment="1">
      <alignment horizontal="center" vertical="center"/>
    </xf>
    <xf numFmtId="0" fontId="8" fillId="0" borderId="123" xfId="23" applyBorder="1" applyAlignment="1">
      <alignment horizontal="center" vertical="center"/>
    </xf>
    <xf numFmtId="1" fontId="0" fillId="0" borderId="122" xfId="0" applyNumberFormat="1" applyBorder="1" applyAlignment="1">
      <alignment horizontal="center" vertical="center"/>
    </xf>
    <xf numFmtId="1" fontId="0" fillId="0" borderId="125" xfId="0" applyNumberFormat="1" applyBorder="1" applyAlignment="1">
      <alignment horizontal="center" vertical="center"/>
    </xf>
    <xf numFmtId="0" fontId="0" fillId="0" borderId="146" xfId="0" applyBorder="1" applyAlignment="1">
      <alignment horizontal="center" vertical="center"/>
    </xf>
    <xf numFmtId="1" fontId="0" fillId="0" borderId="124" xfId="0" applyNumberFormat="1" applyBorder="1" applyAlignment="1">
      <alignment horizontal="center" vertical="center"/>
    </xf>
    <xf numFmtId="0" fontId="0" fillId="0" borderId="127" xfId="0" applyBorder="1"/>
    <xf numFmtId="0" fontId="0" fillId="0" borderId="137" xfId="0" applyBorder="1"/>
    <xf numFmtId="0" fontId="0" fillId="21" borderId="127" xfId="0" applyFill="1" applyBorder="1"/>
    <xf numFmtId="0" fontId="0" fillId="11" borderId="137" xfId="0" applyFill="1" applyBorder="1"/>
    <xf numFmtId="0" fontId="0" fillId="8" borderId="124" xfId="0" applyFill="1" applyBorder="1"/>
    <xf numFmtId="168" fontId="0" fillId="0" borderId="0" xfId="0" applyNumberFormat="1"/>
    <xf numFmtId="0" fontId="13" fillId="0" borderId="126" xfId="23" applyFont="1" applyBorder="1"/>
    <xf numFmtId="168" fontId="8" fillId="0" borderId="123" xfId="23" applyNumberFormat="1" applyBorder="1"/>
    <xf numFmtId="169" fontId="8" fillId="0" borderId="125" xfId="23" applyNumberFormat="1" applyBorder="1"/>
    <xf numFmtId="1" fontId="8" fillId="0" borderId="125" xfId="23" applyNumberFormat="1" applyBorder="1"/>
    <xf numFmtId="9" fontId="8" fillId="0" borderId="125" xfId="23" applyNumberFormat="1" applyBorder="1"/>
    <xf numFmtId="1" fontId="0" fillId="0" borderId="0" xfId="0" applyNumberFormat="1"/>
    <xf numFmtId="0" fontId="0" fillId="15" borderId="0" xfId="0" applyFill="1"/>
    <xf numFmtId="168" fontId="0" fillId="15" borderId="0" xfId="0" applyNumberFormat="1" applyFill="1"/>
    <xf numFmtId="1" fontId="8" fillId="0" borderId="0" xfId="23" applyNumberFormat="1"/>
    <xf numFmtId="9" fontId="8" fillId="0" borderId="0" xfId="23" applyNumberFormat="1"/>
    <xf numFmtId="0" fontId="8" fillId="0" borderId="181" xfId="23" applyBorder="1"/>
    <xf numFmtId="168" fontId="0" fillId="0" borderId="123" xfId="0" applyNumberFormat="1" applyBorder="1"/>
    <xf numFmtId="0" fontId="0" fillId="0" borderId="261" xfId="0" applyBorder="1"/>
    <xf numFmtId="0" fontId="13" fillId="0" borderId="123" xfId="23" applyFont="1" applyBorder="1"/>
    <xf numFmtId="0" fontId="13" fillId="0" borderId="261" xfId="23" applyFont="1" applyBorder="1"/>
    <xf numFmtId="1" fontId="8" fillId="0" borderId="123" xfId="23" applyNumberFormat="1" applyBorder="1"/>
    <xf numFmtId="9" fontId="8" fillId="0" borderId="123" xfId="23" applyNumberFormat="1" applyBorder="1"/>
    <xf numFmtId="0" fontId="0" fillId="0" borderId="126" xfId="0" applyBorder="1"/>
    <xf numFmtId="9" fontId="0" fillId="0" borderId="123" xfId="0" applyNumberFormat="1" applyBorder="1"/>
    <xf numFmtId="0" fontId="13" fillId="55" borderId="121" xfId="23" applyFont="1" applyFill="1" applyBorder="1"/>
    <xf numFmtId="0" fontId="13" fillId="55" borderId="262" xfId="23" applyFont="1" applyFill="1" applyBorder="1"/>
    <xf numFmtId="0" fontId="0" fillId="0" borderId="0" xfId="23" applyFont="1"/>
    <xf numFmtId="0" fontId="88" fillId="29" borderId="0" xfId="23" applyFont="1" applyFill="1"/>
    <xf numFmtId="0" fontId="0" fillId="22" borderId="0" xfId="0" applyFill="1"/>
    <xf numFmtId="168" fontId="0" fillId="0" borderId="261" xfId="23" applyNumberFormat="1" applyFont="1" applyBorder="1"/>
    <xf numFmtId="169" fontId="0" fillId="0" borderId="124" xfId="23" applyNumberFormat="1" applyFont="1" applyBorder="1"/>
    <xf numFmtId="9" fontId="0" fillId="0" borderId="124" xfId="23" applyNumberFormat="1" applyFont="1" applyBorder="1"/>
    <xf numFmtId="1" fontId="0" fillId="0" borderId="124" xfId="23" applyNumberFormat="1" applyFont="1" applyBorder="1"/>
    <xf numFmtId="0" fontId="0" fillId="0" borderId="124" xfId="23" applyFont="1" applyBorder="1"/>
    <xf numFmtId="1" fontId="0" fillId="0" borderId="0" xfId="23" applyNumberFormat="1" applyFont="1"/>
    <xf numFmtId="1" fontId="0" fillId="0" borderId="123" xfId="23" applyNumberFormat="1" applyFont="1" applyBorder="1"/>
    <xf numFmtId="9" fontId="0" fillId="0" borderId="0" xfId="23" applyNumberFormat="1" applyFont="1"/>
    <xf numFmtId="9" fontId="0" fillId="0" borderId="123" xfId="23" applyNumberFormat="1" applyFont="1" applyBorder="1"/>
    <xf numFmtId="0" fontId="0" fillId="0" borderId="181" xfId="23" applyFont="1" applyBorder="1"/>
    <xf numFmtId="0" fontId="13" fillId="0" borderId="124" xfId="23" applyFont="1" applyBorder="1"/>
    <xf numFmtId="177" fontId="0" fillId="15" borderId="100" xfId="0" applyNumberFormat="1" applyFill="1" applyBorder="1" applyAlignment="1">
      <alignment horizontal="center"/>
    </xf>
    <xf numFmtId="1" fontId="0" fillId="0" borderId="181" xfId="23" applyNumberFormat="1" applyFont="1" applyBorder="1"/>
    <xf numFmtId="1" fontId="0" fillId="0" borderId="126" xfId="23" applyNumberFormat="1" applyFont="1" applyBorder="1"/>
    <xf numFmtId="168" fontId="0" fillId="0" borderId="261" xfId="0" applyNumberFormat="1" applyBorder="1"/>
    <xf numFmtId="168" fontId="0" fillId="0" borderId="138" xfId="0" applyNumberFormat="1" applyBorder="1"/>
    <xf numFmtId="9" fontId="0" fillId="0" borderId="138" xfId="23" applyNumberFormat="1" applyFont="1" applyBorder="1"/>
    <xf numFmtId="9" fontId="0" fillId="0" borderId="261" xfId="23" applyNumberFormat="1" applyFont="1" applyBorder="1"/>
    <xf numFmtId="0" fontId="13" fillId="55" borderId="126" xfId="23" applyFont="1" applyFill="1" applyBorder="1" applyAlignment="1">
      <alignment horizontal="center" vertical="center"/>
    </xf>
    <xf numFmtId="0" fontId="13" fillId="55" borderId="181" xfId="23" applyFont="1" applyFill="1" applyBorder="1" applyAlignment="1">
      <alignment vertical="center"/>
    </xf>
    <xf numFmtId="0" fontId="0" fillId="0" borderId="0" xfId="0" applyAlignment="1">
      <alignment wrapText="1"/>
    </xf>
    <xf numFmtId="0" fontId="0" fillId="0" borderId="125" xfId="0" applyBorder="1"/>
    <xf numFmtId="1" fontId="0" fillId="0" borderId="127" xfId="0" applyNumberFormat="1" applyBorder="1"/>
    <xf numFmtId="1" fontId="0" fillId="0" borderId="125" xfId="0" applyNumberFormat="1" applyBorder="1"/>
    <xf numFmtId="1" fontId="0" fillId="0" borderId="126" xfId="0" applyNumberFormat="1" applyBorder="1"/>
    <xf numFmtId="168" fontId="0" fillId="0" borderId="124" xfId="0" applyNumberFormat="1" applyBorder="1"/>
    <xf numFmtId="10" fontId="0" fillId="0" borderId="125" xfId="0" applyNumberFormat="1" applyBorder="1"/>
    <xf numFmtId="10" fontId="0" fillId="0" borderId="123" xfId="0" applyNumberFormat="1" applyBorder="1"/>
    <xf numFmtId="0" fontId="13" fillId="22" borderId="146" xfId="23" applyFont="1" applyFill="1" applyBorder="1" applyAlignment="1">
      <alignment horizontal="center" vertical="center"/>
    </xf>
    <xf numFmtId="0" fontId="0" fillId="21" borderId="0" xfId="0" applyFill="1"/>
    <xf numFmtId="0" fontId="8" fillId="21" borderId="0" xfId="23" applyFill="1"/>
    <xf numFmtId="0" fontId="0" fillId="8" borderId="0" xfId="0" applyFill="1"/>
    <xf numFmtId="0" fontId="89" fillId="22" borderId="0" xfId="0" applyFont="1" applyFill="1"/>
    <xf numFmtId="0" fontId="89" fillId="8" borderId="0" xfId="0" applyFont="1" applyFill="1"/>
    <xf numFmtId="168" fontId="35" fillId="0" borderId="0" xfId="0" applyNumberFormat="1" applyFont="1"/>
    <xf numFmtId="0" fontId="0" fillId="4" borderId="0" xfId="0" applyFill="1"/>
    <xf numFmtId="0" fontId="90" fillId="4" borderId="0" xfId="0" applyFont="1" applyFill="1"/>
    <xf numFmtId="0" fontId="0" fillId="0" borderId="125" xfId="0" applyBorder="1" applyAlignment="1">
      <alignment horizontal="left" vertical="center"/>
    </xf>
    <xf numFmtId="0" fontId="0" fillId="0" borderId="122" xfId="0" applyBorder="1" applyAlignment="1">
      <alignment horizontal="center" vertical="center"/>
    </xf>
    <xf numFmtId="0" fontId="0" fillId="15" borderId="125" xfId="0" applyFill="1" applyBorder="1"/>
    <xf numFmtId="0" fontId="0" fillId="15" borderId="123" xfId="0" applyFill="1" applyBorder="1"/>
    <xf numFmtId="168" fontId="0" fillId="15" borderId="0" xfId="0" applyNumberFormat="1" applyFill="1" applyAlignment="1">
      <alignment horizontal="center" vertical="center"/>
    </xf>
    <xf numFmtId="168" fontId="0" fillId="15" borderId="261" xfId="0" applyNumberFormat="1" applyFill="1" applyBorder="1"/>
    <xf numFmtId="17" fontId="0" fillId="0" borderId="0" xfId="0" applyNumberFormat="1"/>
    <xf numFmtId="9" fontId="0" fillId="0" borderId="0" xfId="0" applyNumberFormat="1" applyAlignment="1">
      <alignment horizontal="center" vertical="center"/>
    </xf>
    <xf numFmtId="0" fontId="0" fillId="49" borderId="125" xfId="0" applyFill="1" applyBorder="1"/>
    <xf numFmtId="9" fontId="0" fillId="0" borderId="122" xfId="0" applyNumberFormat="1" applyBorder="1"/>
    <xf numFmtId="0" fontId="91" fillId="49" borderId="125" xfId="0" applyFont="1" applyFill="1" applyBorder="1"/>
    <xf numFmtId="9" fontId="0" fillId="0" borderId="122" xfId="0" applyNumberFormat="1" applyBorder="1" applyAlignment="1">
      <alignment horizontal="center" vertical="center"/>
    </xf>
    <xf numFmtId="3" fontId="0" fillId="0" borderId="0" xfId="0" applyNumberFormat="1" applyAlignment="1">
      <alignment horizontal="center" vertical="center"/>
    </xf>
    <xf numFmtId="0" fontId="13" fillId="57" borderId="121" xfId="0" applyFont="1" applyFill="1" applyBorder="1" applyAlignment="1">
      <alignment horizontal="center" vertical="center"/>
    </xf>
    <xf numFmtId="0" fontId="0" fillId="6" borderId="181" xfId="0" applyFill="1" applyBorder="1" applyAlignment="1">
      <alignment horizontal="center" vertical="center"/>
    </xf>
    <xf numFmtId="0" fontId="0" fillId="6" borderId="126" xfId="0" applyFill="1" applyBorder="1"/>
    <xf numFmtId="0" fontId="0" fillId="6" borderId="0" xfId="0" applyFill="1" applyAlignment="1">
      <alignment horizontal="center" vertical="center"/>
    </xf>
    <xf numFmtId="168" fontId="0" fillId="6" borderId="123" xfId="0" applyNumberFormat="1" applyFill="1" applyBorder="1"/>
    <xf numFmtId="0" fontId="0" fillId="6" borderId="123" xfId="0" applyFill="1" applyBorder="1"/>
    <xf numFmtId="0" fontId="0" fillId="15" borderId="125" xfId="0" applyFill="1" applyBorder="1" applyAlignment="1">
      <alignment horizontal="left" vertical="center"/>
    </xf>
    <xf numFmtId="10" fontId="0" fillId="15" borderId="0" xfId="0" applyNumberFormat="1" applyFill="1" applyAlignment="1">
      <alignment horizontal="center" vertical="center"/>
    </xf>
    <xf numFmtId="10" fontId="0" fillId="15" borderId="123" xfId="0" applyNumberFormat="1" applyFill="1" applyBorder="1"/>
    <xf numFmtId="168" fontId="0" fillId="15" borderId="123" xfId="0" applyNumberFormat="1" applyFill="1" applyBorder="1"/>
    <xf numFmtId="0" fontId="13" fillId="57" borderId="137" xfId="0" applyFont="1" applyFill="1" applyBorder="1"/>
    <xf numFmtId="9" fontId="0" fillId="0" borderId="121" xfId="0" applyNumberFormat="1" applyBorder="1"/>
    <xf numFmtId="9" fontId="0" fillId="0" borderId="188" xfId="0" applyNumberFormat="1" applyBorder="1"/>
    <xf numFmtId="168" fontId="0" fillId="0" borderId="123" xfId="23" applyNumberFormat="1" applyFont="1" applyBorder="1"/>
    <xf numFmtId="0" fontId="0" fillId="29" borderId="0" xfId="0" applyFill="1"/>
    <xf numFmtId="0" fontId="90" fillId="29" borderId="0" xfId="0" applyFont="1" applyFill="1"/>
    <xf numFmtId="0" fontId="92" fillId="29" borderId="0" xfId="0" applyFont="1" applyFill="1"/>
    <xf numFmtId="9" fontId="0" fillId="0" borderId="262" xfId="0" applyNumberFormat="1" applyBorder="1"/>
    <xf numFmtId="0" fontId="93" fillId="0" borderId="0" xfId="0" applyFont="1"/>
    <xf numFmtId="0" fontId="95" fillId="0" borderId="0" xfId="0" applyFont="1"/>
    <xf numFmtId="9" fontId="0" fillId="11" borderId="100" xfId="15" applyFont="1" applyFill="1" applyBorder="1" applyAlignment="1">
      <alignment horizontal="center"/>
    </xf>
    <xf numFmtId="10" fontId="8" fillId="15" borderId="99" xfId="15" applyNumberFormat="1" applyFont="1" applyFill="1" applyBorder="1" applyAlignment="1">
      <alignment horizontal="center"/>
    </xf>
    <xf numFmtId="168" fontId="8" fillId="11" borderId="99" xfId="15" applyNumberFormat="1" applyFont="1" applyFill="1" applyBorder="1" applyAlignment="1">
      <alignment horizontal="center"/>
    </xf>
    <xf numFmtId="2" fontId="0" fillId="11" borderId="99" xfId="0" applyNumberFormat="1" applyFill="1" applyBorder="1" applyAlignment="1">
      <alignment horizontal="center"/>
    </xf>
    <xf numFmtId="2" fontId="0" fillId="11" borderId="98" xfId="0" applyNumberFormat="1" applyFill="1" applyBorder="1" applyAlignment="1">
      <alignment horizontal="center"/>
    </xf>
    <xf numFmtId="2" fontId="0" fillId="8" borderId="100" xfId="0" applyNumberFormat="1" applyFill="1" applyBorder="1" applyAlignment="1">
      <alignment horizontal="center"/>
    </xf>
    <xf numFmtId="169" fontId="8" fillId="8" borderId="98" xfId="0" applyNumberFormat="1" applyFont="1" applyFill="1" applyBorder="1" applyAlignment="1">
      <alignment horizontal="center"/>
    </xf>
    <xf numFmtId="2" fontId="0" fillId="11" borderId="100" xfId="15" applyNumberFormat="1" applyFont="1" applyFill="1" applyBorder="1" applyAlignment="1">
      <alignment horizontal="center"/>
    </xf>
    <xf numFmtId="9" fontId="8" fillId="11" borderId="100" xfId="15" applyFont="1" applyFill="1" applyBorder="1" applyAlignment="1">
      <alignment horizontal="center" vertical="center"/>
    </xf>
    <xf numFmtId="10" fontId="0" fillId="11" borderId="106" xfId="15" applyNumberFormat="1" applyFont="1" applyFill="1" applyBorder="1" applyAlignment="1">
      <alignment horizontal="center" vertical="center"/>
    </xf>
    <xf numFmtId="2" fontId="0" fillId="0" borderId="0" xfId="0" applyNumberFormat="1"/>
    <xf numFmtId="9" fontId="0" fillId="0" borderId="146" xfId="0" applyNumberFormat="1" applyBorder="1" applyAlignment="1">
      <alignment horizontal="center" vertical="center"/>
    </xf>
    <xf numFmtId="2" fontId="0" fillId="0" borderId="138" xfId="0" applyNumberFormat="1" applyBorder="1"/>
    <xf numFmtId="168" fontId="0" fillId="0" borderId="262" xfId="0" applyNumberFormat="1" applyBorder="1" applyAlignment="1">
      <alignment horizontal="center" vertical="center"/>
    </xf>
    <xf numFmtId="10" fontId="0" fillId="0" borderId="262" xfId="0" applyNumberFormat="1" applyBorder="1"/>
    <xf numFmtId="10" fontId="0" fillId="0" borderId="138" xfId="0" applyNumberFormat="1" applyBorder="1"/>
    <xf numFmtId="10" fontId="0" fillId="0" borderId="261" xfId="0" applyNumberFormat="1" applyBorder="1"/>
    <xf numFmtId="0" fontId="0" fillId="0" borderId="138" xfId="0" applyBorder="1" applyAlignment="1">
      <alignment horizontal="center"/>
    </xf>
    <xf numFmtId="0" fontId="0" fillId="0" borderId="262" xfId="0" applyBorder="1" applyAlignment="1">
      <alignment horizontal="center" vertical="center"/>
    </xf>
    <xf numFmtId="174" fontId="0" fillId="0" borderId="123" xfId="0" applyNumberFormat="1" applyBorder="1" applyAlignment="1">
      <alignment horizontal="center"/>
    </xf>
    <xf numFmtId="0" fontId="0" fillId="0" borderId="123" xfId="0" applyBorder="1" applyAlignment="1">
      <alignment horizontal="center"/>
    </xf>
    <xf numFmtId="0" fontId="0" fillId="0" borderId="122" xfId="0" applyBorder="1" applyAlignment="1">
      <alignment horizontal="center"/>
    </xf>
    <xf numFmtId="174" fontId="0" fillId="0" borderId="261" xfId="0" applyNumberFormat="1" applyBorder="1" applyAlignment="1">
      <alignment horizontal="center"/>
    </xf>
    <xf numFmtId="0" fontId="0" fillId="0" borderId="261" xfId="0" applyBorder="1" applyAlignment="1">
      <alignment horizontal="center"/>
    </xf>
    <xf numFmtId="10" fontId="0" fillId="0" borderId="146" xfId="0" applyNumberFormat="1" applyBorder="1" applyAlignment="1">
      <alignment horizontal="center"/>
    </xf>
    <xf numFmtId="174" fontId="0" fillId="0" borderId="125" xfId="0" applyNumberFormat="1" applyBorder="1" applyAlignment="1">
      <alignment horizontal="center" vertical="center"/>
    </xf>
    <xf numFmtId="174" fontId="0" fillId="0" borderId="124" xfId="0" applyNumberFormat="1" applyBorder="1" applyAlignment="1">
      <alignment horizontal="center" vertical="center"/>
    </xf>
    <xf numFmtId="0" fontId="0" fillId="0" borderId="124" xfId="0" applyBorder="1" applyAlignment="1">
      <alignment horizontal="center" vertical="center"/>
    </xf>
    <xf numFmtId="10" fontId="0" fillId="0" borderId="261" xfId="0" applyNumberFormat="1" applyBorder="1" applyAlignment="1">
      <alignment horizontal="center" vertical="center"/>
    </xf>
    <xf numFmtId="0" fontId="37" fillId="7" borderId="137" xfId="0" applyFont="1" applyFill="1" applyBorder="1" applyAlignment="1">
      <alignment horizontal="center" vertical="center"/>
    </xf>
    <xf numFmtId="0" fontId="37" fillId="0" borderId="121" xfId="0" applyFont="1" applyBorder="1" applyAlignment="1">
      <alignment horizontal="center" vertical="center"/>
    </xf>
    <xf numFmtId="0" fontId="37" fillId="0" borderId="188" xfId="0" applyFont="1" applyBorder="1" applyAlignment="1">
      <alignment horizontal="center" vertical="center"/>
    </xf>
    <xf numFmtId="10" fontId="0" fillId="0" borderId="138" xfId="0" applyNumberFormat="1" applyBorder="1" applyAlignment="1">
      <alignment horizontal="center" vertical="center"/>
    </xf>
    <xf numFmtId="0" fontId="0" fillId="0" borderId="126" xfId="0" applyBorder="1" applyAlignment="1">
      <alignment horizontal="center" vertical="center"/>
    </xf>
    <xf numFmtId="0" fontId="13" fillId="38" borderId="126" xfId="0" applyFont="1" applyFill="1" applyBorder="1"/>
    <xf numFmtId="0" fontId="61" fillId="0" borderId="123" xfId="0" applyFont="1" applyBorder="1"/>
    <xf numFmtId="0" fontId="0" fillId="38" borderId="123" xfId="0" applyFill="1" applyBorder="1"/>
    <xf numFmtId="0" fontId="8" fillId="0" borderId="123" xfId="0" applyFont="1" applyBorder="1"/>
    <xf numFmtId="0" fontId="13" fillId="37" borderId="126" xfId="0" applyFont="1" applyFill="1" applyBorder="1"/>
    <xf numFmtId="0" fontId="8" fillId="38" borderId="0" xfId="0" applyFont="1" applyFill="1" applyAlignment="1">
      <alignment horizontal="center" vertical="center"/>
    </xf>
    <xf numFmtId="0" fontId="0" fillId="38" borderId="0" xfId="0" applyFill="1" applyAlignment="1">
      <alignment horizontal="center" vertical="center"/>
    </xf>
    <xf numFmtId="3" fontId="0" fillId="38" borderId="0" xfId="0" applyNumberFormat="1" applyFill="1" applyAlignment="1">
      <alignment horizontal="center" vertical="center"/>
    </xf>
    <xf numFmtId="0" fontId="0" fillId="38" borderId="0" xfId="0" quotePrefix="1" applyFill="1" applyAlignment="1">
      <alignment horizontal="center" vertical="center"/>
    </xf>
    <xf numFmtId="0" fontId="0" fillId="37" borderId="181" xfId="0" applyFill="1" applyBorder="1" applyAlignment="1">
      <alignment horizontal="center" vertical="center"/>
    </xf>
    <xf numFmtId="3" fontId="0" fillId="37" borderId="181" xfId="0" applyNumberFormat="1" applyFill="1" applyBorder="1" applyAlignment="1">
      <alignment horizontal="center" vertical="center"/>
    </xf>
    <xf numFmtId="0" fontId="13" fillId="0" borderId="0" xfId="0" applyFont="1" applyAlignment="1">
      <alignment horizontal="center" vertical="center"/>
    </xf>
    <xf numFmtId="168" fontId="0" fillId="0" borderId="0" xfId="0" applyNumberFormat="1" applyAlignment="1">
      <alignment horizontal="center" vertical="center"/>
    </xf>
    <xf numFmtId="0" fontId="8" fillId="38" borderId="181" xfId="0" applyFont="1" applyFill="1" applyBorder="1" applyAlignment="1">
      <alignment horizontal="center" vertical="center"/>
    </xf>
    <xf numFmtId="0" fontId="13" fillId="0" borderId="125" xfId="0" applyFont="1" applyBorder="1" applyAlignment="1">
      <alignment horizontal="center" vertical="center"/>
    </xf>
    <xf numFmtId="0" fontId="13" fillId="0" borderId="145" xfId="0" applyFont="1" applyBorder="1" applyAlignment="1">
      <alignment horizontal="center" vertical="center"/>
    </xf>
    <xf numFmtId="0" fontId="13" fillId="0" borderId="181" xfId="0" applyFont="1" applyBorder="1" applyAlignment="1">
      <alignment horizontal="center" vertical="center"/>
    </xf>
    <xf numFmtId="0" fontId="13" fillId="0" borderId="127" xfId="0" applyFont="1" applyBorder="1" applyAlignment="1">
      <alignment horizontal="center" vertical="center"/>
    </xf>
    <xf numFmtId="168" fontId="0" fillId="0" borderId="0" xfId="0" quotePrefix="1" applyNumberFormat="1" applyAlignment="1">
      <alignment horizontal="center" vertical="center"/>
    </xf>
    <xf numFmtId="0" fontId="13" fillId="0" borderId="126" xfId="0" applyFont="1" applyBorder="1" applyAlignment="1">
      <alignment horizontal="center" vertical="center"/>
    </xf>
    <xf numFmtId="0" fontId="8" fillId="38" borderId="126" xfId="0" applyFont="1" applyFill="1" applyBorder="1" applyAlignment="1">
      <alignment horizontal="center" vertical="center"/>
    </xf>
    <xf numFmtId="168" fontId="0" fillId="0" borderId="123" xfId="0" applyNumberFormat="1" applyBorder="1" applyAlignment="1">
      <alignment horizontal="center" vertical="center"/>
    </xf>
    <xf numFmtId="0" fontId="0" fillId="38" borderId="123" xfId="0" applyFill="1" applyBorder="1" applyAlignment="1">
      <alignment horizontal="center" vertical="center"/>
    </xf>
    <xf numFmtId="0" fontId="0" fillId="37" borderId="126" xfId="0" applyFill="1" applyBorder="1" applyAlignment="1">
      <alignment horizontal="center" vertical="center"/>
    </xf>
    <xf numFmtId="168" fontId="0" fillId="0" borderId="123" xfId="0" quotePrefix="1" applyNumberFormat="1" applyBorder="1" applyAlignment="1">
      <alignment horizontal="center" vertical="center"/>
    </xf>
    <xf numFmtId="10" fontId="0" fillId="0" borderId="123" xfId="0" quotePrefix="1" applyNumberFormat="1" applyBorder="1" applyAlignment="1">
      <alignment horizontal="center" vertical="center"/>
    </xf>
    <xf numFmtId="10" fontId="0" fillId="38" borderId="123" xfId="0" applyNumberFormat="1" applyFill="1" applyBorder="1" applyAlignment="1">
      <alignment horizontal="center" vertical="center"/>
    </xf>
    <xf numFmtId="10" fontId="0" fillId="0" borderId="123" xfId="0" applyNumberFormat="1" applyBorder="1" applyAlignment="1">
      <alignment horizontal="center" vertical="center"/>
    </xf>
    <xf numFmtId="1" fontId="0" fillId="0" borderId="124" xfId="0" applyNumberFormat="1" applyBorder="1"/>
    <xf numFmtId="1" fontId="0" fillId="0" borderId="138" xfId="0" applyNumberFormat="1" applyBorder="1"/>
    <xf numFmtId="1" fontId="0" fillId="0" borderId="146" xfId="0" applyNumberFormat="1" applyBorder="1"/>
    <xf numFmtId="9" fontId="0" fillId="0" borderId="146" xfId="0" applyNumberFormat="1" applyBorder="1"/>
    <xf numFmtId="0" fontId="13" fillId="38" borderId="123" xfId="0" applyFont="1" applyFill="1" applyBorder="1"/>
    <xf numFmtId="0" fontId="8" fillId="38" borderId="123" xfId="0" applyFont="1" applyFill="1" applyBorder="1" applyAlignment="1">
      <alignment horizontal="center" vertical="center"/>
    </xf>
    <xf numFmtId="1" fontId="0" fillId="6" borderId="125" xfId="0" applyNumberFormat="1" applyFill="1" applyBorder="1"/>
    <xf numFmtId="0" fontId="0" fillId="6" borderId="125" xfId="0" applyFill="1" applyBorder="1"/>
    <xf numFmtId="0" fontId="0" fillId="0" borderId="127" xfId="0" applyBorder="1" applyAlignment="1">
      <alignment horizontal="center" vertical="center"/>
    </xf>
    <xf numFmtId="0" fontId="0" fillId="0" borderId="181" xfId="0" applyBorder="1" applyAlignment="1">
      <alignment horizontal="center" vertical="center"/>
    </xf>
    <xf numFmtId="0" fontId="0" fillId="0" borderId="145" xfId="0" applyBorder="1" applyAlignment="1">
      <alignment horizontal="center" vertical="center"/>
    </xf>
    <xf numFmtId="1" fontId="0" fillId="6" borderId="125" xfId="0" applyNumberFormat="1" applyFill="1" applyBorder="1" applyAlignment="1">
      <alignment horizontal="center" vertical="center"/>
    </xf>
    <xf numFmtId="1" fontId="0" fillId="6" borderId="0" xfId="0" applyNumberFormat="1" applyFill="1" applyAlignment="1">
      <alignment horizontal="center" vertical="center"/>
    </xf>
    <xf numFmtId="1" fontId="0" fillId="6" borderId="122" xfId="0" applyNumberFormat="1" applyFill="1" applyBorder="1" applyAlignment="1">
      <alignment horizontal="center" vertical="center"/>
    </xf>
    <xf numFmtId="0" fontId="13" fillId="0" borderId="137" xfId="0" applyFont="1" applyBorder="1" applyAlignment="1">
      <alignment horizontal="center" vertical="center"/>
    </xf>
    <xf numFmtId="0" fontId="13" fillId="0" borderId="121" xfId="0" applyFont="1" applyBorder="1" applyAlignment="1">
      <alignment horizontal="center" vertical="center"/>
    </xf>
    <xf numFmtId="0" fontId="13" fillId="0" borderId="262" xfId="0" applyFont="1" applyBorder="1" applyAlignment="1">
      <alignment horizontal="center" vertical="center"/>
    </xf>
    <xf numFmtId="1" fontId="0" fillId="0" borderId="181" xfId="0" applyNumberFormat="1" applyBorder="1"/>
    <xf numFmtId="1" fontId="0" fillId="0" borderId="145" xfId="0" applyNumberFormat="1" applyBorder="1"/>
    <xf numFmtId="0" fontId="13" fillId="55" borderId="127" xfId="23" applyFont="1" applyFill="1" applyBorder="1" applyAlignment="1">
      <alignment horizontal="center" vertical="center"/>
    </xf>
    <xf numFmtId="0" fontId="13" fillId="55" borderId="181" xfId="23" applyFont="1" applyFill="1" applyBorder="1" applyAlignment="1">
      <alignment horizontal="center" vertical="center"/>
    </xf>
    <xf numFmtId="1" fontId="0" fillId="6" borderId="123" xfId="0" applyNumberFormat="1" applyFill="1" applyBorder="1"/>
    <xf numFmtId="1" fontId="0" fillId="6" borderId="123" xfId="23" applyNumberFormat="1" applyFont="1" applyFill="1" applyBorder="1"/>
    <xf numFmtId="168" fontId="0" fillId="6" borderId="125" xfId="0" applyNumberFormat="1" applyFill="1" applyBorder="1"/>
    <xf numFmtId="168" fontId="0" fillId="6" borderId="123" xfId="23" applyNumberFormat="1" applyFont="1" applyFill="1" applyBorder="1"/>
    <xf numFmtId="2" fontId="5" fillId="0" borderId="46" xfId="28" applyNumberFormat="1" applyBorder="1" applyAlignment="1">
      <alignment horizontal="center"/>
    </xf>
    <xf numFmtId="2" fontId="5" fillId="0" borderId="141" xfId="28" applyNumberFormat="1" applyBorder="1" applyAlignment="1">
      <alignment horizontal="center"/>
    </xf>
    <xf numFmtId="2" fontId="5" fillId="0" borderId="150" xfId="28" applyNumberFormat="1" applyBorder="1" applyAlignment="1">
      <alignment horizontal="center"/>
    </xf>
    <xf numFmtId="1" fontId="8" fillId="0" borderId="246" xfId="0" quotePrefix="1" applyNumberFormat="1" applyFont="1" applyBorder="1" applyAlignment="1">
      <alignment horizontal="center" vertical="center"/>
    </xf>
    <xf numFmtId="1" fontId="8" fillId="0" borderId="46" xfId="0" quotePrefix="1" applyNumberFormat="1" applyFont="1" applyBorder="1" applyAlignment="1">
      <alignment horizontal="center" vertical="center"/>
    </xf>
    <xf numFmtId="1" fontId="8" fillId="0" borderId="45" xfId="0" quotePrefix="1" applyNumberFormat="1" applyFont="1" applyBorder="1" applyAlignment="1">
      <alignment horizontal="center" vertical="center"/>
    </xf>
    <xf numFmtId="1" fontId="8" fillId="0" borderId="230" xfId="0" quotePrefix="1" applyNumberFormat="1" applyFont="1" applyBorder="1" applyAlignment="1">
      <alignment horizontal="center" vertical="center"/>
    </xf>
    <xf numFmtId="1" fontId="8" fillId="0" borderId="243" xfId="0" quotePrefix="1" applyNumberFormat="1" applyFont="1" applyBorder="1" applyAlignment="1">
      <alignment horizontal="center" vertical="center"/>
    </xf>
    <xf numFmtId="4" fontId="5" fillId="7" borderId="170" xfId="28" applyNumberFormat="1" applyFill="1" applyBorder="1" applyAlignment="1">
      <alignment horizontal="center"/>
    </xf>
    <xf numFmtId="169" fontId="0" fillId="0" borderId="125" xfId="0" applyNumberFormat="1" applyBorder="1" applyAlignment="1">
      <alignment horizontal="center" vertical="center"/>
    </xf>
    <xf numFmtId="2" fontId="0" fillId="0" borderId="121" xfId="0" applyNumberFormat="1" applyBorder="1"/>
    <xf numFmtId="2" fontId="0" fillId="0" borderId="188" xfId="0" applyNumberFormat="1" applyBorder="1"/>
    <xf numFmtId="168" fontId="51" fillId="0" borderId="121" xfId="0" applyNumberFormat="1" applyFont="1" applyBorder="1"/>
    <xf numFmtId="168" fontId="51" fillId="0" borderId="188" xfId="0" applyNumberFormat="1" applyFont="1" applyBorder="1"/>
    <xf numFmtId="0" fontId="13" fillId="59" borderId="145" xfId="0" applyFont="1" applyFill="1" applyBorder="1" applyAlignment="1">
      <alignment horizontal="center" vertical="center"/>
    </xf>
    <xf numFmtId="10" fontId="8" fillId="0" borderId="263" xfId="0" applyNumberFormat="1" applyFont="1" applyBorder="1" applyAlignment="1">
      <alignment horizontal="center" vertical="center"/>
    </xf>
    <xf numFmtId="10" fontId="8" fillId="0" borderId="175" xfId="0" applyNumberFormat="1" applyFont="1" applyBorder="1" applyAlignment="1">
      <alignment horizontal="center" vertical="center"/>
    </xf>
    <xf numFmtId="10" fontId="8" fillId="0" borderId="44" xfId="0" applyNumberFormat="1" applyFont="1" applyBorder="1" applyAlignment="1">
      <alignment horizontal="center" vertical="center"/>
    </xf>
    <xf numFmtId="0" fontId="47" fillId="4" borderId="264" xfId="0" applyFont="1" applyFill="1" applyBorder="1" applyAlignment="1">
      <alignment horizontal="center"/>
    </xf>
    <xf numFmtId="0" fontId="0" fillId="0" borderId="265" xfId="0" applyBorder="1"/>
    <xf numFmtId="0" fontId="0" fillId="0" borderId="266" xfId="0" applyBorder="1"/>
    <xf numFmtId="0" fontId="94" fillId="0" borderId="0" xfId="0" applyFont="1"/>
    <xf numFmtId="0" fontId="93" fillId="0" borderId="0" xfId="0" applyFont="1" applyAlignment="1">
      <alignment horizontal="center" vertical="center"/>
    </xf>
    <xf numFmtId="0" fontId="95" fillId="0" borderId="0" xfId="0" applyFont="1" applyAlignment="1">
      <alignment horizontal="center" vertical="center"/>
    </xf>
    <xf numFmtId="0" fontId="93" fillId="0" borderId="115" xfId="0" applyFont="1" applyBorder="1"/>
    <xf numFmtId="0" fontId="94" fillId="0" borderId="115" xfId="0" applyFont="1" applyBorder="1"/>
    <xf numFmtId="0" fontId="94" fillId="0" borderId="115" xfId="0" applyFont="1" applyBorder="1" applyAlignment="1">
      <alignment wrapText="1"/>
    </xf>
    <xf numFmtId="0" fontId="94" fillId="11" borderId="115" xfId="0" applyFont="1" applyFill="1" applyBorder="1" applyAlignment="1">
      <alignment horizontal="center" vertical="center"/>
    </xf>
    <xf numFmtId="164" fontId="94" fillId="0" borderId="38" xfId="0" applyNumberFormat="1" applyFont="1" applyBorder="1" applyAlignment="1">
      <alignment horizontal="center"/>
    </xf>
    <xf numFmtId="164" fontId="94" fillId="0" borderId="2" xfId="0" applyNumberFormat="1" applyFont="1" applyBorder="1" applyAlignment="1">
      <alignment horizontal="center"/>
    </xf>
    <xf numFmtId="164" fontId="94" fillId="0" borderId="45" xfId="0" applyNumberFormat="1" applyFont="1" applyBorder="1" applyAlignment="1">
      <alignment horizontal="center" vertical="center"/>
    </xf>
    <xf numFmtId="164" fontId="94" fillId="0" borderId="46" xfId="0" applyNumberFormat="1" applyFont="1" applyBorder="1" applyAlignment="1">
      <alignment horizontal="center" vertical="center"/>
    </xf>
    <xf numFmtId="164" fontId="93" fillId="0" borderId="225" xfId="0" applyNumberFormat="1" applyFont="1" applyBorder="1" applyAlignment="1">
      <alignment horizontal="center"/>
    </xf>
    <xf numFmtId="164" fontId="93" fillId="0" borderId="115" xfId="0" applyNumberFormat="1" applyFont="1" applyBorder="1" applyAlignment="1">
      <alignment horizontal="center"/>
    </xf>
    <xf numFmtId="0" fontId="93" fillId="0" borderId="46" xfId="0" applyFont="1" applyBorder="1" applyAlignment="1">
      <alignment horizontal="center"/>
    </xf>
    <xf numFmtId="16" fontId="93" fillId="0" borderId="46" xfId="0" applyNumberFormat="1" applyFont="1" applyBorder="1" applyAlignment="1">
      <alignment horizontal="center"/>
    </xf>
    <xf numFmtId="0" fontId="93" fillId="0" borderId="0" xfId="0" applyFont="1" applyAlignment="1">
      <alignment horizontal="center"/>
    </xf>
    <xf numFmtId="3" fontId="95" fillId="0" borderId="0" xfId="0" applyNumberFormat="1" applyFont="1" applyAlignment="1">
      <alignment horizontal="center"/>
    </xf>
    <xf numFmtId="0" fontId="95" fillId="0" borderId="0" xfId="0" applyFont="1" applyAlignment="1">
      <alignment horizontal="center"/>
    </xf>
    <xf numFmtId="10" fontId="0" fillId="0" borderId="67" xfId="0" applyNumberFormat="1" applyBorder="1"/>
    <xf numFmtId="0" fontId="98" fillId="3" borderId="0" xfId="0" applyFont="1" applyFill="1" applyAlignment="1">
      <alignment wrapText="1"/>
    </xf>
    <xf numFmtId="0" fontId="0" fillId="9" borderId="75" xfId="0" applyFill="1" applyBorder="1"/>
    <xf numFmtId="0" fontId="0" fillId="8" borderId="75" xfId="0" applyFill="1" applyBorder="1"/>
    <xf numFmtId="0" fontId="98" fillId="0" borderId="0" xfId="0" applyFont="1" applyAlignment="1">
      <alignment wrapText="1"/>
    </xf>
    <xf numFmtId="0" fontId="0" fillId="10" borderId="75" xfId="0" applyFill="1" applyBorder="1"/>
    <xf numFmtId="0" fontId="13" fillId="0" borderId="34" xfId="0" applyFont="1" applyBorder="1"/>
    <xf numFmtId="0" fontId="13" fillId="0" borderId="6" xfId="0" applyFont="1" applyBorder="1"/>
    <xf numFmtId="0" fontId="13" fillId="61" borderId="37" xfId="0" applyFont="1" applyFill="1" applyBorder="1"/>
    <xf numFmtId="0" fontId="8" fillId="0" borderId="34" xfId="0" applyFont="1" applyBorder="1"/>
    <xf numFmtId="0" fontId="8" fillId="0" borderId="6" xfId="0" applyFont="1" applyBorder="1"/>
    <xf numFmtId="0" fontId="13" fillId="37" borderId="44" xfId="0" applyFont="1" applyFill="1" applyBorder="1"/>
    <xf numFmtId="0" fontId="0" fillId="0" borderId="36" xfId="0" applyBorder="1" applyAlignment="1">
      <alignment horizontal="center" vertical="center"/>
    </xf>
    <xf numFmtId="9" fontId="0" fillId="0" borderId="36" xfId="0" applyNumberFormat="1" applyBorder="1" applyAlignment="1">
      <alignment horizontal="center" vertical="center"/>
    </xf>
    <xf numFmtId="0" fontId="8" fillId="0" borderId="0" xfId="0" applyFont="1" applyAlignment="1">
      <alignment horizontal="center" vertical="center"/>
    </xf>
    <xf numFmtId="3" fontId="8" fillId="0" borderId="35" xfId="0" applyNumberFormat="1" applyFont="1" applyBorder="1" applyAlignment="1">
      <alignment horizontal="center" vertical="center"/>
    </xf>
    <xf numFmtId="0" fontId="8" fillId="0" borderId="36" xfId="0" applyFont="1" applyBorder="1" applyAlignment="1">
      <alignment horizontal="center" vertical="center"/>
    </xf>
    <xf numFmtId="0" fontId="8" fillId="0" borderId="35" xfId="0" applyFont="1" applyBorder="1" applyAlignment="1">
      <alignment horizontal="center" vertical="center"/>
    </xf>
    <xf numFmtId="9" fontId="8" fillId="0" borderId="36" xfId="0" applyNumberFormat="1" applyFont="1" applyBorder="1" applyAlignment="1">
      <alignment horizontal="center" vertical="center"/>
    </xf>
    <xf numFmtId="10" fontId="0" fillId="0" borderId="35" xfId="0" applyNumberFormat="1" applyBorder="1" applyAlignment="1">
      <alignment horizontal="center" vertical="center"/>
    </xf>
    <xf numFmtId="10" fontId="0" fillId="0" borderId="38" xfId="0" applyNumberFormat="1" applyBorder="1" applyAlignment="1">
      <alignment horizontal="center" vertical="center"/>
    </xf>
    <xf numFmtId="10" fontId="8" fillId="37" borderId="45" xfId="0" applyNumberFormat="1" applyFont="1" applyFill="1" applyBorder="1" applyAlignment="1">
      <alignment horizontal="center" vertical="center"/>
    </xf>
    <xf numFmtId="10" fontId="0" fillId="0" borderId="36" xfId="0" applyNumberFormat="1" applyBorder="1" applyAlignment="1">
      <alignment horizontal="center" vertical="center"/>
    </xf>
    <xf numFmtId="10" fontId="8" fillId="0" borderId="36" xfId="0" applyNumberFormat="1" applyFont="1" applyBorder="1" applyAlignment="1">
      <alignment horizontal="center" vertical="center"/>
    </xf>
    <xf numFmtId="0" fontId="13" fillId="7" borderId="268" xfId="0" applyFont="1" applyFill="1" applyBorder="1" applyAlignment="1">
      <alignment horizontal="center"/>
    </xf>
    <xf numFmtId="0" fontId="13" fillId="7" borderId="269" xfId="0" applyFont="1" applyFill="1" applyBorder="1" applyAlignment="1">
      <alignment horizontal="center"/>
    </xf>
    <xf numFmtId="9" fontId="8" fillId="0" borderId="270" xfId="0" applyNumberFormat="1" applyFont="1" applyBorder="1" applyAlignment="1">
      <alignment horizontal="center"/>
    </xf>
    <xf numFmtId="9" fontId="8" fillId="0" borderId="271" xfId="0" applyNumberFormat="1" applyFont="1" applyBorder="1" applyAlignment="1">
      <alignment horizontal="center"/>
    </xf>
    <xf numFmtId="9" fontId="8" fillId="0" borderId="272" xfId="0" applyNumberFormat="1" applyFont="1" applyBorder="1" applyAlignment="1">
      <alignment horizontal="center"/>
    </xf>
    <xf numFmtId="9" fontId="13" fillId="0" borderId="273" xfId="0" applyNumberFormat="1" applyFont="1" applyBorder="1" applyAlignment="1">
      <alignment horizontal="center"/>
    </xf>
    <xf numFmtId="9" fontId="0" fillId="0" borderId="270" xfId="0" applyNumberFormat="1" applyBorder="1" applyAlignment="1">
      <alignment horizontal="center"/>
    </xf>
    <xf numFmtId="9" fontId="0" fillId="0" borderId="271" xfId="0" applyNumberFormat="1" applyBorder="1" applyAlignment="1">
      <alignment horizontal="center"/>
    </xf>
    <xf numFmtId="9" fontId="0" fillId="0" borderId="272" xfId="0" applyNumberFormat="1" applyBorder="1" applyAlignment="1">
      <alignment horizontal="center"/>
    </xf>
    <xf numFmtId="0" fontId="0" fillId="30" borderId="75" xfId="0" applyFill="1" applyBorder="1"/>
    <xf numFmtId="178" fontId="26" fillId="29" borderId="75" xfId="0" applyNumberFormat="1" applyFont="1" applyFill="1" applyBorder="1" applyAlignment="1">
      <alignment horizontal="center" vertical="center"/>
    </xf>
    <xf numFmtId="0" fontId="55" fillId="34" borderId="77" xfId="0" applyFont="1" applyFill="1" applyBorder="1" applyAlignment="1">
      <alignment horizontal="center" vertical="center"/>
    </xf>
    <xf numFmtId="172" fontId="25" fillId="16" borderId="197" xfId="0" applyNumberFormat="1" applyFont="1" applyFill="1" applyBorder="1" applyAlignment="1">
      <alignment horizontal="center"/>
    </xf>
    <xf numFmtId="172" fontId="0" fillId="0" borderId="197" xfId="0" applyNumberFormat="1" applyBorder="1" applyAlignment="1">
      <alignment horizontal="center"/>
    </xf>
    <xf numFmtId="172" fontId="25" fillId="16" borderId="276" xfId="0" applyNumberFormat="1" applyFont="1" applyFill="1" applyBorder="1" applyAlignment="1">
      <alignment horizontal="center"/>
    </xf>
    <xf numFmtId="172" fontId="0" fillId="15" borderId="276" xfId="0" applyNumberFormat="1" applyFill="1" applyBorder="1" applyAlignment="1">
      <alignment horizontal="center"/>
    </xf>
    <xf numFmtId="9" fontId="25" fillId="29" borderId="75" xfId="15" applyFont="1" applyFill="1" applyBorder="1" applyAlignment="1">
      <alignment horizontal="center" vertical="center"/>
    </xf>
    <xf numFmtId="0" fontId="0" fillId="29" borderId="75" xfId="0" applyFill="1" applyBorder="1" applyAlignment="1">
      <alignment horizontal="center"/>
    </xf>
    <xf numFmtId="9" fontId="0" fillId="0" borderId="98" xfId="15" applyFont="1" applyBorder="1" applyAlignment="1">
      <alignment horizontal="center"/>
    </xf>
    <xf numFmtId="9" fontId="0" fillId="0" borderId="197" xfId="15" applyFont="1" applyBorder="1" applyAlignment="1">
      <alignment horizontal="center"/>
    </xf>
    <xf numFmtId="9" fontId="0" fillId="15" borderId="104" xfId="15" applyFont="1" applyFill="1" applyBorder="1" applyAlignment="1">
      <alignment horizontal="center"/>
    </xf>
    <xf numFmtId="9" fontId="0" fillId="0" borderId="100" xfId="15" applyFont="1" applyBorder="1" applyAlignment="1">
      <alignment horizontal="center"/>
    </xf>
    <xf numFmtId="9" fontId="0" fillId="0" borderId="104" xfId="15" applyFont="1" applyBorder="1" applyAlignment="1">
      <alignment horizontal="center"/>
    </xf>
    <xf numFmtId="9" fontId="0" fillId="15" borderId="99" xfId="15" applyFont="1" applyFill="1" applyBorder="1" applyAlignment="1">
      <alignment horizontal="center"/>
    </xf>
    <xf numFmtId="9" fontId="25" fillId="16" borderId="276" xfId="15" applyFont="1" applyFill="1" applyBorder="1" applyAlignment="1">
      <alignment horizontal="center"/>
    </xf>
    <xf numFmtId="9" fontId="0" fillId="15" borderId="276" xfId="15" applyFont="1" applyFill="1" applyBorder="1" applyAlignment="1">
      <alignment horizontal="center"/>
    </xf>
    <xf numFmtId="0" fontId="25" fillId="29" borderId="75" xfId="0" applyFont="1" applyFill="1" applyBorder="1" applyAlignment="1">
      <alignment horizontal="center" vertical="center"/>
    </xf>
    <xf numFmtId="2" fontId="25" fillId="16" borderId="104" xfId="0" applyNumberFormat="1" applyFont="1" applyFill="1" applyBorder="1" applyAlignment="1">
      <alignment horizontal="center"/>
    </xf>
    <xf numFmtId="2" fontId="0" fillId="0" borderId="197" xfId="0" applyNumberFormat="1" applyBorder="1" applyAlignment="1">
      <alignment horizontal="center"/>
    </xf>
    <xf numFmtId="2" fontId="0" fillId="15" borderId="104" xfId="0" applyNumberFormat="1" applyFill="1" applyBorder="1" applyAlignment="1">
      <alignment horizontal="center"/>
    </xf>
    <xf numFmtId="2" fontId="25" fillId="16" borderId="276" xfId="0" applyNumberFormat="1" applyFont="1" applyFill="1" applyBorder="1" applyAlignment="1">
      <alignment horizontal="center"/>
    </xf>
    <xf numFmtId="2" fontId="0" fillId="0" borderId="276" xfId="0" applyNumberFormat="1" applyBorder="1" applyAlignment="1">
      <alignment horizontal="center"/>
    </xf>
    <xf numFmtId="2" fontId="25" fillId="29" borderId="75" xfId="15" applyNumberFormat="1" applyFont="1" applyFill="1" applyBorder="1" applyAlignment="1">
      <alignment horizontal="center" vertical="center"/>
    </xf>
    <xf numFmtId="2" fontId="25" fillId="16" borderId="197" xfId="0" applyNumberFormat="1" applyFont="1" applyFill="1" applyBorder="1" applyAlignment="1">
      <alignment horizontal="center"/>
    </xf>
    <xf numFmtId="2" fontId="0" fillId="15" borderId="197" xfId="0" applyNumberFormat="1" applyFill="1" applyBorder="1" applyAlignment="1">
      <alignment horizontal="center"/>
    </xf>
    <xf numFmtId="2" fontId="0" fillId="0" borderId="104" xfId="0" applyNumberFormat="1" applyBorder="1" applyAlignment="1">
      <alignment horizontal="center"/>
    </xf>
    <xf numFmtId="2" fontId="0" fillId="15" borderId="276" xfId="0" applyNumberFormat="1" applyFill="1" applyBorder="1" applyAlignment="1">
      <alignment horizontal="center"/>
    </xf>
    <xf numFmtId="10" fontId="25" fillId="29" borderId="75" xfId="0" applyNumberFormat="1" applyFont="1" applyFill="1" applyBorder="1" applyAlignment="1">
      <alignment horizontal="center" vertical="center"/>
    </xf>
    <xf numFmtId="169" fontId="0" fillId="0" borderId="197" xfId="0" applyNumberFormat="1" applyBorder="1" applyAlignment="1">
      <alignment horizontal="center"/>
    </xf>
    <xf numFmtId="169" fontId="0" fillId="15" borderId="104" xfId="0" applyNumberFormat="1" applyFill="1" applyBorder="1" applyAlignment="1">
      <alignment horizontal="center"/>
    </xf>
    <xf numFmtId="169" fontId="0" fillId="0" borderId="104" xfId="0" applyNumberFormat="1" applyBorder="1" applyAlignment="1">
      <alignment horizontal="center"/>
    </xf>
    <xf numFmtId="169" fontId="0" fillId="0" borderId="276" xfId="0" applyNumberFormat="1" applyBorder="1" applyAlignment="1">
      <alignment horizontal="center"/>
    </xf>
    <xf numFmtId="178" fontId="25" fillId="29" borderId="75" xfId="18" applyNumberFormat="1" applyFont="1" applyFill="1" applyBorder="1" applyAlignment="1">
      <alignment horizontal="center" vertical="center"/>
    </xf>
    <xf numFmtId="168" fontId="0" fillId="0" borderId="98" xfId="15" applyNumberFormat="1" applyFont="1" applyBorder="1" applyAlignment="1">
      <alignment horizontal="center"/>
    </xf>
    <xf numFmtId="168" fontId="0" fillId="0" borderId="197" xfId="15" applyNumberFormat="1" applyFont="1" applyBorder="1" applyAlignment="1">
      <alignment horizontal="center"/>
    </xf>
    <xf numFmtId="2" fontId="25" fillId="16" borderId="104" xfId="15" applyNumberFormat="1" applyFont="1" applyFill="1" applyBorder="1" applyAlignment="1">
      <alignment horizontal="center"/>
    </xf>
    <xf numFmtId="2" fontId="0" fillId="15" borderId="104" xfId="15" applyNumberFormat="1" applyFont="1" applyFill="1" applyBorder="1" applyAlignment="1">
      <alignment horizontal="center"/>
    </xf>
    <xf numFmtId="10" fontId="0" fillId="0" borderId="99" xfId="15" applyNumberFormat="1" applyFont="1" applyBorder="1" applyAlignment="1">
      <alignment horizontal="center"/>
    </xf>
    <xf numFmtId="10" fontId="0" fillId="0" borderId="276" xfId="15" applyNumberFormat="1" applyFont="1" applyBorder="1" applyAlignment="1">
      <alignment horizontal="center"/>
    </xf>
    <xf numFmtId="0" fontId="25" fillId="29" borderId="75" xfId="0" applyFont="1" applyFill="1" applyBorder="1" applyAlignment="1">
      <alignment horizontal="center"/>
    </xf>
    <xf numFmtId="9" fontId="0" fillId="0" borderId="107" xfId="15" applyFont="1" applyBorder="1" applyAlignment="1">
      <alignment horizontal="center" vertical="center"/>
    </xf>
    <xf numFmtId="10" fontId="0" fillId="0" borderId="51" xfId="0" applyNumberFormat="1" applyBorder="1" applyAlignment="1">
      <alignment horizontal="center" vertical="center"/>
    </xf>
    <xf numFmtId="9" fontId="0" fillId="15" borderId="100" xfId="15" applyFont="1" applyFill="1" applyBorder="1" applyAlignment="1">
      <alignment horizontal="center" vertical="center"/>
    </xf>
    <xf numFmtId="10" fontId="0" fillId="15" borderId="104" xfId="15" applyNumberFormat="1" applyFont="1" applyFill="1" applyBorder="1" applyAlignment="1">
      <alignment horizontal="center" vertical="center"/>
    </xf>
    <xf numFmtId="9" fontId="0" fillId="0" borderId="106" xfId="15" applyFont="1" applyBorder="1" applyAlignment="1">
      <alignment horizontal="center"/>
    </xf>
    <xf numFmtId="9" fontId="25" fillId="16" borderId="77" xfId="15" applyFont="1" applyFill="1" applyBorder="1" applyAlignment="1">
      <alignment horizontal="center"/>
    </xf>
    <xf numFmtId="9" fontId="0" fillId="0" borderId="277" xfId="15" applyFont="1" applyBorder="1" applyAlignment="1">
      <alignment horizontal="center"/>
    </xf>
    <xf numFmtId="0" fontId="44" fillId="29" borderId="66" xfId="0" applyFont="1" applyFill="1" applyBorder="1" applyAlignment="1">
      <alignment horizontal="left" vertical="center"/>
    </xf>
    <xf numFmtId="10" fontId="0" fillId="7" borderId="277" xfId="15" applyNumberFormat="1" applyFont="1" applyFill="1" applyBorder="1" applyAlignment="1">
      <alignment horizontal="center" vertical="center"/>
    </xf>
    <xf numFmtId="0" fontId="0" fillId="29" borderId="68" xfId="0" applyFill="1" applyBorder="1"/>
    <xf numFmtId="169" fontId="0" fillId="0" borderId="137" xfId="0" applyNumberFormat="1" applyBorder="1" applyAlignment="1">
      <alignment horizontal="center"/>
    </xf>
    <xf numFmtId="169" fontId="0" fillId="0" borderId="121" xfId="0" applyNumberFormat="1" applyBorder="1" applyAlignment="1">
      <alignment horizontal="center"/>
    </xf>
    <xf numFmtId="169" fontId="0" fillId="0" borderId="188" xfId="0" applyNumberFormat="1" applyBorder="1" applyAlignment="1">
      <alignment horizontal="center"/>
    </xf>
    <xf numFmtId="0" fontId="53" fillId="0" borderId="137" xfId="0" applyFont="1" applyBorder="1"/>
    <xf numFmtId="169" fontId="94" fillId="11" borderId="115" xfId="0" applyNumberFormat="1" applyFont="1" applyFill="1" applyBorder="1" applyAlignment="1">
      <alignment horizontal="center" vertical="center"/>
    </xf>
    <xf numFmtId="169" fontId="94" fillId="26" borderId="115" xfId="0" applyNumberFormat="1" applyFont="1" applyFill="1" applyBorder="1" applyAlignment="1">
      <alignment horizontal="center" vertical="center"/>
    </xf>
    <xf numFmtId="169" fontId="94" fillId="8" borderId="115" xfId="0" applyNumberFormat="1" applyFont="1" applyFill="1" applyBorder="1" applyAlignment="1">
      <alignment horizontal="center" vertical="center"/>
    </xf>
    <xf numFmtId="169" fontId="0" fillId="0" borderId="125" xfId="0" applyNumberFormat="1" applyBorder="1" applyAlignment="1">
      <alignment horizontal="center"/>
    </xf>
    <xf numFmtId="169" fontId="0" fillId="0" borderId="0" xfId="0" applyNumberFormat="1" applyAlignment="1">
      <alignment horizontal="center"/>
    </xf>
    <xf numFmtId="169" fontId="0" fillId="0" borderId="122" xfId="0" applyNumberFormat="1" applyBorder="1" applyAlignment="1">
      <alignment horizontal="center"/>
    </xf>
    <xf numFmtId="1" fontId="0" fillId="0" borderId="262" xfId="0" applyNumberFormat="1" applyBorder="1" applyAlignment="1">
      <alignment horizontal="center"/>
    </xf>
    <xf numFmtId="0" fontId="8" fillId="0" borderId="112" xfId="25" applyBorder="1" applyAlignment="1">
      <alignment vertical="center"/>
    </xf>
    <xf numFmtId="0" fontId="99" fillId="63" borderId="0" xfId="0" applyFont="1" applyFill="1" applyAlignment="1">
      <alignment horizontal="left"/>
    </xf>
    <xf numFmtId="0" fontId="100" fillId="64" borderId="223" xfId="0" applyFont="1" applyFill="1" applyBorder="1" applyAlignment="1">
      <alignment horizontal="left"/>
    </xf>
    <xf numFmtId="0" fontId="8" fillId="49" borderId="280" xfId="0" applyFont="1" applyFill="1" applyBorder="1" applyAlignment="1">
      <alignment wrapText="1"/>
    </xf>
    <xf numFmtId="0" fontId="8" fillId="26" borderId="109" xfId="9" applyFont="1" applyFill="1" applyBorder="1" applyAlignment="1">
      <alignment horizontal="right" vertical="center"/>
    </xf>
    <xf numFmtId="0" fontId="30" fillId="42" borderId="280" xfId="0" applyFont="1" applyFill="1" applyBorder="1"/>
    <xf numFmtId="0" fontId="101" fillId="37" borderId="281" xfId="0" applyFont="1" applyFill="1" applyBorder="1"/>
    <xf numFmtId="0" fontId="30" fillId="65" borderId="281" xfId="0" applyFont="1" applyFill="1" applyBorder="1"/>
    <xf numFmtId="0" fontId="30" fillId="42" borderId="281" xfId="0" applyFont="1" applyFill="1" applyBorder="1"/>
    <xf numFmtId="0" fontId="8" fillId="49" borderId="282" xfId="0" applyFont="1" applyFill="1" applyBorder="1" applyAlignment="1">
      <alignment wrapText="1"/>
    </xf>
    <xf numFmtId="0" fontId="8" fillId="49" borderId="281" xfId="0" applyFont="1" applyFill="1" applyBorder="1" applyAlignment="1">
      <alignment wrapText="1"/>
    </xf>
    <xf numFmtId="0" fontId="8" fillId="49" borderId="283" xfId="0" applyFont="1" applyFill="1" applyBorder="1" applyAlignment="1">
      <alignment wrapText="1"/>
    </xf>
    <xf numFmtId="0" fontId="8" fillId="0" borderId="281" xfId="0" applyFont="1" applyBorder="1" applyAlignment="1">
      <alignment wrapText="1"/>
    </xf>
    <xf numFmtId="0" fontId="30" fillId="26" borderId="281" xfId="0" applyFont="1" applyFill="1" applyBorder="1"/>
    <xf numFmtId="0" fontId="44" fillId="62" borderId="75" xfId="0" applyFont="1" applyFill="1" applyBorder="1" applyAlignment="1">
      <alignment horizontal="center" vertical="center"/>
    </xf>
    <xf numFmtId="0" fontId="70" fillId="34" borderId="75" xfId="0" applyFont="1" applyFill="1" applyBorder="1" applyAlignment="1">
      <alignment horizontal="center" vertical="center" wrapText="1"/>
    </xf>
    <xf numFmtId="0" fontId="47" fillId="4" borderId="290" xfId="0" applyFont="1" applyFill="1" applyBorder="1"/>
    <xf numFmtId="0" fontId="44" fillId="9" borderId="108" xfId="0" applyFont="1" applyFill="1" applyBorder="1" applyAlignment="1">
      <alignment horizontal="center" vertical="center" wrapText="1"/>
    </xf>
    <xf numFmtId="0" fontId="44" fillId="10" borderId="108" xfId="0" applyFont="1" applyFill="1" applyBorder="1" applyAlignment="1">
      <alignment horizontal="center" vertical="center" wrapText="1"/>
    </xf>
    <xf numFmtId="0" fontId="44" fillId="13" borderId="267" xfId="0" applyFont="1" applyFill="1" applyBorder="1" applyAlignment="1">
      <alignment horizontal="center" vertical="center" wrapText="1"/>
    </xf>
    <xf numFmtId="0" fontId="44" fillId="29" borderId="291" xfId="0" applyFont="1" applyFill="1" applyBorder="1" applyAlignment="1">
      <alignment horizontal="center" vertical="center"/>
    </xf>
    <xf numFmtId="0" fontId="44" fillId="8" borderId="292" xfId="0" applyFont="1" applyFill="1" applyBorder="1" applyAlignment="1">
      <alignment horizontal="center" vertical="center"/>
    </xf>
    <xf numFmtId="0" fontId="44" fillId="9" borderId="293" xfId="0" applyFont="1" applyFill="1" applyBorder="1" applyAlignment="1">
      <alignment horizontal="center" vertical="center" wrapText="1"/>
    </xf>
    <xf numFmtId="0" fontId="44" fillId="10" borderId="293" xfId="0" applyFont="1" applyFill="1" applyBorder="1" applyAlignment="1">
      <alignment horizontal="center" vertical="center" wrapText="1"/>
    </xf>
    <xf numFmtId="0" fontId="44" fillId="13" borderId="294" xfId="0" applyFont="1" applyFill="1" applyBorder="1" applyAlignment="1">
      <alignment horizontal="center" vertical="center" wrapText="1"/>
    </xf>
    <xf numFmtId="0" fontId="26" fillId="30" borderId="295" xfId="0" applyFont="1" applyFill="1" applyBorder="1" applyAlignment="1">
      <alignment horizontal="center"/>
    </xf>
    <xf numFmtId="0" fontId="0" fillId="30" borderId="296" xfId="0" applyFill="1" applyBorder="1"/>
    <xf numFmtId="0" fontId="13" fillId="15" borderId="297" xfId="0" applyFont="1" applyFill="1" applyBorder="1"/>
    <xf numFmtId="172" fontId="0" fillId="0" borderId="298" xfId="0" applyNumberFormat="1" applyBorder="1" applyAlignment="1">
      <alignment horizontal="center"/>
    </xf>
    <xf numFmtId="0" fontId="13" fillId="60" borderId="297" xfId="0" applyFont="1" applyFill="1" applyBorder="1"/>
    <xf numFmtId="172" fontId="0" fillId="0" borderId="298" xfId="0" applyNumberFormat="1" applyBorder="1" applyAlignment="1">
      <alignment horizontal="center" wrapText="1"/>
    </xf>
    <xf numFmtId="0" fontId="26" fillId="30" borderId="297" xfId="0" applyFont="1" applyFill="1" applyBorder="1" applyAlignment="1">
      <alignment horizontal="center"/>
    </xf>
    <xf numFmtId="0" fontId="0" fillId="30" borderId="298" xfId="0" applyFill="1" applyBorder="1"/>
    <xf numFmtId="0" fontId="13" fillId="15" borderId="299" xfId="0" applyFont="1" applyFill="1" applyBorder="1"/>
    <xf numFmtId="172" fontId="0" fillId="22" borderId="300" xfId="0" applyNumberFormat="1" applyFill="1" applyBorder="1" applyAlignment="1">
      <alignment horizontal="center"/>
    </xf>
    <xf numFmtId="166" fontId="0" fillId="0" borderId="138" xfId="0" applyNumberFormat="1" applyBorder="1" applyAlignment="1">
      <alignment horizontal="center"/>
    </xf>
    <xf numFmtId="172" fontId="0" fillId="0" borderId="300" xfId="0" applyNumberFormat="1" applyBorder="1" applyAlignment="1">
      <alignment horizontal="center"/>
    </xf>
    <xf numFmtId="172" fontId="0" fillId="0" borderId="301" xfId="0" applyNumberFormat="1" applyBorder="1" applyAlignment="1">
      <alignment horizontal="center"/>
    </xf>
    <xf numFmtId="173" fontId="8" fillId="7" borderId="109" xfId="25" applyNumberFormat="1" applyFill="1" applyBorder="1" applyAlignment="1">
      <alignment horizontal="center" vertical="center"/>
    </xf>
    <xf numFmtId="173" fontId="8" fillId="0" borderId="278" xfId="25" applyNumberFormat="1" applyBorder="1" applyAlignment="1">
      <alignment horizontal="center" vertical="center"/>
    </xf>
    <xf numFmtId="3" fontId="8" fillId="7" borderId="109" xfId="25" applyNumberFormat="1" applyFill="1" applyBorder="1" applyAlignment="1">
      <alignment horizontal="center" vertical="center"/>
    </xf>
    <xf numFmtId="3" fontId="8" fillId="0" borderId="279" xfId="25" applyNumberFormat="1" applyBorder="1" applyAlignment="1">
      <alignment horizontal="center" vertical="center"/>
    </xf>
    <xf numFmtId="3" fontId="8" fillId="0" borderId="109" xfId="25" applyNumberFormat="1" applyBorder="1" applyAlignment="1">
      <alignment horizontal="center" vertical="center"/>
    </xf>
    <xf numFmtId="0" fontId="8" fillId="7" borderId="109" xfId="25" applyFill="1" applyBorder="1" applyAlignment="1">
      <alignment horizontal="center" vertical="center"/>
    </xf>
    <xf numFmtId="0" fontId="8" fillId="0" borderId="280" xfId="0" applyFont="1" applyBorder="1" applyAlignment="1">
      <alignment horizontal="center" vertical="center"/>
    </xf>
    <xf numFmtId="0" fontId="8" fillId="0" borderId="109" xfId="25" applyBorder="1" applyAlignment="1">
      <alignment horizontal="center" vertical="center"/>
    </xf>
    <xf numFmtId="0" fontId="8" fillId="0" borderId="281" xfId="0" applyFont="1" applyBorder="1" applyAlignment="1">
      <alignment horizontal="center" vertical="center"/>
    </xf>
    <xf numFmtId="1" fontId="0" fillId="0" borderId="0" xfId="0" applyNumberFormat="1" applyAlignment="1">
      <alignment horizontal="center"/>
    </xf>
    <xf numFmtId="1" fontId="0" fillId="0" borderId="126" xfId="0" applyNumberFormat="1" applyBorder="1" applyAlignment="1">
      <alignment horizontal="center"/>
    </xf>
    <xf numFmtId="1" fontId="0" fillId="0" borderId="123" xfId="0" applyNumberFormat="1" applyBorder="1" applyAlignment="1">
      <alignment horizontal="center"/>
    </xf>
    <xf numFmtId="9" fontId="0" fillId="0" borderId="138" xfId="0" applyNumberFormat="1" applyBorder="1" applyAlignment="1">
      <alignment horizontal="center"/>
    </xf>
    <xf numFmtId="9" fontId="0" fillId="11" borderId="261" xfId="0" applyNumberFormat="1" applyFill="1" applyBorder="1" applyAlignment="1">
      <alignment horizontal="center"/>
    </xf>
    <xf numFmtId="9" fontId="0" fillId="0" borderId="0" xfId="0" applyNumberFormat="1" applyAlignment="1">
      <alignment horizontal="center"/>
    </xf>
    <xf numFmtId="168" fontId="0" fillId="7" borderId="0" xfId="0" applyNumberFormat="1" applyFill="1" applyAlignment="1">
      <alignment horizontal="center"/>
    </xf>
    <xf numFmtId="0" fontId="0" fillId="0" borderId="126" xfId="0" applyBorder="1" applyAlignment="1">
      <alignment horizontal="center"/>
    </xf>
    <xf numFmtId="3" fontId="0" fillId="0" borderId="123" xfId="0" applyNumberFormat="1" applyBorder="1" applyAlignment="1">
      <alignment horizontal="center"/>
    </xf>
    <xf numFmtId="9" fontId="0" fillId="0" borderId="261" xfId="0" applyNumberFormat="1" applyBorder="1" applyAlignment="1">
      <alignment horizontal="center"/>
    </xf>
    <xf numFmtId="0" fontId="102" fillId="0" borderId="0" xfId="0" applyFont="1"/>
    <xf numFmtId="2" fontId="8" fillId="26" borderId="100" xfId="0" applyNumberFormat="1" applyFont="1" applyFill="1" applyBorder="1" applyAlignment="1">
      <alignment horizontal="center" vertical="center"/>
    </xf>
    <xf numFmtId="172" fontId="0" fillId="0" borderId="99" xfId="0" applyNumberFormat="1" applyBorder="1" applyAlignment="1">
      <alignment horizontal="center"/>
    </xf>
    <xf numFmtId="9" fontId="8" fillId="0" borderId="107" xfId="15" applyFont="1" applyFill="1" applyBorder="1" applyAlignment="1">
      <alignment horizontal="center" vertical="center"/>
    </xf>
    <xf numFmtId="0" fontId="13" fillId="7" borderId="0" xfId="0" applyFont="1" applyFill="1" applyAlignment="1">
      <alignment horizontal="left" vertical="center"/>
    </xf>
    <xf numFmtId="10" fontId="0" fillId="7" borderId="0" xfId="15" applyNumberFormat="1" applyFont="1" applyFill="1" applyBorder="1" applyAlignment="1">
      <alignment horizontal="center" vertical="center"/>
    </xf>
    <xf numFmtId="2" fontId="0" fillId="0" borderId="0" xfId="15" applyNumberFormat="1" applyFont="1" applyFill="1" applyBorder="1" applyAlignment="1">
      <alignment horizontal="center" vertical="center"/>
    </xf>
    <xf numFmtId="2" fontId="0" fillId="0" borderId="106" xfId="15" applyNumberFormat="1" applyFont="1" applyFill="1" applyBorder="1" applyAlignment="1">
      <alignment horizontal="center" vertical="center"/>
    </xf>
    <xf numFmtId="176" fontId="25" fillId="16" borderId="77" xfId="15" applyNumberFormat="1" applyFont="1" applyFill="1" applyBorder="1" applyAlignment="1">
      <alignment horizontal="center"/>
    </xf>
    <xf numFmtId="9" fontId="25" fillId="0" borderId="0" xfId="15" applyFont="1" applyFill="1" applyBorder="1" applyAlignment="1">
      <alignment horizontal="center"/>
    </xf>
    <xf numFmtId="176" fontId="0" fillId="7" borderId="277" xfId="15" applyNumberFormat="1" applyFont="1" applyFill="1" applyBorder="1" applyAlignment="1">
      <alignment horizontal="center" vertical="center"/>
    </xf>
    <xf numFmtId="177" fontId="25" fillId="16" borderId="197" xfId="15" applyNumberFormat="1" applyFont="1" applyFill="1" applyBorder="1" applyAlignment="1">
      <alignment horizontal="center"/>
    </xf>
    <xf numFmtId="177" fontId="0" fillId="15" borderId="104" xfId="0" applyNumberFormat="1" applyFill="1" applyBorder="1" applyAlignment="1">
      <alignment horizontal="center"/>
    </xf>
    <xf numFmtId="177" fontId="0" fillId="7" borderId="104" xfId="0" applyNumberFormat="1" applyFill="1" applyBorder="1" applyAlignment="1">
      <alignment horizontal="center" vertical="center"/>
    </xf>
    <xf numFmtId="10" fontId="8" fillId="0" borderId="38" xfId="0" applyNumberFormat="1" applyFont="1" applyBorder="1" applyAlignment="1">
      <alignment horizontal="center" vertical="center"/>
    </xf>
    <xf numFmtId="168" fontId="0" fillId="0" borderId="38" xfId="0" applyNumberFormat="1" applyBorder="1" applyAlignment="1">
      <alignment horizontal="center" vertical="center"/>
    </xf>
    <xf numFmtId="0" fontId="22" fillId="53" borderId="0" xfId="0" applyFont="1" applyFill="1" applyAlignment="1">
      <alignment horizontal="left" vertical="top"/>
    </xf>
    <xf numFmtId="0" fontId="22" fillId="53" borderId="0" xfId="0" applyFont="1" applyFill="1" applyAlignment="1">
      <alignment horizontal="center" vertical="center"/>
    </xf>
    <xf numFmtId="0" fontId="33" fillId="52" borderId="0" xfId="0" applyFont="1" applyFill="1" applyAlignment="1">
      <alignment horizontal="left" vertical="top"/>
    </xf>
    <xf numFmtId="10" fontId="33" fillId="52" borderId="0" xfId="0" applyNumberFormat="1" applyFont="1" applyFill="1" applyAlignment="1">
      <alignment horizontal="center" vertical="center"/>
    </xf>
    <xf numFmtId="0" fontId="33" fillId="52" borderId="0" xfId="0" applyFont="1" applyFill="1" applyAlignment="1">
      <alignment horizontal="center" vertical="center"/>
    </xf>
    <xf numFmtId="0" fontId="33" fillId="44" borderId="0" xfId="0" applyFont="1" applyFill="1" applyAlignment="1">
      <alignment horizontal="left" vertical="top"/>
    </xf>
    <xf numFmtId="10" fontId="33" fillId="44" borderId="0" xfId="0" applyNumberFormat="1" applyFont="1" applyFill="1" applyAlignment="1">
      <alignment horizontal="center" vertical="center"/>
    </xf>
    <xf numFmtId="0" fontId="33" fillId="44" borderId="0" xfId="0" applyFont="1" applyFill="1" applyAlignment="1">
      <alignment horizontal="center" vertical="center"/>
    </xf>
    <xf numFmtId="0" fontId="33" fillId="0" borderId="125" xfId="0" applyFont="1" applyBorder="1"/>
    <xf numFmtId="0" fontId="33" fillId="0" borderId="122" xfId="0" applyFont="1" applyBorder="1"/>
    <xf numFmtId="0" fontId="33" fillId="0" borderId="0" xfId="0" applyFont="1" applyAlignment="1">
      <alignment horizontal="left" vertical="top"/>
    </xf>
    <xf numFmtId="0" fontId="33" fillId="0" borderId="0" xfId="0" applyFont="1" applyAlignment="1">
      <alignment horizontal="center" vertical="center"/>
    </xf>
    <xf numFmtId="3" fontId="65" fillId="36" borderId="45" xfId="0" applyNumberFormat="1" applyFont="1" applyFill="1" applyBorder="1" applyAlignment="1">
      <alignment horizontal="center" vertical="center"/>
    </xf>
    <xf numFmtId="3" fontId="65" fillId="36" borderId="46" xfId="0" applyNumberFormat="1" applyFont="1" applyFill="1" applyBorder="1" applyAlignment="1">
      <alignment horizontal="center" vertical="center"/>
    </xf>
    <xf numFmtId="3" fontId="65" fillId="36" borderId="44" xfId="0" applyNumberFormat="1" applyFont="1" applyFill="1" applyBorder="1" applyAlignment="1">
      <alignment horizontal="center" vertical="center"/>
    </xf>
    <xf numFmtId="9" fontId="0" fillId="0" borderId="204" xfId="0" applyNumberFormat="1" applyBorder="1" applyAlignment="1">
      <alignment horizontal="center" vertical="center"/>
    </xf>
    <xf numFmtId="9" fontId="0" fillId="0" borderId="163" xfId="0" applyNumberFormat="1" applyBorder="1" applyAlignment="1">
      <alignment horizontal="center" vertical="center"/>
    </xf>
    <xf numFmtId="1" fontId="0" fillId="0" borderId="258" xfId="0" applyNumberFormat="1" applyBorder="1" applyAlignment="1">
      <alignment horizontal="center" vertical="center"/>
    </xf>
    <xf numFmtId="1" fontId="0" fillId="0" borderId="152" xfId="0" applyNumberFormat="1" applyBorder="1" applyAlignment="1">
      <alignment horizontal="center" vertical="center"/>
    </xf>
    <xf numFmtId="1" fontId="0" fillId="0" borderId="144" xfId="0" applyNumberFormat="1" applyBorder="1" applyAlignment="1">
      <alignment horizontal="center" vertical="center"/>
    </xf>
    <xf numFmtId="9" fontId="13" fillId="0" borderId="204" xfId="0" applyNumberFormat="1" applyFont="1" applyBorder="1" applyAlignment="1">
      <alignment horizontal="center" vertical="center"/>
    </xf>
    <xf numFmtId="1" fontId="51" fillId="0" borderId="0" xfId="0" applyNumberFormat="1" applyFont="1" applyAlignment="1">
      <alignment horizontal="center" vertical="center"/>
    </xf>
    <xf numFmtId="166" fontId="8" fillId="0" borderId="302" xfId="0" applyNumberFormat="1" applyFont="1" applyBorder="1" applyAlignment="1">
      <alignment horizontal="center"/>
    </xf>
    <xf numFmtId="1" fontId="51" fillId="0" borderId="258" xfId="0" applyNumberFormat="1" applyFont="1" applyBorder="1" applyAlignment="1">
      <alignment horizontal="center" vertical="center"/>
    </xf>
    <xf numFmtId="1" fontId="0" fillId="7" borderId="0" xfId="0" applyNumberFormat="1" applyFill="1" applyAlignment="1">
      <alignment horizontal="center" vertical="center"/>
    </xf>
    <xf numFmtId="1" fontId="0" fillId="11" borderId="0" xfId="0" applyNumberFormat="1" applyFill="1" applyAlignment="1">
      <alignment horizontal="center" vertical="center"/>
    </xf>
    <xf numFmtId="9" fontId="0" fillId="0" borderId="258" xfId="15" applyFont="1" applyBorder="1" applyAlignment="1">
      <alignment horizontal="center" vertical="center"/>
    </xf>
    <xf numFmtId="9" fontId="0" fillId="0" borderId="152" xfId="15" applyFont="1" applyBorder="1" applyAlignment="1">
      <alignment horizontal="center" vertical="center"/>
    </xf>
    <xf numFmtId="9" fontId="0" fillId="0" borderId="144" xfId="15" applyFont="1" applyBorder="1" applyAlignment="1">
      <alignment horizontal="center" vertical="center"/>
    </xf>
    <xf numFmtId="9" fontId="51" fillId="0" borderId="0" xfId="15" applyFont="1" applyBorder="1" applyAlignment="1">
      <alignment horizontal="center" vertical="center"/>
    </xf>
    <xf numFmtId="9" fontId="51" fillId="0" borderId="258" xfId="15" applyFont="1" applyBorder="1" applyAlignment="1">
      <alignment horizontal="center" vertical="center"/>
    </xf>
    <xf numFmtId="9" fontId="0" fillId="7" borderId="0" xfId="15" applyFont="1" applyFill="1" applyBorder="1" applyAlignment="1">
      <alignment horizontal="center" vertical="center"/>
    </xf>
    <xf numFmtId="166" fontId="13" fillId="0" borderId="302" xfId="0" applyNumberFormat="1" applyFont="1" applyBorder="1" applyAlignment="1">
      <alignment horizontal="center"/>
    </xf>
    <xf numFmtId="9" fontId="0" fillId="0" borderId="203" xfId="0" applyNumberFormat="1" applyBorder="1" applyAlignment="1">
      <alignment horizontal="center" vertical="center"/>
    </xf>
    <xf numFmtId="9" fontId="0" fillId="0" borderId="173" xfId="0" applyNumberFormat="1" applyBorder="1" applyAlignment="1">
      <alignment horizontal="center" vertical="center"/>
    </xf>
    <xf numFmtId="9" fontId="13" fillId="0" borderId="203" xfId="0" applyNumberFormat="1" applyFont="1" applyBorder="1" applyAlignment="1">
      <alignment horizontal="center" vertical="center"/>
    </xf>
    <xf numFmtId="1" fontId="0" fillId="0" borderId="203" xfId="0" applyNumberFormat="1" applyBorder="1" applyAlignment="1">
      <alignment horizontal="center"/>
    </xf>
    <xf numFmtId="1" fontId="0" fillId="0" borderId="305" xfId="0" applyNumberFormat="1" applyBorder="1" applyAlignment="1">
      <alignment horizontal="center"/>
    </xf>
    <xf numFmtId="0" fontId="103" fillId="29" borderId="0" xfId="0" applyFont="1" applyFill="1"/>
    <xf numFmtId="0" fontId="0" fillId="0" borderId="303" xfId="0" applyBorder="1"/>
    <xf numFmtId="0" fontId="0" fillId="0" borderId="257" xfId="0" applyBorder="1" applyAlignment="1">
      <alignment horizontal="left"/>
    </xf>
    <xf numFmtId="0" fontId="0" fillId="0" borderId="43" xfId="0" applyBorder="1"/>
    <xf numFmtId="0" fontId="0" fillId="0" borderId="0" xfId="0" applyAlignment="1">
      <alignment horizontal="left"/>
    </xf>
    <xf numFmtId="0" fontId="13" fillId="0" borderId="43" xfId="0" applyFont="1" applyBorder="1"/>
    <xf numFmtId="0" fontId="13" fillId="0" borderId="306" xfId="0" applyFont="1" applyBorder="1"/>
    <xf numFmtId="168" fontId="0" fillId="0" borderId="152" xfId="15" applyNumberFormat="1" applyFont="1" applyBorder="1" applyAlignment="1">
      <alignment horizontal="left"/>
    </xf>
    <xf numFmtId="0" fontId="13" fillId="0" borderId="202" xfId="0" applyFont="1" applyBorder="1" applyAlignment="1">
      <alignment horizontal="left"/>
    </xf>
    <xf numFmtId="0" fontId="13" fillId="0" borderId="203" xfId="0" applyFont="1" applyBorder="1" applyAlignment="1">
      <alignment horizontal="left"/>
    </xf>
    <xf numFmtId="0" fontId="13" fillId="0" borderId="256" xfId="0" applyFont="1" applyBorder="1" applyAlignment="1">
      <alignment horizontal="center"/>
    </xf>
    <xf numFmtId="0" fontId="0" fillId="0" borderId="204" xfId="0" applyBorder="1"/>
    <xf numFmtId="0" fontId="13" fillId="0" borderId="302" xfId="0" applyFont="1" applyBorder="1" applyAlignment="1">
      <alignment horizontal="center"/>
    </xf>
    <xf numFmtId="168" fontId="13" fillId="0" borderId="204" xfId="0" applyNumberFormat="1" applyFont="1" applyBorder="1" applyAlignment="1">
      <alignment horizontal="center"/>
    </xf>
    <xf numFmtId="168" fontId="13" fillId="0" borderId="163" xfId="0" applyNumberFormat="1" applyFont="1" applyBorder="1" applyAlignment="1">
      <alignment horizontal="center"/>
    </xf>
    <xf numFmtId="0" fontId="13" fillId="0" borderId="304" xfId="0" applyFont="1" applyBorder="1"/>
    <xf numFmtId="10" fontId="0" fillId="0" borderId="203" xfId="0" applyNumberFormat="1" applyBorder="1"/>
    <xf numFmtId="10" fontId="13" fillId="0" borderId="305" xfId="0" applyNumberFormat="1" applyFont="1" applyBorder="1"/>
    <xf numFmtId="10" fontId="13" fillId="0" borderId="262" xfId="0" applyNumberFormat="1" applyFont="1" applyBorder="1"/>
    <xf numFmtId="0" fontId="13" fillId="8" borderId="302" xfId="0" applyFont="1" applyFill="1" applyBorder="1"/>
    <xf numFmtId="1" fontId="0" fillId="6" borderId="307" xfId="0" applyNumberFormat="1" applyFill="1" applyBorder="1" applyAlignment="1">
      <alignment horizontal="center" vertical="center"/>
    </xf>
    <xf numFmtId="1" fontId="0" fillId="6" borderId="203" xfId="0" applyNumberFormat="1" applyFill="1" applyBorder="1" applyAlignment="1">
      <alignment horizontal="center" vertical="center"/>
    </xf>
    <xf numFmtId="1" fontId="0" fillId="6" borderId="308" xfId="0" applyNumberFormat="1" applyFill="1" applyBorder="1" applyAlignment="1">
      <alignment horizontal="center" vertical="center"/>
    </xf>
    <xf numFmtId="1" fontId="13" fillId="6" borderId="173" xfId="0" applyNumberFormat="1" applyFont="1" applyFill="1" applyBorder="1" applyAlignment="1">
      <alignment horizontal="center" vertical="center"/>
    </xf>
    <xf numFmtId="0" fontId="13" fillId="11" borderId="309" xfId="0" applyFont="1" applyFill="1" applyBorder="1"/>
    <xf numFmtId="168" fontId="0" fillId="11" borderId="257" xfId="0" applyNumberFormat="1" applyFill="1" applyBorder="1" applyAlignment="1">
      <alignment horizontal="center" vertical="center"/>
    </xf>
    <xf numFmtId="168" fontId="0" fillId="11" borderId="310" xfId="0" applyNumberFormat="1" applyFill="1" applyBorder="1" applyAlignment="1">
      <alignment horizontal="center" vertical="center"/>
    </xf>
    <xf numFmtId="0" fontId="13" fillId="11" borderId="311" xfId="0" applyFont="1" applyFill="1" applyBorder="1"/>
    <xf numFmtId="168" fontId="0" fillId="11" borderId="152" xfId="0" applyNumberFormat="1" applyFill="1" applyBorder="1" applyAlignment="1">
      <alignment horizontal="center" vertical="center"/>
    </xf>
    <xf numFmtId="168" fontId="0" fillId="11" borderId="312" xfId="0" applyNumberFormat="1" applyFill="1" applyBorder="1" applyAlignment="1">
      <alignment horizontal="center" vertical="center"/>
    </xf>
    <xf numFmtId="10" fontId="8" fillId="0" borderId="203" xfId="0" applyNumberFormat="1" applyFont="1" applyBorder="1"/>
    <xf numFmtId="168" fontId="0" fillId="0" borderId="203" xfId="0" applyNumberFormat="1" applyBorder="1" applyAlignment="1">
      <alignment horizontal="center" vertical="center"/>
    </xf>
    <xf numFmtId="0" fontId="0" fillId="0" borderId="303" xfId="0" applyBorder="1" applyAlignment="1">
      <alignment horizontal="center" vertical="center"/>
    </xf>
    <xf numFmtId="0" fontId="0" fillId="0" borderId="257" xfId="0" applyBorder="1" applyAlignment="1">
      <alignment horizontal="center" vertical="center"/>
    </xf>
    <xf numFmtId="0" fontId="0" fillId="0" borderId="43" xfId="0" applyBorder="1" applyAlignment="1">
      <alignment horizontal="center" vertical="center"/>
    </xf>
    <xf numFmtId="168" fontId="0" fillId="0" borderId="43" xfId="0" applyNumberFormat="1" applyBorder="1" applyAlignment="1">
      <alignment horizontal="center" vertical="center"/>
    </xf>
    <xf numFmtId="168" fontId="0" fillId="0" borderId="202" xfId="0" applyNumberFormat="1" applyBorder="1" applyAlignment="1">
      <alignment horizontal="center" vertical="center"/>
    </xf>
    <xf numFmtId="0" fontId="0" fillId="0" borderId="310" xfId="0" applyBorder="1" applyAlignment="1">
      <alignment horizontal="center"/>
    </xf>
    <xf numFmtId="0" fontId="0" fillId="0" borderId="313" xfId="0" applyBorder="1" applyAlignment="1">
      <alignment horizontal="center"/>
    </xf>
    <xf numFmtId="168" fontId="0" fillId="0" borderId="313" xfId="0" applyNumberFormat="1" applyBorder="1" applyAlignment="1">
      <alignment horizontal="center"/>
    </xf>
    <xf numFmtId="168" fontId="13" fillId="0" borderId="305" xfId="0" applyNumberFormat="1" applyFont="1" applyBorder="1" applyAlignment="1">
      <alignment horizontal="center"/>
    </xf>
    <xf numFmtId="0" fontId="25" fillId="29" borderId="0" xfId="0" applyFont="1" applyFill="1"/>
    <xf numFmtId="0" fontId="53" fillId="0" borderId="175" xfId="0" applyFont="1" applyBorder="1"/>
    <xf numFmtId="0" fontId="53" fillId="0" borderId="176" xfId="0" applyFont="1" applyBorder="1"/>
    <xf numFmtId="0" fontId="53" fillId="0" borderId="169" xfId="0" applyFont="1" applyBorder="1"/>
    <xf numFmtId="0" fontId="53" fillId="0" borderId="174" xfId="0" applyFont="1" applyBorder="1"/>
    <xf numFmtId="0" fontId="53" fillId="0" borderId="115" xfId="0" applyFont="1" applyBorder="1"/>
    <xf numFmtId="0" fontId="53" fillId="33" borderId="174" xfId="0" applyFont="1" applyFill="1" applyBorder="1" applyAlignment="1">
      <alignment horizontal="center" vertical="center"/>
    </xf>
    <xf numFmtId="0" fontId="53" fillId="33" borderId="116" xfId="0" applyFont="1" applyFill="1" applyBorder="1" applyAlignment="1">
      <alignment horizontal="center" vertical="center"/>
    </xf>
    <xf numFmtId="0" fontId="53" fillId="33" borderId="117" xfId="0" applyFont="1" applyFill="1" applyBorder="1" applyAlignment="1">
      <alignment horizontal="center" vertical="center"/>
    </xf>
    <xf numFmtId="9" fontId="0" fillId="0" borderId="306" xfId="0" applyNumberFormat="1" applyBorder="1" applyAlignment="1">
      <alignment horizontal="center"/>
    </xf>
    <xf numFmtId="9" fontId="0" fillId="0" borderId="144" xfId="0" applyNumberFormat="1" applyBorder="1" applyAlignment="1">
      <alignment horizontal="center"/>
    </xf>
    <xf numFmtId="0" fontId="13" fillId="0" borderId="202" xfId="0" applyFont="1" applyBorder="1" applyAlignment="1">
      <alignment horizontal="center"/>
    </xf>
    <xf numFmtId="0" fontId="13" fillId="55" borderId="202" xfId="0" applyFont="1" applyFill="1" applyBorder="1" applyAlignment="1">
      <alignment horizontal="center"/>
    </xf>
    <xf numFmtId="0" fontId="13" fillId="55" borderId="173" xfId="0" applyFont="1" applyFill="1" applyBorder="1" applyAlignment="1">
      <alignment horizontal="center"/>
    </xf>
    <xf numFmtId="10" fontId="62" fillId="0" borderId="46" xfId="15" applyNumberFormat="1" applyFont="1" applyBorder="1" applyAlignment="1">
      <alignment horizontal="center"/>
    </xf>
    <xf numFmtId="168" fontId="0" fillId="6" borderId="0" xfId="15" applyNumberFormat="1" applyFont="1" applyFill="1" applyBorder="1" applyAlignment="1">
      <alignment horizontal="center" vertical="center"/>
    </xf>
    <xf numFmtId="168" fontId="0" fillId="11" borderId="0" xfId="15" applyNumberFormat="1" applyFont="1" applyFill="1" applyBorder="1" applyAlignment="1">
      <alignment horizontal="center" vertical="center"/>
    </xf>
    <xf numFmtId="0" fontId="13" fillId="33" borderId="202" xfId="0" applyFont="1" applyFill="1" applyBorder="1"/>
    <xf numFmtId="10" fontId="8" fillId="0" borderId="46" xfId="0" applyNumberFormat="1" applyFont="1" applyBorder="1" applyAlignment="1">
      <alignment horizontal="center" vertical="center"/>
    </xf>
    <xf numFmtId="168" fontId="0" fillId="0" borderId="302" xfId="0" applyNumberFormat="1" applyBorder="1" applyAlignment="1">
      <alignment horizontal="center"/>
    </xf>
    <xf numFmtId="10" fontId="8" fillId="0" borderId="5" xfId="0" quotePrefix="1" applyNumberFormat="1" applyFont="1" applyBorder="1" applyAlignment="1">
      <alignment horizontal="center" vertical="center"/>
    </xf>
    <xf numFmtId="10" fontId="8" fillId="0" borderId="45" xfId="0" quotePrefix="1" applyNumberFormat="1" applyFont="1" applyBorder="1" applyAlignment="1">
      <alignment horizontal="center" vertical="center"/>
    </xf>
    <xf numFmtId="0" fontId="0" fillId="0" borderId="257" xfId="0" applyBorder="1" applyAlignment="1">
      <alignment horizontal="center"/>
    </xf>
    <xf numFmtId="9" fontId="0" fillId="0" borderId="41" xfId="15" applyFont="1" applyBorder="1" applyAlignment="1">
      <alignment horizontal="center"/>
    </xf>
    <xf numFmtId="9" fontId="0" fillId="0" borderId="258" xfId="15" applyFont="1" applyBorder="1" applyAlignment="1">
      <alignment horizontal="center"/>
    </xf>
    <xf numFmtId="168" fontId="0" fillId="0" borderId="152" xfId="15" applyNumberFormat="1" applyFont="1" applyBorder="1" applyAlignment="1">
      <alignment horizontal="center"/>
    </xf>
    <xf numFmtId="0" fontId="13" fillId="0" borderId="203" xfId="0" applyFont="1" applyBorder="1" applyAlignment="1">
      <alignment horizontal="center"/>
    </xf>
    <xf numFmtId="9" fontId="13" fillId="0" borderId="173" xfId="15" applyFont="1" applyBorder="1" applyAlignment="1">
      <alignment horizontal="center"/>
    </xf>
    <xf numFmtId="0" fontId="0" fillId="0" borderId="256" xfId="0" applyBorder="1" applyAlignment="1">
      <alignment horizontal="center"/>
    </xf>
    <xf numFmtId="0" fontId="0" fillId="0" borderId="204" xfId="0" applyBorder="1" applyAlignment="1">
      <alignment horizontal="center"/>
    </xf>
    <xf numFmtId="0" fontId="8" fillId="0" borderId="204" xfId="0" applyFont="1" applyBorder="1" applyAlignment="1">
      <alignment horizontal="center"/>
    </xf>
    <xf numFmtId="3" fontId="0" fillId="0" borderId="257" xfId="0" applyNumberFormat="1" applyBorder="1" applyAlignment="1">
      <alignment horizontal="center"/>
    </xf>
    <xf numFmtId="0" fontId="13" fillId="0" borderId="163" xfId="0" applyFont="1" applyBorder="1" applyAlignment="1">
      <alignment horizontal="center"/>
    </xf>
    <xf numFmtId="9" fontId="13" fillId="11" borderId="144" xfId="15" applyFont="1" applyFill="1" applyBorder="1" applyAlignment="1">
      <alignment horizontal="center"/>
    </xf>
    <xf numFmtId="9" fontId="10" fillId="0" borderId="0" xfId="10" applyNumberFormat="1" applyAlignment="1" applyProtection="1">
      <alignment horizontal="center"/>
    </xf>
    <xf numFmtId="0" fontId="13" fillId="56" borderId="262" xfId="0" applyFont="1" applyFill="1" applyBorder="1"/>
    <xf numFmtId="168" fontId="0" fillId="0" borderId="121" xfId="0" applyNumberFormat="1" applyBorder="1"/>
    <xf numFmtId="168" fontId="0" fillId="0" borderId="188" xfId="0" applyNumberFormat="1" applyBorder="1"/>
    <xf numFmtId="0" fontId="53" fillId="0" borderId="124" xfId="0" applyFont="1" applyBorder="1"/>
    <xf numFmtId="0" fontId="13" fillId="12" borderId="302" xfId="0" applyFont="1" applyFill="1" applyBorder="1"/>
    <xf numFmtId="3" fontId="59" fillId="36" borderId="254" xfId="0" applyNumberFormat="1" applyFont="1" applyFill="1" applyBorder="1" applyAlignment="1">
      <alignment horizontal="center" vertical="center"/>
    </xf>
    <xf numFmtId="3" fontId="56" fillId="39" borderId="150" xfId="0" applyNumberFormat="1" applyFont="1" applyFill="1" applyBorder="1" applyAlignment="1">
      <alignment horizontal="center" vertical="center"/>
    </xf>
    <xf numFmtId="10" fontId="8" fillId="61" borderId="38" xfId="0" applyNumberFormat="1" applyFont="1" applyFill="1" applyBorder="1" applyAlignment="1">
      <alignment horizontal="center" vertical="center"/>
    </xf>
    <xf numFmtId="0" fontId="62" fillId="67" borderId="46" xfId="28" applyFont="1" applyFill="1" applyBorder="1"/>
    <xf numFmtId="166" fontId="62" fillId="67" borderId="46" xfId="0" applyNumberFormat="1" applyFont="1" applyFill="1" applyBorder="1" applyAlignment="1">
      <alignment horizontal="center"/>
    </xf>
    <xf numFmtId="10" fontId="0" fillId="0" borderId="149" xfId="15" applyNumberFormat="1" applyFont="1" applyFill="1" applyBorder="1" applyAlignment="1">
      <alignment horizontal="center" vertical="center"/>
    </xf>
    <xf numFmtId="10" fontId="8" fillId="0" borderId="0" xfId="0" applyNumberFormat="1" applyFont="1"/>
    <xf numFmtId="10" fontId="13" fillId="0" borderId="0" xfId="0" applyNumberFormat="1" applyFont="1"/>
    <xf numFmtId="10" fontId="13" fillId="0" borderId="302" xfId="0" applyNumberFormat="1" applyFont="1" applyBorder="1"/>
    <xf numFmtId="168" fontId="0" fillId="0" borderId="124" xfId="0" applyNumberFormat="1" applyBorder="1" applyAlignment="1">
      <alignment horizontal="center" vertical="center"/>
    </xf>
    <xf numFmtId="168" fontId="0" fillId="0" borderId="137" xfId="0" applyNumberFormat="1" applyBorder="1" applyAlignment="1">
      <alignment horizontal="center" vertical="center"/>
    </xf>
    <xf numFmtId="10" fontId="51" fillId="0" borderId="0" xfId="0" applyNumberFormat="1" applyFont="1"/>
    <xf numFmtId="10" fontId="13" fillId="0" borderId="204" xfId="0" applyNumberFormat="1" applyFont="1" applyBorder="1" applyAlignment="1">
      <alignment horizontal="center" vertical="center"/>
    </xf>
    <xf numFmtId="0" fontId="53" fillId="7" borderId="131" xfId="0" applyFont="1" applyFill="1" applyBorder="1" applyAlignment="1">
      <alignment horizontal="center" vertical="center"/>
    </xf>
    <xf numFmtId="0" fontId="53" fillId="7" borderId="114" xfId="0" applyFont="1" applyFill="1" applyBorder="1" applyAlignment="1">
      <alignment horizontal="center" vertical="center"/>
    </xf>
    <xf numFmtId="0" fontId="53" fillId="7" borderId="118" xfId="0" applyFont="1" applyFill="1" applyBorder="1" applyAlignment="1">
      <alignment horizontal="center" vertical="center"/>
    </xf>
    <xf numFmtId="0" fontId="53" fillId="7" borderId="132" xfId="0" applyFont="1" applyFill="1" applyBorder="1" applyAlignment="1">
      <alignment horizontal="center" vertical="center"/>
    </xf>
    <xf numFmtId="10" fontId="0" fillId="7" borderId="124" xfId="0" applyNumberFormat="1" applyFill="1" applyBorder="1" applyAlignment="1">
      <alignment horizontal="center" vertical="center"/>
    </xf>
    <xf numFmtId="10" fontId="0" fillId="7" borderId="128" xfId="0" applyNumberFormat="1" applyFill="1" applyBorder="1" applyAlignment="1">
      <alignment horizontal="center" vertical="center"/>
    </xf>
    <xf numFmtId="10" fontId="0" fillId="7" borderId="129" xfId="0" applyNumberFormat="1" applyFill="1" applyBorder="1" applyAlignment="1">
      <alignment horizontal="center" vertical="center"/>
    </xf>
    <xf numFmtId="10" fontId="0" fillId="7" borderId="130" xfId="0" applyNumberFormat="1" applyFill="1" applyBorder="1" applyAlignment="1">
      <alignment horizontal="center" vertical="center"/>
    </xf>
    <xf numFmtId="0" fontId="53" fillId="7" borderId="176" xfId="0" applyFont="1" applyFill="1" applyBorder="1"/>
    <xf numFmtId="10" fontId="8" fillId="7" borderId="175" xfId="0" applyNumberFormat="1" applyFont="1" applyFill="1" applyBorder="1" applyAlignment="1">
      <alignment horizontal="center" vertical="center"/>
    </xf>
    <xf numFmtId="0" fontId="51" fillId="7" borderId="115" xfId="0" applyFont="1" applyFill="1" applyBorder="1" applyAlignment="1">
      <alignment horizontal="center" vertical="center"/>
    </xf>
    <xf numFmtId="4" fontId="0" fillId="0" borderId="0" xfId="0" applyNumberFormat="1" applyAlignment="1">
      <alignment horizontal="center"/>
    </xf>
    <xf numFmtId="9" fontId="51" fillId="0" borderId="0" xfId="15" applyFont="1"/>
    <xf numFmtId="0" fontId="52" fillId="34" borderId="0" xfId="23" applyFont="1" applyFill="1" applyAlignment="1">
      <alignment horizontal="left" vertical="top"/>
    </xf>
    <xf numFmtId="0" fontId="53" fillId="7" borderId="43" xfId="0" applyFont="1" applyFill="1" applyBorder="1"/>
    <xf numFmtId="10" fontId="0" fillId="0" borderId="258" xfId="15" applyNumberFormat="1" applyFont="1" applyBorder="1"/>
    <xf numFmtId="0" fontId="53" fillId="0" borderId="306" xfId="0" applyFont="1" applyBorder="1"/>
    <xf numFmtId="10" fontId="0" fillId="0" borderId="144" xfId="15" applyNumberFormat="1" applyFont="1" applyBorder="1"/>
    <xf numFmtId="0" fontId="69" fillId="8" borderId="73" xfId="0" applyFont="1" applyFill="1" applyBorder="1" applyAlignment="1">
      <alignment horizontal="center"/>
    </xf>
    <xf numFmtId="0" fontId="69" fillId="9" borderId="73" xfId="0" applyFont="1" applyFill="1" applyBorder="1" applyAlignment="1">
      <alignment horizontal="center"/>
    </xf>
    <xf numFmtId="0" fontId="24" fillId="0" borderId="0" xfId="0" applyFont="1"/>
    <xf numFmtId="0" fontId="43" fillId="10" borderId="73" xfId="0" applyFont="1" applyFill="1" applyBorder="1" applyAlignment="1">
      <alignment horizontal="center"/>
    </xf>
    <xf numFmtId="0" fontId="43" fillId="30" borderId="73" xfId="0" applyFont="1" applyFill="1" applyBorder="1" applyAlignment="1">
      <alignment horizontal="center"/>
    </xf>
    <xf numFmtId="3" fontId="79" fillId="0" borderId="0" xfId="0" applyNumberFormat="1" applyFont="1" applyAlignment="1">
      <alignment horizontal="center" vertical="center"/>
    </xf>
    <xf numFmtId="3" fontId="79" fillId="0" borderId="262" xfId="0" applyNumberFormat="1" applyFont="1" applyBorder="1" applyAlignment="1">
      <alignment horizontal="center" vertical="center"/>
    </xf>
    <xf numFmtId="0" fontId="79" fillId="0" borderId="225" xfId="0" applyFont="1" applyBorder="1" applyAlignment="1">
      <alignment horizontal="center" vertical="center"/>
    </xf>
    <xf numFmtId="0" fontId="61" fillId="0" borderId="0" xfId="0" applyFont="1"/>
    <xf numFmtId="0" fontId="26" fillId="7" borderId="0" xfId="0" applyFont="1" applyFill="1"/>
    <xf numFmtId="0" fontId="94" fillId="0" borderId="115" xfId="0" applyFont="1" applyBorder="1" applyAlignment="1">
      <alignment horizontal="center"/>
    </xf>
    <xf numFmtId="3" fontId="93" fillId="0" borderId="46" xfId="0" applyNumberFormat="1" applyFont="1" applyBorder="1" applyAlignment="1">
      <alignment horizontal="center"/>
    </xf>
    <xf numFmtId="4" fontId="93" fillId="0" borderId="46" xfId="0" applyNumberFormat="1" applyFont="1" applyBorder="1" applyAlignment="1">
      <alignment horizontal="center"/>
    </xf>
    <xf numFmtId="0" fontId="32" fillId="0" borderId="0" xfId="0" applyFont="1"/>
    <xf numFmtId="0" fontId="42" fillId="21" borderId="0" xfId="0" applyFont="1" applyFill="1"/>
    <xf numFmtId="0" fontId="13" fillId="0" borderId="261" xfId="0" applyFont="1" applyBorder="1"/>
    <xf numFmtId="0" fontId="13" fillId="0" borderId="138" xfId="0" applyFont="1" applyBorder="1"/>
    <xf numFmtId="0" fontId="13" fillId="55" borderId="262" xfId="0" applyFont="1" applyFill="1" applyBorder="1"/>
    <xf numFmtId="0" fontId="13" fillId="55" borderId="121" xfId="0" applyFont="1" applyFill="1" applyBorder="1"/>
    <xf numFmtId="0" fontId="13" fillId="21" borderId="126" xfId="0" applyFont="1" applyFill="1" applyBorder="1"/>
    <xf numFmtId="0" fontId="13" fillId="0" borderId="181" xfId="0" applyFont="1" applyBorder="1"/>
    <xf numFmtId="0" fontId="13" fillId="21" borderId="123" xfId="0" applyFont="1" applyFill="1" applyBorder="1"/>
    <xf numFmtId="0" fontId="61" fillId="21" borderId="123" xfId="0" applyFont="1" applyFill="1" applyBorder="1"/>
    <xf numFmtId="0" fontId="13" fillId="21" borderId="261" xfId="0" applyFont="1" applyFill="1" applyBorder="1"/>
    <xf numFmtId="0" fontId="13" fillId="55" borderId="126" xfId="0" applyFont="1" applyFill="1" applyBorder="1" applyAlignment="1">
      <alignment horizontal="center" vertical="center"/>
    </xf>
    <xf numFmtId="0" fontId="13" fillId="55" borderId="126" xfId="0" applyFont="1" applyFill="1" applyBorder="1"/>
    <xf numFmtId="0" fontId="13" fillId="55" borderId="181" xfId="0" applyFont="1" applyFill="1" applyBorder="1"/>
    <xf numFmtId="0" fontId="13" fillId="55" borderId="181" xfId="0" applyFont="1" applyFill="1" applyBorder="1" applyAlignment="1">
      <alignment horizontal="center" vertical="center"/>
    </xf>
    <xf numFmtId="0" fontId="13" fillId="0" borderId="127" xfId="0" applyFont="1" applyBorder="1"/>
    <xf numFmtId="0" fontId="13" fillId="0" borderId="125" xfId="0" applyFont="1" applyBorder="1"/>
    <xf numFmtId="0" fontId="13" fillId="0" borderId="124" xfId="0" applyFont="1" applyBorder="1"/>
    <xf numFmtId="0" fontId="13" fillId="11" borderId="127" xfId="0" applyFont="1" applyFill="1" applyBorder="1"/>
    <xf numFmtId="0" fontId="13" fillId="11" borderId="125" xfId="0" applyFont="1" applyFill="1" applyBorder="1"/>
    <xf numFmtId="0" fontId="61" fillId="11" borderId="124" xfId="0" applyFont="1" applyFill="1" applyBorder="1"/>
    <xf numFmtId="0" fontId="13" fillId="6" borderId="125" xfId="0" applyFont="1" applyFill="1" applyBorder="1"/>
    <xf numFmtId="0" fontId="42" fillId="11" borderId="0" xfId="0" applyFont="1" applyFill="1"/>
    <xf numFmtId="0" fontId="13" fillId="56" borderId="137" xfId="0" applyFont="1" applyFill="1" applyBorder="1"/>
    <xf numFmtId="0" fontId="13" fillId="56" borderId="188" xfId="0" applyFont="1" applyFill="1" applyBorder="1"/>
    <xf numFmtId="0" fontId="13" fillId="55" borderId="137" xfId="0" applyFont="1" applyFill="1" applyBorder="1" applyAlignment="1">
      <alignment horizontal="center" vertical="center"/>
    </xf>
    <xf numFmtId="0" fontId="13" fillId="55" borderId="121" xfId="0" applyFont="1" applyFill="1" applyBorder="1" applyAlignment="1">
      <alignment horizontal="center" vertical="center"/>
    </xf>
    <xf numFmtId="0" fontId="13" fillId="55" borderId="188" xfId="0" applyFont="1" applyFill="1" applyBorder="1" applyAlignment="1">
      <alignment horizontal="center" vertical="center"/>
    </xf>
    <xf numFmtId="0" fontId="13" fillId="22" borderId="124" xfId="0" applyFont="1" applyFill="1" applyBorder="1" applyAlignment="1">
      <alignment horizontal="center" vertical="center"/>
    </xf>
    <xf numFmtId="0" fontId="13" fillId="22" borderId="146" xfId="0" applyFont="1" applyFill="1" applyBorder="1" applyAlignment="1">
      <alignment horizontal="center" vertical="center"/>
    </xf>
    <xf numFmtId="0" fontId="13" fillId="22" borderId="138" xfId="0" applyFont="1" applyFill="1" applyBorder="1" applyAlignment="1">
      <alignment horizontal="center" vertical="center"/>
    </xf>
    <xf numFmtId="0" fontId="13" fillId="0" borderId="261" xfId="0" applyFont="1" applyBorder="1" applyAlignment="1">
      <alignment horizontal="center" vertical="center"/>
    </xf>
    <xf numFmtId="0" fontId="13" fillId="0" borderId="138" xfId="0" applyFont="1" applyBorder="1" applyAlignment="1">
      <alignment horizontal="center" vertical="center"/>
    </xf>
    <xf numFmtId="0" fontId="13" fillId="0" borderId="146" xfId="0" applyFont="1" applyBorder="1" applyAlignment="1">
      <alignment horizontal="center" vertical="center"/>
    </xf>
    <xf numFmtId="0" fontId="13" fillId="0" borderId="124" xfId="0" applyFont="1" applyBorder="1" applyAlignment="1">
      <alignment horizontal="center" vertical="center"/>
    </xf>
    <xf numFmtId="0" fontId="13" fillId="0" borderId="188" xfId="0" applyFont="1" applyBorder="1" applyAlignment="1">
      <alignment horizontal="center" vertical="center"/>
    </xf>
    <xf numFmtId="0" fontId="13" fillId="58" borderId="137" xfId="0" applyFont="1" applyFill="1" applyBorder="1"/>
    <xf numFmtId="0" fontId="13" fillId="55" borderId="137" xfId="0" applyFont="1" applyFill="1" applyBorder="1"/>
    <xf numFmtId="0" fontId="13" fillId="11" borderId="126" xfId="0" applyFont="1" applyFill="1" applyBorder="1"/>
    <xf numFmtId="0" fontId="13" fillId="11" borderId="123" xfId="0" applyFont="1" applyFill="1" applyBorder="1"/>
    <xf numFmtId="0" fontId="61" fillId="11" borderId="123" xfId="0" applyFont="1" applyFill="1" applyBorder="1"/>
    <xf numFmtId="0" fontId="13" fillId="11" borderId="261" xfId="0" applyFont="1" applyFill="1" applyBorder="1"/>
    <xf numFmtId="0" fontId="13" fillId="55" borderId="145" xfId="0" applyFont="1" applyFill="1" applyBorder="1" applyAlignment="1">
      <alignment horizontal="center" vertical="center"/>
    </xf>
    <xf numFmtId="0" fontId="13" fillId="8" borderId="126" xfId="0" applyFont="1" applyFill="1" applyBorder="1"/>
    <xf numFmtId="0" fontId="13" fillId="8" borderId="123" xfId="0" applyFont="1" applyFill="1" applyBorder="1"/>
    <xf numFmtId="0" fontId="61" fillId="8" borderId="123" xfId="0" applyFont="1" applyFill="1" applyBorder="1"/>
    <xf numFmtId="0" fontId="13" fillId="8" borderId="261" xfId="0" applyFont="1" applyFill="1" applyBorder="1"/>
    <xf numFmtId="0" fontId="13" fillId="8" borderId="126" xfId="0" applyFont="1" applyFill="1" applyBorder="1" applyAlignment="1">
      <alignment horizontal="center" vertical="center"/>
    </xf>
    <xf numFmtId="0" fontId="13" fillId="8" borderId="123" xfId="0" applyFont="1" applyFill="1" applyBorder="1" applyAlignment="1">
      <alignment horizontal="center" vertical="center"/>
    </xf>
    <xf numFmtId="0" fontId="13" fillId="8" borderId="261" xfId="0" applyFont="1" applyFill="1" applyBorder="1" applyAlignment="1">
      <alignment horizontal="center" vertical="center"/>
    </xf>
    <xf numFmtId="0" fontId="13" fillId="8" borderId="127" xfId="0" applyFont="1" applyFill="1" applyBorder="1"/>
    <xf numFmtId="0" fontId="13" fillId="8" borderId="125" xfId="0" applyFont="1" applyFill="1" applyBorder="1"/>
    <xf numFmtId="0" fontId="61" fillId="8" borderId="124" xfId="0" applyFont="1" applyFill="1" applyBorder="1"/>
    <xf numFmtId="0" fontId="13" fillId="33" borderId="137" xfId="0" applyFont="1" applyFill="1" applyBorder="1"/>
    <xf numFmtId="0" fontId="13" fillId="33" borderId="262" xfId="0" applyFont="1" applyFill="1" applyBorder="1"/>
    <xf numFmtId="0" fontId="13" fillId="6" borderId="127" xfId="0" applyFont="1" applyFill="1" applyBorder="1" applyAlignment="1">
      <alignment horizontal="left" vertical="center"/>
    </xf>
    <xf numFmtId="0" fontId="13" fillId="56" borderId="127" xfId="0" applyFont="1" applyFill="1" applyBorder="1"/>
    <xf numFmtId="0" fontId="13" fillId="56" borderId="181" xfId="0" applyFont="1" applyFill="1" applyBorder="1"/>
    <xf numFmtId="0" fontId="13" fillId="56" borderId="145" xfId="0" applyFont="1" applyFill="1" applyBorder="1"/>
    <xf numFmtId="0" fontId="13" fillId="0" borderId="125" xfId="0" applyFont="1" applyBorder="1" applyAlignment="1">
      <alignment horizontal="left" vertical="center"/>
    </xf>
    <xf numFmtId="0" fontId="13" fillId="6" borderId="125" xfId="0" applyFont="1" applyFill="1" applyBorder="1" applyAlignment="1">
      <alignment horizontal="left" vertical="center"/>
    </xf>
    <xf numFmtId="168" fontId="13" fillId="6" borderId="0" xfId="0" applyNumberFormat="1" applyFont="1" applyFill="1" applyAlignment="1">
      <alignment horizontal="center" vertical="center"/>
    </xf>
    <xf numFmtId="168" fontId="13" fillId="6" borderId="123" xfId="0" applyNumberFormat="1" applyFont="1" applyFill="1" applyBorder="1"/>
    <xf numFmtId="0" fontId="13" fillId="56" borderId="121" xfId="0" applyFont="1" applyFill="1" applyBorder="1"/>
    <xf numFmtId="0" fontId="13" fillId="6" borderId="124" xfId="0" applyFont="1" applyFill="1" applyBorder="1"/>
    <xf numFmtId="168" fontId="13" fillId="6" borderId="138" xfId="0" applyNumberFormat="1" applyFont="1" applyFill="1" applyBorder="1" applyAlignment="1">
      <alignment horizontal="center" vertical="center"/>
    </xf>
    <xf numFmtId="168" fontId="13" fillId="6" borderId="261" xfId="0" applyNumberFormat="1" applyFont="1" applyFill="1" applyBorder="1"/>
    <xf numFmtId="0" fontId="13" fillId="0" borderId="127" xfId="0" applyFont="1" applyBorder="1" applyAlignment="1">
      <alignment horizontal="center"/>
    </xf>
    <xf numFmtId="0" fontId="13" fillId="0" borderId="181" xfId="0" applyFont="1" applyBorder="1" applyAlignment="1">
      <alignment horizontal="center"/>
    </xf>
    <xf numFmtId="0" fontId="13" fillId="0" borderId="126" xfId="0" applyFont="1" applyBorder="1" applyAlignment="1">
      <alignment horizontal="center"/>
    </xf>
    <xf numFmtId="0" fontId="13" fillId="0" borderId="202" xfId="0" applyFont="1" applyBorder="1"/>
    <xf numFmtId="0" fontId="13" fillId="55" borderId="262" xfId="0" applyFont="1" applyFill="1" applyBorder="1" applyAlignment="1">
      <alignment horizontal="center" vertical="center"/>
    </xf>
    <xf numFmtId="0" fontId="13" fillId="0" borderId="126" xfId="0" applyFont="1" applyBorder="1"/>
    <xf numFmtId="0" fontId="13" fillId="21" borderId="314" xfId="0" applyFont="1" applyFill="1" applyBorder="1"/>
    <xf numFmtId="0" fontId="13" fillId="0" borderId="123" xfId="0" applyFont="1" applyBorder="1"/>
    <xf numFmtId="0" fontId="13" fillId="11" borderId="204" xfId="0" applyFont="1" applyFill="1" applyBorder="1"/>
    <xf numFmtId="0" fontId="13" fillId="8" borderId="315" xfId="0" applyFont="1" applyFill="1" applyBorder="1"/>
    <xf numFmtId="0" fontId="13" fillId="0" borderId="137" xfId="0" applyFont="1" applyBorder="1" applyAlignment="1">
      <alignment horizontal="center"/>
    </xf>
    <xf numFmtId="0" fontId="13" fillId="0" borderId="121" xfId="0" applyFont="1" applyBorder="1" applyAlignment="1">
      <alignment horizontal="center"/>
    </xf>
    <xf numFmtId="0" fontId="71" fillId="0" borderId="0" xfId="0" applyFont="1"/>
    <xf numFmtId="0" fontId="13" fillId="0" borderId="262" xfId="0" applyFont="1" applyBorder="1" applyAlignment="1">
      <alignment horizontal="center"/>
    </xf>
    <xf numFmtId="0" fontId="13" fillId="0" borderId="188" xfId="0" applyFont="1" applyBorder="1" applyAlignment="1">
      <alignment horizontal="center"/>
    </xf>
    <xf numFmtId="0" fontId="13" fillId="0" borderId="262" xfId="0" applyFont="1" applyBorder="1" applyAlignment="1">
      <alignment horizontal="left" vertical="center"/>
    </xf>
    <xf numFmtId="0" fontId="13" fillId="58" borderId="188" xfId="0" applyFont="1" applyFill="1" applyBorder="1"/>
    <xf numFmtId="0" fontId="13" fillId="58" borderId="126" xfId="0" applyFont="1" applyFill="1" applyBorder="1"/>
    <xf numFmtId="0" fontId="13" fillId="58" borderId="261" xfId="0" applyFont="1" applyFill="1" applyBorder="1"/>
    <xf numFmtId="0" fontId="55" fillId="29" borderId="0" xfId="0" applyFont="1" applyFill="1"/>
    <xf numFmtId="0" fontId="13" fillId="21" borderId="121" xfId="0" applyFont="1" applyFill="1" applyBorder="1"/>
    <xf numFmtId="0" fontId="13" fillId="11" borderId="0" xfId="0" applyFont="1" applyFill="1"/>
    <xf numFmtId="0" fontId="13" fillId="8" borderId="121" xfId="0" applyFont="1" applyFill="1" applyBorder="1"/>
    <xf numFmtId="0" fontId="13" fillId="6" borderId="202" xfId="0" applyFont="1" applyFill="1" applyBorder="1"/>
    <xf numFmtId="0" fontId="13" fillId="21" borderId="302" xfId="0" applyFont="1" applyFill="1" applyBorder="1"/>
    <xf numFmtId="0" fontId="13" fillId="33" borderId="121" xfId="0" applyFont="1" applyFill="1" applyBorder="1" applyAlignment="1">
      <alignment horizontal="center" vertical="center"/>
    </xf>
    <xf numFmtId="0" fontId="13" fillId="33" borderId="262" xfId="0" applyFont="1" applyFill="1" applyBorder="1" applyAlignment="1">
      <alignment horizontal="center" vertical="center"/>
    </xf>
    <xf numFmtId="0" fontId="13" fillId="33" borderId="188" xfId="0" applyFont="1" applyFill="1" applyBorder="1" applyAlignment="1">
      <alignment horizontal="center" vertical="center"/>
    </xf>
    <xf numFmtId="0" fontId="13" fillId="33" borderId="261" xfId="0" applyFont="1" applyFill="1" applyBorder="1"/>
    <xf numFmtId="0" fontId="13" fillId="11" borderId="302" xfId="0" applyFont="1" applyFill="1" applyBorder="1"/>
    <xf numFmtId="0" fontId="13" fillId="0" borderId="137" xfId="0" applyFont="1" applyBorder="1"/>
    <xf numFmtId="0" fontId="107" fillId="0" borderId="0" xfId="0" applyFont="1"/>
    <xf numFmtId="0" fontId="26" fillId="7" borderId="66" xfId="0" applyFont="1" applyFill="1" applyBorder="1" applyAlignment="1">
      <alignment horizontal="center" vertical="center"/>
    </xf>
    <xf numFmtId="0" fontId="44" fillId="4" borderId="52" xfId="0" applyFont="1" applyFill="1" applyBorder="1" applyAlignment="1">
      <alignment horizontal="center"/>
    </xf>
    <xf numFmtId="0" fontId="44" fillId="4" borderId="62" xfId="0" applyFont="1" applyFill="1" applyBorder="1" applyAlignment="1">
      <alignment horizontal="center"/>
    </xf>
    <xf numFmtId="0" fontId="8" fillId="0" borderId="160" xfId="0" applyFont="1" applyBorder="1" applyAlignment="1">
      <alignment horizontal="left" vertical="center" wrapText="1"/>
    </xf>
    <xf numFmtId="0" fontId="8" fillId="0" borderId="155" xfId="0" applyFont="1" applyBorder="1" applyAlignment="1">
      <alignment horizontal="left" vertical="center"/>
    </xf>
    <xf numFmtId="0" fontId="8" fillId="0" borderId="156" xfId="0" applyFont="1" applyBorder="1" applyAlignment="1">
      <alignment horizontal="left" vertical="center"/>
    </xf>
    <xf numFmtId="0" fontId="8" fillId="0" borderId="161" xfId="0" applyFont="1" applyBorder="1" applyAlignment="1">
      <alignment horizontal="left" vertical="center"/>
    </xf>
    <xf numFmtId="0" fontId="0" fillId="0" borderId="0" xfId="0" applyAlignment="1">
      <alignment horizontal="left" vertical="center"/>
    </xf>
    <xf numFmtId="0" fontId="8" fillId="0" borderId="157" xfId="0" applyFont="1" applyBorder="1" applyAlignment="1">
      <alignment horizontal="left" vertical="center"/>
    </xf>
    <xf numFmtId="0" fontId="8" fillId="0" borderId="162" xfId="0" applyFont="1" applyBorder="1" applyAlignment="1">
      <alignment horizontal="left" vertical="center"/>
    </xf>
    <xf numFmtId="0" fontId="8" fillId="0" borderId="158" xfId="0" applyFont="1" applyBorder="1" applyAlignment="1">
      <alignment horizontal="left" vertical="center"/>
    </xf>
    <xf numFmtId="0" fontId="8" fillId="0" borderId="159" xfId="0" applyFont="1" applyBorder="1" applyAlignment="1">
      <alignment horizontal="left" vertical="center"/>
    </xf>
    <xf numFmtId="0" fontId="26" fillId="30" borderId="52" xfId="0" applyFont="1" applyFill="1" applyBorder="1" applyAlignment="1">
      <alignment horizontal="center"/>
    </xf>
    <xf numFmtId="0" fontId="0" fillId="0" borderId="217" xfId="0" applyBorder="1" applyAlignment="1">
      <alignment horizontal="left" vertical="center" wrapText="1"/>
    </xf>
    <xf numFmtId="0" fontId="66" fillId="0" borderId="155" xfId="0" applyFont="1" applyBorder="1" applyAlignment="1">
      <alignment horizontal="left" vertical="center"/>
    </xf>
    <xf numFmtId="0" fontId="66" fillId="0" borderId="156" xfId="0" applyFont="1" applyBorder="1" applyAlignment="1">
      <alignment horizontal="left" vertical="center"/>
    </xf>
    <xf numFmtId="0" fontId="66" fillId="0" borderId="10" xfId="0" applyFont="1" applyBorder="1" applyAlignment="1">
      <alignment horizontal="left" vertical="center"/>
    </xf>
    <xf numFmtId="0" fontId="66" fillId="0" borderId="0" xfId="0" applyFont="1" applyAlignment="1">
      <alignment horizontal="left" vertical="center"/>
    </xf>
    <xf numFmtId="0" fontId="66" fillId="0" borderId="157" xfId="0" applyFont="1" applyBorder="1" applyAlignment="1">
      <alignment horizontal="left" vertical="center"/>
    </xf>
    <xf numFmtId="0" fontId="66" fillId="0" borderId="218" xfId="0" applyFont="1" applyBorder="1" applyAlignment="1">
      <alignment horizontal="left" vertical="center"/>
    </xf>
    <xf numFmtId="0" fontId="66" fillId="0" borderId="158" xfId="0" applyFont="1" applyBorder="1" applyAlignment="1">
      <alignment horizontal="left" vertical="center"/>
    </xf>
    <xf numFmtId="0" fontId="66" fillId="0" borderId="159" xfId="0" applyFont="1" applyBorder="1" applyAlignment="1">
      <alignment horizontal="left" vertical="center"/>
    </xf>
    <xf numFmtId="0" fontId="60" fillId="7" borderId="52" xfId="0" applyFont="1" applyFill="1" applyBorder="1" applyAlignment="1">
      <alignment horizontal="center"/>
    </xf>
    <xf numFmtId="0" fontId="26" fillId="7" borderId="52" xfId="0" applyFont="1" applyFill="1" applyBorder="1" applyAlignment="1">
      <alignment horizontal="center"/>
    </xf>
    <xf numFmtId="0" fontId="60" fillId="7" borderId="63" xfId="0" applyFont="1" applyFill="1" applyBorder="1" applyAlignment="1">
      <alignment horizontal="center"/>
    </xf>
    <xf numFmtId="0" fontId="26" fillId="7" borderId="85" xfId="0" applyFont="1" applyFill="1" applyBorder="1" applyAlignment="1">
      <alignment horizontal="center"/>
    </xf>
    <xf numFmtId="0" fontId="26" fillId="7" borderId="64" xfId="0" applyFont="1" applyFill="1" applyBorder="1" applyAlignment="1">
      <alignment horizontal="center"/>
    </xf>
    <xf numFmtId="0" fontId="60" fillId="7" borderId="60" xfId="0" applyFont="1" applyFill="1" applyBorder="1" applyAlignment="1">
      <alignment horizontal="center"/>
    </xf>
    <xf numFmtId="0" fontId="26" fillId="7" borderId="60" xfId="0" applyFont="1" applyFill="1" applyBorder="1" applyAlignment="1">
      <alignment horizontal="center"/>
    </xf>
    <xf numFmtId="0" fontId="0" fillId="0" borderId="10" xfId="0" applyBorder="1" applyAlignment="1">
      <alignment horizontal="center" vertical="center"/>
    </xf>
    <xf numFmtId="0" fontId="8" fillId="0" borderId="2" xfId="0" applyFont="1" applyBorder="1" applyAlignment="1">
      <alignment horizontal="center" vertical="center" wrapText="1"/>
    </xf>
    <xf numFmtId="0" fontId="8" fillId="0" borderId="61" xfId="0" applyFont="1" applyBorder="1" applyAlignment="1">
      <alignment horizontal="center" vertical="center" wrapText="1"/>
    </xf>
    <xf numFmtId="0" fontId="0" fillId="0" borderId="219" xfId="0" applyBorder="1" applyAlignment="1">
      <alignment horizontal="center" vertical="center" wrapText="1"/>
    </xf>
    <xf numFmtId="0" fontId="8" fillId="0" borderId="46" xfId="0" applyFont="1" applyBorder="1" applyAlignment="1">
      <alignment horizontal="center" vertical="center" wrapText="1"/>
    </xf>
    <xf numFmtId="0" fontId="8" fillId="0" borderId="59" xfId="0" applyFont="1" applyBorder="1" applyAlignment="1">
      <alignment horizontal="center" vertical="center" wrapText="1"/>
    </xf>
    <xf numFmtId="0" fontId="0" fillId="0" borderId="220" xfId="0" applyBorder="1" applyAlignment="1">
      <alignment horizontal="center" vertical="center" wrapText="1"/>
    </xf>
    <xf numFmtId="0" fontId="0" fillId="0" borderId="221" xfId="0" applyBorder="1" applyAlignment="1">
      <alignment horizontal="center" vertical="center" wrapText="1"/>
    </xf>
    <xf numFmtId="0" fontId="0" fillId="0" borderId="222" xfId="0" applyBorder="1" applyAlignment="1">
      <alignment horizontal="center" vertical="center" wrapText="1"/>
    </xf>
    <xf numFmtId="0" fontId="44" fillId="4" borderId="216" xfId="0" applyFont="1" applyFill="1" applyBorder="1" applyAlignment="1">
      <alignment horizontal="center"/>
    </xf>
    <xf numFmtId="0" fontId="44" fillId="4" borderId="180" xfId="0" applyFont="1" applyFill="1" applyBorder="1" applyAlignment="1">
      <alignment horizontal="center"/>
    </xf>
    <xf numFmtId="0" fontId="44" fillId="4" borderId="121" xfId="0" applyFont="1" applyFill="1" applyBorder="1" applyAlignment="1">
      <alignment horizontal="center"/>
    </xf>
    <xf numFmtId="0" fontId="44" fillId="4" borderId="33" xfId="0" applyFont="1" applyFill="1" applyBorder="1" applyAlignment="1">
      <alignment horizontal="center"/>
    </xf>
    <xf numFmtId="0" fontId="44" fillId="4" borderId="27" xfId="0" applyFont="1" applyFill="1" applyBorder="1" applyAlignment="1">
      <alignment horizontal="center"/>
    </xf>
    <xf numFmtId="0" fontId="44" fillId="4" borderId="28" xfId="0" applyFont="1" applyFill="1" applyBorder="1" applyAlignment="1">
      <alignment horizontal="center"/>
    </xf>
    <xf numFmtId="0" fontId="0" fillId="7" borderId="193" xfId="0" applyFill="1" applyBorder="1" applyAlignment="1">
      <alignment horizontal="center"/>
    </xf>
    <xf numFmtId="0" fontId="0" fillId="7" borderId="194" xfId="0" applyFill="1" applyBorder="1" applyAlignment="1">
      <alignment horizontal="center"/>
    </xf>
    <xf numFmtId="0" fontId="0" fillId="7" borderId="195" xfId="0" applyFill="1" applyBorder="1" applyAlignment="1">
      <alignment horizontal="center"/>
    </xf>
    <xf numFmtId="0" fontId="0" fillId="7" borderId="190" xfId="0" applyFill="1" applyBorder="1" applyAlignment="1">
      <alignment horizontal="center"/>
    </xf>
    <xf numFmtId="0" fontId="0" fillId="7" borderId="191" xfId="0" applyFill="1" applyBorder="1" applyAlignment="1">
      <alignment horizontal="center"/>
    </xf>
    <xf numFmtId="0" fontId="0" fillId="7" borderId="192" xfId="0" applyFill="1" applyBorder="1" applyAlignment="1">
      <alignment horizontal="center"/>
    </xf>
    <xf numFmtId="0" fontId="8" fillId="0" borderId="19" xfId="0" applyFont="1" applyBorder="1" applyAlignment="1">
      <alignment horizontal="left" vertical="center"/>
    </xf>
    <xf numFmtId="0" fontId="8" fillId="0" borderId="19" xfId="0" applyFont="1" applyBorder="1" applyAlignment="1">
      <alignment horizontal="left"/>
    </xf>
    <xf numFmtId="0" fontId="44" fillId="4" borderId="127" xfId="0" applyFont="1" applyFill="1" applyBorder="1" applyAlignment="1">
      <alignment horizontal="center"/>
    </xf>
    <xf numFmtId="0" fontId="44" fillId="4" borderId="181" xfId="0" applyFont="1" applyFill="1" applyBorder="1" applyAlignment="1">
      <alignment horizontal="center"/>
    </xf>
    <xf numFmtId="0" fontId="44" fillId="4" borderId="182" xfId="0" applyFont="1" applyFill="1" applyBorder="1" applyAlignment="1">
      <alignment horizontal="center"/>
    </xf>
    <xf numFmtId="0" fontId="44" fillId="4" borderId="10" xfId="0" applyFont="1" applyFill="1" applyBorder="1" applyAlignment="1">
      <alignment horizontal="center"/>
    </xf>
    <xf numFmtId="0" fontId="44" fillId="4" borderId="0" xfId="0" applyFont="1" applyFill="1" applyAlignment="1">
      <alignment horizontal="center"/>
    </xf>
    <xf numFmtId="0" fontId="44" fillId="4" borderId="122" xfId="0" applyFont="1" applyFill="1" applyBorder="1" applyAlignment="1">
      <alignment horizontal="center"/>
    </xf>
    <xf numFmtId="0" fontId="26" fillId="30" borderId="137" xfId="0" applyFont="1" applyFill="1" applyBorder="1" applyAlignment="1">
      <alignment horizontal="center"/>
    </xf>
    <xf numFmtId="0" fontId="26" fillId="30" borderId="121" xfId="0" applyFont="1" applyFill="1" applyBorder="1" applyAlignment="1">
      <alignment horizontal="center"/>
    </xf>
    <xf numFmtId="0" fontId="26" fillId="30" borderId="188" xfId="0" applyFont="1" applyFill="1" applyBorder="1" applyAlignment="1">
      <alignment horizontal="center"/>
    </xf>
    <xf numFmtId="0" fontId="26" fillId="30" borderId="124" xfId="0" applyFont="1" applyFill="1" applyBorder="1" applyAlignment="1">
      <alignment horizontal="center"/>
    </xf>
    <xf numFmtId="0" fontId="26" fillId="30" borderId="138" xfId="0" applyFont="1" applyFill="1" applyBorder="1" applyAlignment="1">
      <alignment horizontal="center"/>
    </xf>
    <xf numFmtId="0" fontId="26" fillId="30" borderId="146" xfId="0" applyFont="1" applyFill="1" applyBorder="1" applyAlignment="1">
      <alignment horizontal="center"/>
    </xf>
    <xf numFmtId="0" fontId="43" fillId="16" borderId="10" xfId="0" applyFont="1" applyFill="1" applyBorder="1" applyAlignment="1">
      <alignment horizontal="center"/>
    </xf>
    <xf numFmtId="0" fontId="43" fillId="16" borderId="0" xfId="0" applyFont="1" applyFill="1" applyAlignment="1">
      <alignment horizontal="center"/>
    </xf>
    <xf numFmtId="0" fontId="43" fillId="16" borderId="12" xfId="0" applyFont="1" applyFill="1" applyBorder="1" applyAlignment="1">
      <alignment horizontal="center"/>
    </xf>
    <xf numFmtId="0" fontId="32" fillId="7" borderId="184" xfId="0" applyFont="1" applyFill="1" applyBorder="1" applyAlignment="1">
      <alignment horizontal="center" vertical="center" wrapText="1"/>
    </xf>
    <xf numFmtId="0" fontId="0" fillId="7" borderId="185" xfId="0" applyFill="1" applyBorder="1" applyAlignment="1">
      <alignment horizontal="center" vertical="center" wrapText="1"/>
    </xf>
    <xf numFmtId="0" fontId="0" fillId="7" borderId="186" xfId="0" applyFill="1" applyBorder="1" applyAlignment="1">
      <alignment horizontal="center" vertical="center" wrapText="1"/>
    </xf>
    <xf numFmtId="0" fontId="26" fillId="30" borderId="62" xfId="0" applyFont="1" applyFill="1" applyBorder="1" applyAlignment="1">
      <alignment horizontal="center"/>
    </xf>
    <xf numFmtId="0" fontId="9" fillId="7" borderId="126" xfId="0" applyFont="1" applyFill="1" applyBorder="1" applyAlignment="1">
      <alignment horizontal="center" vertical="center" wrapText="1"/>
    </xf>
    <xf numFmtId="0" fontId="9" fillId="7" borderId="123" xfId="0" applyFont="1" applyFill="1" applyBorder="1" applyAlignment="1">
      <alignment horizontal="center" vertical="center" wrapText="1"/>
    </xf>
    <xf numFmtId="168" fontId="42" fillId="11" borderId="127" xfId="15" applyNumberFormat="1" applyFont="1" applyFill="1" applyBorder="1" applyAlignment="1">
      <alignment horizontal="center" vertical="center"/>
    </xf>
    <xf numFmtId="168" fontId="42" fillId="11" borderId="145" xfId="15" applyNumberFormat="1" applyFont="1" applyFill="1" applyBorder="1" applyAlignment="1">
      <alignment horizontal="center" vertical="center"/>
    </xf>
    <xf numFmtId="168" fontId="42" fillId="11" borderId="124" xfId="15" applyNumberFormat="1" applyFont="1" applyFill="1" applyBorder="1" applyAlignment="1">
      <alignment horizontal="center" vertical="center"/>
    </xf>
    <xf numFmtId="168" fontId="42" fillId="11" borderId="146" xfId="15" applyNumberFormat="1" applyFont="1" applyFill="1" applyBorder="1" applyAlignment="1">
      <alignment horizontal="center" vertical="center"/>
    </xf>
    <xf numFmtId="168" fontId="42" fillId="11" borderId="125" xfId="15" applyNumberFormat="1" applyFont="1" applyFill="1" applyBorder="1" applyAlignment="1">
      <alignment horizontal="center" vertical="center"/>
    </xf>
    <xf numFmtId="168" fontId="42" fillId="11" borderId="122" xfId="15" applyNumberFormat="1" applyFont="1" applyFill="1" applyBorder="1" applyAlignment="1">
      <alignment horizontal="center" vertical="center"/>
    </xf>
    <xf numFmtId="168" fontId="9" fillId="0" borderId="126" xfId="15" applyNumberFormat="1" applyFont="1" applyBorder="1" applyAlignment="1">
      <alignment horizontal="center" vertical="center" wrapText="1"/>
    </xf>
    <xf numFmtId="168" fontId="9" fillId="0" borderId="229" xfId="15" applyNumberFormat="1" applyFont="1" applyBorder="1" applyAlignment="1">
      <alignment horizontal="center" vertical="center" wrapText="1"/>
    </xf>
    <xf numFmtId="168" fontId="9" fillId="0" borderId="123" xfId="15" applyNumberFormat="1" applyFont="1" applyBorder="1" applyAlignment="1">
      <alignment horizontal="center" vertical="center" wrapText="1"/>
    </xf>
    <xf numFmtId="168" fontId="9" fillId="0" borderId="227" xfId="15" applyNumberFormat="1" applyFont="1" applyBorder="1" applyAlignment="1">
      <alignment horizontal="center" vertical="center" wrapText="1"/>
    </xf>
    <xf numFmtId="9" fontId="42" fillId="11" borderId="228" xfId="15" applyFont="1" applyFill="1" applyBorder="1" applyAlignment="1">
      <alignment horizontal="center" vertical="center"/>
    </xf>
    <xf numFmtId="9" fontId="42" fillId="11" borderId="196" xfId="15" applyFont="1" applyFill="1" applyBorder="1" applyAlignment="1">
      <alignment horizontal="center" vertical="center"/>
    </xf>
    <xf numFmtId="9" fontId="42" fillId="11" borderId="189" xfId="15" applyFont="1" applyFill="1" applyBorder="1" applyAlignment="1">
      <alignment horizontal="center" vertical="center"/>
    </xf>
    <xf numFmtId="0" fontId="20" fillId="0" borderId="22" xfId="0" applyFont="1" applyBorder="1" applyAlignment="1">
      <alignment horizontal="center" wrapText="1"/>
    </xf>
    <xf numFmtId="0" fontId="20" fillId="0" borderId="26" xfId="0" applyFont="1" applyBorder="1" applyAlignment="1">
      <alignment horizontal="center" wrapText="1"/>
    </xf>
    <xf numFmtId="0" fontId="20" fillId="0" borderId="22" xfId="0" applyFont="1" applyBorder="1" applyAlignment="1">
      <alignment horizontal="center" vertical="center" wrapText="1"/>
    </xf>
    <xf numFmtId="0" fontId="20" fillId="0" borderId="26" xfId="0" applyFont="1" applyBorder="1" applyAlignment="1">
      <alignment horizontal="center" vertical="center" wrapText="1"/>
    </xf>
    <xf numFmtId="0" fontId="44" fillId="4" borderId="42" xfId="0" applyFont="1" applyFill="1" applyBorder="1" applyAlignment="1">
      <alignment horizontal="center"/>
    </xf>
    <xf numFmtId="0" fontId="44" fillId="4" borderId="22" xfId="0" applyFont="1" applyFill="1" applyBorder="1" applyAlignment="1">
      <alignment horizontal="center"/>
    </xf>
    <xf numFmtId="0" fontId="44" fillId="4" borderId="19" xfId="0" applyFont="1" applyFill="1" applyBorder="1" applyAlignment="1">
      <alignment horizontal="center"/>
    </xf>
    <xf numFmtId="167" fontId="9" fillId="11" borderId="145" xfId="0" applyNumberFormat="1" applyFont="1" applyFill="1" applyBorder="1" applyAlignment="1">
      <alignment horizontal="center" vertical="center"/>
    </xf>
    <xf numFmtId="167" fontId="9" fillId="11" borderId="122" xfId="0" applyNumberFormat="1" applyFont="1" applyFill="1" applyBorder="1" applyAlignment="1">
      <alignment horizontal="center" vertical="center"/>
    </xf>
    <xf numFmtId="167" fontId="9" fillId="11" borderId="146" xfId="0" applyNumberFormat="1" applyFont="1" applyFill="1" applyBorder="1" applyAlignment="1">
      <alignment horizontal="center" vertical="center"/>
    </xf>
    <xf numFmtId="0" fontId="13" fillId="0" borderId="24" xfId="0" applyFont="1" applyBorder="1" applyAlignment="1">
      <alignment horizontal="center"/>
    </xf>
    <xf numFmtId="0" fontId="13" fillId="0" borderId="25" xfId="0" applyFont="1" applyBorder="1" applyAlignment="1">
      <alignment horizontal="center"/>
    </xf>
    <xf numFmtId="0" fontId="8" fillId="7" borderId="26" xfId="0" applyFont="1" applyFill="1" applyBorder="1" applyAlignment="1">
      <alignment horizontal="left" vertical="center"/>
    </xf>
    <xf numFmtId="0" fontId="8" fillId="7" borderId="25" xfId="0" applyFont="1" applyFill="1" applyBorder="1" applyAlignment="1">
      <alignment horizontal="left" vertical="center"/>
    </xf>
    <xf numFmtId="9" fontId="13" fillId="7" borderId="26" xfId="15" applyFont="1" applyFill="1" applyBorder="1" applyAlignment="1">
      <alignment horizontal="left"/>
    </xf>
    <xf numFmtId="9" fontId="13" fillId="7" borderId="25" xfId="15" applyFont="1" applyFill="1" applyBorder="1" applyAlignment="1">
      <alignment horizontal="left"/>
    </xf>
    <xf numFmtId="0" fontId="9" fillId="11" borderId="0" xfId="0" applyFont="1" applyFill="1" applyAlignment="1">
      <alignment horizontal="center" vertical="center" wrapText="1"/>
    </xf>
    <xf numFmtId="0" fontId="9" fillId="11" borderId="138" xfId="0" applyFont="1" applyFill="1" applyBorder="1" applyAlignment="1">
      <alignment horizontal="center" vertical="center" wrapText="1"/>
    </xf>
    <xf numFmtId="0" fontId="32" fillId="7" borderId="124" xfId="0" applyFont="1" applyFill="1" applyBorder="1" applyAlignment="1">
      <alignment horizontal="center" vertical="center" wrapText="1"/>
    </xf>
    <xf numFmtId="0" fontId="32" fillId="7" borderId="138" xfId="0" applyFont="1" applyFill="1" applyBorder="1" applyAlignment="1">
      <alignment horizontal="center" vertical="center" wrapText="1"/>
    </xf>
    <xf numFmtId="0" fontId="32" fillId="7" borderId="146" xfId="0" applyFont="1" applyFill="1" applyBorder="1" applyAlignment="1">
      <alignment horizontal="center" vertical="center" wrapText="1"/>
    </xf>
    <xf numFmtId="0" fontId="0" fillId="7" borderId="137" xfId="0" applyFill="1" applyBorder="1" applyAlignment="1">
      <alignment horizontal="center" vertical="center" wrapText="1"/>
    </xf>
    <xf numFmtId="0" fontId="0" fillId="7" borderId="121" xfId="0" applyFill="1" applyBorder="1" applyAlignment="1">
      <alignment horizontal="center" vertical="center" wrapText="1"/>
    </xf>
    <xf numFmtId="0" fontId="0" fillId="7" borderId="188" xfId="0" applyFill="1" applyBorder="1" applyAlignment="1">
      <alignment horizontal="center" vertical="center" wrapText="1"/>
    </xf>
    <xf numFmtId="0" fontId="9" fillId="0" borderId="55" xfId="0" applyFont="1" applyBorder="1" applyAlignment="1">
      <alignment horizontal="center" vertical="center"/>
    </xf>
    <xf numFmtId="0" fontId="9" fillId="0" borderId="18" xfId="0" applyFont="1" applyBorder="1" applyAlignment="1">
      <alignment horizontal="center" vertical="center"/>
    </xf>
    <xf numFmtId="0" fontId="9" fillId="0" borderId="56" xfId="0" applyFont="1" applyBorder="1" applyAlignment="1">
      <alignment horizontal="center" vertical="center"/>
    </xf>
    <xf numFmtId="0" fontId="26" fillId="30" borderId="33" xfId="0" applyFont="1" applyFill="1" applyBorder="1" applyAlignment="1">
      <alignment horizontal="center"/>
    </xf>
    <xf numFmtId="0" fontId="26" fillId="30" borderId="27" xfId="0" applyFont="1" applyFill="1" applyBorder="1" applyAlignment="1">
      <alignment horizontal="center"/>
    </xf>
    <xf numFmtId="0" fontId="26" fillId="30" borderId="26" xfId="0" applyFont="1" applyFill="1" applyBorder="1" applyAlignment="1">
      <alignment horizontal="center"/>
    </xf>
    <xf numFmtId="0" fontId="26" fillId="30" borderId="24" xfId="0" applyFont="1" applyFill="1" applyBorder="1" applyAlignment="1">
      <alignment horizontal="center"/>
    </xf>
    <xf numFmtId="14" fontId="13" fillId="0" borderId="26" xfId="0" applyNumberFormat="1" applyFont="1" applyBorder="1" applyAlignment="1">
      <alignment horizontal="center"/>
    </xf>
    <xf numFmtId="14" fontId="13" fillId="0" borderId="25" xfId="0" applyNumberFormat="1" applyFont="1" applyBorder="1" applyAlignment="1">
      <alignment horizontal="center"/>
    </xf>
    <xf numFmtId="0" fontId="8" fillId="0" borderId="19" xfId="0" quotePrefix="1" applyFont="1" applyBorder="1" applyAlignment="1">
      <alignment horizontal="left"/>
    </xf>
    <xf numFmtId="0" fontId="64" fillId="7" borderId="19" xfId="0" applyFont="1" applyFill="1" applyBorder="1" applyAlignment="1">
      <alignment horizontal="center" vertical="center" wrapText="1"/>
    </xf>
    <xf numFmtId="0" fontId="44" fillId="29" borderId="29" xfId="0" applyFont="1" applyFill="1" applyBorder="1" applyAlignment="1">
      <alignment horizontal="center" vertical="center" wrapText="1"/>
    </xf>
    <xf numFmtId="0" fontId="44" fillId="29" borderId="53" xfId="0" applyFont="1" applyFill="1" applyBorder="1" applyAlignment="1">
      <alignment horizontal="center" vertical="center" wrapText="1"/>
    </xf>
    <xf numFmtId="0" fontId="44" fillId="4" borderId="47" xfId="0" applyFont="1" applyFill="1" applyBorder="1" applyAlignment="1">
      <alignment horizontal="center"/>
    </xf>
    <xf numFmtId="0" fontId="44" fillId="4" borderId="48" xfId="0" applyFont="1" applyFill="1" applyBorder="1" applyAlignment="1">
      <alignment horizontal="center"/>
    </xf>
    <xf numFmtId="0" fontId="44" fillId="4" borderId="49" xfId="0" applyFont="1" applyFill="1" applyBorder="1" applyAlignment="1">
      <alignment horizontal="center"/>
    </xf>
    <xf numFmtId="0" fontId="44" fillId="29" borderId="216" xfId="0" applyFont="1" applyFill="1" applyBorder="1" applyAlignment="1">
      <alignment horizontal="center"/>
    </xf>
    <xf numFmtId="0" fontId="44" fillId="29" borderId="52" xfId="0" applyFont="1" applyFill="1" applyBorder="1" applyAlignment="1">
      <alignment horizontal="center"/>
    </xf>
    <xf numFmtId="0" fontId="13" fillId="0" borderId="127" xfId="0" applyFont="1" applyBorder="1" applyAlignment="1">
      <alignment horizontal="center" vertical="center" wrapText="1"/>
    </xf>
    <xf numFmtId="0" fontId="13" fillId="0" borderId="181" xfId="0" applyFont="1" applyBorder="1" applyAlignment="1">
      <alignment horizontal="center" vertical="center" wrapText="1"/>
    </xf>
    <xf numFmtId="0" fontId="13" fillId="0" borderId="182" xfId="0" applyFont="1" applyBorder="1" applyAlignment="1">
      <alignment horizontal="center" vertical="center" wrapText="1"/>
    </xf>
    <xf numFmtId="0" fontId="13" fillId="0" borderId="125" xfId="0" applyFont="1" applyBorder="1" applyAlignment="1">
      <alignment horizontal="center" vertical="center" wrapText="1"/>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3" fillId="0" borderId="124" xfId="0" applyFont="1" applyBorder="1" applyAlignment="1">
      <alignment horizontal="center" vertical="center" wrapText="1"/>
    </xf>
    <xf numFmtId="0" fontId="13" fillId="0" borderId="138" xfId="0" applyFont="1" applyBorder="1" applyAlignment="1">
      <alignment horizontal="center" vertical="center" wrapText="1"/>
    </xf>
    <xf numFmtId="0" fontId="13" fillId="0" borderId="187" xfId="0" applyFont="1" applyBorder="1" applyAlignment="1">
      <alignment horizontal="center" vertical="center" wrapText="1"/>
    </xf>
    <xf numFmtId="0" fontId="44" fillId="4" borderId="138" xfId="0" applyFont="1" applyFill="1" applyBorder="1" applyAlignment="1">
      <alignment horizontal="center"/>
    </xf>
    <xf numFmtId="0" fontId="44" fillId="4" borderId="187" xfId="0" applyFont="1" applyFill="1" applyBorder="1" applyAlignment="1">
      <alignment horizontal="center"/>
    </xf>
    <xf numFmtId="0" fontId="8" fillId="0" borderId="63" xfId="0" applyFont="1" applyBorder="1" applyAlignment="1">
      <alignment horizontal="left"/>
    </xf>
    <xf numFmtId="0" fontId="8" fillId="0" borderId="64" xfId="0" applyFont="1" applyBorder="1" applyAlignment="1">
      <alignment horizontal="left"/>
    </xf>
    <xf numFmtId="0" fontId="8" fillId="0" borderId="63" xfId="0" applyFont="1" applyBorder="1" applyAlignment="1">
      <alignment horizontal="left" indent="1"/>
    </xf>
    <xf numFmtId="0" fontId="8" fillId="0" borderId="64" xfId="0" applyFont="1" applyBorder="1" applyAlignment="1">
      <alignment horizontal="left" indent="1"/>
    </xf>
    <xf numFmtId="0" fontId="13" fillId="0" borderId="63" xfId="0" applyFont="1" applyBorder="1" applyAlignment="1">
      <alignment horizontal="left"/>
    </xf>
    <xf numFmtId="0" fontId="13" fillId="0" borderId="64" xfId="0" applyFont="1" applyBorder="1" applyAlignment="1">
      <alignment horizontal="left"/>
    </xf>
    <xf numFmtId="0" fontId="0" fillId="0" borderId="63" xfId="0" applyBorder="1" applyAlignment="1">
      <alignment horizontal="left"/>
    </xf>
    <xf numFmtId="0" fontId="0" fillId="0" borderId="64" xfId="0" applyBorder="1" applyAlignment="1">
      <alignment horizontal="left"/>
    </xf>
    <xf numFmtId="0" fontId="8" fillId="14" borderId="63" xfId="0" applyFont="1" applyFill="1" applyBorder="1" applyAlignment="1">
      <alignment horizontal="left"/>
    </xf>
    <xf numFmtId="0" fontId="8" fillId="14" borderId="64" xfId="0" applyFont="1" applyFill="1" applyBorder="1" applyAlignment="1">
      <alignment horizontal="left"/>
    </xf>
    <xf numFmtId="0" fontId="26" fillId="30" borderId="216" xfId="0" applyFont="1" applyFill="1" applyBorder="1" applyAlignment="1">
      <alignment horizontal="center"/>
    </xf>
    <xf numFmtId="0" fontId="0" fillId="0" borderId="10" xfId="0" applyBorder="1" applyAlignment="1">
      <alignment horizontal="left" vertical="center"/>
    </xf>
    <xf numFmtId="0" fontId="0" fillId="0" borderId="218" xfId="0" applyBorder="1" applyAlignment="1">
      <alignment horizontal="left" vertical="center"/>
    </xf>
    <xf numFmtId="0" fontId="0" fillId="0" borderId="50" xfId="0" applyBorder="1" applyAlignment="1">
      <alignment horizontal="center" vertical="center" wrapText="1"/>
    </xf>
    <xf numFmtId="0" fontId="0" fillId="0" borderId="0" xfId="0" applyAlignment="1">
      <alignment horizontal="center" vertical="center" wrapText="1"/>
    </xf>
    <xf numFmtId="0" fontId="0" fillId="0" borderId="51" xfId="0" applyBorder="1" applyAlignment="1">
      <alignment horizontal="center" vertical="center" wrapText="1"/>
    </xf>
    <xf numFmtId="0" fontId="29" fillId="4" borderId="73" xfId="0" applyFont="1" applyFill="1" applyBorder="1" applyAlignment="1">
      <alignment horizontal="center" vertical="center"/>
    </xf>
    <xf numFmtId="0" fontId="29" fillId="4" borderId="74" xfId="0" applyFont="1" applyFill="1" applyBorder="1" applyAlignment="1">
      <alignment horizontal="center" vertical="center"/>
    </xf>
    <xf numFmtId="0" fontId="29" fillId="4" borderId="77" xfId="0" applyFont="1" applyFill="1" applyBorder="1" applyAlignment="1">
      <alignment horizontal="center" vertical="center"/>
    </xf>
    <xf numFmtId="0" fontId="13" fillId="0" borderId="83" xfId="0" applyFont="1" applyBorder="1" applyAlignment="1">
      <alignment horizontal="center"/>
    </xf>
    <xf numFmtId="0" fontId="13" fillId="0" borderId="85" xfId="0" applyFont="1" applyBorder="1" applyAlignment="1">
      <alignment horizontal="center"/>
    </xf>
    <xf numFmtId="0" fontId="13" fillId="0" borderId="84" xfId="0" applyFont="1" applyBorder="1" applyAlignment="1">
      <alignment horizontal="center"/>
    </xf>
    <xf numFmtId="0" fontId="13" fillId="0" borderId="233" xfId="0" applyFont="1" applyBorder="1" applyAlignment="1">
      <alignment horizontal="center"/>
    </xf>
    <xf numFmtId="0" fontId="13" fillId="0" borderId="155" xfId="0" applyFont="1" applyBorder="1" applyAlignment="1">
      <alignment horizontal="center"/>
    </xf>
    <xf numFmtId="0" fontId="13" fillId="0" borderId="234" xfId="0" applyFont="1" applyBorder="1" applyAlignment="1">
      <alignment horizontal="center"/>
    </xf>
    <xf numFmtId="10" fontId="13" fillId="0" borderId="83" xfId="15" applyNumberFormat="1" applyFont="1" applyBorder="1" applyAlignment="1">
      <alignment horizontal="center"/>
    </xf>
    <xf numFmtId="10" fontId="13" fillId="0" borderId="85" xfId="15" applyNumberFormat="1" applyFont="1" applyBorder="1" applyAlignment="1">
      <alignment horizontal="center"/>
    </xf>
    <xf numFmtId="10" fontId="13" fillId="0" borderId="84" xfId="15" applyNumberFormat="1" applyFont="1" applyBorder="1" applyAlignment="1">
      <alignment horizontal="center"/>
    </xf>
    <xf numFmtId="10" fontId="13" fillId="0" borderId="233" xfId="15" applyNumberFormat="1" applyFont="1" applyBorder="1" applyAlignment="1">
      <alignment horizontal="center"/>
    </xf>
    <xf numFmtId="10" fontId="13" fillId="0" borderId="155" xfId="15" applyNumberFormat="1" applyFont="1" applyBorder="1" applyAlignment="1">
      <alignment horizontal="center"/>
    </xf>
    <xf numFmtId="10" fontId="13" fillId="0" borderId="234" xfId="15" applyNumberFormat="1" applyFont="1" applyBorder="1" applyAlignment="1">
      <alignment horizontal="center"/>
    </xf>
    <xf numFmtId="0" fontId="13" fillId="12" borderId="73" xfId="0" applyFont="1" applyFill="1" applyBorder="1" applyAlignment="1">
      <alignment horizontal="center"/>
    </xf>
    <xf numFmtId="0" fontId="13" fillId="12" borderId="74" xfId="0" applyFont="1" applyFill="1" applyBorder="1" applyAlignment="1">
      <alignment horizontal="center"/>
    </xf>
    <xf numFmtId="0" fontId="13" fillId="12" borderId="75" xfId="0" applyFont="1" applyFill="1" applyBorder="1" applyAlignment="1">
      <alignment horizontal="center"/>
    </xf>
    <xf numFmtId="0" fontId="13" fillId="22" borderId="78" xfId="0" applyFont="1" applyFill="1" applyBorder="1" applyAlignment="1">
      <alignment horizontal="center"/>
    </xf>
    <xf numFmtId="0" fontId="13" fillId="22" borderId="79" xfId="0" applyFont="1" applyFill="1" applyBorder="1" applyAlignment="1">
      <alignment horizontal="center"/>
    </xf>
    <xf numFmtId="0" fontId="10" fillId="0" borderId="83" xfId="10" applyBorder="1" applyAlignment="1" applyProtection="1">
      <alignment horizontal="center"/>
    </xf>
    <xf numFmtId="0" fontId="10" fillId="0" borderId="84" xfId="10" applyBorder="1" applyAlignment="1" applyProtection="1">
      <alignment horizontal="center"/>
    </xf>
    <xf numFmtId="0" fontId="29" fillId="4" borderId="73" xfId="0" applyFont="1" applyFill="1" applyBorder="1" applyAlignment="1">
      <alignment horizontal="center"/>
    </xf>
    <xf numFmtId="0" fontId="29" fillId="4" borderId="74" xfId="0" applyFont="1" applyFill="1" applyBorder="1" applyAlignment="1">
      <alignment horizontal="center"/>
    </xf>
    <xf numFmtId="0" fontId="29" fillId="4" borderId="75" xfId="0" applyFont="1" applyFill="1" applyBorder="1" applyAlignment="1">
      <alignment horizontal="center"/>
    </xf>
    <xf numFmtId="0" fontId="29" fillId="4" borderId="71" xfId="0" applyFont="1" applyFill="1" applyBorder="1" applyAlignment="1">
      <alignment horizontal="center"/>
    </xf>
    <xf numFmtId="0" fontId="29" fillId="4" borderId="76" xfId="0" applyFont="1" applyFill="1" applyBorder="1" applyAlignment="1">
      <alignment horizontal="center"/>
    </xf>
    <xf numFmtId="0" fontId="29" fillId="4" borderId="77" xfId="0" applyFont="1" applyFill="1" applyBorder="1" applyAlignment="1">
      <alignment horizontal="center"/>
    </xf>
    <xf numFmtId="0" fontId="0" fillId="0" borderId="83" xfId="0" applyBorder="1" applyAlignment="1">
      <alignment horizontal="center"/>
    </xf>
    <xf numFmtId="0" fontId="0" fillId="0" borderId="84" xfId="0" applyBorder="1" applyAlignment="1">
      <alignment horizontal="center"/>
    </xf>
    <xf numFmtId="0" fontId="41" fillId="0" borderId="231" xfId="0" applyFont="1" applyBorder="1" applyAlignment="1">
      <alignment horizontal="center"/>
    </xf>
    <xf numFmtId="0" fontId="41" fillId="0" borderId="232" xfId="0" applyFont="1" applyBorder="1" applyAlignment="1">
      <alignment horizontal="center"/>
    </xf>
    <xf numFmtId="0" fontId="8" fillId="0" borderId="83" xfId="0" applyFont="1" applyBorder="1" applyAlignment="1">
      <alignment horizontal="center"/>
    </xf>
    <xf numFmtId="0" fontId="8" fillId="0" borderId="85" xfId="0" applyFont="1" applyBorder="1" applyAlignment="1">
      <alignment horizontal="center"/>
    </xf>
    <xf numFmtId="0" fontId="8" fillId="0" borderId="84" xfId="0" applyFont="1" applyBorder="1" applyAlignment="1">
      <alignment horizontal="center"/>
    </xf>
    <xf numFmtId="10" fontId="13" fillId="0" borderId="40" xfId="15" applyNumberFormat="1" applyFont="1" applyBorder="1" applyAlignment="1">
      <alignment horizontal="center"/>
    </xf>
    <xf numFmtId="10" fontId="13" fillId="0" borderId="232" xfId="15" applyNumberFormat="1" applyFont="1" applyBorder="1" applyAlignment="1">
      <alignment horizontal="center"/>
    </xf>
    <xf numFmtId="0" fontId="13" fillId="22" borderId="80" xfId="0" applyFont="1" applyFill="1" applyBorder="1" applyAlignment="1">
      <alignment horizontal="center"/>
    </xf>
    <xf numFmtId="0" fontId="13" fillId="22" borderId="81" xfId="0" applyFont="1" applyFill="1" applyBorder="1" applyAlignment="1">
      <alignment horizontal="center"/>
    </xf>
    <xf numFmtId="0" fontId="13" fillId="22" borderId="82" xfId="0" applyFont="1" applyFill="1" applyBorder="1" applyAlignment="1">
      <alignment horizontal="center"/>
    </xf>
    <xf numFmtId="0" fontId="0" fillId="0" borderId="86" xfId="0" applyBorder="1" applyAlignment="1">
      <alignment horizontal="center"/>
    </xf>
    <xf numFmtId="0" fontId="0" fillId="0" borderId="87" xfId="0" applyBorder="1" applyAlignment="1">
      <alignment horizontal="center"/>
    </xf>
    <xf numFmtId="0" fontId="9" fillId="0" borderId="73" xfId="0" applyFont="1" applyBorder="1" applyAlignment="1">
      <alignment horizontal="center" vertical="center"/>
    </xf>
    <xf numFmtId="0" fontId="9" fillId="0" borderId="75" xfId="0" applyFont="1" applyBorder="1" applyAlignment="1">
      <alignment horizontal="center" vertical="center"/>
    </xf>
    <xf numFmtId="0" fontId="10" fillId="0" borderId="233" xfId="10" applyBorder="1" applyAlignment="1" applyProtection="1">
      <alignment horizontal="center"/>
    </xf>
    <xf numFmtId="0" fontId="10" fillId="0" borderId="234" xfId="10" applyBorder="1" applyAlignment="1" applyProtection="1">
      <alignment horizontal="center"/>
    </xf>
    <xf numFmtId="0" fontId="29" fillId="4" borderId="50" xfId="0" applyFont="1" applyFill="1" applyBorder="1" applyAlignment="1">
      <alignment horizontal="center"/>
    </xf>
    <xf numFmtId="0" fontId="29" fillId="4" borderId="0" xfId="0" applyFont="1" applyFill="1" applyAlignment="1">
      <alignment horizontal="center"/>
    </xf>
    <xf numFmtId="0" fontId="29" fillId="4" borderId="51" xfId="0" applyFont="1" applyFill="1" applyBorder="1" applyAlignment="1">
      <alignment horizontal="center"/>
    </xf>
    <xf numFmtId="0" fontId="43" fillId="4" borderId="0" xfId="0" applyFont="1" applyFill="1" applyAlignment="1">
      <alignment horizontal="center"/>
    </xf>
    <xf numFmtId="0" fontId="29" fillId="16" borderId="50" xfId="0" applyFont="1" applyFill="1" applyBorder="1" applyAlignment="1">
      <alignment horizontal="center"/>
    </xf>
    <xf numFmtId="0" fontId="29" fillId="16" borderId="0" xfId="0" applyFont="1" applyFill="1" applyAlignment="1">
      <alignment horizontal="center"/>
    </xf>
    <xf numFmtId="0" fontId="43" fillId="4" borderId="68" xfId="0" applyFont="1" applyFill="1" applyBorder="1" applyAlignment="1">
      <alignment horizontal="center"/>
    </xf>
    <xf numFmtId="0" fontId="43" fillId="4" borderId="69" xfId="0" applyFont="1" applyFill="1" applyBorder="1" applyAlignment="1">
      <alignment horizontal="center"/>
    </xf>
    <xf numFmtId="0" fontId="0" fillId="0" borderId="96" xfId="0" applyBorder="1" applyAlignment="1">
      <alignment horizontal="center" vertical="center" wrapText="1"/>
    </xf>
    <xf numFmtId="0" fontId="0" fillId="0" borderId="40" xfId="0" applyBorder="1" applyAlignment="1">
      <alignment horizontal="center" vertical="center" wrapText="1"/>
    </xf>
    <xf numFmtId="0" fontId="32" fillId="0" borderId="96" xfId="0" applyFont="1" applyBorder="1" applyAlignment="1">
      <alignment horizontal="center" vertical="center" wrapText="1"/>
    </xf>
    <xf numFmtId="0" fontId="0" fillId="0" borderId="97" xfId="0" applyBorder="1" applyAlignment="1">
      <alignment horizontal="center" vertical="center" wrapText="1"/>
    </xf>
    <xf numFmtId="0" fontId="0" fillId="0" borderId="72" xfId="0" applyBorder="1" applyAlignment="1">
      <alignment horizontal="center" vertical="center" wrapText="1"/>
    </xf>
    <xf numFmtId="0" fontId="29" fillId="4" borderId="68" xfId="0" applyFont="1" applyFill="1" applyBorder="1" applyAlignment="1">
      <alignment horizontal="center"/>
    </xf>
    <xf numFmtId="0" fontId="29" fillId="4" borderId="69" xfId="0" applyFont="1" applyFill="1" applyBorder="1" applyAlignment="1">
      <alignment horizontal="center"/>
    </xf>
    <xf numFmtId="0" fontId="43" fillId="4" borderId="74" xfId="0" applyFont="1" applyFill="1" applyBorder="1" applyAlignment="1">
      <alignment horizontal="center"/>
    </xf>
    <xf numFmtId="0" fontId="43" fillId="4" borderId="75" xfId="0" applyFont="1" applyFill="1" applyBorder="1" applyAlignment="1">
      <alignment horizontal="center"/>
    </xf>
    <xf numFmtId="0" fontId="8" fillId="42" borderId="211" xfId="0" applyFont="1" applyFill="1" applyBorder="1" applyAlignment="1">
      <alignment horizontal="center" vertical="center" wrapText="1"/>
    </xf>
    <xf numFmtId="0" fontId="8" fillId="42" borderId="213" xfId="0" applyFont="1" applyFill="1" applyBorder="1" applyAlignment="1">
      <alignment horizontal="center" vertical="center" wrapText="1"/>
    </xf>
    <xf numFmtId="0" fontId="69" fillId="0" borderId="65" xfId="0" applyFont="1" applyBorder="1" applyAlignment="1">
      <alignment horizontal="center" vertical="center" wrapText="1"/>
    </xf>
    <xf numFmtId="0" fontId="69" fillId="0" borderId="212" xfId="0" applyFont="1" applyBorder="1" applyAlignment="1">
      <alignment horizontal="center" vertical="center" wrapText="1"/>
    </xf>
    <xf numFmtId="0" fontId="69" fillId="0" borderId="214" xfId="0" applyFont="1" applyBorder="1" applyAlignment="1">
      <alignment horizontal="center" vertical="center" wrapText="1"/>
    </xf>
    <xf numFmtId="0" fontId="69" fillId="0" borderId="215" xfId="0" applyFont="1" applyBorder="1" applyAlignment="1">
      <alignment horizontal="center" vertical="center" wrapText="1"/>
    </xf>
    <xf numFmtId="0" fontId="43" fillId="4" borderId="127" xfId="0" applyFont="1" applyFill="1" applyBorder="1" applyAlignment="1">
      <alignment horizontal="center"/>
    </xf>
    <xf numFmtId="0" fontId="43" fillId="4" borderId="145" xfId="0" applyFont="1" applyFill="1" applyBorder="1" applyAlignment="1">
      <alignment horizontal="center"/>
    </xf>
    <xf numFmtId="0" fontId="43" fillId="4" borderId="274" xfId="0" applyFont="1" applyFill="1" applyBorder="1" applyAlignment="1">
      <alignment horizontal="center"/>
    </xf>
    <xf numFmtId="0" fontId="43" fillId="4" borderId="275" xfId="0" applyFont="1" applyFill="1" applyBorder="1" applyAlignment="1">
      <alignment horizontal="center"/>
    </xf>
    <xf numFmtId="0" fontId="47" fillId="4" borderId="284" xfId="0" applyFont="1" applyFill="1" applyBorder="1" applyAlignment="1">
      <alignment horizontal="center"/>
    </xf>
    <xf numFmtId="0" fontId="47" fillId="4" borderId="285" xfId="0" applyFont="1" applyFill="1" applyBorder="1" applyAlignment="1">
      <alignment horizontal="center"/>
    </xf>
    <xf numFmtId="0" fontId="87" fillId="0" borderId="286" xfId="0" applyFont="1" applyBorder="1" applyAlignment="1">
      <alignment horizontal="left" vertical="center" wrapText="1"/>
    </xf>
    <xf numFmtId="0" fontId="22" fillId="0" borderId="287" xfId="0" applyFont="1" applyBorder="1" applyAlignment="1">
      <alignment horizontal="left" vertical="center" wrapText="1"/>
    </xf>
    <xf numFmtId="0" fontId="8" fillId="37" borderId="211" xfId="0" applyFont="1" applyFill="1" applyBorder="1" applyAlignment="1">
      <alignment horizontal="center" vertical="center" wrapText="1"/>
    </xf>
    <xf numFmtId="0" fontId="87" fillId="0" borderId="288" xfId="0" applyFont="1" applyBorder="1" applyAlignment="1">
      <alignment horizontal="left" vertical="center" wrapText="1"/>
    </xf>
    <xf numFmtId="0" fontId="22" fillId="0" borderId="289" xfId="0" applyFont="1" applyBorder="1" applyAlignment="1">
      <alignment horizontal="left" vertical="center" wrapText="1"/>
    </xf>
    <xf numFmtId="0" fontId="26" fillId="4" borderId="208" xfId="25" applyFont="1" applyFill="1" applyBorder="1" applyAlignment="1">
      <alignment horizontal="center" vertical="center"/>
    </xf>
    <xf numFmtId="0" fontId="26" fillId="4" borderId="209" xfId="25" applyFont="1" applyFill="1" applyBorder="1" applyAlignment="1">
      <alignment horizontal="center" vertical="center"/>
    </xf>
    <xf numFmtId="0" fontId="26" fillId="4" borderId="210" xfId="25" applyFont="1" applyFill="1" applyBorder="1" applyAlignment="1">
      <alignment horizontal="center" vertical="center"/>
    </xf>
    <xf numFmtId="0" fontId="8" fillId="43" borderId="211" xfId="0" applyFont="1" applyFill="1" applyBorder="1" applyAlignment="1">
      <alignment horizontal="center" vertical="center" wrapText="1"/>
    </xf>
    <xf numFmtId="0" fontId="97" fillId="0" borderId="0" xfId="0" applyFont="1" applyAlignment="1">
      <alignment wrapText="1"/>
    </xf>
    <xf numFmtId="0" fontId="98" fillId="0" borderId="0" xfId="0" applyFont="1" applyAlignment="1">
      <alignment wrapText="1"/>
    </xf>
    <xf numFmtId="0" fontId="97" fillId="3" borderId="0" xfId="0" applyFont="1" applyFill="1" applyAlignment="1">
      <alignment wrapText="1"/>
    </xf>
    <xf numFmtId="0" fontId="98" fillId="3" borderId="0" xfId="0" applyFont="1" applyFill="1" applyAlignment="1">
      <alignment wrapText="1"/>
    </xf>
    <xf numFmtId="9" fontId="76" fillId="29" borderId="176" xfId="15" applyFont="1" applyFill="1" applyBorder="1" applyAlignment="1">
      <alignment horizontal="center" vertical="center"/>
    </xf>
    <xf numFmtId="9" fontId="76" fillId="29" borderId="113" xfId="15" applyFont="1" applyFill="1" applyBorder="1" applyAlignment="1">
      <alignment horizontal="center" vertical="center"/>
    </xf>
    <xf numFmtId="9" fontId="76" fillId="29" borderId="225" xfId="15" applyFont="1" applyFill="1" applyBorder="1" applyAlignment="1">
      <alignment horizontal="center" vertical="center"/>
    </xf>
    <xf numFmtId="9" fontId="76" fillId="29" borderId="114" xfId="15" applyFont="1" applyFill="1" applyBorder="1" applyAlignment="1">
      <alignment horizontal="center" vertical="center"/>
    </xf>
    <xf numFmtId="9" fontId="76" fillId="29" borderId="223" xfId="15" applyFont="1" applyFill="1" applyBorder="1" applyAlignment="1">
      <alignment horizontal="center" vertical="center"/>
    </xf>
    <xf numFmtId="9" fontId="76" fillId="29" borderId="178" xfId="15" applyFont="1" applyFill="1" applyBorder="1" applyAlignment="1">
      <alignment horizontal="center" vertical="center"/>
    </xf>
    <xf numFmtId="0" fontId="76" fillId="29" borderId="114" xfId="0" applyFont="1" applyFill="1" applyBorder="1" applyAlignment="1">
      <alignment horizontal="center" vertical="center"/>
    </xf>
    <xf numFmtId="0" fontId="76" fillId="29" borderId="223" xfId="0" applyFont="1" applyFill="1" applyBorder="1" applyAlignment="1">
      <alignment horizontal="center" vertical="center"/>
    </xf>
    <xf numFmtId="0" fontId="76" fillId="29" borderId="46" xfId="0" applyFont="1" applyFill="1" applyBorder="1" applyAlignment="1">
      <alignment horizontal="center" vertical="center"/>
    </xf>
    <xf numFmtId="0" fontId="76" fillId="29" borderId="46" xfId="32" applyFont="1" applyFill="1" applyBorder="1" applyAlignment="1">
      <alignment horizontal="center" vertical="center"/>
    </xf>
    <xf numFmtId="9" fontId="73" fillId="33" borderId="44" xfId="15" quotePrefix="1" applyFont="1" applyFill="1" applyBorder="1" applyAlignment="1">
      <alignment horizontal="center" vertical="center" wrapText="1"/>
    </xf>
    <xf numFmtId="9" fontId="73" fillId="33" borderId="45" xfId="15" applyFont="1" applyFill="1" applyBorder="1" applyAlignment="1">
      <alignment horizontal="center" vertical="center" wrapText="1"/>
    </xf>
    <xf numFmtId="175" fontId="0" fillId="0" borderId="44" xfId="0" applyNumberFormat="1" applyBorder="1" applyAlignment="1">
      <alignment horizontal="center" vertical="center"/>
    </xf>
    <xf numFmtId="175" fontId="0" fillId="0" borderId="45" xfId="0" applyNumberFormat="1" applyBorder="1" applyAlignment="1">
      <alignment horizontal="center" vertical="center"/>
    </xf>
    <xf numFmtId="0" fontId="62" fillId="0" borderId="44" xfId="0" applyFont="1" applyBorder="1" applyAlignment="1">
      <alignment horizontal="center" vertical="center"/>
    </xf>
    <xf numFmtId="0" fontId="62" fillId="0" borderId="1" xfId="0" applyFont="1" applyBorder="1" applyAlignment="1">
      <alignment horizontal="center" vertical="center"/>
    </xf>
    <xf numFmtId="0" fontId="62" fillId="0" borderId="45" xfId="0" applyFont="1" applyBorder="1" applyAlignment="1">
      <alignment horizontal="center" vertical="center"/>
    </xf>
    <xf numFmtId="0" fontId="76" fillId="29" borderId="34" xfId="0" applyFont="1" applyFill="1" applyBorder="1" applyAlignment="1">
      <alignment horizontal="center" vertical="center"/>
    </xf>
    <xf numFmtId="0" fontId="76" fillId="29" borderId="5" xfId="0" applyFont="1" applyFill="1" applyBorder="1" applyAlignment="1">
      <alignment horizontal="center" vertical="center"/>
    </xf>
    <xf numFmtId="0" fontId="76" fillId="29" borderId="35" xfId="0" applyFont="1" applyFill="1" applyBorder="1" applyAlignment="1">
      <alignment horizontal="center" vertical="center"/>
    </xf>
    <xf numFmtId="9" fontId="73" fillId="11" borderId="38" xfId="15" applyFont="1" applyFill="1" applyBorder="1" applyAlignment="1">
      <alignment horizontal="center" vertical="center"/>
    </xf>
    <xf numFmtId="9" fontId="73" fillId="11" borderId="2" xfId="15" applyFont="1" applyFill="1" applyBorder="1" applyAlignment="1">
      <alignment horizontal="center" vertical="center"/>
    </xf>
    <xf numFmtId="0" fontId="76" fillId="29" borderId="3" xfId="0" applyFont="1" applyFill="1" applyBorder="1" applyAlignment="1">
      <alignment horizontal="center" vertical="center"/>
    </xf>
    <xf numFmtId="0" fontId="76" fillId="29" borderId="3" xfId="0" quotePrefix="1" applyFont="1" applyFill="1" applyBorder="1" applyAlignment="1">
      <alignment horizontal="center" vertical="center"/>
    </xf>
    <xf numFmtId="2" fontId="73" fillId="11" borderId="2" xfId="0" applyNumberFormat="1" applyFont="1" applyFill="1" applyBorder="1" applyAlignment="1">
      <alignment horizontal="center" vertical="center"/>
    </xf>
    <xf numFmtId="2" fontId="0" fillId="0" borderId="0" xfId="25" applyNumberFormat="1" applyFont="1" applyAlignment="1">
      <alignment horizontal="center"/>
    </xf>
    <xf numFmtId="0" fontId="16" fillId="16" borderId="109" xfId="1" applyFill="1" applyBorder="1" applyAlignment="1">
      <alignment horizontal="center" vertical="center" readingOrder="1"/>
    </xf>
    <xf numFmtId="0" fontId="50" fillId="16" borderId="109" xfId="25" applyFont="1" applyFill="1" applyBorder="1" applyAlignment="1">
      <alignment horizontal="center"/>
    </xf>
    <xf numFmtId="0" fontId="0" fillId="0" borderId="0" xfId="25" applyFont="1" applyAlignment="1">
      <alignment horizontal="center"/>
    </xf>
    <xf numFmtId="0" fontId="26" fillId="4" borderId="133" xfId="25" applyFont="1" applyFill="1" applyBorder="1" applyAlignment="1">
      <alignment horizontal="center" vertical="center"/>
    </xf>
    <xf numFmtId="0" fontId="26" fillId="4" borderId="30" xfId="25" applyFont="1" applyFill="1" applyBorder="1" applyAlignment="1">
      <alignment horizontal="center" vertical="center"/>
    </xf>
    <xf numFmtId="0" fontId="26" fillId="4" borderId="31" xfId="25" applyFont="1" applyFill="1" applyBorder="1" applyAlignment="1">
      <alignment horizontal="center" vertical="center"/>
    </xf>
    <xf numFmtId="0" fontId="28" fillId="0" borderId="134" xfId="25" applyFont="1" applyBorder="1" applyAlignment="1">
      <alignment horizontal="center" vertical="center" wrapText="1"/>
    </xf>
    <xf numFmtId="0" fontId="28" fillId="0" borderId="135" xfId="25" applyFont="1" applyBorder="1" applyAlignment="1">
      <alignment horizontal="center" vertical="center" wrapText="1"/>
    </xf>
    <xf numFmtId="0" fontId="28" fillId="0" borderId="136" xfId="25" applyFont="1" applyBorder="1" applyAlignment="1">
      <alignment horizontal="center" vertical="center" wrapText="1"/>
    </xf>
    <xf numFmtId="0" fontId="94" fillId="58" borderId="44" xfId="0" applyFont="1" applyFill="1" applyBorder="1" applyAlignment="1">
      <alignment horizontal="center"/>
    </xf>
    <xf numFmtId="0" fontId="94" fillId="58" borderId="45" xfId="0" applyFont="1" applyFill="1" applyBorder="1" applyAlignment="1">
      <alignment horizontal="center"/>
    </xf>
    <xf numFmtId="0" fontId="93" fillId="0" borderId="226" xfId="0" applyFont="1" applyBorder="1" applyAlignment="1">
      <alignment horizontal="center" vertical="center"/>
    </xf>
    <xf numFmtId="0" fontId="93" fillId="0" borderId="178" xfId="0" applyFont="1" applyBorder="1" applyAlignment="1">
      <alignment horizontal="center" vertical="center"/>
    </xf>
    <xf numFmtId="0" fontId="94" fillId="58" borderId="115" xfId="0" applyFont="1" applyFill="1" applyBorder="1" applyAlignment="1">
      <alignment horizontal="center"/>
    </xf>
    <xf numFmtId="9" fontId="0" fillId="0" borderId="145" xfId="0" applyNumberFormat="1" applyBorder="1" applyAlignment="1">
      <alignment horizontal="center" vertical="center"/>
    </xf>
    <xf numFmtId="9" fontId="0" fillId="0" borderId="146" xfId="0" applyNumberFormat="1" applyBorder="1" applyAlignment="1">
      <alignment horizontal="center" vertical="center"/>
    </xf>
    <xf numFmtId="0" fontId="13" fillId="11" borderId="126" xfId="0" applyFont="1" applyFill="1" applyBorder="1" applyAlignment="1">
      <alignment horizontal="center" vertical="center"/>
    </xf>
    <xf numFmtId="0" fontId="13" fillId="11" borderId="123" xfId="0" applyFont="1" applyFill="1" applyBorder="1" applyAlignment="1">
      <alignment horizontal="center" vertical="center"/>
    </xf>
    <xf numFmtId="0" fontId="13" fillId="11" borderId="261" xfId="0" applyFont="1" applyFill="1" applyBorder="1" applyAlignment="1">
      <alignment horizontal="center" vertical="center"/>
    </xf>
    <xf numFmtId="0" fontId="13" fillId="22" borderId="124" xfId="23" applyFont="1" applyFill="1" applyBorder="1" applyAlignment="1">
      <alignment horizontal="center" vertical="center"/>
    </xf>
    <xf numFmtId="0" fontId="13" fillId="22" borderId="146" xfId="23" applyFont="1" applyFill="1" applyBorder="1" applyAlignment="1">
      <alignment horizontal="center" vertical="center"/>
    </xf>
    <xf numFmtId="0" fontId="13" fillId="55" borderId="137" xfId="0" applyFont="1" applyFill="1" applyBorder="1" applyAlignment="1">
      <alignment horizontal="center" vertical="center"/>
    </xf>
    <xf numFmtId="0" fontId="13" fillId="55" borderId="121" xfId="0" applyFont="1" applyFill="1" applyBorder="1" applyAlignment="1">
      <alignment horizontal="center" vertical="center"/>
    </xf>
    <xf numFmtId="0" fontId="13" fillId="55" borderId="188" xfId="0" applyFont="1" applyFill="1" applyBorder="1" applyAlignment="1">
      <alignment horizontal="center" vertical="center"/>
    </xf>
    <xf numFmtId="0" fontId="13" fillId="11" borderId="137" xfId="0" applyFont="1" applyFill="1" applyBorder="1" applyAlignment="1">
      <alignment horizontal="center" vertical="center"/>
    </xf>
    <xf numFmtId="0" fontId="13" fillId="11" borderId="121" xfId="0" applyFont="1" applyFill="1" applyBorder="1" applyAlignment="1">
      <alignment horizontal="center" vertical="center"/>
    </xf>
    <xf numFmtId="0" fontId="13" fillId="11" borderId="188" xfId="0" applyFont="1" applyFill="1" applyBorder="1" applyAlignment="1">
      <alignment horizontal="center" vertical="center"/>
    </xf>
    <xf numFmtId="0" fontId="13" fillId="21" borderId="127" xfId="23" applyFont="1" applyFill="1" applyBorder="1" applyAlignment="1">
      <alignment horizontal="center" vertical="center"/>
    </xf>
    <xf numFmtId="0" fontId="13" fillId="21" borderId="181" xfId="23" applyFont="1" applyFill="1" applyBorder="1" applyAlignment="1">
      <alignment horizontal="center" vertical="center"/>
    </xf>
    <xf numFmtId="0" fontId="13" fillId="21" borderId="145" xfId="23" applyFont="1" applyFill="1" applyBorder="1" applyAlignment="1">
      <alignment horizontal="center" vertical="center"/>
    </xf>
    <xf numFmtId="0" fontId="13" fillId="55" borderId="137" xfId="23" applyFont="1" applyFill="1" applyBorder="1" applyAlignment="1">
      <alignment horizontal="center" vertical="center"/>
    </xf>
    <xf numFmtId="0" fontId="13" fillId="55" borderId="121" xfId="23" applyFont="1" applyFill="1" applyBorder="1" applyAlignment="1">
      <alignment horizontal="center" vertical="center"/>
    </xf>
    <xf numFmtId="0" fontId="0" fillId="55" borderId="137" xfId="0" applyFill="1" applyBorder="1" applyAlignment="1">
      <alignment horizontal="center"/>
    </xf>
    <xf numFmtId="0" fontId="0" fillId="55" borderId="121" xfId="0" applyFill="1" applyBorder="1" applyAlignment="1">
      <alignment horizontal="center"/>
    </xf>
    <xf numFmtId="0" fontId="0" fillId="55" borderId="188" xfId="0" applyFill="1" applyBorder="1" applyAlignment="1">
      <alignment horizontal="center"/>
    </xf>
    <xf numFmtId="0" fontId="13" fillId="21" borderId="126" xfId="0" applyFont="1" applyFill="1" applyBorder="1" applyAlignment="1">
      <alignment horizontal="center" vertical="center"/>
    </xf>
    <xf numFmtId="0" fontId="13" fillId="21" borderId="123" xfId="0" applyFont="1" applyFill="1" applyBorder="1" applyAlignment="1">
      <alignment horizontal="center" vertical="center"/>
    </xf>
    <xf numFmtId="0" fontId="13" fillId="21" borderId="261" xfId="0" applyFont="1" applyFill="1" applyBorder="1" applyAlignment="1">
      <alignment horizontal="center" vertical="center"/>
    </xf>
    <xf numFmtId="0" fontId="13" fillId="56" borderId="126" xfId="0" applyFont="1" applyFill="1" applyBorder="1" applyAlignment="1">
      <alignment horizontal="center" vertical="center"/>
    </xf>
    <xf numFmtId="0" fontId="13" fillId="56" borderId="123" xfId="0" applyFont="1" applyFill="1" applyBorder="1" applyAlignment="1">
      <alignment horizontal="center" vertical="center"/>
    </xf>
    <xf numFmtId="0" fontId="13" fillId="56" borderId="261" xfId="0" applyFont="1" applyFill="1" applyBorder="1" applyAlignment="1">
      <alignment horizontal="center" vertical="center"/>
    </xf>
    <xf numFmtId="0" fontId="13" fillId="8" borderId="126" xfId="0" applyFont="1" applyFill="1" applyBorder="1" applyAlignment="1">
      <alignment horizontal="center" vertical="center"/>
    </xf>
    <xf numFmtId="0" fontId="13" fillId="8" borderId="123" xfId="0" applyFont="1" applyFill="1" applyBorder="1" applyAlignment="1">
      <alignment horizontal="center" vertical="center"/>
    </xf>
    <xf numFmtId="0" fontId="13" fillId="8" borderId="261" xfId="0" applyFont="1" applyFill="1" applyBorder="1" applyAlignment="1">
      <alignment horizontal="center" vertical="center"/>
    </xf>
    <xf numFmtId="0" fontId="13" fillId="11" borderId="126" xfId="0" applyFont="1" applyFill="1" applyBorder="1" applyAlignment="1">
      <alignment vertical="center"/>
    </xf>
    <xf numFmtId="0" fontId="13" fillId="11" borderId="123" xfId="0" applyFont="1" applyFill="1" applyBorder="1" applyAlignment="1">
      <alignment vertical="center"/>
    </xf>
    <xf numFmtId="0" fontId="13" fillId="11" borderId="261" xfId="0" applyFont="1" applyFill="1" applyBorder="1" applyAlignment="1">
      <alignment vertical="center"/>
    </xf>
    <xf numFmtId="0" fontId="0" fillId="0" borderId="0" xfId="0" applyAlignment="1">
      <alignment horizontal="center"/>
    </xf>
    <xf numFmtId="0" fontId="13" fillId="59" borderId="137" xfId="0" applyFont="1" applyFill="1" applyBorder="1" applyAlignment="1">
      <alignment horizontal="center"/>
    </xf>
    <xf numFmtId="0" fontId="13" fillId="59" borderId="121" xfId="0" applyFont="1" applyFill="1" applyBorder="1" applyAlignment="1">
      <alignment horizontal="center"/>
    </xf>
    <xf numFmtId="0" fontId="13" fillId="59" borderId="188" xfId="0" applyFont="1" applyFill="1" applyBorder="1" applyAlignment="1">
      <alignment horizontal="center"/>
    </xf>
    <xf numFmtId="0" fontId="0" fillId="0" borderId="137" xfId="0" applyBorder="1" applyAlignment="1">
      <alignment horizontal="center"/>
    </xf>
    <xf numFmtId="0" fontId="0" fillId="0" borderId="121" xfId="0" applyBorder="1" applyAlignment="1">
      <alignment horizontal="center"/>
    </xf>
    <xf numFmtId="0" fontId="0" fillId="0" borderId="188" xfId="0" applyBorder="1" applyAlignment="1">
      <alignment horizontal="center"/>
    </xf>
    <xf numFmtId="0" fontId="13" fillId="0" borderId="127" xfId="0" applyFont="1" applyBorder="1" applyAlignment="1">
      <alignment horizontal="center"/>
    </xf>
    <xf numFmtId="0" fontId="13" fillId="0" borderId="188" xfId="0" applyFont="1" applyBorder="1" applyAlignment="1">
      <alignment horizontal="center"/>
    </xf>
    <xf numFmtId="0" fontId="13" fillId="55" borderId="127" xfId="0" applyFont="1" applyFill="1" applyBorder="1" applyAlignment="1">
      <alignment horizontal="center"/>
    </xf>
    <xf numFmtId="0" fontId="13" fillId="55" borderId="181" xfId="0" applyFont="1" applyFill="1" applyBorder="1" applyAlignment="1">
      <alignment horizontal="center"/>
    </xf>
    <xf numFmtId="0" fontId="13" fillId="55" borderId="145" xfId="0" applyFont="1" applyFill="1" applyBorder="1" applyAlignment="1">
      <alignment horizontal="center"/>
    </xf>
    <xf numFmtId="0" fontId="13" fillId="12" borderId="137" xfId="0" applyFont="1" applyFill="1" applyBorder="1" applyAlignment="1">
      <alignment horizontal="center"/>
    </xf>
    <xf numFmtId="0" fontId="13" fillId="12" borderId="121" xfId="0" applyFont="1" applyFill="1" applyBorder="1" applyAlignment="1">
      <alignment horizontal="center"/>
    </xf>
    <xf numFmtId="0" fontId="13" fillId="12" borderId="188" xfId="0" applyFont="1" applyFill="1" applyBorder="1" applyAlignment="1">
      <alignment horizontal="center"/>
    </xf>
    <xf numFmtId="0" fontId="61" fillId="12" borderId="137" xfId="0" applyFont="1" applyFill="1" applyBorder="1" applyAlignment="1">
      <alignment horizontal="center"/>
    </xf>
    <xf numFmtId="0" fontId="61" fillId="12" borderId="188" xfId="0" applyFont="1" applyFill="1" applyBorder="1" applyAlignment="1">
      <alignment horizontal="center"/>
    </xf>
    <xf numFmtId="0" fontId="13" fillId="8" borderId="137" xfId="0" applyFont="1" applyFill="1" applyBorder="1" applyAlignment="1">
      <alignment horizontal="center" vertical="center"/>
    </xf>
    <xf numFmtId="0" fontId="13" fillId="8" borderId="121" xfId="0" applyFont="1" applyFill="1" applyBorder="1" applyAlignment="1">
      <alignment horizontal="center" vertical="center"/>
    </xf>
    <xf numFmtId="0" fontId="13" fillId="8" borderId="188" xfId="0" applyFont="1" applyFill="1" applyBorder="1" applyAlignment="1">
      <alignment horizontal="center" vertical="center"/>
    </xf>
    <xf numFmtId="0" fontId="13" fillId="56" borderId="127" xfId="0" applyFont="1" applyFill="1" applyBorder="1" applyAlignment="1">
      <alignment horizontal="center" vertical="center"/>
    </xf>
    <xf numFmtId="0" fontId="13" fillId="56" borderId="124" xfId="0" applyFont="1" applyFill="1" applyBorder="1" applyAlignment="1">
      <alignment horizontal="center" vertical="center"/>
    </xf>
    <xf numFmtId="0" fontId="13" fillId="33" borderId="202" xfId="0" applyFont="1" applyFill="1" applyBorder="1" applyAlignment="1">
      <alignment horizontal="center"/>
    </xf>
    <xf numFmtId="0" fontId="13" fillId="33" borderId="173" xfId="0" applyFont="1" applyFill="1" applyBorder="1" applyAlignment="1">
      <alignment horizontal="center"/>
    </xf>
    <xf numFmtId="0" fontId="13" fillId="66" borderId="202" xfId="0" applyFont="1" applyFill="1" applyBorder="1" applyAlignment="1">
      <alignment horizontal="center" vertical="center"/>
    </xf>
    <xf numFmtId="0" fontId="13" fillId="66" borderId="203" xfId="0" applyFont="1" applyFill="1" applyBorder="1" applyAlignment="1">
      <alignment horizontal="center" vertical="center"/>
    </xf>
    <xf numFmtId="0" fontId="13" fillId="66" borderId="173" xfId="0" applyFont="1" applyFill="1" applyBorder="1" applyAlignment="1">
      <alignment horizontal="center" vertical="center"/>
    </xf>
    <xf numFmtId="0" fontId="53" fillId="22" borderId="303" xfId="0" applyFont="1" applyFill="1" applyBorder="1" applyAlignment="1">
      <alignment horizontal="center"/>
    </xf>
    <xf numFmtId="0" fontId="53" fillId="22" borderId="257" xfId="0" applyFont="1" applyFill="1" applyBorder="1" applyAlignment="1">
      <alignment horizontal="center"/>
    </xf>
    <xf numFmtId="0" fontId="53" fillId="22" borderId="41" xfId="0" applyFont="1" applyFill="1" applyBorder="1" applyAlignment="1">
      <alignment horizontal="center"/>
    </xf>
    <xf numFmtId="0" fontId="13" fillId="22" borderId="256" xfId="0" applyFont="1" applyFill="1" applyBorder="1" applyAlignment="1">
      <alignment horizontal="center" vertical="center"/>
    </xf>
    <xf numFmtId="0" fontId="13" fillId="22" borderId="204" xfId="0" applyFont="1" applyFill="1" applyBorder="1" applyAlignment="1">
      <alignment horizontal="center" vertical="center"/>
    </xf>
    <xf numFmtId="0" fontId="13" fillId="22" borderId="163" xfId="0" applyFont="1" applyFill="1" applyBorder="1" applyAlignment="1">
      <alignment horizontal="center" vertical="center"/>
    </xf>
    <xf numFmtId="0" fontId="53" fillId="0" borderId="204" xfId="0" applyFont="1" applyBorder="1" applyAlignment="1">
      <alignment horizontal="center" vertical="center"/>
    </xf>
    <xf numFmtId="0" fontId="53" fillId="0" borderId="163" xfId="0" applyFont="1" applyBorder="1" applyAlignment="1">
      <alignment horizontal="center" vertical="center"/>
    </xf>
    <xf numFmtId="0" fontId="13" fillId="0" borderId="137" xfId="0" applyFont="1" applyBorder="1" applyAlignment="1">
      <alignment horizontal="center"/>
    </xf>
    <xf numFmtId="0" fontId="52" fillId="34" borderId="0" xfId="0" applyFont="1" applyFill="1" applyAlignment="1">
      <alignment horizontal="left" vertical="center"/>
    </xf>
    <xf numFmtId="0" fontId="52" fillId="34" borderId="138" xfId="0" applyFont="1" applyFill="1" applyBorder="1" applyAlignment="1">
      <alignment horizontal="left" vertical="center"/>
    </xf>
    <xf numFmtId="0" fontId="58" fillId="26" borderId="125" xfId="0" applyFont="1" applyFill="1" applyBorder="1" applyAlignment="1">
      <alignment horizontal="center"/>
    </xf>
    <xf numFmtId="0" fontId="58" fillId="26" borderId="0" xfId="0" applyFont="1" applyFill="1" applyAlignment="1">
      <alignment horizontal="center"/>
    </xf>
    <xf numFmtId="0" fontId="58" fillId="26" borderId="137" xfId="0" applyFont="1" applyFill="1" applyBorder="1" applyAlignment="1">
      <alignment horizontal="center"/>
    </xf>
    <xf numFmtId="0" fontId="58" fillId="26" borderId="121" xfId="0" applyFont="1" applyFill="1" applyBorder="1" applyAlignment="1">
      <alignment horizontal="center"/>
    </xf>
    <xf numFmtId="0" fontId="58" fillId="26" borderId="188" xfId="0" applyFont="1" applyFill="1" applyBorder="1" applyAlignment="1">
      <alignment horizontal="center"/>
    </xf>
    <xf numFmtId="0" fontId="53" fillId="0" borderId="126" xfId="0" applyFont="1" applyBorder="1" applyAlignment="1">
      <alignment horizontal="center" vertical="center" wrapText="1"/>
    </xf>
    <xf numFmtId="0" fontId="53" fillId="0" borderId="123" xfId="0" applyFont="1" applyBorder="1" applyAlignment="1">
      <alignment horizontal="center" vertical="center" wrapText="1"/>
    </xf>
    <xf numFmtId="0" fontId="8" fillId="37" borderId="202" xfId="0" applyFont="1" applyFill="1" applyBorder="1" applyAlignment="1">
      <alignment horizontal="center"/>
    </xf>
    <xf numFmtId="0" fontId="8" fillId="37" borderId="203" xfId="0" applyFont="1" applyFill="1" applyBorder="1" applyAlignment="1">
      <alignment horizontal="center"/>
    </xf>
    <xf numFmtId="0" fontId="8" fillId="37" borderId="152" xfId="0" applyFont="1" applyFill="1" applyBorder="1" applyAlignment="1">
      <alignment horizontal="center"/>
    </xf>
    <xf numFmtId="0" fontId="8" fillId="37" borderId="144" xfId="0" applyFont="1" applyFill="1" applyBorder="1" applyAlignment="1">
      <alignment horizontal="center"/>
    </xf>
    <xf numFmtId="0" fontId="53" fillId="0" borderId="123" xfId="0" applyFont="1" applyBorder="1" applyAlignment="1">
      <alignment horizontal="center" vertical="center"/>
    </xf>
    <xf numFmtId="0" fontId="53" fillId="0" borderId="126" xfId="0" applyFont="1" applyBorder="1" applyAlignment="1">
      <alignment horizontal="center" vertical="center"/>
    </xf>
    <xf numFmtId="0" fontId="51" fillId="11" borderId="202" xfId="0" applyFont="1" applyFill="1" applyBorder="1" applyAlignment="1">
      <alignment horizontal="center"/>
    </xf>
    <xf numFmtId="0" fontId="51" fillId="11" borderId="203" xfId="0" applyFont="1" applyFill="1" applyBorder="1" applyAlignment="1">
      <alignment horizontal="center"/>
    </xf>
    <xf numFmtId="0" fontId="51" fillId="11" borderId="173" xfId="0" applyFont="1" applyFill="1" applyBorder="1" applyAlignment="1">
      <alignment horizontal="center"/>
    </xf>
    <xf numFmtId="0" fontId="51" fillId="37" borderId="202" xfId="0" applyFont="1" applyFill="1" applyBorder="1" applyAlignment="1">
      <alignment horizontal="center"/>
    </xf>
    <xf numFmtId="0" fontId="51" fillId="37" borderId="203" xfId="0" applyFont="1" applyFill="1" applyBorder="1" applyAlignment="1">
      <alignment horizontal="center"/>
    </xf>
    <xf numFmtId="0" fontId="51" fillId="37" borderId="173" xfId="0" applyFont="1" applyFill="1" applyBorder="1" applyAlignment="1">
      <alignment horizontal="center"/>
    </xf>
    <xf numFmtId="0" fontId="53" fillId="0" borderId="116" xfId="0" applyFont="1" applyBorder="1" applyAlignment="1">
      <alignment horizontal="center" vertical="center"/>
    </xf>
    <xf numFmtId="0" fontId="53" fillId="0" borderId="119" xfId="0" applyFont="1" applyBorder="1" applyAlignment="1">
      <alignment horizontal="center" vertical="center"/>
    </xf>
    <xf numFmtId="0" fontId="53" fillId="0" borderId="118" xfId="0" applyFont="1" applyBorder="1" applyAlignment="1">
      <alignment horizontal="center" vertical="center"/>
    </xf>
    <xf numFmtId="0" fontId="62" fillId="0" borderId="116" xfId="28" applyFont="1" applyBorder="1" applyAlignment="1">
      <alignment horizontal="center" vertical="center"/>
    </xf>
    <xf numFmtId="0" fontId="62" fillId="0" borderId="118" xfId="28" applyFont="1" applyBorder="1" applyAlignment="1">
      <alignment horizontal="center" vertical="center"/>
    </xf>
    <xf numFmtId="0" fontId="53" fillId="0" borderId="115" xfId="0" applyFont="1" applyBorder="1" applyAlignment="1">
      <alignment horizontal="center" vertical="center"/>
    </xf>
    <xf numFmtId="0" fontId="53" fillId="0" borderId="137" xfId="0" applyFont="1" applyBorder="1" applyAlignment="1">
      <alignment horizontal="center"/>
    </xf>
    <xf numFmtId="0" fontId="53" fillId="0" borderId="188" xfId="0" applyFont="1" applyBorder="1" applyAlignment="1">
      <alignment horizontal="center"/>
    </xf>
    <xf numFmtId="0" fontId="78" fillId="50" borderId="124" xfId="0" applyFont="1" applyFill="1" applyBorder="1"/>
    <xf numFmtId="0" fontId="78" fillId="50" borderId="146" xfId="0" applyFont="1" applyFill="1" applyBorder="1"/>
    <xf numFmtId="0" fontId="79" fillId="49" borderId="125" xfId="0" applyFont="1" applyFill="1" applyBorder="1"/>
    <xf numFmtId="0" fontId="79" fillId="49" borderId="122" xfId="0" applyFont="1" applyFill="1" applyBorder="1"/>
    <xf numFmtId="0" fontId="79" fillId="38" borderId="125" xfId="0" applyFont="1" applyFill="1" applyBorder="1"/>
    <xf numFmtId="0" fontId="79" fillId="38" borderId="122" xfId="0" applyFont="1" applyFill="1" applyBorder="1"/>
    <xf numFmtId="0" fontId="79" fillId="0" borderId="125" xfId="0" applyFont="1" applyBorder="1"/>
    <xf numFmtId="0" fontId="79" fillId="0" borderId="122" xfId="0" applyFont="1" applyBorder="1"/>
    <xf numFmtId="0" fontId="79" fillId="48" borderId="125" xfId="0" applyFont="1" applyFill="1" applyBorder="1"/>
    <xf numFmtId="0" fontId="79" fillId="48" borderId="122" xfId="0" applyFont="1" applyFill="1" applyBorder="1"/>
    <xf numFmtId="0" fontId="78" fillId="49" borderId="125" xfId="0" applyFont="1" applyFill="1" applyBorder="1"/>
    <xf numFmtId="0" fontId="78" fillId="49" borderId="122" xfId="0" applyFont="1" applyFill="1" applyBorder="1"/>
    <xf numFmtId="0" fontId="78" fillId="48" borderId="125" xfId="0" applyFont="1" applyFill="1" applyBorder="1"/>
    <xf numFmtId="0" fontId="78" fillId="48" borderId="122" xfId="0" applyFont="1" applyFill="1" applyBorder="1"/>
    <xf numFmtId="0" fontId="78" fillId="50" borderId="125" xfId="0" applyFont="1" applyFill="1" applyBorder="1"/>
    <xf numFmtId="0" fontId="78" fillId="50" borderId="122" xfId="0" applyFont="1" applyFill="1" applyBorder="1"/>
    <xf numFmtId="0" fontId="96" fillId="17" borderId="0" xfId="0" applyFont="1" applyFill="1" applyAlignment="1">
      <alignment horizontal="center" vertical="center"/>
    </xf>
    <xf numFmtId="0" fontId="33" fillId="17" borderId="0" xfId="0" applyFont="1" applyFill="1" applyAlignment="1">
      <alignment horizontal="center" vertical="center"/>
    </xf>
    <xf numFmtId="0" fontId="78" fillId="47" borderId="125" xfId="0" applyFont="1" applyFill="1" applyBorder="1"/>
    <xf numFmtId="0" fontId="78" fillId="47" borderId="122" xfId="0" applyFont="1" applyFill="1" applyBorder="1"/>
    <xf numFmtId="0" fontId="33" fillId="0" borderId="0" xfId="0" applyFont="1" applyAlignment="1">
      <alignment horizontal="center"/>
    </xf>
    <xf numFmtId="0" fontId="22" fillId="0" borderId="0" xfId="0" applyFont="1" applyAlignment="1">
      <alignment horizontal="center"/>
    </xf>
    <xf numFmtId="0" fontId="40" fillId="0" borderId="0" xfId="0" applyFont="1" applyAlignment="1">
      <alignment horizontal="center"/>
    </xf>
    <xf numFmtId="0" fontId="9" fillId="0" borderId="0" xfId="0" applyFont="1" applyAlignment="1">
      <alignment horizontal="center"/>
    </xf>
    <xf numFmtId="0" fontId="36" fillId="0" borderId="0" xfId="0" applyFont="1" applyAlignment="1">
      <alignment horizontal="center"/>
    </xf>
    <xf numFmtId="0" fontId="13" fillId="0" borderId="3" xfId="0" applyFont="1" applyBorder="1" applyAlignment="1">
      <alignment horizontal="center"/>
    </xf>
    <xf numFmtId="0" fontId="13" fillId="0" borderId="2" xfId="0" applyFont="1" applyBorder="1" applyAlignment="1">
      <alignment horizontal="center"/>
    </xf>
    <xf numFmtId="0" fontId="13" fillId="0" borderId="34" xfId="0" applyFont="1" applyBorder="1" applyAlignment="1">
      <alignment horizontal="center"/>
    </xf>
    <xf numFmtId="0" fontId="13" fillId="0" borderId="5" xfId="0" applyFont="1" applyBorder="1" applyAlignment="1">
      <alignment horizontal="center"/>
    </xf>
    <xf numFmtId="0" fontId="13" fillId="0" borderId="35" xfId="0" applyFont="1" applyBorder="1" applyAlignment="1">
      <alignment horizontal="center"/>
    </xf>
  </cellXfs>
  <cellStyles count="33">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row_header_bold 2" xfId="8" xr:uid="{00000000-0005-0000-0000-000008000000}"/>
    <cellStyle name="fa_row_header_standard 2" xfId="9" xr:uid="{00000000-0005-0000-0000-000009000000}"/>
    <cellStyle name="Hyperlink" xfId="10" builtinId="8"/>
    <cellStyle name="Moneda 2" xfId="11" xr:uid="{00000000-0005-0000-0000-00000B000000}"/>
    <cellStyle name="Moneda 2 2" xfId="12" xr:uid="{00000000-0005-0000-0000-00000C000000}"/>
    <cellStyle name="Normal" xfId="0" builtinId="0"/>
    <cellStyle name="Normal 2" xfId="13" xr:uid="{00000000-0005-0000-0000-00000E000000}"/>
    <cellStyle name="Normal 2 2" xfId="14" xr:uid="{00000000-0005-0000-0000-00000F000000}"/>
    <cellStyle name="Normal 2 3" xfId="19" xr:uid="{00000000-0005-0000-0000-000010000000}"/>
    <cellStyle name="Normal 2 3 2" xfId="26" xr:uid="{6A4611F8-31D7-4EA6-B27B-70EB4E34E8FD}"/>
    <cellStyle name="Normal 2 4" xfId="20" xr:uid="{DBC68614-B0BC-4348-8A0D-C96562B201CF}"/>
    <cellStyle name="Normal 3" xfId="23" xr:uid="{371B90F0-6B8E-40BF-8358-D28B574437C9}"/>
    <cellStyle name="Normal 3 2" xfId="25" xr:uid="{41BD78A2-6B23-4ADD-839D-9D86F14E11A2}"/>
    <cellStyle name="Normal 3 3" xfId="28" xr:uid="{4CBFF9A4-05AD-4A91-8AF0-FA0B5B39E2EC}"/>
    <cellStyle name="Normal 5" xfId="29" xr:uid="{E3BE1569-E214-4855-8BF5-B868B88B5743}"/>
    <cellStyle name="Normal 9" xfId="32" xr:uid="{CACD4D4E-2C7F-4816-9692-26D0FDD559DC}"/>
    <cellStyle name="Per cent" xfId="15" builtinId="5"/>
    <cellStyle name="Porcentaje 2" xfId="16" xr:uid="{00000000-0005-0000-0000-000012000000}"/>
    <cellStyle name="Porcentaje 2 2" xfId="17" xr:uid="{00000000-0005-0000-0000-000013000000}"/>
    <cellStyle name="Porcentaje 2 2 2" xfId="24" xr:uid="{924DB8B0-6B9C-4A78-9CB6-7EC8F42C7C6B}"/>
    <cellStyle name="Porcentaje 2 3" xfId="22" xr:uid="{1FF2580F-E450-433A-8AB5-6E1CABCA8FC9}"/>
    <cellStyle name="Porcentaje 2 4" xfId="27" xr:uid="{3D812F63-E4F6-4F6D-A613-EF79E76ACE35}"/>
    <cellStyle name="Porcentaje 3" xfId="18" xr:uid="{00000000-0005-0000-0000-000014000000}"/>
    <cellStyle name="Porcentaje 3 2" xfId="21" xr:uid="{59E732CE-B697-4AF7-8CEE-0C42EB60E78B}"/>
    <cellStyle name="Porcentaje 4 2" xfId="31" xr:uid="{C6A0E8B8-33DC-4334-89A4-99FF669E5EA8}"/>
    <cellStyle name="Porcentaje 5" xfId="30" xr:uid="{F07CEC0B-CE59-4BBC-A0C7-9B77A84167BF}"/>
  </cellStyles>
  <dxfs count="40">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s>
  <tableStyles count="1" defaultTableStyle="TableStyleMedium9" defaultPivotStyle="PivotStyleLight16">
    <tableStyle name="Invisible" pivot="0" table="0" count="0" xr9:uid="{7B8256E5-5961-45BC-8E74-75040304E975}"/>
  </tableStyles>
  <colors>
    <mruColors>
      <color rgb="FFC5D9F1"/>
      <color rgb="FF1F497D"/>
      <color rgb="FF63CB97"/>
      <color rgb="FFE838D3"/>
      <color rgb="FF1B7087"/>
      <color rgb="FF3174C5"/>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Structure" Target="richData/rdsupportingpropertybagstructure.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17/06/relationships/richStyles" Target="richData/richStyle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Segments!$C$19:$C$22</c:f>
              <c:strCache>
                <c:ptCount val="4"/>
                <c:pt idx="0">
                  <c:v>Data Center</c:v>
                </c:pt>
                <c:pt idx="1">
                  <c:v>Client</c:v>
                </c:pt>
                <c:pt idx="2">
                  <c:v>Gaming</c:v>
                </c:pt>
                <c:pt idx="3">
                  <c:v>Embedded</c:v>
                </c:pt>
              </c:strCache>
            </c:strRef>
          </c:cat>
          <c:val>
            <c:numRef>
              <c:f>Segments!$D$19:$D$22</c:f>
              <c:numCache>
                <c:formatCode>"$"#,##0</c:formatCode>
                <c:ptCount val="4"/>
                <c:pt idx="0">
                  <c:v>6496</c:v>
                </c:pt>
                <c:pt idx="1">
                  <c:v>4651</c:v>
                </c:pt>
                <c:pt idx="2">
                  <c:v>6212</c:v>
                </c:pt>
                <c:pt idx="3">
                  <c:v>5321</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C0-4978-822B-C231DBE6DF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C0-4978-822B-C231DBE6DF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C0-4978-822B-C231DBE6DF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4C0-4978-822B-C231DBE6DFF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85A-4F78-BCBE-9764DFC2E0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Segments!$C$5:$C$13</c:f>
              <c:strCache>
                <c:ptCount val="7"/>
                <c:pt idx="0">
                  <c:v>United States</c:v>
                </c:pt>
                <c:pt idx="1">
                  <c:v>Japan</c:v>
                </c:pt>
                <c:pt idx="2">
                  <c:v>China (including Hong Kong)</c:v>
                </c:pt>
                <c:pt idx="3">
                  <c:v>Singapore</c:v>
                </c:pt>
                <c:pt idx="4">
                  <c:v>Europe</c:v>
                </c:pt>
                <c:pt idx="5">
                  <c:v>Taiwan</c:v>
                </c:pt>
                <c:pt idx="6">
                  <c:v>Other countries</c:v>
                </c:pt>
              </c:strCache>
            </c:strRef>
          </c:cat>
          <c:val>
            <c:numRef>
              <c:f>Segments!$D$5:$D$13</c:f>
              <c:numCache>
                <c:formatCode>"$"#,##0</c:formatCode>
                <c:ptCount val="7"/>
                <c:pt idx="0">
                  <c:v>7837</c:v>
                </c:pt>
                <c:pt idx="1">
                  <c:v>4629</c:v>
                </c:pt>
                <c:pt idx="2">
                  <c:v>3417</c:v>
                </c:pt>
                <c:pt idx="3">
                  <c:v>2231</c:v>
                </c:pt>
                <c:pt idx="4">
                  <c:v>2030</c:v>
                </c:pt>
                <c:pt idx="5">
                  <c:v>1841</c:v>
                </c:pt>
                <c:pt idx="6">
                  <c:v>695</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26396629888348594"/>
          <c:y val="0.44217837375957275"/>
          <c:w val="0.47206740223302807"/>
          <c:h val="0.53253802178837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Peers!$C$6</c:f>
              <c:strCache>
                <c:ptCount val="1"/>
                <c:pt idx="0">
                  <c:v>ADVANCED MICRO DEVICES, INC. (XNAS:AMD)</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Peers!$C$19</c:f>
              <c:numCache>
                <c:formatCode>0.00</c:formatCode>
                <c:ptCount val="1"/>
                <c:pt idx="0">
                  <c:v>-0.43707748309932398</c:v>
                </c:pt>
              </c:numCache>
            </c:numRef>
          </c:xVal>
          <c:yVal>
            <c:numRef>
              <c:f>Peers!$C$35</c:f>
              <c:numCache>
                <c:formatCode>0.0</c:formatCode>
                <c:ptCount val="1"/>
                <c:pt idx="0">
                  <c:v>32.430990215548626</c:v>
                </c:pt>
              </c:numCache>
            </c:numRef>
          </c:yVal>
          <c:smooth val="0"/>
          <c:extLst>
            <c:ext xmlns:c16="http://schemas.microsoft.com/office/drawing/2014/chart" uri="{C3380CC4-5D6E-409C-BE32-E72D297353CC}">
              <c16:uniqueId val="{00000001-B547-4DF9-892F-3129917FB3B3}"/>
            </c:ext>
          </c:extLst>
        </c:ser>
        <c:ser>
          <c:idx val="1"/>
          <c:order val="1"/>
          <c:tx>
            <c:strRef>
              <c:f>Peers!$D$6</c:f>
              <c:strCache>
                <c:ptCount val="1"/>
                <c:pt idx="0">
                  <c:v>NVIDIA CORPORATION (XNAS:NVDA)</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Peers!$D$19</c:f>
              <c:numCache>
                <c:formatCode>0.00</c:formatCode>
                <c:ptCount val="1"/>
                <c:pt idx="0">
                  <c:v>0.10290023201856148</c:v>
                </c:pt>
              </c:numCache>
            </c:numRef>
          </c:xVal>
          <c:yVal>
            <c:numRef>
              <c:f>Peers!$D$35</c:f>
              <c:numCache>
                <c:formatCode>0.0</c:formatCode>
                <c:ptCount val="1"/>
                <c:pt idx="0">
                  <c:v>7.0873035092807424</c:v>
                </c:pt>
              </c:numCache>
            </c:numRef>
          </c:yVal>
          <c:smooth val="0"/>
          <c:extLst>
            <c:ext xmlns:c16="http://schemas.microsoft.com/office/drawing/2014/chart" uri="{C3380CC4-5D6E-409C-BE32-E72D297353CC}">
              <c16:uniqueId val="{00000002-B547-4DF9-892F-3129917FB3B3}"/>
            </c:ext>
          </c:extLst>
        </c:ser>
        <c:ser>
          <c:idx val="2"/>
          <c:order val="2"/>
          <c:tx>
            <c:strRef>
              <c:f>Peers!$E$6</c:f>
              <c:strCache>
                <c:ptCount val="1"/>
                <c:pt idx="0">
                  <c:v>INTEL CORPORATION (XNAS:INTC)</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Peers!$E$19</c:f>
              <c:numCache>
                <c:formatCode>0.00</c:formatCode>
                <c:ptCount val="1"/>
                <c:pt idx="0">
                  <c:v>5.3132241813602015</c:v>
                </c:pt>
              </c:numCache>
            </c:numRef>
          </c:xVal>
          <c:yVal>
            <c:numRef>
              <c:f>Peers!$E$35</c:f>
              <c:numCache>
                <c:formatCode>0.0</c:formatCode>
                <c:ptCount val="1"/>
                <c:pt idx="0">
                  <c:v>15.04953652392947</c:v>
                </c:pt>
              </c:numCache>
            </c:numRef>
          </c:yVal>
          <c:smooth val="0"/>
          <c:extLst>
            <c:ext xmlns:c16="http://schemas.microsoft.com/office/drawing/2014/chart" uri="{C3380CC4-5D6E-409C-BE32-E72D297353CC}">
              <c16:uniqueId val="{00000003-B547-4DF9-892F-3129917FB3B3}"/>
            </c:ext>
          </c:extLst>
        </c:ser>
        <c:ser>
          <c:idx val="3"/>
          <c:order val="3"/>
          <c:tx>
            <c:strRef>
              <c:f>Peers!#REF!</c:f>
              <c:strCache>
                <c:ptCount val="1"/>
                <c:pt idx="0">
                  <c:v>#REF!</c:v>
                </c:pt>
              </c:strCache>
            </c:strRef>
          </c:tx>
          <c:spPr>
            <a:ln w="25400" cap="rnd">
              <a:noFill/>
              <a:round/>
            </a:ln>
            <a:effectLst/>
          </c:spPr>
          <c:marker>
            <c:symbol val="circle"/>
            <c:size val="5"/>
            <c:spPr>
              <a:solidFill>
                <a:schemeClr val="accent4"/>
              </a:solidFill>
              <a:ln w="9525">
                <a:solidFill>
                  <a:schemeClr val="accent4"/>
                </a:solidFill>
              </a:ln>
              <a:effectLst/>
            </c:spPr>
          </c:marker>
          <c:xVal>
            <c:strRef>
              <c:f>Peers!#REF!</c:f>
              <c:strCache>
                <c:ptCount val="1"/>
                <c:pt idx="0">
                  <c:v>#REF!</c:v>
                </c:pt>
              </c:strCache>
            </c:strRef>
          </c:xVal>
          <c:yVal>
            <c:numRef>
              <c:f>Peers!#REF!</c:f>
              <c:numCache>
                <c:formatCode>0.0</c:formatCode>
                <c:ptCount val="1"/>
                <c:pt idx="0">
                  <c:v>1</c:v>
                </c:pt>
              </c:numCache>
            </c:numRef>
          </c:yVal>
          <c:smooth val="0"/>
          <c:extLst>
            <c:ext xmlns:c16="http://schemas.microsoft.com/office/drawing/2014/chart" uri="{C3380CC4-5D6E-409C-BE32-E72D297353CC}">
              <c16:uniqueId val="{00000004-B547-4DF9-892F-3129917FB3B3}"/>
            </c:ext>
          </c:extLst>
        </c:ser>
        <c:ser>
          <c:idx val="4"/>
          <c:order val="4"/>
          <c:tx>
            <c:strRef>
              <c:f>Peers!#REF!</c:f>
              <c:strCache>
                <c:ptCount val="1"/>
                <c:pt idx="0">
                  <c:v>#REF!</c:v>
                </c:pt>
              </c:strCache>
            </c:strRef>
          </c:tx>
          <c:spPr>
            <a:ln w="25400" cap="rnd">
              <a:noFill/>
              <a:round/>
            </a:ln>
            <a:effectLst/>
          </c:spPr>
          <c:marker>
            <c:symbol val="circle"/>
            <c:size val="5"/>
            <c:spPr>
              <a:solidFill>
                <a:schemeClr val="accent5"/>
              </a:solidFill>
              <a:ln w="9525">
                <a:solidFill>
                  <a:schemeClr val="accent5"/>
                </a:solidFill>
              </a:ln>
              <a:effectLst/>
            </c:spPr>
          </c:marker>
          <c:xVal>
            <c:strRef>
              <c:f>Peers!#REF!</c:f>
              <c:strCache>
                <c:ptCount val="1"/>
                <c:pt idx="0">
                  <c:v>#REF!</c:v>
                </c:pt>
              </c:strCache>
            </c:strRef>
          </c:xVal>
          <c:yVal>
            <c:numRef>
              <c:f>Peers!#REF!</c:f>
              <c:numCache>
                <c:formatCode>0.0</c:formatCode>
                <c:ptCount val="1"/>
                <c:pt idx="0">
                  <c:v>1</c:v>
                </c:pt>
              </c:numCache>
            </c:numRef>
          </c:yVal>
          <c:smooth val="0"/>
          <c:extLst>
            <c:ext xmlns:c16="http://schemas.microsoft.com/office/drawing/2014/chart" uri="{C3380CC4-5D6E-409C-BE32-E72D297353CC}">
              <c16:uniqueId val="{00000005-B547-4DF9-892F-3129917FB3B3}"/>
            </c:ext>
          </c:extLst>
        </c:ser>
        <c:ser>
          <c:idx val="5"/>
          <c:order val="5"/>
          <c:tx>
            <c:strRef>
              <c:f>Peers!#REF!</c:f>
              <c:strCache>
                <c:ptCount val="1"/>
                <c:pt idx="0">
                  <c:v>#REF!</c:v>
                </c:pt>
              </c:strCache>
            </c:strRef>
          </c:tx>
          <c:spPr>
            <a:ln w="25400" cap="rnd">
              <a:noFill/>
              <a:round/>
            </a:ln>
            <a:effectLst/>
          </c:spPr>
          <c:marker>
            <c:symbol val="circle"/>
            <c:size val="5"/>
            <c:spPr>
              <a:solidFill>
                <a:schemeClr val="accent6"/>
              </a:solidFill>
              <a:ln w="9525">
                <a:solidFill>
                  <a:schemeClr val="accent6"/>
                </a:solidFill>
              </a:ln>
              <a:effectLst/>
            </c:spPr>
          </c:marker>
          <c:xVal>
            <c:strRef>
              <c:f>Peers!#REF!</c:f>
              <c:strCache>
                <c:ptCount val="1"/>
                <c:pt idx="0">
                  <c:v>#REF!</c:v>
                </c:pt>
              </c:strCache>
            </c:strRef>
          </c:xVal>
          <c:yVal>
            <c:numRef>
              <c:f>Peers!#REF!</c:f>
              <c:numCache>
                <c:formatCode>0.0</c:formatCode>
                <c:ptCount val="1"/>
                <c:pt idx="0">
                  <c:v>1</c:v>
                </c:pt>
              </c:numCache>
            </c:numRef>
          </c:yVal>
          <c:smooth val="0"/>
          <c:extLst>
            <c:ext xmlns:c16="http://schemas.microsoft.com/office/drawing/2014/chart" uri="{C3380CC4-5D6E-409C-BE32-E72D297353CC}">
              <c16:uniqueId val="{00000006-B547-4DF9-892F-3129917FB3B3}"/>
            </c:ext>
          </c:extLst>
        </c:ser>
        <c:dLbls>
          <c:showLegendKey val="0"/>
          <c:showVal val="0"/>
          <c:showCatName val="0"/>
          <c:showSerName val="0"/>
          <c:showPercent val="0"/>
          <c:showBubbleSize val="0"/>
        </c:dLbls>
        <c:axId val="1571673951"/>
        <c:axId val="1289766175"/>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layout>
        <c:manualLayout>
          <c:xMode val="edge"/>
          <c:yMode val="edge"/>
          <c:x val="0.79514918527433731"/>
          <c:y val="0.20740538534966782"/>
          <c:w val="0.20485076537264754"/>
          <c:h val="0.44100979088899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Peers!$C$6</c:f>
              <c:strCache>
                <c:ptCount val="1"/>
                <c:pt idx="0">
                  <c:v>ADVANCED MICRO DEVICES, INC. (XNAS:AMD)</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Peers!$C$42</c:f>
              <c:numCache>
                <c:formatCode>0%</c:formatCode>
                <c:ptCount val="1"/>
                <c:pt idx="0">
                  <c:v>-8.2149982396432356E-2</c:v>
                </c:pt>
              </c:numCache>
            </c:numRef>
          </c:xVal>
          <c:yVal>
            <c:numRef>
              <c:f>Peers!$C$47</c:f>
              <c:numCache>
                <c:formatCode>0%</c:formatCode>
                <c:ptCount val="1"/>
                <c:pt idx="0">
                  <c:v>0.55648926237161533</c:v>
                </c:pt>
              </c:numCache>
            </c:numRef>
          </c:yVal>
          <c:smooth val="0"/>
          <c:extLst>
            <c:ext xmlns:c16="http://schemas.microsoft.com/office/drawing/2014/chart" uri="{C3380CC4-5D6E-409C-BE32-E72D297353CC}">
              <c16:uniqueId val="{00000000-A0AB-4E28-9E73-D8DF3D5B0514}"/>
            </c:ext>
          </c:extLst>
        </c:ser>
        <c:ser>
          <c:idx val="1"/>
          <c:order val="1"/>
          <c:tx>
            <c:strRef>
              <c:f>Peers!$D$6</c:f>
              <c:strCache>
                <c:ptCount val="1"/>
                <c:pt idx="0">
                  <c:v>NVIDIA CORPORATION (XNAS:NVDA)</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Peers!$D$42</c:f>
              <c:numCache>
                <c:formatCode>0%</c:formatCode>
                <c:ptCount val="1"/>
                <c:pt idx="0">
                  <c:v>-0.37394357040696918</c:v>
                </c:pt>
              </c:numCache>
            </c:numRef>
          </c:xVal>
          <c:yVal>
            <c:numRef>
              <c:f>Peers!$D$47</c:f>
              <c:numCache>
                <c:formatCode>0.00%</c:formatCode>
                <c:ptCount val="1"/>
                <c:pt idx="0">
                  <c:v>3.8248024733768466</c:v>
                </c:pt>
              </c:numCache>
            </c:numRef>
          </c:yVal>
          <c:smooth val="0"/>
          <c:extLst>
            <c:ext xmlns:c16="http://schemas.microsoft.com/office/drawing/2014/chart" uri="{C3380CC4-5D6E-409C-BE32-E72D297353CC}">
              <c16:uniqueId val="{00000001-A0AB-4E28-9E73-D8DF3D5B0514}"/>
            </c:ext>
          </c:extLst>
        </c:ser>
        <c:ser>
          <c:idx val="2"/>
          <c:order val="2"/>
          <c:tx>
            <c:strRef>
              <c:f>Peers!$E$6</c:f>
              <c:strCache>
                <c:ptCount val="1"/>
                <c:pt idx="0">
                  <c:v>INTEL CORPORATION (XNAS:INTC)</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Peers!$E$42</c:f>
              <c:numCache>
                <c:formatCode>0%</c:formatCode>
                <c:ptCount val="1"/>
                <c:pt idx="0">
                  <c:v>-0.6914567733151803</c:v>
                </c:pt>
              </c:numCache>
            </c:numRef>
          </c:xVal>
          <c:yVal>
            <c:numRef>
              <c:f>Peers!$E$47</c:f>
              <c:numCache>
                <c:formatCode>0.00%</c:formatCode>
                <c:ptCount val="1"/>
                <c:pt idx="0">
                  <c:v>-0.6758139271987339</c:v>
                </c:pt>
              </c:numCache>
            </c:numRef>
          </c:yVal>
          <c:smooth val="0"/>
          <c:extLst>
            <c:ext xmlns:c16="http://schemas.microsoft.com/office/drawing/2014/chart" uri="{C3380CC4-5D6E-409C-BE32-E72D297353CC}">
              <c16:uniqueId val="{00000002-A0AB-4E28-9E73-D8DF3D5B0514}"/>
            </c:ext>
          </c:extLst>
        </c:ser>
        <c:ser>
          <c:idx val="3"/>
          <c:order val="3"/>
          <c:tx>
            <c:strRef>
              <c:f>Peers!#REF!</c:f>
              <c:strCache>
                <c:ptCount val="1"/>
                <c:pt idx="0">
                  <c:v>#REF!</c:v>
                </c:pt>
              </c:strCache>
            </c:strRef>
          </c:tx>
          <c:spPr>
            <a:ln w="25400" cap="rnd">
              <a:noFill/>
              <a:round/>
            </a:ln>
            <a:effectLst/>
          </c:spPr>
          <c:marker>
            <c:symbol val="circle"/>
            <c:size val="5"/>
            <c:spPr>
              <a:solidFill>
                <a:schemeClr val="accent4"/>
              </a:solidFill>
              <a:ln w="9525">
                <a:solidFill>
                  <a:schemeClr val="accent4"/>
                </a:solidFill>
              </a:ln>
              <a:effectLst/>
            </c:spPr>
          </c:marker>
          <c:xVal>
            <c:strRef>
              <c:f>Peers!#REF!</c:f>
              <c:strCache>
                <c:ptCount val="1"/>
                <c:pt idx="0">
                  <c:v>#REF!</c:v>
                </c:pt>
              </c:strCache>
            </c:strRef>
          </c:xVal>
          <c:yVal>
            <c:numRef>
              <c:f>Peers!#REF!</c:f>
              <c:numCache>
                <c:formatCode>0.00%</c:formatCode>
                <c:ptCount val="1"/>
                <c:pt idx="0">
                  <c:v>1</c:v>
                </c:pt>
              </c:numCache>
            </c:numRef>
          </c:yVal>
          <c:smooth val="0"/>
          <c:extLst>
            <c:ext xmlns:c16="http://schemas.microsoft.com/office/drawing/2014/chart" uri="{C3380CC4-5D6E-409C-BE32-E72D297353CC}">
              <c16:uniqueId val="{00000003-A0AB-4E28-9E73-D8DF3D5B0514}"/>
            </c:ext>
          </c:extLst>
        </c:ser>
        <c:ser>
          <c:idx val="5"/>
          <c:order val="4"/>
          <c:tx>
            <c:strRef>
              <c:f>Peers!#REF!</c:f>
              <c:strCache>
                <c:ptCount val="1"/>
                <c:pt idx="0">
                  <c:v>#REF!</c:v>
                </c:pt>
              </c:strCache>
            </c:strRef>
          </c:tx>
          <c:spPr>
            <a:ln w="25400" cap="rnd">
              <a:noFill/>
              <a:round/>
            </a:ln>
            <a:effectLst/>
          </c:spPr>
          <c:marker>
            <c:symbol val="circle"/>
            <c:size val="5"/>
            <c:spPr>
              <a:solidFill>
                <a:schemeClr val="accent6"/>
              </a:solidFill>
              <a:ln w="9525">
                <a:solidFill>
                  <a:schemeClr val="accent6"/>
                </a:solidFill>
              </a:ln>
              <a:effectLst/>
            </c:spPr>
          </c:marker>
          <c:xVal>
            <c:strRef>
              <c:f>Peers!#REF!</c:f>
              <c:strCache>
                <c:ptCount val="1"/>
                <c:pt idx="0">
                  <c:v>#REF!</c:v>
                </c:pt>
              </c:strCache>
            </c:strRef>
          </c:xVal>
          <c:yVal>
            <c:numRef>
              <c:f>Peers!#REF!</c:f>
              <c:numCache>
                <c:formatCode>0.00%</c:formatCode>
                <c:ptCount val="1"/>
                <c:pt idx="0">
                  <c:v>1</c:v>
                </c:pt>
              </c:numCache>
            </c:numRef>
          </c:yVal>
          <c:smooth val="0"/>
          <c:extLst>
            <c:ext xmlns:c16="http://schemas.microsoft.com/office/drawing/2014/chart" uri="{C3380CC4-5D6E-409C-BE32-E72D297353CC}">
              <c16:uniqueId val="{00000005-A0AB-4E28-9E73-D8DF3D5B0514}"/>
            </c:ext>
          </c:extLst>
        </c:ser>
        <c:ser>
          <c:idx val="6"/>
          <c:order val="5"/>
          <c:tx>
            <c:strRef>
              <c:f>Peers!#REF!</c:f>
              <c:strCache>
                <c:ptCount val="1"/>
                <c:pt idx="0">
                  <c:v>#REF!</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Peers!#REF!</c:f>
              <c:strCache>
                <c:ptCount val="1"/>
                <c:pt idx="0">
                  <c:v>#REF!</c:v>
                </c:pt>
              </c:strCache>
            </c:strRef>
          </c:xVal>
          <c:yVal>
            <c:numRef>
              <c:f>Peers!#REF!</c:f>
              <c:numCache>
                <c:formatCode>0.00%</c:formatCode>
                <c:ptCount val="1"/>
                <c:pt idx="0">
                  <c:v>1</c:v>
                </c:pt>
              </c:numCache>
            </c:numRef>
          </c:yVal>
          <c:smooth val="0"/>
          <c:extLst>
            <c:ext xmlns:c16="http://schemas.microsoft.com/office/drawing/2014/chart" uri="{C3380CC4-5D6E-409C-BE32-E72D297353CC}">
              <c16:uniqueId val="{00000006-A0AB-4E28-9E73-D8DF3D5B0514}"/>
            </c:ext>
          </c:extLst>
        </c:ser>
        <c:dLbls>
          <c:showLegendKey val="0"/>
          <c:showVal val="0"/>
          <c:showCatName val="0"/>
          <c:showSerName val="0"/>
          <c:showPercent val="0"/>
          <c:showBubbleSize val="0"/>
        </c:dLbls>
        <c:axId val="581212960"/>
        <c:axId val="581217120"/>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7018842544974519"/>
          <c:h val="0.43200295105462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Energy Consumption (Gigajoules)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ESG!$X$6:$AB$6</c:f>
              <c:strCache>
                <c:ptCount val="5"/>
                <c:pt idx="0">
                  <c:v>2018</c:v>
                </c:pt>
                <c:pt idx="1">
                  <c:v>2019</c:v>
                </c:pt>
                <c:pt idx="2">
                  <c:v>2020</c:v>
                </c:pt>
                <c:pt idx="3">
                  <c:v>2021</c:v>
                </c:pt>
                <c:pt idx="4">
                  <c:v>2022</c:v>
                </c:pt>
              </c:strCache>
            </c:strRef>
          </c:cat>
          <c:val>
            <c:numRef>
              <c:f>ESG!$X$7:$AB$7</c:f>
              <c:numCache>
                <c:formatCode>General</c:formatCode>
                <c:ptCount val="5"/>
                <c:pt idx="0">
                  <c:v>435600</c:v>
                </c:pt>
                <c:pt idx="1">
                  <c:v>457200</c:v>
                </c:pt>
                <c:pt idx="2">
                  <c:v>446400</c:v>
                </c:pt>
                <c:pt idx="3">
                  <c:v>388800</c:v>
                </c:pt>
                <c:pt idx="4">
                  <c:v>748800</c:v>
                </c:pt>
              </c:numCache>
            </c:numRef>
          </c:val>
          <c:smooth val="0"/>
          <c:extLst>
            <c:ext xmlns:c16="http://schemas.microsoft.com/office/drawing/2014/chart" uri="{C3380CC4-5D6E-409C-BE32-E72D297353CC}">
              <c16:uniqueId val="{00000001-50C3-46D3-9FA6-99E4629187C5}"/>
            </c:ext>
          </c:extLst>
        </c:ser>
        <c:dLbls>
          <c:showLegendKey val="0"/>
          <c:showVal val="0"/>
          <c:showCatName val="0"/>
          <c:showSerName val="0"/>
          <c:showPercent val="0"/>
          <c:showBubbleSize val="0"/>
        </c:dLbls>
        <c:marker val="1"/>
        <c:smooth val="0"/>
        <c:axId val="1555500551"/>
        <c:axId val="1123685896"/>
      </c:lineChart>
      <c:catAx>
        <c:axId val="1555500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685896"/>
        <c:crosses val="autoZero"/>
        <c:auto val="1"/>
        <c:lblAlgn val="ctr"/>
        <c:lblOffset val="100"/>
        <c:noMultiLvlLbl val="0"/>
      </c:catAx>
      <c:valAx>
        <c:axId val="1123685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5005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ESG!$X$6:$AB$6</c:f>
              <c:strCache>
                <c:ptCount val="5"/>
                <c:pt idx="0">
                  <c:v>2018</c:v>
                </c:pt>
                <c:pt idx="1">
                  <c:v>2019</c:v>
                </c:pt>
                <c:pt idx="2">
                  <c:v>2020</c:v>
                </c:pt>
                <c:pt idx="3">
                  <c:v>2021</c:v>
                </c:pt>
                <c:pt idx="4">
                  <c:v>2022</c:v>
                </c:pt>
              </c:strCache>
            </c:strRef>
          </c:cat>
          <c:val>
            <c:numRef>
              <c:f>ESG!$X$8:$AB$8</c:f>
              <c:numCache>
                <c:formatCode>General</c:formatCode>
                <c:ptCount val="5"/>
                <c:pt idx="0">
                  <c:v>192000</c:v>
                </c:pt>
                <c:pt idx="1">
                  <c:v>175000</c:v>
                </c:pt>
                <c:pt idx="2">
                  <c:v>151000</c:v>
                </c:pt>
                <c:pt idx="3">
                  <c:v>75000</c:v>
                </c:pt>
                <c:pt idx="4">
                  <c:v>183000</c:v>
                </c:pt>
              </c:numCache>
            </c:numRef>
          </c:val>
          <c:smooth val="0"/>
          <c:extLst>
            <c:ext xmlns:c16="http://schemas.microsoft.com/office/drawing/2014/chart" uri="{C3380CC4-5D6E-409C-BE32-E72D297353CC}">
              <c16:uniqueId val="{00000001-FDC5-4AE6-800A-E0684562B395}"/>
            </c:ext>
          </c:extLst>
        </c:ser>
        <c:dLbls>
          <c:showLegendKey val="0"/>
          <c:showVal val="0"/>
          <c:showCatName val="0"/>
          <c:showSerName val="0"/>
          <c:showPercent val="0"/>
          <c:showBubbleSize val="0"/>
        </c:dLbls>
        <c:marker val="1"/>
        <c:smooth val="0"/>
        <c:axId val="1707014151"/>
        <c:axId val="532021256"/>
      </c:lineChart>
      <c:catAx>
        <c:axId val="1707014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021256"/>
        <c:crosses val="autoZero"/>
        <c:auto val="1"/>
        <c:lblAlgn val="ctr"/>
        <c:lblOffset val="100"/>
        <c:noMultiLvlLbl val="0"/>
      </c:catAx>
      <c:valAx>
        <c:axId val="532021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14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ESG!$X$6:$AB$6</c:f>
              <c:strCache>
                <c:ptCount val="5"/>
                <c:pt idx="0">
                  <c:v>2018</c:v>
                </c:pt>
                <c:pt idx="1">
                  <c:v>2019</c:v>
                </c:pt>
                <c:pt idx="2">
                  <c:v>2020</c:v>
                </c:pt>
                <c:pt idx="3">
                  <c:v>2021</c:v>
                </c:pt>
                <c:pt idx="4">
                  <c:v>2022</c:v>
                </c:pt>
              </c:strCache>
            </c:strRef>
          </c:cat>
          <c:val>
            <c:numRef>
              <c:f>ESG!$X$10:$AB$10</c:f>
              <c:numCache>
                <c:formatCode>General</c:formatCode>
                <c:ptCount val="5"/>
                <c:pt idx="0">
                  <c:v>643</c:v>
                </c:pt>
                <c:pt idx="1">
                  <c:v>697</c:v>
                </c:pt>
                <c:pt idx="2">
                  <c:v>491</c:v>
                </c:pt>
                <c:pt idx="3">
                  <c:v>456</c:v>
                </c:pt>
                <c:pt idx="4">
                  <c:v>840</c:v>
                </c:pt>
              </c:numCache>
            </c:numRef>
          </c:val>
          <c:smooth val="0"/>
          <c:extLst>
            <c:ext xmlns:c16="http://schemas.microsoft.com/office/drawing/2014/chart" uri="{C3380CC4-5D6E-409C-BE32-E72D297353CC}">
              <c16:uniqueId val="{00000001-7C4A-4C9E-99DC-CDC11B5144C9}"/>
            </c:ext>
          </c:extLst>
        </c:ser>
        <c:dLbls>
          <c:showLegendKey val="0"/>
          <c:showVal val="0"/>
          <c:showCatName val="0"/>
          <c:showSerName val="0"/>
          <c:showPercent val="0"/>
          <c:showBubbleSize val="0"/>
        </c:dLbls>
        <c:marker val="1"/>
        <c:smooth val="0"/>
        <c:axId val="619558919"/>
        <c:axId val="619565063"/>
      </c:lineChart>
      <c:catAx>
        <c:axId val="619558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565063"/>
        <c:crosses val="autoZero"/>
        <c:auto val="1"/>
        <c:lblAlgn val="ctr"/>
        <c:lblOffset val="100"/>
        <c:noMultiLvlLbl val="0"/>
      </c:catAx>
      <c:valAx>
        <c:axId val="619565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5589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ESG!$X$6:$AB$6</c:f>
              <c:strCache>
                <c:ptCount val="5"/>
                <c:pt idx="0">
                  <c:v>2018</c:v>
                </c:pt>
                <c:pt idx="1">
                  <c:v>2019</c:v>
                </c:pt>
                <c:pt idx="2">
                  <c:v>2020</c:v>
                </c:pt>
                <c:pt idx="3">
                  <c:v>2021</c:v>
                </c:pt>
                <c:pt idx="4">
                  <c:v>2022</c:v>
                </c:pt>
              </c:strCache>
            </c:strRef>
          </c:cat>
          <c:val>
            <c:numRef>
              <c:f>ESG!$X$9:$AB$9</c:f>
              <c:numCache>
                <c:formatCode>General</c:formatCode>
                <c:ptCount val="5"/>
                <c:pt idx="0">
                  <c:v>3207</c:v>
                </c:pt>
                <c:pt idx="1">
                  <c:v>3358</c:v>
                </c:pt>
                <c:pt idx="2">
                  <c:v>2335</c:v>
                </c:pt>
                <c:pt idx="3">
                  <c:v>2892</c:v>
                </c:pt>
                <c:pt idx="4">
                  <c:v>8145</c:v>
                </c:pt>
              </c:numCache>
            </c:numRef>
          </c:val>
          <c:smooth val="0"/>
          <c:extLst>
            <c:ext xmlns:c16="http://schemas.microsoft.com/office/drawing/2014/chart" uri="{C3380CC4-5D6E-409C-BE32-E72D297353CC}">
              <c16:uniqueId val="{00000001-D520-4859-B989-FE5B328ABF98}"/>
            </c:ext>
          </c:extLst>
        </c:ser>
        <c:dLbls>
          <c:showLegendKey val="0"/>
          <c:showVal val="0"/>
          <c:showCatName val="0"/>
          <c:showSerName val="0"/>
          <c:showPercent val="0"/>
          <c:showBubbleSize val="0"/>
        </c:dLbls>
        <c:marker val="1"/>
        <c:smooth val="0"/>
        <c:axId val="619234311"/>
        <c:axId val="619527175"/>
      </c:lineChart>
      <c:catAx>
        <c:axId val="619234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527175"/>
        <c:crosses val="autoZero"/>
        <c:auto val="1"/>
        <c:lblAlgn val="ctr"/>
        <c:lblOffset val="100"/>
        <c:noMultiLvlLbl val="0"/>
      </c:catAx>
      <c:valAx>
        <c:axId val="619527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343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17</xdr:row>
      <xdr:rowOff>1773</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17</xdr:row>
      <xdr:rowOff>1773</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17</xdr:row>
      <xdr:rowOff>1773</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9525</xdr:colOff>
      <xdr:row>82</xdr:row>
      <xdr:rowOff>0</xdr:rowOff>
    </xdr:from>
    <xdr:to>
      <xdr:col>12</xdr:col>
      <xdr:colOff>2047875</xdr:colOff>
      <xdr:row>107</xdr:row>
      <xdr:rowOff>133350</xdr:rowOff>
    </xdr:to>
    <xdr:pic>
      <xdr:nvPicPr>
        <xdr:cNvPr id="14" name="Picture 2">
          <a:extLst>
            <a:ext uri="{FF2B5EF4-FFF2-40B4-BE49-F238E27FC236}">
              <a16:creationId xmlns:a16="http://schemas.microsoft.com/office/drawing/2014/main" id="{641BEE44-3D1D-90F9-FFD2-5301D79AA118}"/>
            </a:ext>
            <a:ext uri="{147F2762-F138-4A5C-976F-8EAC2B608ADB}">
              <a16:predDERef xmlns:a16="http://schemas.microsoft.com/office/drawing/2014/main" pred="{D38869C9-D998-A047-96C8-5B849EBEA94D}"/>
            </a:ext>
          </a:extLst>
        </xdr:cNvPr>
        <xdr:cNvPicPr>
          <a:picLocks noChangeAspect="1"/>
        </xdr:cNvPicPr>
      </xdr:nvPicPr>
      <xdr:blipFill>
        <a:blip xmlns:r="http://schemas.openxmlformats.org/officeDocument/2006/relationships" r:embed="rId1"/>
        <a:stretch>
          <a:fillRect/>
        </a:stretch>
      </xdr:blipFill>
      <xdr:spPr>
        <a:xfrm>
          <a:off x="7639050" y="15935325"/>
          <a:ext cx="8734425" cy="4181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25</xdr:row>
      <xdr:rowOff>0</xdr:rowOff>
    </xdr:from>
    <xdr:to>
      <xdr:col>11</xdr:col>
      <xdr:colOff>723900</xdr:colOff>
      <xdr:row>30</xdr:row>
      <xdr:rowOff>666750</xdr:rowOff>
    </xdr:to>
    <xdr:graphicFrame macro="">
      <xdr:nvGraphicFramePr>
        <xdr:cNvPr id="7"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733425</xdr:colOff>
      <xdr:row>24</xdr:row>
      <xdr:rowOff>238125</xdr:rowOff>
    </xdr:from>
    <xdr:to>
      <xdr:col>15</xdr:col>
      <xdr:colOff>723900</xdr:colOff>
      <xdr:row>30</xdr:row>
      <xdr:rowOff>685800</xdr:rowOff>
    </xdr:to>
    <xdr:graphicFrame macro="">
      <xdr:nvGraphicFramePr>
        <xdr:cNvPr id="3"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704850</xdr:colOff>
      <xdr:row>24</xdr:row>
      <xdr:rowOff>247650</xdr:rowOff>
    </xdr:from>
    <xdr:to>
      <xdr:col>11</xdr:col>
      <xdr:colOff>714375</xdr:colOff>
      <xdr:row>31</xdr:row>
      <xdr:rowOff>0</xdr:rowOff>
    </xdr:to>
    <xdr:cxnSp macro="">
      <xdr:nvCxnSpPr>
        <xdr:cNvPr id="9"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144375" y="432435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571500</xdr:colOff>
      <xdr:row>83</xdr:row>
      <xdr:rowOff>152400</xdr:rowOff>
    </xdr:from>
    <xdr:to>
      <xdr:col>43</xdr:col>
      <xdr:colOff>0</xdr:colOff>
      <xdr:row>89</xdr:row>
      <xdr:rowOff>142875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2D9F9EFF-8C8B-4839-A102-86B66E9BDF73}"/>
            </a:ext>
          </a:extLst>
        </xdr:cNvPr>
        <xdr:cNvSpPr/>
      </xdr:nvSpPr>
      <xdr:spPr bwMode="auto">
        <a:xfrm>
          <a:off x="35671125" y="14906625"/>
          <a:ext cx="952500" cy="962025"/>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16</xdr:col>
      <xdr:colOff>9525</xdr:colOff>
      <xdr:row>1</xdr:row>
      <xdr:rowOff>247650</xdr:rowOff>
    </xdr:from>
    <xdr:to>
      <xdr:col>19</xdr:col>
      <xdr:colOff>323850</xdr:colOff>
      <xdr:row>17</xdr:row>
      <xdr:rowOff>152400</xdr:rowOff>
    </xdr:to>
    <xdr:pic>
      <xdr:nvPicPr>
        <xdr:cNvPr id="2" name="Picture 1">
          <a:extLst>
            <a:ext uri="{FF2B5EF4-FFF2-40B4-BE49-F238E27FC236}">
              <a16:creationId xmlns:a16="http://schemas.microsoft.com/office/drawing/2014/main" id="{2B7B0CF6-556F-5EA9-6531-F96A19433EC5}"/>
            </a:ext>
            <a:ext uri="{147F2762-F138-4A5C-976F-8EAC2B608ADB}">
              <a16:predDERef xmlns:a16="http://schemas.microsoft.com/office/drawing/2014/main" pred="{373BA1AE-84F4-1EA4-7F90-6E6AE589AB0D}"/>
            </a:ext>
          </a:extLst>
        </xdr:cNvPr>
        <xdr:cNvPicPr>
          <a:picLocks noChangeAspect="1"/>
        </xdr:cNvPicPr>
      </xdr:nvPicPr>
      <xdr:blipFill>
        <a:blip xmlns:r="http://schemas.openxmlformats.org/officeDocument/2006/relationships" r:embed="rId3"/>
        <a:stretch>
          <a:fillRect/>
        </a:stretch>
      </xdr:blipFill>
      <xdr:spPr>
        <a:xfrm>
          <a:off x="15259050" y="409575"/>
          <a:ext cx="3400425" cy="2571750"/>
        </a:xfrm>
        <a:prstGeom prst="rect">
          <a:avLst/>
        </a:prstGeom>
      </xdr:spPr>
    </xdr:pic>
    <xdr:clientData/>
  </xdr:twoCellAnchor>
  <xdr:twoCellAnchor editAs="oneCell">
    <xdr:from>
      <xdr:col>19</xdr:col>
      <xdr:colOff>323850</xdr:colOff>
      <xdr:row>2</xdr:row>
      <xdr:rowOff>0</xdr:rowOff>
    </xdr:from>
    <xdr:to>
      <xdr:col>24</xdr:col>
      <xdr:colOff>742950</xdr:colOff>
      <xdr:row>18</xdr:row>
      <xdr:rowOff>0</xdr:rowOff>
    </xdr:to>
    <xdr:pic>
      <xdr:nvPicPr>
        <xdr:cNvPr id="4" name="Picture 3">
          <a:extLst>
            <a:ext uri="{FF2B5EF4-FFF2-40B4-BE49-F238E27FC236}">
              <a16:creationId xmlns:a16="http://schemas.microsoft.com/office/drawing/2014/main" id="{96B438FF-4994-CE9B-C6A5-5AACD48F64BF}"/>
            </a:ext>
            <a:ext uri="{147F2762-F138-4A5C-976F-8EAC2B608ADB}">
              <a16:predDERef xmlns:a16="http://schemas.microsoft.com/office/drawing/2014/main" pred="{2B7B0CF6-556F-5EA9-6531-F96A19433EC5}"/>
            </a:ext>
          </a:extLst>
        </xdr:cNvPr>
        <xdr:cNvPicPr>
          <a:picLocks noChangeAspect="1"/>
        </xdr:cNvPicPr>
      </xdr:nvPicPr>
      <xdr:blipFill>
        <a:blip xmlns:r="http://schemas.openxmlformats.org/officeDocument/2006/relationships" r:embed="rId4"/>
        <a:stretch>
          <a:fillRect/>
        </a:stretch>
      </xdr:blipFill>
      <xdr:spPr>
        <a:xfrm>
          <a:off x="18659475" y="419100"/>
          <a:ext cx="4229100" cy="2571750"/>
        </a:xfrm>
        <a:prstGeom prst="rect">
          <a:avLst/>
        </a:prstGeom>
      </xdr:spPr>
    </xdr:pic>
    <xdr:clientData/>
  </xdr:twoCellAnchor>
  <xdr:twoCellAnchor editAs="oneCell">
    <xdr:from>
      <xdr:col>16</xdr:col>
      <xdr:colOff>9525</xdr:colOff>
      <xdr:row>17</xdr:row>
      <xdr:rowOff>142875</xdr:rowOff>
    </xdr:from>
    <xdr:to>
      <xdr:col>24</xdr:col>
      <xdr:colOff>752475</xdr:colOff>
      <xdr:row>28</xdr:row>
      <xdr:rowOff>123825</xdr:rowOff>
    </xdr:to>
    <xdr:pic>
      <xdr:nvPicPr>
        <xdr:cNvPr id="5" name="Picture 4">
          <a:extLst>
            <a:ext uri="{FF2B5EF4-FFF2-40B4-BE49-F238E27FC236}">
              <a16:creationId xmlns:a16="http://schemas.microsoft.com/office/drawing/2014/main" id="{739F0984-13E7-26E3-C3A5-93C3A15C4B3A}"/>
            </a:ext>
            <a:ext uri="{147F2762-F138-4A5C-976F-8EAC2B608ADB}">
              <a16:predDERef xmlns:a16="http://schemas.microsoft.com/office/drawing/2014/main" pred="{96B438FF-4994-CE9B-C6A5-5AACD48F64BF}"/>
            </a:ext>
          </a:extLst>
        </xdr:cNvPr>
        <xdr:cNvPicPr>
          <a:picLocks noChangeAspect="1"/>
        </xdr:cNvPicPr>
      </xdr:nvPicPr>
      <xdr:blipFill>
        <a:blip xmlns:r="http://schemas.openxmlformats.org/officeDocument/2006/relationships" r:embed="rId5"/>
        <a:stretch>
          <a:fillRect/>
        </a:stretch>
      </xdr:blipFill>
      <xdr:spPr>
        <a:xfrm>
          <a:off x="15259050" y="2971800"/>
          <a:ext cx="7639050" cy="2952750"/>
        </a:xfrm>
        <a:prstGeom prst="rect">
          <a:avLst/>
        </a:prstGeom>
      </xdr:spPr>
    </xdr:pic>
    <xdr:clientData/>
  </xdr:twoCellAnchor>
  <xdr:twoCellAnchor editAs="oneCell">
    <xdr:from>
      <xdr:col>8</xdr:col>
      <xdr:colOff>1019175</xdr:colOff>
      <xdr:row>32</xdr:row>
      <xdr:rowOff>9525</xdr:rowOff>
    </xdr:from>
    <xdr:to>
      <xdr:col>14</xdr:col>
      <xdr:colOff>104775</xdr:colOff>
      <xdr:row>54</xdr:row>
      <xdr:rowOff>38100</xdr:rowOff>
    </xdr:to>
    <xdr:pic>
      <xdr:nvPicPr>
        <xdr:cNvPr id="6" name="Picture 5">
          <a:extLst>
            <a:ext uri="{FF2B5EF4-FFF2-40B4-BE49-F238E27FC236}">
              <a16:creationId xmlns:a16="http://schemas.microsoft.com/office/drawing/2014/main" id="{6E382613-90EC-89A3-BFD4-C1401928977B}"/>
            </a:ext>
            <a:ext uri="{147F2762-F138-4A5C-976F-8EAC2B608ADB}">
              <a16:predDERef xmlns:a16="http://schemas.microsoft.com/office/drawing/2014/main" pred="{739F0984-13E7-26E3-C3A5-93C3A15C4B3A}"/>
            </a:ext>
          </a:extLst>
        </xdr:cNvPr>
        <xdr:cNvPicPr>
          <a:picLocks noChangeAspect="1"/>
        </xdr:cNvPicPr>
      </xdr:nvPicPr>
      <xdr:blipFill>
        <a:blip xmlns:r="http://schemas.openxmlformats.org/officeDocument/2006/relationships" r:embed="rId6"/>
        <a:stretch>
          <a:fillRect/>
        </a:stretch>
      </xdr:blipFill>
      <xdr:spPr>
        <a:xfrm>
          <a:off x="9906000" y="7277100"/>
          <a:ext cx="3924300" cy="3686175"/>
        </a:xfrm>
        <a:prstGeom prst="rect">
          <a:avLst/>
        </a:prstGeom>
      </xdr:spPr>
    </xdr:pic>
    <xdr:clientData/>
  </xdr:twoCellAnchor>
  <xdr:twoCellAnchor editAs="oneCell">
    <xdr:from>
      <xdr:col>14</xdr:col>
      <xdr:colOff>66675</xdr:colOff>
      <xdr:row>32</xdr:row>
      <xdr:rowOff>28575</xdr:rowOff>
    </xdr:from>
    <xdr:to>
      <xdr:col>19</xdr:col>
      <xdr:colOff>28575</xdr:colOff>
      <xdr:row>51</xdr:row>
      <xdr:rowOff>19050</xdr:rowOff>
    </xdr:to>
    <xdr:pic>
      <xdr:nvPicPr>
        <xdr:cNvPr id="8" name="Picture 7">
          <a:extLst>
            <a:ext uri="{FF2B5EF4-FFF2-40B4-BE49-F238E27FC236}">
              <a16:creationId xmlns:a16="http://schemas.microsoft.com/office/drawing/2014/main" id="{6894F2FA-A815-9A82-7BED-329C2679B168}"/>
            </a:ext>
            <a:ext uri="{147F2762-F138-4A5C-976F-8EAC2B608ADB}">
              <a16:predDERef xmlns:a16="http://schemas.microsoft.com/office/drawing/2014/main" pred="{6E382613-90EC-89A3-BFD4-C1401928977B}"/>
            </a:ext>
          </a:extLst>
        </xdr:cNvPr>
        <xdr:cNvPicPr>
          <a:picLocks noChangeAspect="1"/>
        </xdr:cNvPicPr>
      </xdr:nvPicPr>
      <xdr:blipFill>
        <a:blip xmlns:r="http://schemas.openxmlformats.org/officeDocument/2006/relationships" r:embed="rId7"/>
        <a:stretch>
          <a:fillRect/>
        </a:stretch>
      </xdr:blipFill>
      <xdr:spPr>
        <a:xfrm>
          <a:off x="13792200" y="7296150"/>
          <a:ext cx="4572000" cy="3162300"/>
        </a:xfrm>
        <a:prstGeom prst="rect">
          <a:avLst/>
        </a:prstGeom>
      </xdr:spPr>
    </xdr:pic>
    <xdr:clientData/>
  </xdr:twoCellAnchor>
  <xdr:twoCellAnchor editAs="oneCell">
    <xdr:from>
      <xdr:col>8</xdr:col>
      <xdr:colOff>971550</xdr:colOff>
      <xdr:row>54</xdr:row>
      <xdr:rowOff>28575</xdr:rowOff>
    </xdr:from>
    <xdr:to>
      <xdr:col>14</xdr:col>
      <xdr:colOff>704850</xdr:colOff>
      <xdr:row>70</xdr:row>
      <xdr:rowOff>142875</xdr:rowOff>
    </xdr:to>
    <xdr:pic>
      <xdr:nvPicPr>
        <xdr:cNvPr id="10" name="Picture 9">
          <a:extLst>
            <a:ext uri="{FF2B5EF4-FFF2-40B4-BE49-F238E27FC236}">
              <a16:creationId xmlns:a16="http://schemas.microsoft.com/office/drawing/2014/main" id="{F9AE93AF-EF0D-EAC9-E4F6-A1E1B9D324B1}"/>
            </a:ext>
            <a:ext uri="{147F2762-F138-4A5C-976F-8EAC2B608ADB}">
              <a16:predDERef xmlns:a16="http://schemas.microsoft.com/office/drawing/2014/main" pred="{6894F2FA-A815-9A82-7BED-329C2679B168}"/>
            </a:ext>
          </a:extLst>
        </xdr:cNvPr>
        <xdr:cNvPicPr>
          <a:picLocks noChangeAspect="1"/>
        </xdr:cNvPicPr>
      </xdr:nvPicPr>
      <xdr:blipFill>
        <a:blip xmlns:r="http://schemas.openxmlformats.org/officeDocument/2006/relationships" r:embed="rId8"/>
        <a:stretch>
          <a:fillRect/>
        </a:stretch>
      </xdr:blipFill>
      <xdr:spPr>
        <a:xfrm>
          <a:off x="9858375" y="10953750"/>
          <a:ext cx="4572000" cy="2705100"/>
        </a:xfrm>
        <a:prstGeom prst="rect">
          <a:avLst/>
        </a:prstGeom>
      </xdr:spPr>
    </xdr:pic>
    <xdr:clientData/>
  </xdr:twoCellAnchor>
  <xdr:twoCellAnchor editAs="oneCell">
    <xdr:from>
      <xdr:col>14</xdr:col>
      <xdr:colOff>742950</xdr:colOff>
      <xdr:row>53</xdr:row>
      <xdr:rowOff>0</xdr:rowOff>
    </xdr:from>
    <xdr:to>
      <xdr:col>19</xdr:col>
      <xdr:colOff>695325</xdr:colOff>
      <xdr:row>72</xdr:row>
      <xdr:rowOff>9525</xdr:rowOff>
    </xdr:to>
    <xdr:pic>
      <xdr:nvPicPr>
        <xdr:cNvPr id="11" name="Picture 10">
          <a:extLst>
            <a:ext uri="{FF2B5EF4-FFF2-40B4-BE49-F238E27FC236}">
              <a16:creationId xmlns:a16="http://schemas.microsoft.com/office/drawing/2014/main" id="{E380C66C-B198-2F5F-8599-DD14A1D9427D}"/>
            </a:ext>
            <a:ext uri="{147F2762-F138-4A5C-976F-8EAC2B608ADB}">
              <a16:predDERef xmlns:a16="http://schemas.microsoft.com/office/drawing/2014/main" pred="{F9AE93AF-EF0D-EAC9-E4F6-A1E1B9D324B1}"/>
            </a:ext>
          </a:extLst>
        </xdr:cNvPr>
        <xdr:cNvPicPr>
          <a:picLocks noChangeAspect="1"/>
        </xdr:cNvPicPr>
      </xdr:nvPicPr>
      <xdr:blipFill>
        <a:blip xmlns:r="http://schemas.openxmlformats.org/officeDocument/2006/relationships" r:embed="rId9"/>
        <a:stretch>
          <a:fillRect/>
        </a:stretch>
      </xdr:blipFill>
      <xdr:spPr>
        <a:xfrm>
          <a:off x="14468475" y="10763250"/>
          <a:ext cx="4562475" cy="3086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5</xdr:col>
      <xdr:colOff>0</xdr:colOff>
      <xdr:row>19</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11</xdr:row>
      <xdr:rowOff>0</xdr:rowOff>
    </xdr:from>
    <xdr:ext cx="304800" cy="308437"/>
    <xdr:sp macro="" textlink="">
      <xdr:nvSpPr>
        <xdr:cNvPr id="4" name="AutoShape 232" descr="Resultado de imagen para beer consumption trend">
          <a:extLst>
            <a:ext uri="{FF2B5EF4-FFF2-40B4-BE49-F238E27FC236}">
              <a16:creationId xmlns:a16="http://schemas.microsoft.com/office/drawing/2014/main" id="{290ADD27-FE0C-4C99-AF77-3098E89BD849}"/>
            </a:ext>
            <a:ext uri="{147F2762-F138-4A5C-976F-8EAC2B608ADB}">
              <a16:predDERef xmlns:a16="http://schemas.microsoft.com/office/drawing/2014/main" pred="{A23DF9CB-ABDC-4CBC-941E-C3A1E6B7BDD7}"/>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33</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 uri="{147F2762-F138-4A5C-976F-8EAC2B608ADB}">
              <a16:predDERef xmlns:a16="http://schemas.microsoft.com/office/drawing/2014/main" pred="{290ADD27-FE0C-4C99-AF77-3098E89BD849}"/>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19</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 uri="{147F2762-F138-4A5C-976F-8EAC2B608ADB}">
              <a16:predDERef xmlns:a16="http://schemas.microsoft.com/office/drawing/2014/main" pred="{76C615DC-9449-489C-838D-7501FF91B816}"/>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11</xdr:row>
      <xdr:rowOff>0</xdr:rowOff>
    </xdr:from>
    <xdr:ext cx="304800" cy="309071"/>
    <xdr:sp macro="" textlink="">
      <xdr:nvSpPr>
        <xdr:cNvPr id="5" name="AutoShape 232" descr="Resultado de imagen para beer consumption trend">
          <a:extLst>
            <a:ext uri="{FF2B5EF4-FFF2-40B4-BE49-F238E27FC236}">
              <a16:creationId xmlns:a16="http://schemas.microsoft.com/office/drawing/2014/main" id="{5D67A490-620E-4BB6-ACF8-2FBAECF65CB2}"/>
            </a:ext>
            <a:ext uri="{147F2762-F138-4A5C-976F-8EAC2B608ADB}">
              <a16:predDERef xmlns:a16="http://schemas.microsoft.com/office/drawing/2014/main" pred="{3816F209-593F-4972-8238-056F7A06C2DB}"/>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33</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 uri="{147F2762-F138-4A5C-976F-8EAC2B608ADB}">
              <a16:predDERef xmlns:a16="http://schemas.microsoft.com/office/drawing/2014/main" pred="{5D67A490-620E-4BB6-ACF8-2FBAECF65CB2}"/>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9</xdr:col>
      <xdr:colOff>195402</xdr:colOff>
      <xdr:row>14</xdr:row>
      <xdr:rowOff>113179</xdr:rowOff>
    </xdr:from>
    <xdr:to>
      <xdr:col>13</xdr:col>
      <xdr:colOff>369093</xdr:colOff>
      <xdr:row>31</xdr:row>
      <xdr:rowOff>9526</xdr:rowOff>
    </xdr:to>
    <xdr:graphicFrame macro="">
      <xdr:nvGraphicFramePr>
        <xdr:cNvPr id="7" name="Chart 1">
          <a:extLst>
            <a:ext uri="{FF2B5EF4-FFF2-40B4-BE49-F238E27FC236}">
              <a16:creationId xmlns:a16="http://schemas.microsoft.com/office/drawing/2014/main" id="{F8B867AC-6A7A-4512-8C9D-97B8E534E8E4}"/>
            </a:ext>
            <a:ext uri="{147F2762-F138-4A5C-976F-8EAC2B608ADB}">
              <a16:predDERef xmlns:a16="http://schemas.microsoft.com/office/drawing/2014/main" pred="{71A499F7-7BCB-43D8-AAAA-8629B391E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269081</xdr:colOff>
      <xdr:row>40</xdr:row>
      <xdr:rowOff>66675</xdr:rowOff>
    </xdr:from>
    <xdr:to>
      <xdr:col>14</xdr:col>
      <xdr:colOff>435768</xdr:colOff>
      <xdr:row>58</xdr:row>
      <xdr:rowOff>76200</xdr:rowOff>
    </xdr:to>
    <xdr:graphicFrame macro="">
      <xdr:nvGraphicFramePr>
        <xdr:cNvPr id="8" name="Chart 2">
          <a:extLst>
            <a:ext uri="{FF2B5EF4-FFF2-40B4-BE49-F238E27FC236}">
              <a16:creationId xmlns:a16="http://schemas.microsoft.com/office/drawing/2014/main" id="{06EE3DBE-321E-4EF6-A0A4-D90C4883E80D}"/>
            </a:ext>
            <a:ext uri="{147F2762-F138-4A5C-976F-8EAC2B608ADB}">
              <a16:predDERef xmlns:a16="http://schemas.microsoft.com/office/drawing/2014/main" pre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304800</xdr:colOff>
      <xdr:row>12</xdr:row>
      <xdr:rowOff>152400</xdr:rowOff>
    </xdr:from>
    <xdr:to>
      <xdr:col>22</xdr:col>
      <xdr:colOff>1123950</xdr:colOff>
      <xdr:row>26</xdr:row>
      <xdr:rowOff>66675</xdr:rowOff>
    </xdr:to>
    <xdr:graphicFrame macro="">
      <xdr:nvGraphicFramePr>
        <xdr:cNvPr id="3" name="Gráfico 2">
          <a:extLst>
            <a:ext uri="{FF2B5EF4-FFF2-40B4-BE49-F238E27FC236}">
              <a16:creationId xmlns:a16="http://schemas.microsoft.com/office/drawing/2014/main" id="{A6A4AAC0-45FC-D270-45CF-385B3D82A30C}"/>
            </a:ext>
            <a:ext uri="{147F2762-F138-4A5C-976F-8EAC2B608ADB}">
              <a16:predDERef xmlns:a16="http://schemas.microsoft.com/office/drawing/2014/main" pred="{278A061F-1821-F77F-C4FB-83DCDAE48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1200150</xdr:colOff>
      <xdr:row>0</xdr:row>
      <xdr:rowOff>57150</xdr:rowOff>
    </xdr:from>
    <xdr:to>
      <xdr:col>28</xdr:col>
      <xdr:colOff>352425</xdr:colOff>
      <xdr:row>12</xdr:row>
      <xdr:rowOff>114300</xdr:rowOff>
    </xdr:to>
    <xdr:graphicFrame macro="">
      <xdr:nvGraphicFramePr>
        <xdr:cNvPr id="4" name="Gráfico 3">
          <a:extLst>
            <a:ext uri="{FF2B5EF4-FFF2-40B4-BE49-F238E27FC236}">
              <a16:creationId xmlns:a16="http://schemas.microsoft.com/office/drawing/2014/main" id="{63F1324A-82CE-4FAB-A405-A00AB28344A3}"/>
            </a:ext>
            <a:ext uri="{147F2762-F138-4A5C-976F-8EAC2B608ADB}">
              <a16:predDERef xmlns:a16="http://schemas.microsoft.com/office/drawing/2014/main" pred="{A6A4AAC0-45FC-D270-45CF-385B3D82A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1200150</xdr:colOff>
      <xdr:row>12</xdr:row>
      <xdr:rowOff>142875</xdr:rowOff>
    </xdr:from>
    <xdr:to>
      <xdr:col>28</xdr:col>
      <xdr:colOff>352425</xdr:colOff>
      <xdr:row>26</xdr:row>
      <xdr:rowOff>57150</xdr:rowOff>
    </xdr:to>
    <xdr:graphicFrame macro="">
      <xdr:nvGraphicFramePr>
        <xdr:cNvPr id="5" name="Gráfico 4">
          <a:extLst>
            <a:ext uri="{FF2B5EF4-FFF2-40B4-BE49-F238E27FC236}">
              <a16:creationId xmlns:a16="http://schemas.microsoft.com/office/drawing/2014/main" id="{10518B97-8B8B-900F-1669-3AE20AACAC8E}"/>
            </a:ext>
            <a:ext uri="{147F2762-F138-4A5C-976F-8EAC2B608ADB}">
              <a16:predDERef xmlns:a16="http://schemas.microsoft.com/office/drawing/2014/main" pred="{63F1324A-82CE-4FAB-A405-A00AB2834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295275</xdr:colOff>
      <xdr:row>0</xdr:row>
      <xdr:rowOff>57150</xdr:rowOff>
    </xdr:from>
    <xdr:to>
      <xdr:col>22</xdr:col>
      <xdr:colOff>1114425</xdr:colOff>
      <xdr:row>12</xdr:row>
      <xdr:rowOff>114300</xdr:rowOff>
    </xdr:to>
    <xdr:graphicFrame macro="">
      <xdr:nvGraphicFramePr>
        <xdr:cNvPr id="6" name="Gráfico 5">
          <a:extLst>
            <a:ext uri="{FF2B5EF4-FFF2-40B4-BE49-F238E27FC236}">
              <a16:creationId xmlns:a16="http://schemas.microsoft.com/office/drawing/2014/main" id="{2B3AF3E9-43FF-3198-C3B9-B39C8AA95FC1}"/>
            </a:ext>
            <a:ext uri="{147F2762-F138-4A5C-976F-8EAC2B608ADB}">
              <a16:predDERef xmlns:a16="http://schemas.microsoft.com/office/drawing/2014/main" pred="{10518B97-8B8B-900F-1669-3AE20AACA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26</xdr:col>
      <xdr:colOff>704850</xdr:colOff>
      <xdr:row>45</xdr:row>
      <xdr:rowOff>114300</xdr:rowOff>
    </xdr:from>
    <xdr:to>
      <xdr:col>34</xdr:col>
      <xdr:colOff>542925</xdr:colOff>
      <xdr:row>70</xdr:row>
      <xdr:rowOff>85725</xdr:rowOff>
    </xdr:to>
    <xdr:pic>
      <xdr:nvPicPr>
        <xdr:cNvPr id="2" name="Imagem 1">
          <a:extLst>
            <a:ext uri="{FF2B5EF4-FFF2-40B4-BE49-F238E27FC236}">
              <a16:creationId xmlns:a16="http://schemas.microsoft.com/office/drawing/2014/main" id="{0DAF0850-FDC6-9F9A-8640-731BE23B416B}"/>
            </a:ext>
          </a:extLst>
        </xdr:cNvPr>
        <xdr:cNvPicPr>
          <a:picLocks noChangeAspect="1"/>
        </xdr:cNvPicPr>
      </xdr:nvPicPr>
      <xdr:blipFill>
        <a:blip xmlns:r="http://schemas.openxmlformats.org/officeDocument/2006/relationships" r:embed="rId1"/>
        <a:stretch>
          <a:fillRect/>
        </a:stretch>
      </xdr:blipFill>
      <xdr:spPr>
        <a:xfrm>
          <a:off x="29070300" y="7734300"/>
          <a:ext cx="6391275" cy="4019550"/>
        </a:xfrm>
        <a:prstGeom prst="rect">
          <a:avLst/>
        </a:prstGeom>
      </xdr:spPr>
    </xdr:pic>
    <xdr:clientData/>
  </xdr:twoCellAnchor>
  <xdr:twoCellAnchor editAs="oneCell">
    <xdr:from>
      <xdr:col>35</xdr:col>
      <xdr:colOff>276225</xdr:colOff>
      <xdr:row>42</xdr:row>
      <xdr:rowOff>38100</xdr:rowOff>
    </xdr:from>
    <xdr:to>
      <xdr:col>45</xdr:col>
      <xdr:colOff>485775</xdr:colOff>
      <xdr:row>71</xdr:row>
      <xdr:rowOff>142875</xdr:rowOff>
    </xdr:to>
    <xdr:pic>
      <xdr:nvPicPr>
        <xdr:cNvPr id="6" name="Picture 5">
          <a:extLst>
            <a:ext uri="{FF2B5EF4-FFF2-40B4-BE49-F238E27FC236}">
              <a16:creationId xmlns:a16="http://schemas.microsoft.com/office/drawing/2014/main" id="{8D5E21F4-34FC-432C-9107-770599D86212}"/>
            </a:ext>
            <a:ext uri="{147F2762-F138-4A5C-976F-8EAC2B608ADB}">
              <a16:predDERef xmlns:a16="http://schemas.microsoft.com/office/drawing/2014/main" pred="{0DAF0850-FDC6-9F9A-8640-731BE23B416B}"/>
            </a:ext>
          </a:extLst>
        </xdr:cNvPr>
        <xdr:cNvPicPr>
          <a:picLocks noChangeAspect="1"/>
        </xdr:cNvPicPr>
      </xdr:nvPicPr>
      <xdr:blipFill>
        <a:blip xmlns:r="http://schemas.openxmlformats.org/officeDocument/2006/relationships" r:embed="rId2"/>
        <a:stretch>
          <a:fillRect/>
        </a:stretch>
      </xdr:blipFill>
      <xdr:spPr>
        <a:xfrm>
          <a:off x="45158025" y="7181850"/>
          <a:ext cx="6305550" cy="4791075"/>
        </a:xfrm>
        <a:prstGeom prst="rect">
          <a:avLst/>
        </a:prstGeom>
      </xdr:spPr>
    </xdr:pic>
    <xdr:clientData/>
  </xdr:twoCellAnchor>
  <xdr:twoCellAnchor editAs="oneCell">
    <xdr:from>
      <xdr:col>45</xdr:col>
      <xdr:colOff>581025</xdr:colOff>
      <xdr:row>42</xdr:row>
      <xdr:rowOff>104775</xdr:rowOff>
    </xdr:from>
    <xdr:to>
      <xdr:col>56</xdr:col>
      <xdr:colOff>314325</xdr:colOff>
      <xdr:row>65</xdr:row>
      <xdr:rowOff>0</xdr:rowOff>
    </xdr:to>
    <xdr:pic>
      <xdr:nvPicPr>
        <xdr:cNvPr id="7" name="Picture 6">
          <a:extLst>
            <a:ext uri="{FF2B5EF4-FFF2-40B4-BE49-F238E27FC236}">
              <a16:creationId xmlns:a16="http://schemas.microsoft.com/office/drawing/2014/main" id="{68F901DE-C150-E3C4-7AE8-C755DFFED08D}"/>
            </a:ext>
            <a:ext uri="{147F2762-F138-4A5C-976F-8EAC2B608ADB}">
              <a16:predDERef xmlns:a16="http://schemas.microsoft.com/office/drawing/2014/main" pred="{8D5E21F4-34FC-432C-9107-770599D86212}"/>
            </a:ext>
          </a:extLst>
        </xdr:cNvPr>
        <xdr:cNvPicPr>
          <a:picLocks noChangeAspect="1"/>
        </xdr:cNvPicPr>
      </xdr:nvPicPr>
      <xdr:blipFill>
        <a:blip xmlns:r="http://schemas.openxmlformats.org/officeDocument/2006/relationships" r:embed="rId3"/>
        <a:stretch>
          <a:fillRect/>
        </a:stretch>
      </xdr:blipFill>
      <xdr:spPr>
        <a:xfrm>
          <a:off x="47063025" y="7248525"/>
          <a:ext cx="6438900" cy="36099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Rosario la Spina" id="{D47E4442-48DB-47AC-9C08-D9435CA51614}" userId="S::rosario@aln.iseg.ulisboa.pt::dcacb765-8901-4eb5-afea-17e638acc936" providerId="AD"/>
  <person displayName="DAVID FILIPE DE SOUSA TITA" id="{6D2C5BD9-1C3E-4972-9F97-1CA81A3CC14E}" userId="S::david.tita@aln.iseg.ulisboa.pt::2b554b1a-dfdf-4fc2-8414-05963e9f059c"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9">
  <rv s="0">
    <v>https://www.bing.com/financeapi/forcetrigger?t=a1ndww&amp;q=XNAS%3aAMD&amp;form=skydnc</v>
    <v>Learn more on Bing</v>
  </rv>
  <rv s="1">
    <v>en-US</v>
    <v>a1ndww</v>
    <v>268435456</v>
    <v>1</v>
    <v>Powered by Refinitiv</v>
    <v>0</v>
    <v>1</v>
    <v>ADVANCED MICRO DEVICES, INC. (XNAS:AMD)</v>
    <v>3</v>
    <v>4</v>
    <v>Finance</v>
    <v>5</v>
    <v>187.28</v>
    <v>76.48</v>
    <v>1.9560999999999999</v>
    <v>-5.43</v>
    <v>-6.777E-3</v>
    <v>-6.4920999999999993E-2</v>
    <v>-0.53</v>
    <v>USD</v>
    <v>Advanced Micro Devices, Inc. is a global semiconductor company. It is focused on high-performance computing, graphics and visualization technologies. It operates in four segments. The Data Center segment includes artificial intelligence (AI) accelerators, server central processing units (CPUs), graphics processing units (GPUs), accelerated processing units (APUs), data processing units (DPUs), field programmable gate arrays (FPGAs), smart network interface cards (SmartNICs), and Adaptive system-on-chip (SoC) products for data centers. The Client segment primarily includes CPUs, APUs, and chipsets for desktops and notebooks. The Gaming segment primarily includes discrete GPUs, semi-custom SoC products and development services. The Embedded segment includes embedded CPUs, GPUs, APUs, FPGAs, system on modules (SOMs), and Adaptive SoC products. It markets and sells its products under the AMD trademark. Its products include AMD EPYC, AMD Ryzen, AMD Ryzen PRO, Virtex UltraScale+ and others.</v>
    <v>28000</v>
    <v>Nasdaq Stock Market</v>
    <v>XNAS</v>
    <v>XNAS</v>
    <v>2485 Augustine Drive, SANTA CLARA, CA, 95054 US</v>
    <v>88.93</v>
    <v>Semiconductors &amp; Semiconductor Equipment</v>
    <v>Stock</v>
    <v>45755.849969316405</v>
    <v>0</v>
    <v>76.48</v>
    <v>126410588369</v>
    <v>ADVANCED MICRO DEVICES, INC.</v>
    <v>ADVANCED MICRO DEVICES, INC.</v>
    <v>86.144999999999996</v>
    <v>77.960499999999996</v>
    <v>83.64</v>
    <v>78.209999999999994</v>
    <v>77.680000000000007</v>
    <v>1616297000</v>
    <v>AMD</v>
    <v>ADVANCED MICRO DEVICES, INC. (XNAS:AMD)</v>
    <v>68724885</v>
    <v>36544838</v>
    <v>1969</v>
  </rv>
  <rv s="2">
    <v>1</v>
  </rv>
  <rv s="3">
    <v>0</v>
    <v>5</v>
  </rv>
  <rv s="0">
    <v>https://www.bing.com/financeapi/forcetrigger?t=a1yv52&amp;q=XNAS%3aNVDA&amp;form=skydnc</v>
    <v>Learn more on Bing</v>
  </rv>
  <rv s="4">
    <v>pt-BR</v>
    <v>a1yv52</v>
    <v>268435456</v>
    <v>1</v>
    <v>Da plataforma Refinitiv</v>
    <v>6</v>
    <v>7</v>
    <v>NVIDIA CORPORATION (XNAS:NVDA)</v>
    <v>3</v>
    <v>8</v>
    <v>Finance</v>
    <v>9</v>
    <v>153.13</v>
    <v>75.605999999999995</v>
    <v>XNAS</v>
    <v>24400000000</v>
    <v>4.0910000000000002E-4</v>
    <v>3.9399999999999998E-2</v>
    <v>105.85</v>
    <v>1998</v>
    <v>94.46</v>
    <v>2.0518999999999998</v>
    <v>Nasdaq Stock Market</v>
    <v>2349720000000</v>
    <v>A Nvidia Corporation se concentra em gráficos de computador pessoal (PC), unidade de processamento gráfico (GPU) e também em inteligência artificial (AI). Opera através de dois segmentos: GPU e Tegra Processor. Suas marcas de produtos de GPU são voltadas para mercados especializados, incluindo GeForce para gamers; Quadro para designers; Tesla e DGX para cientistas de dados de IA e pesquisadores de big data; e GRID para usuários de computação visual baseados em nuvem. Sua marca Tegra integra um computador inteiro em um único chip e incorpora GPUs e unidades centrais de processamento (CPUs) de múltiplos núcleos para impulsionar a supercomputação de dispositivos móveis de entretenimento e jogos, além de robôs, drones e carros autônomos. O processador da empresa criou plataformas que atendem a quatro mercados: jogos, visualização profissional, data center e automotivo. Suas ofertas incluem o supercomputador NVIDIA DGX AI, a plataforma de computação automotiva NVIDIA DRIVE AI e o serviço de jogos na nuvem GeForce NOW.</v>
    <v>XNAS</v>
    <v>97.64</v>
    <v>36000</v>
    <v>45755.849982997657</v>
    <v>4</v>
    <v>307793482</v>
    <v>USD</v>
    <v>NVIDIA CORPORATION</v>
    <v>NVIDIA CORPORATION</v>
    <v>32.7607</v>
    <v>103.80500000000001</v>
    <v>96.3</v>
    <v>96.339399999999998</v>
    <v>2788 San Tomas Expressway, SANTA CLARA, CA, 95051 US</v>
    <v>Semiconductors &amp; Semiconductor Equipment</v>
    <v>NVDA</v>
    <v>Ações</v>
    <v>NVIDIA CORPORATION (XNAS:NVDA)</v>
    <v>-1.34</v>
    <v>-1.3724E-2</v>
    <v>469094711</v>
  </rv>
  <rv s="2">
    <v>5</v>
  </rv>
  <rv s="3">
    <v>1</v>
    <v>5</v>
  </rv>
  <rv s="0">
    <v>https://www.bing.com/financeapi/forcetrigger?t=a1vmf2&amp;q=XNAS%3aINTC&amp;form=skydnc</v>
    <v>Learn more on Bing</v>
  </rv>
  <rv s="4">
    <v>pt-BR</v>
    <v>a1vmf2</v>
    <v>268435456</v>
    <v>1</v>
    <v>Da plataforma Refinitiv</v>
    <v>6</v>
    <v>7</v>
    <v>INTEL CORPORATION (XNAS:INTC)</v>
    <v>3</v>
    <v>8</v>
    <v>Finance</v>
    <v>9</v>
    <v>38.86</v>
    <v>17.664999999999999</v>
    <v>XNAS</v>
    <v>4360592000</v>
    <v>2.758E-3</v>
    <v>0.05</v>
    <v>20.39</v>
    <v>1989</v>
    <v>17.664999999999999</v>
    <v>1.1344000000000001</v>
    <v>Nasdaq Stock Market</v>
    <v>79057532960</v>
    <v>A Intel Corporation é uma designer e fabricante global de produtos semicondutores. A empresa opera através de três segmentos: Produtos Intel, Intel Foundry e todos os outros. Seu segmento de produtos Intel inclui o Client Computing Group (CCG), Data Center e AI (DCAI), Network and Edge (NEX). O CCG está reunindo o sistema operacional, a arquitetura do sistema, o hardware e a integração de aplicativos de software para permitir experiências de PC. A DCAI oferece soluções otimizadas para cargas de trabalho para provedores e empresas de serviços em nuvem, juntamente com dispositivos de silício para provedores de serviços de comunicação, rede e borda e clientes de HPC. O NEX ajuda redes e sistemas de computação de borda, desde hardware de função fixa até dispositivos de computação, aceleração e rede de uso geral que executam software nativo em nuvem em hardware programável. O segmento Intel Foundry compreende o desenvolvimento de tecnologia, fabricação e serviços de fundição. Todos os outros segmentos incluem Altera, Mobileye, outros.</v>
    <v>XNAS</v>
    <v>19.57</v>
    <v>108900</v>
    <v>45755.849999200778</v>
    <v>8</v>
    <v>109881134</v>
    <v>USD</v>
    <v>INTEL CORPORATION</v>
    <v>INTEL CORPORATION</v>
    <v>0</v>
    <v>20.059999999999999</v>
    <v>18.13</v>
    <v>18.18</v>
    <v>2200 Mission College Blvd, Rnb-4-151, SANTA CLARA, CA, 95054 US</v>
    <v>Semiconductors &amp; Semiconductor Equipment</v>
    <v>INTC</v>
    <v>Ações</v>
    <v>INTEL CORPORATION (XNAS:INTC)</v>
    <v>-1.44</v>
    <v>-7.3581999999999995E-2</v>
    <v>161656230</v>
  </rv>
  <rv s="2">
    <v>9</v>
  </rv>
  <rv s="3">
    <v>2</v>
    <v>5</v>
  </rv>
  <rv s="0">
    <v>http://en.wikipedia.org/wiki/Public_domain</v>
    <v>Public domain</v>
  </rv>
  <rv s="0">
    <v>http://en.wikipedia.org/wiki/Qualcomm</v>
    <v>Wikipedia</v>
  </rv>
  <rv s="5">
    <v>12</v>
    <v>13</v>
  </rv>
  <rv s="6">
    <v>15</v>
    <v>https://www.bing.com/th?id=AMMS_2b1c176dae370ecc0d55a1517537f595&amp;qlt=95</v>
    <v>14</v>
    <v>0</v>
    <v>https://www.bing.com/images/search?form=xlimg&amp;q=qualcomm</v>
    <v>Image of QUALCOMM INCORPORATED</v>
  </rv>
  <rv s="0">
    <v>https://www.bing.com/financeapi/forcetrigger?t=a21k2w&amp;q=XNAS%3aQCOM&amp;form=skydnc</v>
    <v>Learn more on Bing</v>
  </rv>
  <rv s="7">
    <v>pt-BR</v>
    <v>a21k2w</v>
    <v>268435456</v>
    <v>1</v>
    <v>Da plataforma Refinitiv</v>
    <v>10</v>
    <v>11</v>
    <v>QUALCOMM INCORPORATED (XNAS:QCOM)</v>
    <v>13</v>
    <v>14</v>
    <v>Finance</v>
    <v>9</v>
    <v>230.63</v>
    <v>120.8019</v>
    <v>XNAS</v>
    <v>1106000000</v>
    <v>1.8450000000000001E-3</v>
    <v>0.23</v>
    <v>135.29</v>
    <v>1991</v>
    <v>121.74</v>
    <v>1.3115000000000001</v>
    <v>Nasdaq Stock Market</v>
    <v>137873960000</v>
    <v>A Qualcomm Incorporated está envolvida no desenvolvimento e comercialização de tecnologias fundamentais para a indústria sem fio, incluindo conetividade sem fio de terceira geração (3G), quarta geração (4G) e quinta geração (5G), e computação de alto desempenho e baixa potência, incluindo inteligência artificial no dispositivo. Seus segmentos incluem Qualcomm CDMA Technologies (QCT), Qualcomm Technology Licensing (QTL) e Qualcomm Strategic Initiatives. A QCT desenvolve e fornece circuitos integrados e software de sistema baseado em 3G/4G/5G e outras tecnologias, incluindo front-end de radiofrequência, cockpit digital e assistência avançada ao motorista e condução automatizada, Internet das coisas, incluindo dispositivos eletrônicos de consumo, dispositivos industriais e produtos de rede de ponta. A QTL concede licenças ou fornece direitos para usar partes de seu portfólio de propriedade intelectual que incluem certos direitos de patente essenciais e/ou úteis na fabricação e venda de determinados produtos sem fio.</v>
    <v>XNAS</v>
    <v>129.72</v>
    <v>49000</v>
    <v>45755.84994405078</v>
    <v>15</v>
    <v>16</v>
    <v>8324334</v>
    <v>USD</v>
    <v>QUALCOMM INCORPORATED</v>
    <v>QUALCOMM INCORPORATED</v>
    <v>13.4244</v>
    <v>131.13</v>
    <v>124.66</v>
    <v>124.89</v>
    <v>5775 Morehouse Dr, SAN DIEGO, CA, 92121 US</v>
    <v>Semiconductors &amp; Semiconductor Equipment</v>
    <v>QCOM</v>
    <v>Ações</v>
    <v>QUALCOMM INCORPORATED (XNAS:QCOM)</v>
    <v>-5.0599999999999996</v>
    <v>-3.9007E-2</v>
    <v>14906959</v>
  </rv>
  <rv s="2">
    <v>17</v>
  </rv>
</rvData>
</file>

<file path=xl/richData/rdrichvaluestructure.xml><?xml version="1.0" encoding="utf-8"?>
<rvStructures xmlns="http://schemas.microsoft.com/office/spreadsheetml/2017/richdata" count="8">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ocalImage">
    <k n="_rvRel:LocalImageIdentifier" t="i"/>
    <k n="CalcOrigin" t="i"/>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Imagem" t="r"/>
    <k n="LearnMoreOnLink" t="r"/>
    <k n="Média de volume"/>
    <k n="Moeda" t="s"/>
    <k n="Nome" t="s"/>
    <k n="Nome oficial" t="s"/>
    <k n="P/E"/>
    <k n="Pendência"/>
    <k n="Preço"/>
    <k n="Preço (Horário prolongado)"/>
    <k n="Sede" t="s"/>
    <k n="Setor" t="s"/>
    <k n="Símbolo do ticker" t="s"/>
    <k n="Tipo de instrumento" t="s"/>
    <k n="UniqueName" t="s"/>
    <k n="Variação"/>
    <k n="Variação (%)"/>
    <k n="Volume"/>
  </s>
</rvStructures>
</file>

<file path=xl/richData/rdsupportingpropertybag.xml><?xml version="1.0" encoding="utf-8"?>
<supportingPropertyBags xmlns="http://schemas.microsoft.com/office/spreadsheetml/2017/richdata2">
  <spbArrays count="3">
    <a count="46">
      <v t="s">%EntityServiceId</v>
      <v t="s">_Format</v>
      <v t="s">%IsRefreshable</v>
      <v t="s">_CanonicalPropertyNames</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7">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Imagem</v>
      <v t="s">ExchangeID</v>
      <v t="s">%ProviderInfo</v>
    </a>
  </spbArrays>
  <spbData count="16">
    <spb s="0">
      <v>Low</v>
      <v>P/E</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v>Price (Extended hours)</v>
      <v>Change (Extended hours)</v>
      <v>Change % (Extended hours)</v>
    </spb>
    <spb s="1">
      <v>0</v>
      <v>Name</v>
      <v>LearnMoreOnLink</v>
    </spb>
    <spb s="2">
      <v>0</v>
      <v>0</v>
      <v>0</v>
    </spb>
    <spb s="3">
      <v>2</v>
      <v>2</v>
      <v>2</v>
      <v>2</v>
    </spb>
    <spb s="4">
      <v>1</v>
      <v>2</v>
      <v>2</v>
      <v>1</v>
      <v>3</v>
      <v>1</v>
      <v>1</v>
      <v>1</v>
      <v>4</v>
      <v>4</v>
      <v>5</v>
      <v>6</v>
      <v>1</v>
      <v>1</v>
      <v>1</v>
      <v>4</v>
      <v>7</v>
      <v>8</v>
      <v>9</v>
      <v>4</v>
      <v>1</v>
      <v>1</v>
      <v>5</v>
    </spb>
    <spb s="5">
      <v>at close</v>
      <v>from previous close</v>
      <v>from previous close</v>
      <v>Source: Nasdaq Last Sale</v>
      <v>GMT</v>
      <v>Real-Time Nasdaq Last Sale</v>
      <v>from close</v>
      <v>from close</v>
    </spb>
    <spb s="6">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1</v>
      <v>Name</v>
      <v>LearnMoreOnLink</v>
    </spb>
    <spb s="7">
      <v>2</v>
      <v>1</v>
      <v>2</v>
      <v>3</v>
      <v>1</v>
      <v>1</v>
      <v>4</v>
      <v>1</v>
      <v>1</v>
      <v>4</v>
      <v>5</v>
      <v>4</v>
      <v>9</v>
      <v>1</v>
      <v>1</v>
      <v>8</v>
      <v>4</v>
      <v>1</v>
      <v>6</v>
      <v>7</v>
      <v>1</v>
      <v>1</v>
      <v>5</v>
    </spb>
    <spb s="8">
      <v xml:space="preserve">no fechamento </v>
      <v xml:space="preserve">do fechamento anterior </v>
      <v>Origem : Nasdaq Última venda</v>
      <v xml:space="preserve">do fechamento anterior </v>
      <v>GMT</v>
      <v>Tempo Real Nasdaq Última venda</v>
      <v xml:space="preserve">do fechamento </v>
      <v xml:space="preserve">do fechamento </v>
    </spb>
    <spb s="9">
      <v>P/E</v>
      <v>High</v>
      <v>Beta</v>
      <v>Name</v>
      <v>Headquarters</v>
      <v>Low</v>
      <v>Exchange</v>
      <v>Currency</v>
      <v>Price</v>
      <v>Industry</v>
      <v>Image</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2</v>
      <v>Name</v>
      <v>LearnMoreOnLink</v>
    </spb>
    <spb s="10">
      <v>0</v>
      <v>0</v>
    </spb>
    <spb s="11">
      <v>12</v>
      <v>2</v>
      <v>2</v>
      <v>2</v>
      <v>2</v>
    </spb>
    <spb s="12">
      <v>2</v>
      <v>1</v>
      <v>2</v>
      <v>3</v>
      <v>1</v>
      <v>1</v>
      <v>10</v>
      <v>4</v>
      <v>1</v>
      <v>1</v>
      <v>4</v>
      <v>5</v>
      <v>4</v>
      <v>9</v>
      <v>1</v>
      <v>1</v>
      <v>8</v>
      <v>4</v>
      <v>1</v>
      <v>6</v>
      <v>7</v>
      <v>1</v>
      <v>1</v>
      <v>5</v>
    </spb>
    <spb s="13">
      <v>Da plataforma Refinitiv</v>
    </spb>
  </spbData>
</supportingPropertyBags>
</file>

<file path=xl/richData/rdsupportingpropertybagstructure.xml><?xml version="1.0" encoding="utf-8"?>
<spbStructures xmlns="http://schemas.microsoft.com/office/spreadsheetml/2017/richdata2" count="14">
  <s>
    <k n="Low" t="s"/>
    <k n="P/E"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k n="Price (Extended hours)" t="s"/>
    <k n="Change (Extended hours)" t="s"/>
    <k n="Change % (Extended hours)" t="s"/>
  </s>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Preço" t="s"/>
    <k n="Variação" t="s"/>
    <k n="ExchangeID" t="s"/>
    <k n="Variação (%)" t="s"/>
    <k n="Hora da última transação" t="s"/>
    <k n="Preço (Horário prolongado)" t="s"/>
    <k n="Alteração (Horário prolongado)" t="s"/>
    <k n="Alteração % (Horário prolongado)" t="s"/>
  </s>
  <s>
    <k n="P/E" t="s"/>
    <k n="Alto" t="s"/>
    <k n="Beta" t="s"/>
    <k n="Nome" t="s"/>
    <k n="Sede" t="s"/>
    <k n="Baixo" t="s"/>
    <k n="Bolsa" t="s"/>
    <k n="Moeda" t="s"/>
    <k n="Preço" t="s"/>
    <k n="Setor" t="s"/>
    <k n="Imagem"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ShowInDotNotation" t="b"/>
    <k n="ShowInAutoComplete" t="b"/>
  </s>
  <s>
    <k n="Imagem" t="spb"/>
    <k n="ExchangeID" t="spb"/>
    <k n="UniqueName" t="spb"/>
    <k n="`%ProviderInfo" t="spb"/>
    <k n="LearnMoreOnLink" t="spb"/>
  </s>
  <s>
    <k n="P/E" t="i"/>
    <k n="Alto" t="i"/>
    <k n="Beta" t="i"/>
    <k n="Nome" t="i"/>
    <k n="Baixo" t="i"/>
    <k n="Preço" t="i"/>
    <k n="Imagem"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27" formatCode="dd/mm/yyyy\ hh:mm"/>
    </x:dxf>
    <x:dxf>
      <x:numFmt numFmtId="0" formatCode="General"/>
    </x:dxf>
  </dxfs>
  <richProperties>
    <rPr n="NumberFormat" t="s"/>
    <rPr n="IsTitleField" t="b"/>
    <rPr n="IsHeroField" t="b"/>
  </richProperties>
  <richStyles>
    <rSty dxfid="6">
      <rpv i="0">_([$$-en-US]* #,##0.00_);_([$$-en-US]* (#,##0.00);_([$$-en-US]* "-"??_);_(@_)</rpv>
    </rSty>
    <rSty dxfid="0">
      <rpv i="0">#,##0.00</rpv>
    </rSty>
    <rSty>
      <rpv i="1">1</rpv>
    </rSty>
    <rSty dxfid="1">
      <rpv i="0">#,##0</rpv>
    </rSty>
    <rSty dxfid="2"/>
    <rSty dxfid="6">
      <rpv i="0">_([$$-en-US]* #,##0_);_([$$-en-US]* (#,##0);_([$$-en-US]* "-"_);_(@_)</rpv>
    </rSty>
    <rSty dxfid="5"/>
    <rSty dxfid="4">
      <rpv i="0">0</rpv>
    </rSty>
    <rSty dxfid="3">
      <rpv i="0">0.00</rpv>
    </rSty>
    <rSty>
      <rpv i="2">1</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threadedComments/threadedComment2.xml><?xml version="1.0" encoding="utf-8"?>
<ThreadedComments xmlns="http://schemas.microsoft.com/office/spreadsheetml/2018/threadedcomments" xmlns:x="http://schemas.openxmlformats.org/spreadsheetml/2006/main">
  <threadedComment ref="D307" dT="2024-04-24T11:40:23.38" personId="{D47E4442-48DB-47AC-9C08-D9435CA51614}" id="{2EC4044A-76D6-496D-AC66-EEF03B5C5CE7}">
    <text>The huge discrepancy between CapEx and Variation in Gross PPE derives from 692M$ of PPE acquired with Xilinx Acquisition in Feb 2022</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finance.yahoo.com/news/semiconductor-market-size-reach-usd-003000114.html" TargetMode="External"/><Relationship Id="rId7" Type="http://schemas.openxmlformats.org/officeDocument/2006/relationships/comments" Target="../comments2.xml"/><Relationship Id="rId2" Type="http://schemas.openxmlformats.org/officeDocument/2006/relationships/hyperlink" Target="https://www.precedenceresearch.com/semiconductor-market" TargetMode="External"/><Relationship Id="rId1" Type="http://schemas.openxmlformats.org/officeDocument/2006/relationships/hyperlink" Target="https://www.statista.com/outlook/tmo/semiconductors/worldwide"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7"/>
  <sheetViews>
    <sheetView showGridLines="0" zoomScaleNormal="100" workbookViewId="0">
      <selection activeCell="F31" sqref="F31:G31"/>
    </sheetView>
  </sheetViews>
  <sheetFormatPr defaultColWidth="11.44140625" defaultRowHeight="13.2"/>
  <cols>
    <col min="1" max="1" width="0.44140625" customWidth="1"/>
    <col min="2" max="2" width="21.109375" bestFit="1" customWidth="1"/>
    <col min="3" max="3" width="23.44140625" customWidth="1"/>
    <col min="4" max="4" width="32" customWidth="1"/>
    <col min="5" max="5" width="20.44140625" bestFit="1" customWidth="1"/>
    <col min="6" max="6" width="17" bestFit="1" customWidth="1"/>
    <col min="7" max="7" width="13.44140625" bestFit="1" customWidth="1"/>
    <col min="8" max="8" width="24.88671875" customWidth="1"/>
    <col min="9" max="9" width="17.109375" customWidth="1"/>
    <col min="10" max="10" width="10.44140625" customWidth="1"/>
    <col min="11" max="11" width="13.6640625" customWidth="1"/>
    <col min="12" max="12" width="20.88671875" bestFit="1" customWidth="1"/>
    <col min="13" max="13" width="31" customWidth="1"/>
  </cols>
  <sheetData>
    <row r="1" spans="2:13" ht="3.75" customHeight="1" thickBot="1"/>
    <row r="2" spans="2:13" ht="22.5" customHeight="1">
      <c r="B2" s="357">
        <v>45039</v>
      </c>
      <c r="C2" s="252" t="s">
        <v>0</v>
      </c>
      <c r="D2" s="358"/>
      <c r="E2" s="1678" t="e" vm="1">
        <f>Inputs!H3</f>
        <v>#VALUE!</v>
      </c>
      <c r="F2" s="1679"/>
      <c r="G2" s="1679"/>
      <c r="H2" s="1679"/>
      <c r="I2" s="1679"/>
      <c r="J2" s="1679"/>
      <c r="K2" s="1680"/>
      <c r="L2" s="253" t="s">
        <v>1</v>
      </c>
      <c r="M2" s="426" t="s">
        <v>2</v>
      </c>
    </row>
    <row r="3" spans="2:13" ht="26.25" customHeight="1">
      <c r="B3" s="1656"/>
      <c r="C3" s="1657"/>
      <c r="D3" s="1689" t="s">
        <v>3</v>
      </c>
      <c r="E3" s="1689"/>
      <c r="F3" s="1689"/>
      <c r="G3" s="1689"/>
      <c r="H3" s="1689" t="s">
        <v>4</v>
      </c>
      <c r="I3" s="1689"/>
      <c r="J3" s="1689"/>
      <c r="K3" s="1689"/>
      <c r="L3" s="1689"/>
      <c r="M3" s="1690"/>
    </row>
    <row r="4" spans="2:13">
      <c r="B4" s="1656"/>
      <c r="C4" s="1657"/>
      <c r="D4" s="1688" t="str" cm="1">
        <f t="array" aca="1" ref="D4" ca="1">_FV(Inputs!H3,"Description")</f>
        <v>Advanced Micro Devices, Inc. is a global semiconductor company. It is focused on high-performance computing, graphics and visualization technologies. It operates in four segments. The Data Center segment includes artificial intelligence (AI) accelerators, server central processing units (CPUs), graphics processing units (GPUs), accelerated processing units (APUs), data processing units (DPUs), field programmable gate arrays (FPGAs), smart network interface cards (SmartNICs), and Adaptive system-on-chip (SoC) products for data centers. The Client segment primarily includes CPUs, APUs, and chipsets for desktops and notebooks. The Gaming segment primarily includes discrete GPUs, semi-custom SoC products and development services. The Embedded segment includes embedded CPUs, GPUs, APUs, FPGAs, system on modules (SOMs), and Adaptive SoC products. It markets and sells its products under the AMD trademark. Its products include AMD EPYC, AMD Ryzen, AMD Ryzen PRO, Virtex UltraScale+ and others.</v>
      </c>
      <c r="E4" s="1688"/>
      <c r="F4" s="1688"/>
      <c r="G4" s="1688"/>
      <c r="H4" s="102" t="s">
        <v>5</v>
      </c>
      <c r="I4" s="103" t="s">
        <v>6</v>
      </c>
      <c r="J4" s="103" t="s">
        <v>7</v>
      </c>
      <c r="K4" s="103" t="s">
        <v>8</v>
      </c>
      <c r="L4" s="103" t="s">
        <v>9</v>
      </c>
      <c r="M4" s="104" t="s">
        <v>10</v>
      </c>
    </row>
    <row r="5" spans="2:13" ht="39.6">
      <c r="B5" s="1656"/>
      <c r="C5" s="1657"/>
      <c r="D5" s="1688"/>
      <c r="E5" s="1688"/>
      <c r="F5" s="1688"/>
      <c r="G5" s="1688"/>
      <c r="H5" s="105" t="s">
        <v>11</v>
      </c>
      <c r="I5" s="350" t="s">
        <v>12</v>
      </c>
      <c r="J5" s="350">
        <v>54</v>
      </c>
      <c r="K5" s="350" t="s">
        <v>13</v>
      </c>
      <c r="L5" s="350" t="s">
        <v>14</v>
      </c>
      <c r="M5" s="425" t="s">
        <v>15</v>
      </c>
    </row>
    <row r="6" spans="2:13" ht="26.4">
      <c r="B6" s="1656"/>
      <c r="C6" s="1657"/>
      <c r="D6" s="1688"/>
      <c r="E6" s="1688"/>
      <c r="F6" s="1688"/>
      <c r="G6" s="1688"/>
      <c r="H6" s="105" t="s">
        <v>16</v>
      </c>
      <c r="I6" s="350" t="s">
        <v>12</v>
      </c>
      <c r="J6" s="350">
        <v>61</v>
      </c>
      <c r="K6" s="350" t="s">
        <v>17</v>
      </c>
      <c r="L6" s="350"/>
      <c r="M6" s="425" t="s">
        <v>18</v>
      </c>
    </row>
    <row r="7" spans="2:13">
      <c r="B7" s="1656"/>
      <c r="C7" s="1657"/>
      <c r="D7" s="1688"/>
      <c r="E7" s="1688"/>
      <c r="F7" s="1688"/>
      <c r="G7" s="1688"/>
      <c r="H7" s="105" t="s">
        <v>19</v>
      </c>
      <c r="I7" s="350" t="s">
        <v>20</v>
      </c>
      <c r="J7" s="350">
        <v>62</v>
      </c>
      <c r="K7" s="350" t="s">
        <v>21</v>
      </c>
      <c r="L7" s="350"/>
      <c r="M7" s="254" t="s">
        <v>22</v>
      </c>
    </row>
    <row r="8" spans="2:13">
      <c r="B8" s="1656"/>
      <c r="C8" s="1657"/>
      <c r="D8" s="1688"/>
      <c r="E8" s="1688"/>
      <c r="F8" s="1688"/>
      <c r="G8" s="1688"/>
      <c r="H8" s="105" t="s">
        <v>23</v>
      </c>
      <c r="I8" s="350" t="s">
        <v>20</v>
      </c>
      <c r="J8" s="350">
        <v>58</v>
      </c>
      <c r="K8" s="350" t="s">
        <v>24</v>
      </c>
      <c r="L8" s="350"/>
      <c r="M8" s="425" t="s">
        <v>22</v>
      </c>
    </row>
    <row r="9" spans="2:13" ht="26.4">
      <c r="B9" s="1656"/>
      <c r="C9" s="1657"/>
      <c r="D9" s="1688"/>
      <c r="E9" s="1688"/>
      <c r="F9" s="1688"/>
      <c r="G9" s="1688"/>
      <c r="H9" s="105" t="s">
        <v>25</v>
      </c>
      <c r="I9" s="350" t="s">
        <v>20</v>
      </c>
      <c r="J9" s="350">
        <v>64</v>
      </c>
      <c r="K9" s="903" t="s">
        <v>17</v>
      </c>
      <c r="L9" s="350"/>
      <c r="M9" s="425" t="s">
        <v>22</v>
      </c>
    </row>
    <row r="10" spans="2:13" ht="26.4">
      <c r="B10" s="1656"/>
      <c r="C10" s="1657"/>
      <c r="D10" s="1688"/>
      <c r="E10" s="1688"/>
      <c r="F10" s="1688"/>
      <c r="G10" s="1688"/>
      <c r="H10" s="105" t="s">
        <v>26</v>
      </c>
      <c r="I10" s="350" t="s">
        <v>20</v>
      </c>
      <c r="J10" s="350">
        <v>57</v>
      </c>
      <c r="K10" s="350" t="s">
        <v>21</v>
      </c>
      <c r="L10" s="350"/>
      <c r="M10" s="254" t="s">
        <v>22</v>
      </c>
    </row>
    <row r="11" spans="2:13" ht="26.4">
      <c r="B11" s="1656"/>
      <c r="C11" s="1657"/>
      <c r="D11" s="1688"/>
      <c r="E11" s="1688"/>
      <c r="F11" s="1688"/>
      <c r="G11" s="1688"/>
      <c r="H11" s="105" t="s">
        <v>27</v>
      </c>
      <c r="I11" s="350" t="s">
        <v>20</v>
      </c>
      <c r="J11" s="350">
        <v>70</v>
      </c>
      <c r="K11" s="350" t="s">
        <v>28</v>
      </c>
      <c r="L11" s="350"/>
      <c r="M11" s="254" t="s">
        <v>22</v>
      </c>
    </row>
    <row r="12" spans="2:13" ht="26.4">
      <c r="B12" s="1656"/>
      <c r="C12" s="1657"/>
      <c r="D12" s="1688"/>
      <c r="E12" s="1688"/>
      <c r="F12" s="1688"/>
      <c r="G12" s="1688"/>
      <c r="H12" s="105" t="s">
        <v>29</v>
      </c>
      <c r="I12" s="350" t="s">
        <v>20</v>
      </c>
      <c r="J12" s="350">
        <v>59</v>
      </c>
      <c r="K12" s="350" t="s">
        <v>21</v>
      </c>
      <c r="L12" s="350"/>
      <c r="M12" s="254" t="s">
        <v>22</v>
      </c>
    </row>
    <row r="13" spans="2:13">
      <c r="B13" s="1656"/>
      <c r="C13" s="1657"/>
      <c r="D13" s="1688"/>
      <c r="E13" s="1688"/>
      <c r="F13" s="1688"/>
      <c r="G13" s="1688"/>
      <c r="H13" s="105" t="s">
        <v>30</v>
      </c>
      <c r="I13" s="350" t="s">
        <v>12</v>
      </c>
      <c r="J13" s="350">
        <v>59</v>
      </c>
      <c r="K13" s="350" t="s">
        <v>28</v>
      </c>
      <c r="L13" s="350"/>
      <c r="M13" s="425" t="s">
        <v>22</v>
      </c>
    </row>
    <row r="14" spans="2:13" ht="24" customHeight="1">
      <c r="B14" s="1656"/>
      <c r="C14" s="1657"/>
      <c r="D14" s="1688"/>
      <c r="E14" s="1688"/>
      <c r="F14" s="1688"/>
      <c r="G14" s="1688"/>
      <c r="H14" s="105"/>
      <c r="I14" s="350"/>
      <c r="J14" s="350"/>
      <c r="K14" s="350"/>
      <c r="L14" s="350"/>
      <c r="M14" s="254"/>
    </row>
    <row r="15" spans="2:13" ht="25.5" customHeight="1">
      <c r="B15" s="1656"/>
      <c r="C15" s="1657"/>
      <c r="D15" s="1688"/>
      <c r="E15" s="1688"/>
      <c r="F15" s="1688"/>
      <c r="G15" s="1688"/>
      <c r="H15" s="105"/>
      <c r="I15" s="350"/>
      <c r="J15" s="350"/>
      <c r="K15" s="350"/>
      <c r="L15" s="350"/>
      <c r="M15" s="254"/>
    </row>
    <row r="16" spans="2:13">
      <c r="B16" s="1656"/>
      <c r="C16" s="1657"/>
      <c r="D16" s="1688"/>
      <c r="E16" s="1688"/>
      <c r="F16" s="1688"/>
      <c r="G16" s="1688"/>
      <c r="H16" s="105"/>
      <c r="I16" s="351"/>
      <c r="J16" s="350"/>
      <c r="K16" s="350"/>
      <c r="L16" s="350"/>
      <c r="M16" s="254"/>
    </row>
    <row r="17" spans="2:13">
      <c r="B17" s="1654" t="s">
        <v>31</v>
      </c>
      <c r="C17" s="1655"/>
      <c r="D17" s="1688"/>
      <c r="E17" s="1688"/>
      <c r="F17" s="1688"/>
      <c r="G17" s="1688"/>
      <c r="H17" s="105"/>
      <c r="I17" s="351"/>
      <c r="J17" s="350"/>
      <c r="K17" s="350"/>
      <c r="L17" s="350"/>
      <c r="M17" s="425"/>
    </row>
    <row r="18" spans="2:13" ht="17.399999999999999">
      <c r="B18" s="1632" t="s">
        <v>32</v>
      </c>
      <c r="C18" s="1633"/>
      <c r="D18" s="1633"/>
      <c r="E18" s="1633"/>
      <c r="F18" s="1633"/>
      <c r="G18" s="1633"/>
      <c r="H18" s="1633"/>
      <c r="I18" s="1633"/>
      <c r="J18" s="1633"/>
      <c r="K18" s="1633"/>
      <c r="L18" s="1633"/>
      <c r="M18" s="1634"/>
    </row>
    <row r="19" spans="2:13" ht="15.6">
      <c r="B19" s="1659" t="s">
        <v>33</v>
      </c>
      <c r="C19" s="1660"/>
      <c r="D19" s="1609" t="s">
        <v>34</v>
      </c>
      <c r="E19" s="1611"/>
      <c r="F19" s="1691" t="s">
        <v>35</v>
      </c>
      <c r="G19" s="1692"/>
      <c r="H19" s="1693"/>
      <c r="I19" s="1609" t="s">
        <v>36</v>
      </c>
      <c r="J19" s="1610"/>
      <c r="K19" s="1611"/>
      <c r="L19" s="1609" t="s">
        <v>37</v>
      </c>
      <c r="M19" s="1658"/>
    </row>
    <row r="20" spans="2:13">
      <c r="B20" s="424" t="s">
        <v>38</v>
      </c>
      <c r="C20" s="117" cm="1">
        <f t="array" aca="1" ref="C20" ca="1">_FV(E2,"Price")</f>
        <v>78.209999999999994</v>
      </c>
      <c r="D20" s="10" t="s">
        <v>39</v>
      </c>
      <c r="E20" s="115">
        <f>_xlfn.XLOOKUP(D20,'Fin. Data'!A:A,'Fin. Data'!B:B,,0)</f>
        <v>67885</v>
      </c>
      <c r="F20" s="1681" t="s">
        <v>40</v>
      </c>
      <c r="G20" s="1682"/>
      <c r="H20" s="96" t="s">
        <v>41</v>
      </c>
      <c r="I20" t="s">
        <v>42</v>
      </c>
      <c r="J20" s="1664">
        <v>2023</v>
      </c>
      <c r="K20" s="1665"/>
      <c r="L20" s="9" t="s">
        <v>43</v>
      </c>
      <c r="M20" s="455"/>
    </row>
    <row r="21" spans="2:13" ht="12.75" customHeight="1">
      <c r="B21" s="424" t="s">
        <v>44</v>
      </c>
      <c r="C21" s="288" cm="1">
        <f t="array" aca="1" ref="C21" ca="1">_FV(E2,"Shares outstanding",TRUE)</f>
        <v>1616297000</v>
      </c>
      <c r="D21" s="9" t="s">
        <v>45</v>
      </c>
      <c r="E21" s="115">
        <f>_xlfn.XLOOKUP(D21,'Fin. Data'!A:A,'Fin. Data'!B:B,,0)</f>
        <v>11993</v>
      </c>
      <c r="F21" s="1668" t="str">
        <f>Segments!C5</f>
        <v>United States</v>
      </c>
      <c r="G21" s="1669"/>
      <c r="H21" s="14">
        <f>Segments!B5</f>
        <v>0.3455467372134039</v>
      </c>
      <c r="I21" s="9" t="s">
        <v>46</v>
      </c>
      <c r="J21" s="1685">
        <v>45291</v>
      </c>
      <c r="K21" s="1686"/>
      <c r="L21" s="9" t="s">
        <v>47</v>
      </c>
      <c r="M21" s="422"/>
    </row>
    <row r="22" spans="2:13" ht="12.75" customHeight="1">
      <c r="B22" s="424" t="s">
        <v>48</v>
      </c>
      <c r="C22" s="49">
        <f ca="1">C20*C21/1000000</f>
        <v>126410.58836999998</v>
      </c>
      <c r="D22" s="9" t="s">
        <v>49</v>
      </c>
      <c r="E22" s="339">
        <f ca="1">_xlfn.XLOOKUP("Cash &amp; Eq.",'Fin. Data'!A:A,'Fin. Data'!B:B,,0)*1000000/C21</f>
        <v>2.4333399121572334</v>
      </c>
      <c r="F22" s="1668" t="str">
        <f>Segments!C6</f>
        <v>Japan</v>
      </c>
      <c r="G22" s="1669"/>
      <c r="H22" s="14">
        <f>Segments!B6</f>
        <v>0.20410052910052909</v>
      </c>
      <c r="I22" s="1619" t="s">
        <v>50</v>
      </c>
      <c r="J22" s="1619"/>
      <c r="K22" s="115">
        <f>_xlfn.XLOOKUP(I22,'Fin. Data'!A:A,'Fin. Data'!B:B,,0)</f>
        <v>3846</v>
      </c>
      <c r="L22" s="5" t="s">
        <v>51</v>
      </c>
      <c r="M22" s="423"/>
    </row>
    <row r="23" spans="2:13" ht="12.75" customHeight="1">
      <c r="B23" s="421" t="s">
        <v>52</v>
      </c>
      <c r="C23" s="49">
        <f>'Fin. Data'!B58</f>
        <v>2252</v>
      </c>
      <c r="D23" s="9" t="s">
        <v>53</v>
      </c>
      <c r="E23" s="339">
        <f>_xlfn.XLOOKUP("EBITDA",'Fin. Data'!A:A,'Fin. Data'!B:B,,0)/_xlfn.XLOOKUP("Net Financial Cost",'Fin. Data'!A:A,'Fin. Data'!B:B,,0)</f>
        <v>38.848484848484851</v>
      </c>
      <c r="F23" s="1668" t="str">
        <f>Segments!C7</f>
        <v>China (including Hong Kong)</v>
      </c>
      <c r="G23" s="1669"/>
      <c r="H23" s="14">
        <f>Segments!B7</f>
        <v>0.15066137566137566</v>
      </c>
      <c r="I23" s="1687" t="s">
        <v>54</v>
      </c>
      <c r="J23" s="1687"/>
      <c r="K23" s="115">
        <f>_xlfn.XLOOKUP(I23,'Fin. Data'!A:A,'Fin. Data'!B:B,,0)</f>
        <v>3453</v>
      </c>
      <c r="L23" s="9" t="s">
        <v>55</v>
      </c>
      <c r="M23" s="420"/>
    </row>
    <row r="24" spans="2:13" ht="12.75" customHeight="1">
      <c r="B24" s="421" t="s">
        <v>56</v>
      </c>
      <c r="C24" s="49">
        <f>'Fin. Data'!B39</f>
        <v>3933</v>
      </c>
      <c r="D24" s="9" t="s">
        <v>57</v>
      </c>
      <c r="E24" s="339">
        <f>_xlfn.XLOOKUP("Total Debt",'Fin. Data'!A:A,'Fin. Data'!B:B,,0)/_xlfn.XLOOKUP("EBITDA",'Fin. Data'!A:A,'Fin. Data'!B:B,,0)</f>
        <v>0.58554342173686946</v>
      </c>
      <c r="F24" s="1668" t="str">
        <f>Segments!C8</f>
        <v>Singapore</v>
      </c>
      <c r="G24" s="1669"/>
      <c r="H24" s="39">
        <f>Segments!B8</f>
        <v>9.8368606701940031E-2</v>
      </c>
      <c r="I24" s="1687" t="s">
        <v>58</v>
      </c>
      <c r="J24" s="1687"/>
      <c r="K24" s="115">
        <f>_xlfn.XLOOKUP(I24,'Fin. Data'!A:A,'Fin. Data'!B:B,,0)</f>
        <v>393</v>
      </c>
      <c r="L24" s="9" t="s">
        <v>59</v>
      </c>
      <c r="M24" s="419">
        <f ca="1">IFERROR((C20*C21/(E20-E21))/1000000,"")</f>
        <v>2.261693773169684</v>
      </c>
    </row>
    <row r="25" spans="2:13" ht="12.75" customHeight="1">
      <c r="B25" s="421" t="s">
        <v>60</v>
      </c>
      <c r="C25" s="49">
        <f ca="1">C22+C23-C24</f>
        <v>124729.58836999998</v>
      </c>
      <c r="D25" s="9" t="s">
        <v>61</v>
      </c>
      <c r="E25" s="339">
        <f>_xlfn.XLOOKUP("Other Assets",'Fin. Data'!A:A,'Fin. Data'!B:B,,0)/_xlfn.XLOOKUP("Total Assets",'Fin. Data'!A:A,'Fin. Data'!B:B,,0)</f>
        <v>0.76458716947779337</v>
      </c>
      <c r="F25" s="1668" t="str">
        <f>Segments!C9</f>
        <v>Europe</v>
      </c>
      <c r="G25" s="1669"/>
      <c r="H25" s="39">
        <f>Segments!B9</f>
        <v>8.9506172839506168E-2</v>
      </c>
      <c r="I25" s="1619" t="s">
        <v>62</v>
      </c>
      <c r="J25" s="1619"/>
      <c r="K25" s="115">
        <f>_xlfn.XLOOKUP(I25,'Fin. Data'!A:A,'Fin. Data'!B:B,,0)</f>
        <v>854</v>
      </c>
      <c r="L25" s="9" t="s">
        <v>63</v>
      </c>
      <c r="M25" s="418">
        <f>IFERROR(K31/E20,"")</f>
        <v>2.6201173553313202E-2</v>
      </c>
    </row>
    <row r="26" spans="2:13" ht="12.75" customHeight="1">
      <c r="B26" s="421" t="s">
        <v>64</v>
      </c>
      <c r="C26" s="118" t="s">
        <v>65</v>
      </c>
      <c r="D26" s="9" t="s">
        <v>66</v>
      </c>
      <c r="E26" s="339">
        <f>_xlfn.XLOOKUP(D26,'Fin. Data'!A:A,'Fin. Data'!B:B,,0)</f>
        <v>3.3173749723797601E-2</v>
      </c>
      <c r="F26" s="1683" t="s">
        <v>67</v>
      </c>
      <c r="G26" s="1684"/>
      <c r="H26" s="97" t="s">
        <v>41</v>
      </c>
      <c r="I26" s="1619" t="s">
        <v>68</v>
      </c>
      <c r="J26" s="1619"/>
      <c r="K26" s="63">
        <f ca="1">1000000*K25/C21</f>
        <v>0.52836823925305809</v>
      </c>
      <c r="L26" s="9" t="s">
        <v>69</v>
      </c>
      <c r="M26" s="417">
        <f ca="1">IFERROR(C22/K30,"")</f>
        <v>71.070420747751115</v>
      </c>
    </row>
    <row r="27" spans="2:13" ht="12.75" customHeight="1">
      <c r="B27" s="424" t="s">
        <v>70</v>
      </c>
      <c r="C27" s="119" t="s">
        <v>65</v>
      </c>
      <c r="D27" s="9" t="s">
        <v>71</v>
      </c>
      <c r="E27" s="116">
        <f>AVERAGE(_xlfn.XLOOKUP("EBITDA Margin",'Fin. Data'!A:A,'Fin. Data'!B:D,,0))</f>
        <v>0.21508694812794649</v>
      </c>
      <c r="F27" s="1668" t="str">
        <f>Segments!C19</f>
        <v>Data Center</v>
      </c>
      <c r="G27" s="1669"/>
      <c r="H27" s="14">
        <f>Segments!B19</f>
        <v>0.28641975308641976</v>
      </c>
      <c r="I27" s="1619" t="s">
        <v>72</v>
      </c>
      <c r="J27" s="1619"/>
      <c r="K27" s="64">
        <f>K25/E20</f>
        <v>1.2580098696324666E-2</v>
      </c>
      <c r="L27" s="9" t="s">
        <v>73</v>
      </c>
      <c r="M27" s="416">
        <f ca="1">IFERROR(C25/E20,"")</f>
        <v>1.837365962583781</v>
      </c>
    </row>
    <row r="28" spans="2:13" ht="12.75" customHeight="1">
      <c r="B28" s="424" t="s">
        <v>74</v>
      </c>
      <c r="C28" s="15"/>
      <c r="D28" s="9" t="s">
        <v>75</v>
      </c>
      <c r="E28" s="116">
        <f>AVERAGE(_xlfn.XLOOKUP("Operating Margin",'Fin. Data'!A:A,'Fin. Data'!B:D,,0))</f>
        <v>9.7596902286917808E-2</v>
      </c>
      <c r="F28" s="1668" t="str">
        <f>Segments!C21</f>
        <v>Gaming</v>
      </c>
      <c r="G28" s="1669"/>
      <c r="H28" s="14">
        <f>Segments!B21</f>
        <v>0.27389770723104057</v>
      </c>
      <c r="I28" s="1619" t="s">
        <v>76</v>
      </c>
      <c r="J28" s="1619"/>
      <c r="K28" s="64">
        <f>Peers!C16</f>
        <v>1.6072852810846756E-2</v>
      </c>
      <c r="L28" s="9" t="s">
        <v>77</v>
      </c>
      <c r="M28" s="416">
        <f ca="1">IFERROR(C25/K29,"")</f>
        <v>28.115468112555412</v>
      </c>
    </row>
    <row r="29" spans="2:13" ht="15.6">
      <c r="B29" s="1659" t="s">
        <v>78</v>
      </c>
      <c r="C29" s="1660"/>
      <c r="D29" s="9" t="s">
        <v>79</v>
      </c>
      <c r="E29" s="116">
        <f>AVERAGE(_xlfn.XLOOKUP("Net Income Margin",'Fin. Data'!A:A,'Fin. Data'!B:D,,0))</f>
        <v>9.5330047351998973E-2</v>
      </c>
      <c r="F29" s="1668" t="str">
        <f>Segments!C22</f>
        <v>Embedded</v>
      </c>
      <c r="G29" s="1669"/>
      <c r="H29" s="14">
        <f>Segments!B22</f>
        <v>0.23461199294532628</v>
      </c>
      <c r="I29" s="1618" t="s">
        <v>80</v>
      </c>
      <c r="J29" s="1618"/>
      <c r="K29" s="625">
        <f>AVERAGE(_xlfn.XLOOKUP("EBITDA",'Fin. Data'!A:A,'Fin. Data'!B:D,,0))</f>
        <v>4436.333333333333</v>
      </c>
      <c r="L29" s="9" t="s">
        <v>81</v>
      </c>
      <c r="M29" s="417">
        <f ca="1">IFERROR(C22/K31,"")</f>
        <v>71.070420747751115</v>
      </c>
    </row>
    <row r="30" spans="2:13" ht="12.75" customHeight="1">
      <c r="B30" s="6" t="s">
        <v>82</v>
      </c>
      <c r="C30" s="464"/>
      <c r="D30" s="548"/>
      <c r="E30" s="124"/>
      <c r="F30" s="1668" t="str">
        <f>Segments!C20</f>
        <v>Client</v>
      </c>
      <c r="G30" s="1669"/>
      <c r="H30" s="14">
        <f>Segments!B20</f>
        <v>0.20507054673721339</v>
      </c>
      <c r="I30" s="1619" t="s">
        <v>83</v>
      </c>
      <c r="J30" s="1619"/>
      <c r="K30" s="115">
        <f>AVERAGE(_xlfn.XLOOKUP("Net Income",'Fin. Data'!A:A,'Fin. Data'!B:D,,0))</f>
        <v>1778.6666666666667</v>
      </c>
      <c r="L30" s="9" t="s">
        <v>84</v>
      </c>
      <c r="M30" s="415" t="s">
        <v>65</v>
      </c>
    </row>
    <row r="31" spans="2:13" ht="12.75" customHeight="1">
      <c r="B31" s="6" t="s">
        <v>85</v>
      </c>
      <c r="C31" s="465"/>
      <c r="D31" s="9" t="s">
        <v>86</v>
      </c>
      <c r="E31" s="461">
        <f>-_xlfn.XLOOKUP("Net Financial Cost",'Fin. Data'!A:A,'Fin. Data'!B:B,,0)/AVERAGE(_xlfn.XLOOKUP("Net Debt",'Fin. Data'!A:A,'Fin. Data'!B:D,,0))</f>
        <v>5.0864874122281217E-2</v>
      </c>
      <c r="F31" s="1668" t="e">
        <f>Segments!#REF!</f>
        <v>#REF!</v>
      </c>
      <c r="G31" s="1669"/>
      <c r="H31" s="14" t="e">
        <f>Segments!#REF!</f>
        <v>#REF!</v>
      </c>
      <c r="I31" s="1619" t="s">
        <v>87</v>
      </c>
      <c r="J31" s="1619"/>
      <c r="K31" s="115">
        <f>AVERAGE(_xlfn.XLOOKUP("Net Income",'Fin. Data'!A:A,'Fin. Data'!B:D,,0))</f>
        <v>1778.6666666666667</v>
      </c>
      <c r="L31" s="9" t="s">
        <v>88</v>
      </c>
      <c r="M31" s="414">
        <f ca="1">-IFERROR(SUM(E52:E54)/(3*C22),"")</f>
        <v>1.7005432016301177E-2</v>
      </c>
    </row>
    <row r="32" spans="2:13" ht="12.75" customHeight="1">
      <c r="B32" s="6" t="s">
        <v>89</v>
      </c>
      <c r="C32" s="465"/>
      <c r="D32" s="121"/>
      <c r="E32" s="123"/>
      <c r="F32" s="1666"/>
      <c r="G32" s="1667"/>
      <c r="H32" s="16"/>
      <c r="I32" s="121"/>
      <c r="J32" s="122"/>
      <c r="K32" s="122"/>
      <c r="L32" s="9" t="s">
        <v>90</v>
      </c>
      <c r="M32" s="413">
        <f ca="1">-IFERROR(L53/C22,"")</f>
        <v>0</v>
      </c>
    </row>
    <row r="33" spans="1:19" ht="18" thickBot="1">
      <c r="B33" s="1632" t="s">
        <v>91</v>
      </c>
      <c r="C33" s="1633"/>
      <c r="D33" s="1633"/>
      <c r="E33" s="1633"/>
      <c r="F33" s="1633"/>
      <c r="G33" s="1633"/>
      <c r="H33" s="1633"/>
      <c r="I33" s="1633"/>
      <c r="J33" s="1633"/>
      <c r="K33" s="1633"/>
      <c r="L33" s="1633"/>
      <c r="M33" s="1634"/>
    </row>
    <row r="34" spans="1:19" ht="16.2" thickBot="1">
      <c r="B34" s="1607" t="s">
        <v>92</v>
      </c>
      <c r="C34" s="1608"/>
      <c r="D34" s="1608"/>
      <c r="E34" s="1608"/>
      <c r="F34" s="1608"/>
      <c r="G34" s="1608"/>
      <c r="H34" s="466" t="s">
        <v>93</v>
      </c>
      <c r="I34" s="1620" t="s">
        <v>94</v>
      </c>
      <c r="J34" s="1621"/>
      <c r="K34" s="1621"/>
      <c r="L34" s="1621"/>
      <c r="M34" s="1622"/>
      <c r="N34" s="8"/>
    </row>
    <row r="35" spans="1:19" ht="13.5" customHeight="1">
      <c r="A35" s="8"/>
      <c r="B35" s="467" t="s">
        <v>95</v>
      </c>
      <c r="C35" s="1629" t="s">
        <v>96</v>
      </c>
      <c r="D35" s="1630"/>
      <c r="E35" s="1630"/>
      <c r="F35" s="1630"/>
      <c r="G35" s="1631"/>
      <c r="H35" s="1670" t="s">
        <v>97</v>
      </c>
      <c r="I35" s="1696"/>
      <c r="J35" s="1697"/>
      <c r="K35" s="1697"/>
      <c r="L35" s="1697"/>
      <c r="M35" s="1698"/>
    </row>
    <row r="36" spans="1:19" ht="24.75" customHeight="1">
      <c r="A36" s="8"/>
      <c r="B36" s="468" t="s">
        <v>98</v>
      </c>
      <c r="C36" s="1635" t="s">
        <v>99</v>
      </c>
      <c r="D36" s="1636"/>
      <c r="E36" s="1636"/>
      <c r="F36" s="1636"/>
      <c r="G36" s="1637"/>
      <c r="H36" s="1670"/>
      <c r="I36" s="1699"/>
      <c r="J36" s="1700"/>
      <c r="K36" s="1700"/>
      <c r="L36" s="1700"/>
      <c r="M36" s="1701"/>
    </row>
    <row r="37" spans="1:19" ht="24.75" customHeight="1">
      <c r="A37" s="8"/>
      <c r="B37" s="468" t="s">
        <v>100</v>
      </c>
      <c r="C37" s="1635" t="s">
        <v>101</v>
      </c>
      <c r="D37" s="1636"/>
      <c r="E37" s="1636"/>
      <c r="F37" s="1636"/>
      <c r="G37" s="1637"/>
      <c r="H37" s="1670"/>
      <c r="I37" s="1699"/>
      <c r="J37" s="1700"/>
      <c r="K37" s="1700"/>
      <c r="L37" s="1700"/>
      <c r="M37" s="1701"/>
    </row>
    <row r="38" spans="1:19" ht="24.75" customHeight="1">
      <c r="B38" s="469" t="s">
        <v>102</v>
      </c>
      <c r="C38" s="1672" t="s">
        <v>103</v>
      </c>
      <c r="D38" s="1673"/>
      <c r="E38" s="1673"/>
      <c r="F38" s="1673"/>
      <c r="G38" s="1674"/>
      <c r="H38" s="1671"/>
      <c r="I38" s="1702"/>
      <c r="J38" s="1703"/>
      <c r="K38" s="1703"/>
      <c r="L38" s="1703"/>
      <c r="M38" s="1704"/>
    </row>
    <row r="39" spans="1:19" ht="15.6">
      <c r="B39" s="1623" t="s">
        <v>104</v>
      </c>
      <c r="C39" s="1624"/>
      <c r="D39" s="1624"/>
      <c r="E39" s="1624"/>
      <c r="F39" s="1624"/>
      <c r="G39" s="1625"/>
      <c r="H39" s="470" t="s">
        <v>105</v>
      </c>
      <c r="I39" s="1705" t="s">
        <v>106</v>
      </c>
      <c r="J39" s="1705"/>
      <c r="K39" s="1705"/>
      <c r="L39" s="1705"/>
      <c r="M39" s="1706"/>
    </row>
    <row r="40" spans="1:19" ht="13.5" customHeight="1">
      <c r="B40" s="471" t="s">
        <v>107</v>
      </c>
      <c r="C40" s="1626" t="s">
        <v>96</v>
      </c>
      <c r="D40" s="1627"/>
      <c r="E40" s="1627"/>
      <c r="F40" s="1627"/>
      <c r="G40" s="1628"/>
      <c r="H40" s="1661">
        <f ca="1">'Base Case'!D76</f>
        <v>183.58062727957602</v>
      </c>
      <c r="I40" s="1639" t="s">
        <v>108</v>
      </c>
      <c r="J40" s="1641">
        <v>0.18</v>
      </c>
      <c r="K40" s="1642"/>
      <c r="L40" s="1647" t="s">
        <v>109</v>
      </c>
      <c r="M40" s="1651" t="e">
        <f ca="1">SARD!AJ14</f>
        <v>#NUM!</v>
      </c>
    </row>
    <row r="41" spans="1:19" ht="13.5" customHeight="1">
      <c r="B41" s="468" t="s">
        <v>110</v>
      </c>
      <c r="C41" s="1675" t="s">
        <v>111</v>
      </c>
      <c r="D41" s="1676"/>
      <c r="E41" s="1676"/>
      <c r="F41" s="1676"/>
      <c r="G41" s="1677"/>
      <c r="H41" s="1662"/>
      <c r="I41" s="1640"/>
      <c r="J41" s="1643"/>
      <c r="K41" s="1644"/>
      <c r="L41" s="1648"/>
      <c r="M41" s="1652"/>
    </row>
    <row r="42" spans="1:19" ht="13.5" customHeight="1">
      <c r="B42" s="472" t="s">
        <v>112</v>
      </c>
      <c r="C42" s="1615" t="s">
        <v>113</v>
      </c>
      <c r="D42" s="1616"/>
      <c r="E42" s="1616"/>
      <c r="F42" s="1616"/>
      <c r="G42" s="1617"/>
      <c r="H42" s="1662"/>
      <c r="I42" s="1639" t="s">
        <v>114</v>
      </c>
      <c r="J42" s="1645">
        <f ca="1">'Base Case'!D75</f>
        <v>1.3472781905073012</v>
      </c>
      <c r="K42" s="1646"/>
      <c r="L42" s="1649" t="s">
        <v>115</v>
      </c>
      <c r="M42" s="1653" t="e">
        <f ca="1">SARD!AM14</f>
        <v>#NUM!</v>
      </c>
    </row>
    <row r="43" spans="1:19" ht="12.75" customHeight="1" thickBot="1">
      <c r="B43" s="473" t="s">
        <v>116</v>
      </c>
      <c r="C43" s="1612" t="s">
        <v>117</v>
      </c>
      <c r="D43" s="1613"/>
      <c r="E43" s="1613"/>
      <c r="F43" s="1613"/>
      <c r="G43" s="1614"/>
      <c r="H43" s="1663"/>
      <c r="I43" s="1640"/>
      <c r="J43" s="1643"/>
      <c r="K43" s="1644"/>
      <c r="L43" s="1650"/>
      <c r="M43" s="1652"/>
    </row>
    <row r="44" spans="1:19" ht="17.399999999999999">
      <c r="B44" s="1632" t="s">
        <v>118</v>
      </c>
      <c r="C44" s="1633"/>
      <c r="D44" s="1633"/>
      <c r="E44" s="1633"/>
      <c r="F44" s="1633"/>
      <c r="G44" s="1633"/>
      <c r="H44" s="1633"/>
      <c r="I44" s="1633"/>
      <c r="J44" s="1633"/>
      <c r="K44" s="1633"/>
      <c r="L44" s="1633"/>
      <c r="M44" s="1634"/>
    </row>
    <row r="45" spans="1:19">
      <c r="B45" s="549" t="s">
        <v>119</v>
      </c>
      <c r="C45" s="106" t="s">
        <v>120</v>
      </c>
      <c r="D45" s="106" t="s">
        <v>121</v>
      </c>
      <c r="E45" s="128" t="s">
        <v>122</v>
      </c>
      <c r="F45" s="106" t="s">
        <v>123</v>
      </c>
      <c r="G45" s="106" t="s">
        <v>66</v>
      </c>
      <c r="H45" s="127" t="s">
        <v>54</v>
      </c>
      <c r="I45" s="127" t="s">
        <v>124</v>
      </c>
      <c r="J45" s="1580" t="s">
        <v>125</v>
      </c>
      <c r="K45" s="1580"/>
      <c r="L45" s="1580"/>
      <c r="M45" s="1638"/>
    </row>
    <row r="46" spans="1:19">
      <c r="B46" s="550">
        <f t="shared" ref="B46:B52" si="0">B47-1</f>
        <v>2015</v>
      </c>
      <c r="C46" s="126" cm="1">
        <f t="array" ref="C46:C54">_xlfn.SORTBY(TRANSPOSE(_xlfn.XLOOKUP(C$45,'Fin. Data'!$A:$A,'Fin. Data'!$B:$J,,0)),$B$46:$B$54,-1)</f>
        <v>3991</v>
      </c>
      <c r="D46" s="99" cm="1">
        <f t="array" ref="D46:D54">_xlfn.SORTBY(TRANSPOSE(_xlfn.XLOOKUP(D$45,'Fin. Data'!$A:$A,'Fin. Data'!$B:$J,,0)),$B$46:$B$54,-1)</f>
        <v>-0.12052117263843648</v>
      </c>
      <c r="E46" s="126" cm="1">
        <f t="array" ref="E46:E54">_xlfn.SORTBY(TRANSPOSE(_xlfn.XLOOKUP(E$45,'Fin. Data'!$A:$A,'Fin. Data'!$B:$J,,0)),$B$46:$B$54,-1)</f>
        <v>0</v>
      </c>
      <c r="F46" s="125">
        <f>Inputs!J77</f>
        <v>-20</v>
      </c>
      <c r="G46" s="99" cm="1">
        <f t="array" ref="G46:G54">_xlfn.SORTBY(TRANSPOSE(_xlfn.XLOOKUP(G$45,'Fin. Data'!$A:$A,'Fin. Data'!$B:$J,,0)),$B$46:$B$54,-1)</f>
        <v>0.72535667963683526</v>
      </c>
      <c r="H46" s="126" cm="1">
        <f t="array" ref="H46:H54">_xlfn.SORTBY(TRANSPOSE(_xlfn.XLOOKUP(H$45,'Fin. Data'!$A:$A,'Fin. Data'!$B:$J,,0)),$B$46:$B$54,-1)</f>
        <v>167</v>
      </c>
      <c r="I46" s="126" cm="1">
        <f t="array" ref="I46:I54">_xlfn.SORTBY(TRANSPOSE(_xlfn.XLOOKUP(I$45,'Fin. Data'!$A:$A,'Fin. Data'!$B:$J,,0)),$B$46:$B$54,-1)</f>
        <v>147</v>
      </c>
      <c r="J46" s="361"/>
      <c r="K46" s="121"/>
      <c r="L46" s="100">
        <f>J20</f>
        <v>2023</v>
      </c>
      <c r="M46" s="363">
        <f>L46-1</f>
        <v>2022</v>
      </c>
    </row>
    <row r="47" spans="1:19">
      <c r="B47" s="550">
        <f t="shared" si="0"/>
        <v>2016</v>
      </c>
      <c r="C47" s="126">
        <v>4272</v>
      </c>
      <c r="D47" s="98">
        <v>-0.10299625468164794</v>
      </c>
      <c r="E47" s="126">
        <v>0</v>
      </c>
      <c r="F47" s="125">
        <f>Inputs!I77</f>
        <v>479</v>
      </c>
      <c r="G47" s="99">
        <v>0.43209876543209874</v>
      </c>
      <c r="H47" s="126">
        <v>133</v>
      </c>
      <c r="I47" s="126">
        <v>265</v>
      </c>
      <c r="J47" s="1707" t="s">
        <v>62</v>
      </c>
      <c r="K47" s="1708"/>
      <c r="L47" s="49">
        <f>_xlfn.XLOOKUP($J47,'Fin. Data'!$A:$A,'Fin. Data'!B:B,,0)</f>
        <v>854</v>
      </c>
      <c r="M47" s="412">
        <f>_xlfn.XLOOKUP($J47,'Fin. Data'!$A:$A,'Fin. Data'!C:C,,0)</f>
        <v>1320</v>
      </c>
      <c r="N47" s="19">
        <f t="shared" ref="N47:N55" si="1">(C47/C46)-1</f>
        <v>7.0408418942620843E-2</v>
      </c>
      <c r="O47" s="19">
        <f t="shared" ref="O47:O55" si="2">(D47/D46)-1</f>
        <v>-0.1454094543982184</v>
      </c>
      <c r="P47" s="18"/>
      <c r="Q47" s="17"/>
      <c r="R47" s="17"/>
      <c r="S47" s="17"/>
    </row>
    <row r="48" spans="1:19">
      <c r="B48" s="550">
        <f t="shared" si="0"/>
        <v>2017</v>
      </c>
      <c r="C48" s="126">
        <v>5253</v>
      </c>
      <c r="D48" s="98">
        <v>2.1892252046449647E-2</v>
      </c>
      <c r="E48" s="126">
        <v>0</v>
      </c>
      <c r="F48" s="125">
        <f>Inputs!H77</f>
        <v>-75</v>
      </c>
      <c r="G48" s="99">
        <v>0.39273648648648651</v>
      </c>
      <c r="H48" s="126">
        <v>144</v>
      </c>
      <c r="I48" s="126">
        <v>-112</v>
      </c>
      <c r="J48" s="1707" t="s">
        <v>126</v>
      </c>
      <c r="K48" s="1708"/>
      <c r="L48" s="49">
        <f>_xlfn.XLOOKUP($J48,'Fin. Data'!$A:$A,'Fin. Data'!B:B,,0)</f>
        <v>1667</v>
      </c>
      <c r="M48" s="412">
        <f>_xlfn.XLOOKUP($J48,'Fin. Data'!$A:$A,'Fin. Data'!C:C,,0)</f>
        <v>3565</v>
      </c>
      <c r="N48" s="19">
        <f t="shared" si="1"/>
        <v>0.2296348314606742</v>
      </c>
      <c r="O48" s="19">
        <f t="shared" si="2"/>
        <v>-1.2125538653237111</v>
      </c>
      <c r="P48" s="18"/>
      <c r="Q48" s="17">
        <f t="shared" ref="Q48:Q54" si="3">F48/F47-1</f>
        <v>-1.1565762004175366</v>
      </c>
      <c r="R48" s="17">
        <f t="shared" ref="R48:S54" si="4">H48/H47-1</f>
        <v>8.2706766917293173E-2</v>
      </c>
      <c r="S48" s="17">
        <f t="shared" si="4"/>
        <v>-1.4226415094339622</v>
      </c>
    </row>
    <row r="49" spans="2:19">
      <c r="B49" s="550">
        <f t="shared" si="0"/>
        <v>2018</v>
      </c>
      <c r="C49" s="126">
        <v>6475</v>
      </c>
      <c r="D49" s="98">
        <v>6.7799227799227799E-2</v>
      </c>
      <c r="E49" s="126">
        <v>0</v>
      </c>
      <c r="F49" s="125">
        <f>Inputs!G77</f>
        <v>-108</v>
      </c>
      <c r="G49" s="99">
        <v>0.27436347673397715</v>
      </c>
      <c r="H49" s="126">
        <v>170</v>
      </c>
      <c r="I49" s="126">
        <v>-241</v>
      </c>
      <c r="J49" s="1707" t="s">
        <v>127</v>
      </c>
      <c r="K49" s="1708"/>
      <c r="L49" s="49">
        <f>_xlfn.XLOOKUP($J49,'Fin. Data'!$A:$A,'Fin. Data'!B:B,,0)</f>
        <v>-1423</v>
      </c>
      <c r="M49" s="412">
        <f>_xlfn.XLOOKUP($J49,'Fin. Data'!$A:$A,'Fin. Data'!C:C,,0)</f>
        <v>1999</v>
      </c>
      <c r="N49" s="19">
        <f t="shared" si="1"/>
        <v>0.23262897391966497</v>
      </c>
      <c r="O49" s="19">
        <f t="shared" si="2"/>
        <v>2.0969508141682054</v>
      </c>
      <c r="P49" s="18"/>
      <c r="Q49" s="17">
        <f t="shared" si="3"/>
        <v>0.43999999999999995</v>
      </c>
      <c r="R49" s="17">
        <f t="shared" si="4"/>
        <v>0.18055555555555558</v>
      </c>
      <c r="S49" s="17">
        <f t="shared" si="4"/>
        <v>1.1517857142857144</v>
      </c>
    </row>
    <row r="50" spans="2:19">
      <c r="B50" s="550">
        <f t="shared" si="0"/>
        <v>2019</v>
      </c>
      <c r="C50" s="126">
        <v>6731</v>
      </c>
      <c r="D50" s="98">
        <v>6.7597682365176048E-2</v>
      </c>
      <c r="E50" s="126">
        <v>0</v>
      </c>
      <c r="F50" s="125">
        <f>Inputs!F77</f>
        <v>387</v>
      </c>
      <c r="G50" s="99">
        <v>0.11363636363636363</v>
      </c>
      <c r="H50" s="126">
        <v>222</v>
      </c>
      <c r="I50" s="126">
        <v>-176</v>
      </c>
      <c r="J50" s="1709" t="s">
        <v>128</v>
      </c>
      <c r="K50" s="1710"/>
      <c r="L50" s="49">
        <f>_xlfn.XLOOKUP($J50,'Fin. Data'!$A:$A,'Fin. Data'!B:B,,0)</f>
        <v>-546</v>
      </c>
      <c r="M50" s="412">
        <f>_xlfn.XLOOKUP($J50,'Fin. Data'!$A:$A,'Fin. Data'!C:C,,0)</f>
        <v>-450</v>
      </c>
      <c r="N50" s="19">
        <f t="shared" si="1"/>
        <v>3.9536679536679609E-2</v>
      </c>
      <c r="O50" s="19">
        <f t="shared" si="2"/>
        <v>-2.9726803769591914E-3</v>
      </c>
      <c r="P50" s="18"/>
      <c r="Q50" s="17">
        <f t="shared" si="3"/>
        <v>-4.5833333333333339</v>
      </c>
      <c r="R50" s="17">
        <f t="shared" si="4"/>
        <v>0.30588235294117649</v>
      </c>
      <c r="S50" s="17">
        <f t="shared" si="4"/>
        <v>-0.26970954356846477</v>
      </c>
    </row>
    <row r="51" spans="2:19">
      <c r="B51" s="550">
        <f t="shared" si="0"/>
        <v>2020</v>
      </c>
      <c r="C51" s="126">
        <v>9763</v>
      </c>
      <c r="D51" s="98">
        <v>0.13469220526477518</v>
      </c>
      <c r="E51" s="126">
        <v>0</v>
      </c>
      <c r="F51" s="125">
        <f>Inputs!E77</f>
        <v>125</v>
      </c>
      <c r="G51" s="99">
        <v>5.925016737335416E-2</v>
      </c>
      <c r="H51" s="126">
        <v>312</v>
      </c>
      <c r="I51" s="126">
        <v>-952</v>
      </c>
      <c r="J51" s="1709" t="s">
        <v>129</v>
      </c>
      <c r="K51" s="1710"/>
      <c r="L51" s="49">
        <f>_xlfn.XLOOKUP($J51,'Fin. Data'!$A:$A,'Fin. Data'!B:B,,0)</f>
        <v>-866</v>
      </c>
      <c r="M51" s="412">
        <f>_xlfn.XLOOKUP($J51,'Fin. Data'!$A:$A,'Fin. Data'!C:C,,0)</f>
        <v>2465</v>
      </c>
      <c r="N51" s="19">
        <f t="shared" si="1"/>
        <v>0.45045312732134901</v>
      </c>
      <c r="O51" s="19">
        <f t="shared" si="2"/>
        <v>0.99255655744439952</v>
      </c>
      <c r="P51" s="18"/>
      <c r="Q51" s="17">
        <f t="shared" si="3"/>
        <v>-0.67700258397932811</v>
      </c>
      <c r="R51" s="17">
        <f t="shared" si="4"/>
        <v>0.40540540540540548</v>
      </c>
      <c r="S51" s="17">
        <f t="shared" si="4"/>
        <v>4.4090909090909092</v>
      </c>
    </row>
    <row r="52" spans="2:19">
      <c r="B52" s="550">
        <f t="shared" si="0"/>
        <v>2021</v>
      </c>
      <c r="C52" s="126">
        <v>16434</v>
      </c>
      <c r="D52" s="98">
        <v>0.22155287817938421</v>
      </c>
      <c r="E52" s="126">
        <v>-1762</v>
      </c>
      <c r="F52" s="125">
        <f>Inputs!D77</f>
        <v>940</v>
      </c>
      <c r="G52" s="99">
        <v>2.81021016184878E-2</v>
      </c>
      <c r="H52" s="126">
        <v>407</v>
      </c>
      <c r="I52" s="126">
        <v>-679</v>
      </c>
      <c r="J52" s="1707" t="s">
        <v>130</v>
      </c>
      <c r="K52" s="1708"/>
      <c r="L52" s="49">
        <f>_xlfn.XLOOKUP($J52,'Fin. Data'!$A:$A,'Fin. Data'!B:B,,0)</f>
        <v>-1146</v>
      </c>
      <c r="M52" s="412">
        <f>_xlfn.XLOOKUP($J52,'Fin. Data'!$A:$A,'Fin. Data'!C:C,,0)</f>
        <v>-3264</v>
      </c>
      <c r="N52" s="19">
        <f t="shared" si="1"/>
        <v>0.68329406944586712</v>
      </c>
      <c r="O52" s="19">
        <f t="shared" si="2"/>
        <v>0.64488269936526832</v>
      </c>
      <c r="P52" s="18"/>
      <c r="Q52" s="17">
        <f t="shared" si="3"/>
        <v>6.52</v>
      </c>
      <c r="R52" s="17">
        <f t="shared" si="4"/>
        <v>0.30448717948717952</v>
      </c>
      <c r="S52" s="17">
        <f t="shared" si="4"/>
        <v>-0.28676470588235292</v>
      </c>
    </row>
    <row r="53" spans="2:19">
      <c r="B53" s="550">
        <f>B54-1</f>
        <v>2022</v>
      </c>
      <c r="C53" s="126">
        <v>23601</v>
      </c>
      <c r="D53" s="98">
        <v>5.3557052667259859E-2</v>
      </c>
      <c r="E53" s="126">
        <v>-3702</v>
      </c>
      <c r="F53" s="125">
        <f>Inputs!C$77</f>
        <v>2300</v>
      </c>
      <c r="G53" s="99">
        <v>4.2364604912696065E-2</v>
      </c>
      <c r="H53" s="126">
        <v>4174</v>
      </c>
      <c r="I53" s="126">
        <v>2015</v>
      </c>
      <c r="J53" s="1709" t="s">
        <v>131</v>
      </c>
      <c r="K53" s="1710"/>
      <c r="L53" s="49">
        <f>_xlfn.XLOOKUP($J53,'Fin. Data'!$A:$A,'Fin. Data'!B:B,,0)</f>
        <v>0</v>
      </c>
      <c r="M53" s="412">
        <f>_xlfn.XLOOKUP($J53,'Fin. Data'!$A:$A,'Fin. Data'!C:C,,0)</f>
        <v>0</v>
      </c>
      <c r="N53" s="19">
        <f t="shared" si="1"/>
        <v>0.43610806863818907</v>
      </c>
      <c r="O53" s="19">
        <f t="shared" si="2"/>
        <v>-0.75826514596711103</v>
      </c>
      <c r="P53" s="18"/>
      <c r="Q53" s="17">
        <f t="shared" si="3"/>
        <v>1.4468085106382977</v>
      </c>
      <c r="R53" s="17">
        <f t="shared" si="4"/>
        <v>9.2555282555282563</v>
      </c>
      <c r="S53" s="17">
        <f t="shared" si="4"/>
        <v>-3.9675994108983801</v>
      </c>
    </row>
    <row r="54" spans="2:19">
      <c r="B54" s="550">
        <f>J20</f>
        <v>2023</v>
      </c>
      <c r="C54" s="126">
        <v>22680</v>
      </c>
      <c r="D54" s="98">
        <v>1.7680776014109348E-2</v>
      </c>
      <c r="E54" s="126">
        <v>-985</v>
      </c>
      <c r="F54" s="125">
        <f>Inputs!B77</f>
        <v>-902</v>
      </c>
      <c r="G54" s="99">
        <v>3.3173749723797601E-2</v>
      </c>
      <c r="H54" s="126">
        <v>3453</v>
      </c>
      <c r="I54" s="126">
        <v>-1412</v>
      </c>
      <c r="J54" s="1709" t="s">
        <v>132</v>
      </c>
      <c r="K54" s="1710"/>
      <c r="L54" s="49">
        <f>_xlfn.XLOOKUP($J54,'Fin. Data'!$A:$A,'Fin. Data'!B:B,,0)</f>
        <v>-985</v>
      </c>
      <c r="M54" s="412">
        <f>_xlfn.XLOOKUP($J54,'Fin. Data'!$A:$A,'Fin. Data'!C:C,,0)</f>
        <v>-3702</v>
      </c>
      <c r="N54" s="19">
        <f t="shared" si="1"/>
        <v>-3.9023770179229644E-2</v>
      </c>
      <c r="O54" s="19">
        <f t="shared" si="2"/>
        <v>-0.66987025735047889</v>
      </c>
      <c r="P54" s="18"/>
      <c r="Q54" s="17">
        <f t="shared" si="3"/>
        <v>-1.3921739130434783</v>
      </c>
      <c r="R54" s="17">
        <f t="shared" si="4"/>
        <v>-0.17273598466698614</v>
      </c>
      <c r="S54" s="17">
        <f t="shared" si="4"/>
        <v>-1.7007444168734491</v>
      </c>
    </row>
    <row r="55" spans="2:19">
      <c r="B55" s="551" t="s">
        <v>133</v>
      </c>
      <c r="C55" s="101">
        <f>IFERROR((C54/C46)^(1/8)-1,"")</f>
        <v>0.24256800091675901</v>
      </c>
      <c r="D55" s="101" t="str">
        <f>IFERROR((D54/D46)^(1/8)-1,"")</f>
        <v/>
      </c>
      <c r="E55" s="120"/>
      <c r="F55" s="101">
        <f>IFERROR((F54/F46)^(1/8)-1,"")</f>
        <v>0.60980053628255515</v>
      </c>
      <c r="G55" s="120"/>
      <c r="H55" s="101">
        <f>IFERROR((H54/H46)^(1/8)-1,"")</f>
        <v>0.46027622148232017</v>
      </c>
      <c r="I55" s="120"/>
      <c r="J55" s="1707" t="s">
        <v>134</v>
      </c>
      <c r="K55" s="1708"/>
      <c r="L55" s="49">
        <f>_xlfn.XLOOKUP($J55,'Fin. Data'!$A:$A,'Fin. Data'!B:B,,0)</f>
        <v>0</v>
      </c>
      <c r="M55" s="412">
        <f>_xlfn.XLOOKUP($J55,'Fin. Data'!$A:$A,'Fin. Data'!C:C,,0)</f>
        <v>0</v>
      </c>
      <c r="N55" s="19">
        <f t="shared" si="1"/>
        <v>-0.99998930476186432</v>
      </c>
      <c r="O55" s="19" t="e">
        <f t="shared" si="2"/>
        <v>#VALUE!</v>
      </c>
      <c r="P55" s="18"/>
      <c r="Q55" s="17"/>
      <c r="R55" s="17"/>
      <c r="S55" s="17"/>
    </row>
    <row r="56" spans="2:19">
      <c r="B56" s="551" t="s">
        <v>135</v>
      </c>
      <c r="C56" s="101">
        <f>IFERROR(AVERAGE(N47:N54),"")</f>
        <v>0.26288004988572694</v>
      </c>
      <c r="D56" s="101">
        <f>IFERROR(AVERAGE(O47:O54),"")</f>
        <v>0.11816483344517428</v>
      </c>
      <c r="E56" s="120"/>
      <c r="F56" s="101">
        <f>IFERROR(AVERAGE(Q47:Q54),"")</f>
        <v>8.53889256949458E-2</v>
      </c>
      <c r="G56" s="120"/>
      <c r="H56" s="101">
        <f>IFERROR(AVERAGE(S47:S54),"")</f>
        <v>-0.29808328046856936</v>
      </c>
      <c r="I56" s="120"/>
      <c r="J56" s="1711" t="s">
        <v>136</v>
      </c>
      <c r="K56" s="1712"/>
      <c r="L56" s="129">
        <f>L48-L49+L52-L53-L54</f>
        <v>2929</v>
      </c>
      <c r="M56" s="364">
        <f>M48-M49+M52-M53-M54</f>
        <v>2004</v>
      </c>
    </row>
    <row r="57" spans="2:19">
      <c r="B57" s="551" t="s">
        <v>137</v>
      </c>
      <c r="C57" s="101">
        <f>IFERROR(STDEV(C47:C54)/AVERAGE(C47:C54),"")</f>
        <v>0.66372217606019956</v>
      </c>
      <c r="D57" s="101">
        <f>IFERROR(STDEV(D46:D54)/AVERAGE(D46:D54),"")</f>
        <v>2.6525091232497222</v>
      </c>
      <c r="E57" s="120"/>
      <c r="F57" s="101">
        <f>IFERROR(STDEV(F46:F54)/AVERAGE(F46:F54),"")</f>
        <v>2.5577588318547604</v>
      </c>
      <c r="G57" s="120"/>
      <c r="H57" s="101">
        <f>IFERROR(STDEV(H46:H54)/AVERAGE(H46:H54),"")</f>
        <v>1.5646555095859058</v>
      </c>
      <c r="I57" s="120"/>
      <c r="J57" s="1713" t="s">
        <v>138</v>
      </c>
      <c r="K57" s="1714"/>
      <c r="L57" s="359">
        <f>IFERROR(SUM(I51:I54)/(C54-C50),"")</f>
        <v>-6.4455451752460965E-2</v>
      </c>
      <c r="M57" s="411">
        <f>IFERROR((SUM(I51:I54)-SUM(H51:H54))/(C54-C50),"")</f>
        <v>-0.58774844817856919</v>
      </c>
    </row>
    <row r="58" spans="2:19">
      <c r="B58" s="551" t="s">
        <v>139</v>
      </c>
      <c r="C58" s="101">
        <f>IFERROR(C54/C53-1,"")</f>
        <v>-3.9023770179229644E-2</v>
      </c>
      <c r="D58" s="101">
        <f>IFERROR(D54/D53-1,"")</f>
        <v>-0.66987025735047889</v>
      </c>
      <c r="E58" s="120"/>
      <c r="F58" s="101">
        <f>IFERROR(1-(F54/F53),"")</f>
        <v>1.3921739130434783</v>
      </c>
      <c r="G58" s="120"/>
      <c r="H58" s="101">
        <f>IFERROR(1-(H54/H53),"")</f>
        <v>0.17273598466698614</v>
      </c>
      <c r="I58" s="120"/>
      <c r="J58" s="1715" t="s">
        <v>140</v>
      </c>
      <c r="K58" s="1716"/>
      <c r="L58" s="360">
        <f>IFERROR(L57/E27,"")</f>
        <v>-0.29967160868412634</v>
      </c>
      <c r="M58" s="365">
        <f>IFERROR(M57/E27,"")</f>
        <v>-2.7326086184873546</v>
      </c>
    </row>
    <row r="59" spans="2:19" ht="17.399999999999999">
      <c r="B59" s="1632" t="s">
        <v>141</v>
      </c>
      <c r="C59" s="1633"/>
      <c r="D59" s="1633"/>
      <c r="E59" s="1633"/>
      <c r="F59" s="1633"/>
      <c r="G59" s="1633"/>
      <c r="H59" s="1633"/>
      <c r="I59" s="1633"/>
      <c r="J59" s="1633"/>
      <c r="K59" s="1633"/>
      <c r="L59" s="1633"/>
      <c r="M59" s="1634"/>
    </row>
    <row r="60" spans="2:19" ht="15.6">
      <c r="B60" s="1606" t="s">
        <v>142</v>
      </c>
      <c r="C60" s="1569"/>
      <c r="D60" s="1569"/>
      <c r="E60" s="1569"/>
      <c r="F60" s="1569"/>
      <c r="G60" s="1569"/>
      <c r="H60" s="1569"/>
      <c r="I60" s="1569"/>
      <c r="J60" s="1569" t="s">
        <v>143</v>
      </c>
      <c r="K60" s="1569"/>
      <c r="L60" s="1569"/>
      <c r="M60" s="1570"/>
    </row>
    <row r="61" spans="2:19">
      <c r="B61" s="1717" t="s">
        <v>144</v>
      </c>
      <c r="C61" s="1580"/>
      <c r="D61" s="1580"/>
      <c r="E61" s="1580" t="s">
        <v>145</v>
      </c>
      <c r="F61" s="1580"/>
      <c r="G61" s="1580"/>
      <c r="H61" s="1580"/>
      <c r="I61" s="1580"/>
      <c r="J61" s="1580" t="s">
        <v>5</v>
      </c>
      <c r="K61" s="1580"/>
      <c r="L61" s="1580"/>
      <c r="M61" s="362" t="s">
        <v>146</v>
      </c>
    </row>
    <row r="62" spans="2:19" ht="15" customHeight="1">
      <c r="B62" s="1581" t="s">
        <v>147</v>
      </c>
      <c r="C62" s="1572"/>
      <c r="D62" s="1573"/>
      <c r="E62" s="1571" t="s">
        <v>148</v>
      </c>
      <c r="F62" s="1572"/>
      <c r="G62" s="1572"/>
      <c r="H62" s="1572"/>
      <c r="I62" s="1573"/>
      <c r="J62" s="1592" t="s">
        <v>149</v>
      </c>
      <c r="K62" s="1593"/>
      <c r="L62" s="1594"/>
      <c r="M62" s="366" t="s">
        <v>150</v>
      </c>
    </row>
    <row r="63" spans="2:19" ht="15" customHeight="1">
      <c r="B63" s="1718"/>
      <c r="C63" s="1575"/>
      <c r="D63" s="1576"/>
      <c r="E63" s="1574"/>
      <c r="F63" s="1575"/>
      <c r="G63" s="1575"/>
      <c r="H63" s="1575"/>
      <c r="I63" s="1576"/>
      <c r="J63" s="1592" t="s">
        <v>151</v>
      </c>
      <c r="K63" s="1593"/>
      <c r="L63" s="1594"/>
      <c r="M63" s="902" t="s">
        <v>152</v>
      </c>
    </row>
    <row r="64" spans="2:19" ht="15" customHeight="1">
      <c r="B64" s="1718"/>
      <c r="C64" s="1575"/>
      <c r="D64" s="1576"/>
      <c r="E64" s="1574"/>
      <c r="F64" s="1575"/>
      <c r="G64" s="1575"/>
      <c r="H64" s="1575"/>
      <c r="I64" s="1576"/>
      <c r="J64" s="1590" t="s">
        <v>153</v>
      </c>
      <c r="K64" s="1591"/>
      <c r="L64" s="1591"/>
      <c r="M64" s="902" t="s">
        <v>154</v>
      </c>
    </row>
    <row r="65" spans="2:13" ht="15" customHeight="1">
      <c r="B65" s="1718"/>
      <c r="C65" s="1575"/>
      <c r="D65" s="1576"/>
      <c r="E65" s="1574"/>
      <c r="F65" s="1575"/>
      <c r="G65" s="1575"/>
      <c r="H65" s="1575"/>
      <c r="I65" s="1576"/>
      <c r="J65" s="1590" t="s">
        <v>155</v>
      </c>
      <c r="K65" s="1591"/>
      <c r="L65" s="1591"/>
      <c r="M65" s="902" t="s">
        <v>156</v>
      </c>
    </row>
    <row r="66" spans="2:13">
      <c r="B66" s="1718"/>
      <c r="C66" s="1575"/>
      <c r="D66" s="1576"/>
      <c r="E66" s="1574"/>
      <c r="F66" s="1575"/>
      <c r="G66" s="1575"/>
      <c r="H66" s="1575"/>
      <c r="I66" s="1576"/>
      <c r="J66" s="1590" t="s">
        <v>157</v>
      </c>
      <c r="K66" s="1591"/>
      <c r="L66" s="1591"/>
      <c r="M66" s="366" t="s">
        <v>158</v>
      </c>
    </row>
    <row r="67" spans="2:13">
      <c r="B67" s="1718"/>
      <c r="C67" s="1575"/>
      <c r="D67" s="1576"/>
      <c r="E67" s="1574"/>
      <c r="F67" s="1575"/>
      <c r="G67" s="1575"/>
      <c r="H67" s="1575"/>
      <c r="I67" s="1576"/>
      <c r="J67" s="1590" t="s">
        <v>159</v>
      </c>
      <c r="K67" s="1591"/>
      <c r="L67" s="1591"/>
      <c r="M67" s="902" t="s">
        <v>160</v>
      </c>
    </row>
    <row r="68" spans="2:13">
      <c r="B68" s="1718"/>
      <c r="C68" s="1575"/>
      <c r="D68" s="1576"/>
      <c r="E68" s="1574"/>
      <c r="F68" s="1575"/>
      <c r="G68" s="1575"/>
      <c r="H68" s="1575"/>
      <c r="I68" s="1576"/>
      <c r="J68" s="1590" t="s">
        <v>161</v>
      </c>
      <c r="K68" s="1591"/>
      <c r="L68" s="1591"/>
      <c r="M68" s="366" t="s">
        <v>162</v>
      </c>
    </row>
    <row r="69" spans="2:13">
      <c r="B69" s="1718"/>
      <c r="C69" s="1575"/>
      <c r="D69" s="1576"/>
      <c r="E69" s="1574"/>
      <c r="F69" s="1575"/>
      <c r="G69" s="1575"/>
      <c r="H69" s="1575"/>
      <c r="I69" s="1576"/>
      <c r="J69" s="1590" t="s">
        <v>163</v>
      </c>
      <c r="K69" s="1591"/>
      <c r="L69" s="1591"/>
      <c r="M69" s="366" t="s">
        <v>164</v>
      </c>
    </row>
    <row r="70" spans="2:13">
      <c r="B70" s="1718"/>
      <c r="C70" s="1575"/>
      <c r="D70" s="1576"/>
      <c r="E70" s="1574"/>
      <c r="F70" s="1575"/>
      <c r="G70" s="1575"/>
      <c r="H70" s="1575"/>
      <c r="I70" s="1576"/>
      <c r="J70" s="1590" t="s">
        <v>165</v>
      </c>
      <c r="K70" s="1591"/>
      <c r="L70" s="1591"/>
      <c r="M70" s="366" t="s">
        <v>166</v>
      </c>
    </row>
    <row r="71" spans="2:13">
      <c r="B71" s="1719"/>
      <c r="C71" s="1578"/>
      <c r="D71" s="1579"/>
      <c r="E71" s="1577"/>
      <c r="F71" s="1578"/>
      <c r="G71" s="1578"/>
      <c r="H71" s="1578"/>
      <c r="I71" s="1579"/>
      <c r="J71" s="1590" t="s">
        <v>167</v>
      </c>
      <c r="K71" s="1591"/>
      <c r="L71" s="1591"/>
      <c r="M71" s="366" t="s">
        <v>168</v>
      </c>
    </row>
    <row r="72" spans="2:13">
      <c r="B72" s="1717" t="s">
        <v>169</v>
      </c>
      <c r="C72" s="1580"/>
      <c r="D72" s="1580"/>
      <c r="E72" s="1580" t="s">
        <v>170</v>
      </c>
      <c r="F72" s="1580"/>
      <c r="G72" s="1580"/>
      <c r="H72" s="1580"/>
      <c r="I72" s="1580"/>
      <c r="J72" s="1590"/>
      <c r="K72" s="1591"/>
      <c r="L72" s="1591"/>
      <c r="M72" s="366"/>
    </row>
    <row r="73" spans="2:13" ht="15" customHeight="1">
      <c r="B73" s="1581" t="s">
        <v>171</v>
      </c>
      <c r="C73" s="1582"/>
      <c r="D73" s="1583"/>
      <c r="E73" s="1571" t="s">
        <v>172</v>
      </c>
      <c r="F73" s="1572"/>
      <c r="G73" s="1572"/>
      <c r="H73" s="1572"/>
      <c r="I73" s="1573"/>
      <c r="J73" s="1590"/>
      <c r="K73" s="1591"/>
      <c r="L73" s="1591"/>
      <c r="M73" s="366"/>
    </row>
    <row r="74" spans="2:13" ht="15" customHeight="1">
      <c r="B74" s="1584"/>
      <c r="C74" s="1585"/>
      <c r="D74" s="1586"/>
      <c r="E74" s="1574" t="s">
        <v>173</v>
      </c>
      <c r="F74" s="1575"/>
      <c r="G74" s="1575"/>
      <c r="H74" s="1575"/>
      <c r="I74" s="1576"/>
      <c r="J74" s="1590"/>
      <c r="K74" s="1591"/>
      <c r="L74" s="1591"/>
      <c r="M74" s="366"/>
    </row>
    <row r="75" spans="2:13" ht="15" customHeight="1">
      <c r="B75" s="1584"/>
      <c r="C75" s="1585"/>
      <c r="D75" s="1586"/>
      <c r="E75" s="1574"/>
      <c r="F75" s="1575"/>
      <c r="G75" s="1575"/>
      <c r="H75" s="1575"/>
      <c r="I75" s="1576"/>
      <c r="J75" s="1590"/>
      <c r="K75" s="1591"/>
      <c r="L75" s="1591"/>
      <c r="M75" s="366"/>
    </row>
    <row r="76" spans="2:13" ht="15" customHeight="1">
      <c r="B76" s="1584"/>
      <c r="C76" s="1585"/>
      <c r="D76" s="1586"/>
      <c r="E76" s="1574"/>
      <c r="F76" s="1575"/>
      <c r="G76" s="1575"/>
      <c r="H76" s="1575"/>
      <c r="I76" s="1576"/>
      <c r="J76" s="1590"/>
      <c r="K76" s="1591"/>
      <c r="L76" s="1591"/>
      <c r="M76" s="366"/>
    </row>
    <row r="77" spans="2:13">
      <c r="B77" s="1584"/>
      <c r="C77" s="1585"/>
      <c r="D77" s="1586"/>
      <c r="E77" s="1574"/>
      <c r="F77" s="1575"/>
      <c r="G77" s="1575"/>
      <c r="H77" s="1575"/>
      <c r="I77" s="1576"/>
      <c r="J77" s="1590"/>
      <c r="K77" s="1591"/>
      <c r="L77" s="1591"/>
      <c r="M77" s="366"/>
    </row>
    <row r="78" spans="2:13">
      <c r="B78" s="1584"/>
      <c r="C78" s="1585"/>
      <c r="D78" s="1586"/>
      <c r="E78" s="1574"/>
      <c r="F78" s="1575"/>
      <c r="G78" s="1575"/>
      <c r="H78" s="1575"/>
      <c r="I78" s="1576"/>
      <c r="J78" s="1590"/>
      <c r="K78" s="1591"/>
      <c r="L78" s="1591"/>
      <c r="M78" s="366"/>
    </row>
    <row r="79" spans="2:13">
      <c r="B79" s="1584"/>
      <c r="C79" s="1585"/>
      <c r="D79" s="1586"/>
      <c r="E79" s="1574"/>
      <c r="F79" s="1575"/>
      <c r="G79" s="1575"/>
      <c r="H79" s="1575"/>
      <c r="I79" s="1576"/>
      <c r="J79" s="1590"/>
      <c r="K79" s="1591"/>
      <c r="L79" s="1591"/>
      <c r="M79" s="366"/>
    </row>
    <row r="80" spans="2:13">
      <c r="B80" s="1584"/>
      <c r="C80" s="1585"/>
      <c r="D80" s="1586"/>
      <c r="E80" s="1574"/>
      <c r="F80" s="1575"/>
      <c r="G80" s="1575"/>
      <c r="H80" s="1575"/>
      <c r="I80" s="1576"/>
      <c r="J80" s="1595"/>
      <c r="K80" s="1596"/>
      <c r="L80" s="1596"/>
      <c r="M80" s="366"/>
    </row>
    <row r="81" spans="2:13">
      <c r="B81" s="1587"/>
      <c r="C81" s="1588"/>
      <c r="D81" s="1589"/>
      <c r="E81" s="1574"/>
      <c r="F81" s="1575"/>
      <c r="G81" s="1575"/>
      <c r="H81" s="1575"/>
      <c r="I81" s="1576"/>
      <c r="J81" s="1595"/>
      <c r="K81" s="1596"/>
      <c r="L81" s="1596"/>
      <c r="M81" s="366"/>
    </row>
    <row r="82" spans="2:13" ht="15.6">
      <c r="B82" s="1694" t="s">
        <v>174</v>
      </c>
      <c r="C82" s="1695"/>
      <c r="D82" s="1695"/>
      <c r="E82" s="1695"/>
      <c r="F82" s="1695"/>
      <c r="G82" s="1569" t="s">
        <v>175</v>
      </c>
      <c r="H82" s="1569"/>
      <c r="I82" s="1569"/>
      <c r="J82" s="1569"/>
      <c r="K82" s="1569"/>
      <c r="L82" s="1569"/>
      <c r="M82" s="1570"/>
    </row>
    <row r="83" spans="2:13" s="8" customFormat="1">
      <c r="B83" s="1597" t="s">
        <v>176</v>
      </c>
      <c r="C83" s="1598"/>
      <c r="D83" s="1598"/>
      <c r="E83" s="1598"/>
      <c r="F83" s="1599"/>
      <c r="G83"/>
      <c r="H83"/>
      <c r="I83"/>
      <c r="J83"/>
      <c r="K83"/>
      <c r="L83"/>
      <c r="M83" s="46"/>
    </row>
    <row r="84" spans="2:13">
      <c r="B84" s="1600"/>
      <c r="C84" s="1601"/>
      <c r="D84" s="1601"/>
      <c r="E84" s="1601"/>
      <c r="F84" s="1602"/>
      <c r="M84" s="46"/>
    </row>
    <row r="85" spans="2:13">
      <c r="B85" s="1600"/>
      <c r="C85" s="1601"/>
      <c r="D85" s="1601"/>
      <c r="E85" s="1601"/>
      <c r="F85" s="1602"/>
      <c r="M85" s="46"/>
    </row>
    <row r="86" spans="2:13">
      <c r="B86" s="1600"/>
      <c r="C86" s="1601"/>
      <c r="D86" s="1601"/>
      <c r="E86" s="1601"/>
      <c r="F86" s="1602"/>
      <c r="M86" s="46"/>
    </row>
    <row r="87" spans="2:13">
      <c r="B87" s="1600"/>
      <c r="C87" s="1601"/>
      <c r="D87" s="1601"/>
      <c r="E87" s="1601"/>
      <c r="F87" s="1602"/>
      <c r="M87" s="46"/>
    </row>
    <row r="88" spans="2:13">
      <c r="B88" s="1600"/>
      <c r="C88" s="1601"/>
      <c r="D88" s="1601"/>
      <c r="E88" s="1601"/>
      <c r="F88" s="1602"/>
      <c r="M88" s="46"/>
    </row>
    <row r="89" spans="2:13">
      <c r="B89" s="1600"/>
      <c r="C89" s="1601"/>
      <c r="D89" s="1601"/>
      <c r="E89" s="1601"/>
      <c r="F89" s="1602"/>
      <c r="M89" s="46"/>
    </row>
    <row r="90" spans="2:13">
      <c r="B90" s="1600"/>
      <c r="C90" s="1601"/>
      <c r="D90" s="1601"/>
      <c r="E90" s="1601"/>
      <c r="F90" s="1602"/>
      <c r="M90" s="46"/>
    </row>
    <row r="91" spans="2:13">
      <c r="B91" s="1600"/>
      <c r="C91" s="1601"/>
      <c r="D91" s="1601"/>
      <c r="E91" s="1601"/>
      <c r="F91" s="1602"/>
      <c r="M91" s="46"/>
    </row>
    <row r="92" spans="2:13">
      <c r="B92" s="1600"/>
      <c r="C92" s="1601"/>
      <c r="D92" s="1601"/>
      <c r="E92" s="1601"/>
      <c r="F92" s="1602"/>
      <c r="M92" s="46"/>
    </row>
    <row r="93" spans="2:13">
      <c r="B93" s="1600"/>
      <c r="C93" s="1601"/>
      <c r="D93" s="1601"/>
      <c r="E93" s="1601"/>
      <c r="F93" s="1602"/>
      <c r="M93" s="46"/>
    </row>
    <row r="94" spans="2:13">
      <c r="B94" s="1600"/>
      <c r="C94" s="1601"/>
      <c r="D94" s="1601"/>
      <c r="E94" s="1601"/>
      <c r="F94" s="1602"/>
      <c r="M94" s="46"/>
    </row>
    <row r="95" spans="2:13">
      <c r="B95" s="1600"/>
      <c r="C95" s="1601"/>
      <c r="D95" s="1601"/>
      <c r="E95" s="1601"/>
      <c r="F95" s="1602"/>
      <c r="M95" s="46"/>
    </row>
    <row r="96" spans="2:13">
      <c r="B96" s="1600"/>
      <c r="C96" s="1601"/>
      <c r="D96" s="1601"/>
      <c r="E96" s="1601"/>
      <c r="F96" s="1602"/>
      <c r="M96" s="46"/>
    </row>
    <row r="97" spans="2:8">
      <c r="B97" s="1600"/>
      <c r="C97" s="1601"/>
      <c r="D97" s="1601"/>
      <c r="E97" s="1601"/>
      <c r="F97" s="1602"/>
    </row>
    <row r="98" spans="2:8">
      <c r="B98" s="1600"/>
      <c r="C98" s="1601"/>
      <c r="D98" s="1601"/>
      <c r="E98" s="1601"/>
      <c r="F98" s="1602"/>
    </row>
    <row r="99" spans="2:8">
      <c r="B99" s="1600"/>
      <c r="C99" s="1601"/>
      <c r="D99" s="1601"/>
      <c r="E99" s="1601"/>
      <c r="F99" s="1602"/>
    </row>
    <row r="100" spans="2:8">
      <c r="B100" s="1600"/>
      <c r="C100" s="1601"/>
      <c r="D100" s="1601"/>
      <c r="E100" s="1601"/>
      <c r="F100" s="1602"/>
    </row>
    <row r="101" spans="2:8">
      <c r="B101" s="1600"/>
      <c r="C101" s="1601"/>
      <c r="D101" s="1601"/>
      <c r="E101" s="1601"/>
      <c r="F101" s="1602"/>
    </row>
    <row r="102" spans="2:8">
      <c r="B102" s="1600"/>
      <c r="C102" s="1601"/>
      <c r="D102" s="1601"/>
      <c r="E102" s="1601"/>
      <c r="F102" s="1602"/>
    </row>
    <row r="103" spans="2:8">
      <c r="B103" s="1600"/>
      <c r="C103" s="1601"/>
      <c r="D103" s="1601"/>
      <c r="E103" s="1601"/>
      <c r="F103" s="1602"/>
    </row>
    <row r="104" spans="2:8">
      <c r="B104" s="1600"/>
      <c r="C104" s="1601"/>
      <c r="D104" s="1601"/>
      <c r="E104" s="1601"/>
      <c r="F104" s="1602"/>
    </row>
    <row r="105" spans="2:8">
      <c r="B105" s="1600"/>
      <c r="C105" s="1601"/>
      <c r="D105" s="1601"/>
      <c r="E105" s="1601"/>
      <c r="F105" s="1602"/>
    </row>
    <row r="106" spans="2:8">
      <c r="B106" s="1600"/>
      <c r="C106" s="1601"/>
      <c r="D106" s="1601"/>
      <c r="E106" s="1601"/>
      <c r="F106" s="1602"/>
    </row>
    <row r="107" spans="2:8">
      <c r="B107" s="1603"/>
      <c r="C107" s="1604"/>
      <c r="D107" s="1604"/>
      <c r="E107" s="1604"/>
      <c r="F107" s="1605"/>
      <c r="G107" s="1568"/>
      <c r="H107" s="1568"/>
    </row>
  </sheetData>
  <mergeCells count="112">
    <mergeCell ref="B82:F82"/>
    <mergeCell ref="I35:M38"/>
    <mergeCell ref="I39:M39"/>
    <mergeCell ref="J47:K47"/>
    <mergeCell ref="J48:K48"/>
    <mergeCell ref="J49:K49"/>
    <mergeCell ref="J50:K50"/>
    <mergeCell ref="J51:K51"/>
    <mergeCell ref="J52:K52"/>
    <mergeCell ref="J53:K53"/>
    <mergeCell ref="J54:K54"/>
    <mergeCell ref="J55:K55"/>
    <mergeCell ref="J56:K56"/>
    <mergeCell ref="J57:K57"/>
    <mergeCell ref="J58:K58"/>
    <mergeCell ref="J76:L76"/>
    <mergeCell ref="J71:L71"/>
    <mergeCell ref="J72:L72"/>
    <mergeCell ref="J73:L73"/>
    <mergeCell ref="J74:L74"/>
    <mergeCell ref="B61:D61"/>
    <mergeCell ref="B72:D72"/>
    <mergeCell ref="B62:D71"/>
    <mergeCell ref="J60:M60"/>
    <mergeCell ref="E2:K2"/>
    <mergeCell ref="F20:G20"/>
    <mergeCell ref="F28:G28"/>
    <mergeCell ref="F26:G26"/>
    <mergeCell ref="J21:K21"/>
    <mergeCell ref="I22:J22"/>
    <mergeCell ref="I23:J23"/>
    <mergeCell ref="I24:J24"/>
    <mergeCell ref="I25:J25"/>
    <mergeCell ref="I26:J26"/>
    <mergeCell ref="I27:J27"/>
    <mergeCell ref="I28:J28"/>
    <mergeCell ref="F27:G27"/>
    <mergeCell ref="D4:G17"/>
    <mergeCell ref="D3:G3"/>
    <mergeCell ref="H3:M3"/>
    <mergeCell ref="F19:H19"/>
    <mergeCell ref="F22:G22"/>
    <mergeCell ref="F23:G23"/>
    <mergeCell ref="F24:G24"/>
    <mergeCell ref="F25:G25"/>
    <mergeCell ref="F21:G21"/>
    <mergeCell ref="B17:C17"/>
    <mergeCell ref="B3:C16"/>
    <mergeCell ref="L19:M19"/>
    <mergeCell ref="B19:C19"/>
    <mergeCell ref="B29:C29"/>
    <mergeCell ref="D19:E19"/>
    <mergeCell ref="B18:M18"/>
    <mergeCell ref="B33:M33"/>
    <mergeCell ref="H40:H43"/>
    <mergeCell ref="J20:K20"/>
    <mergeCell ref="F32:G32"/>
    <mergeCell ref="F31:G31"/>
    <mergeCell ref="F29:G29"/>
    <mergeCell ref="F30:G30"/>
    <mergeCell ref="H35:H38"/>
    <mergeCell ref="C37:G37"/>
    <mergeCell ref="C38:G38"/>
    <mergeCell ref="C41:G41"/>
    <mergeCell ref="B60:I60"/>
    <mergeCell ref="B34:G34"/>
    <mergeCell ref="I19:K19"/>
    <mergeCell ref="C43:G43"/>
    <mergeCell ref="C42:G42"/>
    <mergeCell ref="I29:J29"/>
    <mergeCell ref="I30:J30"/>
    <mergeCell ref="I31:J31"/>
    <mergeCell ref="I34:M34"/>
    <mergeCell ref="B39:G39"/>
    <mergeCell ref="C40:G40"/>
    <mergeCell ref="C35:G35"/>
    <mergeCell ref="B59:M59"/>
    <mergeCell ref="C36:G36"/>
    <mergeCell ref="J45:M45"/>
    <mergeCell ref="B44:M44"/>
    <mergeCell ref="I40:I41"/>
    <mergeCell ref="I42:I43"/>
    <mergeCell ref="J40:K41"/>
    <mergeCell ref="J42:K43"/>
    <mergeCell ref="L40:L41"/>
    <mergeCell ref="L42:L43"/>
    <mergeCell ref="M40:M41"/>
    <mergeCell ref="M42:M43"/>
    <mergeCell ref="G107:H107"/>
    <mergeCell ref="G82:M82"/>
    <mergeCell ref="E73:I81"/>
    <mergeCell ref="E62:I71"/>
    <mergeCell ref="J61:L61"/>
    <mergeCell ref="E72:I72"/>
    <mergeCell ref="B73:D81"/>
    <mergeCell ref="J64:L64"/>
    <mergeCell ref="J65:L65"/>
    <mergeCell ref="J66:L66"/>
    <mergeCell ref="J67:L67"/>
    <mergeCell ref="J68:L68"/>
    <mergeCell ref="J69:L69"/>
    <mergeCell ref="J70:L70"/>
    <mergeCell ref="J62:L62"/>
    <mergeCell ref="J63:L63"/>
    <mergeCell ref="E61:I61"/>
    <mergeCell ref="J75:L75"/>
    <mergeCell ref="J77:L77"/>
    <mergeCell ref="J78:L78"/>
    <mergeCell ref="J79:L79"/>
    <mergeCell ref="J81:L81"/>
    <mergeCell ref="J80:L80"/>
    <mergeCell ref="B83:F107"/>
  </mergeCells>
  <phoneticPr fontId="0" type="noConversion"/>
  <conditionalFormatting sqref="C46:C54 D46:E46">
    <cfRule type="dataBar" priority="11">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6:D54">
    <cfRule type="dataBar" priority="10">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7:D54">
    <cfRule type="dataBar" priority="17">
      <dataBar>
        <cfvo type="min"/>
        <cfvo type="max"/>
        <color rgb="FF638EC6"/>
      </dataBar>
      <extLst>
        <ext xmlns:x14="http://schemas.microsoft.com/office/spreadsheetml/2009/9/main" uri="{B025F937-C7B1-47D3-B67F-A62EFF666E3E}">
          <x14:id>{8F05AC94-FB75-41DC-A030-BD50695363B2}</x14:id>
        </ext>
      </extLst>
    </cfRule>
    <cfRule type="dataBar" priority="19">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6:E54">
    <cfRule type="dataBar" priority="9">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7:E54">
    <cfRule type="dataBar" priority="12">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5:E58 G55:G58 I55:I58">
    <cfRule type="dataBar" priority="14">
      <dataBar>
        <cfvo type="min"/>
        <cfvo type="max"/>
        <color rgb="FF638EC6"/>
      </dataBar>
      <extLst>
        <ext xmlns:x14="http://schemas.microsoft.com/office/spreadsheetml/2009/9/main" uri="{B025F937-C7B1-47D3-B67F-A62EFF666E3E}">
          <x14:id>{4382A5A4-8938-4754-913D-04C8EB3E9944}</x14:id>
        </ext>
      </extLst>
    </cfRule>
    <cfRule type="dataBar" priority="15">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6:F54">
    <cfRule type="dataBar" priority="16">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6:G54">
    <cfRule type="dataBar" priority="18">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1:H25">
    <cfRule type="dataBar" priority="8">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7:H31">
    <cfRule type="dataBar" priority="7">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6:H54">
    <cfRule type="dataBar" priority="21">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6:I54">
    <cfRule type="dataBar" priority="13">
      <dataBar>
        <cfvo type="min"/>
        <cfvo type="max"/>
        <color rgb="FF63C384"/>
      </dataBar>
      <extLst>
        <ext xmlns:x14="http://schemas.microsoft.com/office/spreadsheetml/2009/9/main" uri="{B025F937-C7B1-47D3-B67F-A62EFF666E3E}">
          <x14:id>{60823727-C433-4BFE-A422-F2DB16A0B39B}</x14:id>
        </ext>
      </extLst>
    </cfRule>
  </conditionalFormatting>
  <conditionalFormatting sqref="J42:K43">
    <cfRule type="cellIs" dxfId="39" priority="1" operator="lessThan">
      <formula>0</formula>
    </cfRule>
    <cfRule type="cellIs" dxfId="38" priority="2" operator="greaterThan">
      <formula>0</formula>
    </cfRule>
  </conditionalFormatting>
  <conditionalFormatting sqref="M40:M43">
    <cfRule type="cellIs" dxfId="37" priority="3" operator="lessThan">
      <formula>0</formula>
    </cfRule>
    <cfRule type="cellIs" dxfId="36" priority="4" operator="greaterThan">
      <formula>0</formula>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47:S57"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C46:C54 D46:E46</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D46:D54</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D47:D54</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E46:E54</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E47:E54</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E55:E58 G55:G58 I55:I58</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F46:F54</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G46:G54</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H21:H25</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H27:H31</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H46:H54</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I46:I54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2:Y55"/>
  <sheetViews>
    <sheetView showGridLines="0" zoomScale="49" workbookViewId="0">
      <selection activeCell="D29" sqref="D29:H29"/>
    </sheetView>
  </sheetViews>
  <sheetFormatPr defaultColWidth="11.44140625" defaultRowHeight="13.2"/>
  <cols>
    <col min="1" max="1" width="2.109375" customWidth="1"/>
    <col min="2" max="2" width="11.109375" customWidth="1"/>
    <col min="3" max="3" width="42.88671875" customWidth="1"/>
    <col min="4" max="4" width="15.44140625" style="1" customWidth="1"/>
    <col min="5" max="9" width="15.44140625" customWidth="1"/>
    <col min="10" max="11" width="11.44140625" bestFit="1" customWidth="1"/>
    <col min="17" max="17" width="23.44140625" customWidth="1"/>
  </cols>
  <sheetData>
    <row r="2" spans="2:25" ht="21">
      <c r="B2" s="1773" t="str">
        <f>"Regions "&amp;"("&amp;OP!$J$20&amp;")"</f>
        <v>Regions (2023)</v>
      </c>
      <c r="C2" s="1774"/>
      <c r="D2" s="1774"/>
      <c r="E2" s="1774"/>
      <c r="F2" s="1774"/>
      <c r="G2" s="1774"/>
      <c r="H2" s="1774"/>
      <c r="I2" s="1774"/>
      <c r="J2" s="1774"/>
      <c r="K2" s="1774"/>
      <c r="L2" s="1774"/>
      <c r="M2" s="1774"/>
      <c r="N2" s="1774"/>
      <c r="O2" s="1774"/>
      <c r="P2" s="1774"/>
      <c r="Q2" s="1769" t="s">
        <v>177</v>
      </c>
      <c r="R2" s="1770"/>
      <c r="S2" s="1770"/>
      <c r="T2" s="1770"/>
      <c r="U2" s="1770"/>
      <c r="V2" s="1770"/>
      <c r="W2" s="1770"/>
      <c r="X2" s="1770"/>
      <c r="Y2" s="1771"/>
    </row>
    <row r="3" spans="2:25" ht="18" thickBot="1">
      <c r="B3" s="156"/>
      <c r="C3" s="157"/>
      <c r="D3" s="1784" t="s">
        <v>178</v>
      </c>
      <c r="E3" s="1784"/>
      <c r="F3" s="1784"/>
      <c r="G3" s="1784"/>
      <c r="H3" s="1784"/>
      <c r="I3" s="1785"/>
      <c r="J3" s="137"/>
      <c r="K3" s="1772" t="s">
        <v>179</v>
      </c>
      <c r="L3" s="1772"/>
      <c r="M3" s="1772"/>
      <c r="N3" s="1772"/>
      <c r="O3" s="1772"/>
      <c r="P3" s="1772"/>
      <c r="Q3" s="131"/>
      <c r="Y3" s="152"/>
    </row>
    <row r="4" spans="2:25" ht="13.8" thickBot="1">
      <c r="B4" s="143" t="s">
        <v>180</v>
      </c>
      <c r="C4" s="144" t="s">
        <v>181</v>
      </c>
      <c r="D4" s="145">
        <f>OP!J20</f>
        <v>2023</v>
      </c>
      <c r="E4" s="145">
        <f>D4-1</f>
        <v>2022</v>
      </c>
      <c r="F4" s="145">
        <f>E4-1</f>
        <v>2021</v>
      </c>
      <c r="G4" s="145">
        <f>F4-1</f>
        <v>2020</v>
      </c>
      <c r="H4" s="145">
        <f>G4-1</f>
        <v>2019</v>
      </c>
      <c r="I4" s="145">
        <f>H4-1</f>
        <v>2018</v>
      </c>
      <c r="J4" s="138"/>
      <c r="K4" s="145">
        <f>OP!J20</f>
        <v>2023</v>
      </c>
      <c r="L4" s="145">
        <f t="shared" ref="L4:P4" si="0">K4-1</f>
        <v>2022</v>
      </c>
      <c r="M4" s="145">
        <f t="shared" si="0"/>
        <v>2021</v>
      </c>
      <c r="N4" s="145">
        <f t="shared" si="0"/>
        <v>2020</v>
      </c>
      <c r="O4" s="145">
        <f t="shared" si="0"/>
        <v>2019</v>
      </c>
      <c r="P4" s="158">
        <f t="shared" si="0"/>
        <v>2018</v>
      </c>
      <c r="Q4" s="131"/>
      <c r="Y4" s="152"/>
    </row>
    <row r="5" spans="2:25">
      <c r="B5" s="141">
        <f t="shared" ref="B5:B13" si="1">IFERROR(D5/$D$14,"")</f>
        <v>0.3455467372134039</v>
      </c>
      <c r="C5" s="142" t="s">
        <v>182</v>
      </c>
      <c r="D5" s="146">
        <v>7837</v>
      </c>
      <c r="E5" s="146">
        <v>8049</v>
      </c>
      <c r="F5" s="146">
        <v>4656</v>
      </c>
      <c r="G5" s="146">
        <v>2294</v>
      </c>
      <c r="H5" s="146">
        <v>1764</v>
      </c>
      <c r="I5" s="146">
        <v>1327</v>
      </c>
      <c r="J5" s="139"/>
      <c r="K5" s="265">
        <f t="shared" ref="K5:O10" si="2">(D5-E5)/E5</f>
        <v>-2.6338675611877253E-2</v>
      </c>
      <c r="L5" s="265">
        <f t="shared" si="2"/>
        <v>0.72873711340206182</v>
      </c>
      <c r="M5" s="265">
        <f t="shared" si="2"/>
        <v>1.0296425457715781</v>
      </c>
      <c r="N5" s="265">
        <f t="shared" si="2"/>
        <v>0.30045351473922904</v>
      </c>
      <c r="O5" s="265">
        <f t="shared" si="2"/>
        <v>0.32931424265259984</v>
      </c>
      <c r="P5" s="265" t="s">
        <v>65</v>
      </c>
      <c r="Q5" s="131"/>
      <c r="Y5" s="152"/>
    </row>
    <row r="6" spans="2:25">
      <c r="B6" s="141">
        <f t="shared" si="1"/>
        <v>0.20410052910052909</v>
      </c>
      <c r="C6" s="142" t="s">
        <v>183</v>
      </c>
      <c r="D6" s="146">
        <v>4629</v>
      </c>
      <c r="E6" s="146">
        <v>4177</v>
      </c>
      <c r="F6" s="146">
        <v>2381</v>
      </c>
      <c r="G6" s="146">
        <v>1033</v>
      </c>
      <c r="H6" s="146">
        <v>840</v>
      </c>
      <c r="I6" s="146">
        <v>1225</v>
      </c>
      <c r="J6" s="139"/>
      <c r="K6" s="265">
        <f t="shared" ref="K6:O9" si="3">(D6-E6)/E6</f>
        <v>0.10821163514484079</v>
      </c>
      <c r="L6" s="265">
        <f t="shared" si="3"/>
        <v>0.75430491390172194</v>
      </c>
      <c r="M6" s="265">
        <f t="shared" si="3"/>
        <v>1.3049370764762827</v>
      </c>
      <c r="N6" s="265">
        <f t="shared" si="3"/>
        <v>0.22976190476190475</v>
      </c>
      <c r="O6" s="265">
        <f t="shared" si="3"/>
        <v>-0.31428571428571428</v>
      </c>
      <c r="P6" s="265" t="s">
        <v>65</v>
      </c>
      <c r="Q6" s="131"/>
      <c r="Y6" s="152"/>
    </row>
    <row r="7" spans="2:25">
      <c r="B7" s="141">
        <f t="shared" si="1"/>
        <v>0.15066137566137566</v>
      </c>
      <c r="C7" s="142" t="s">
        <v>184</v>
      </c>
      <c r="D7" s="146">
        <v>3417</v>
      </c>
      <c r="E7" s="146">
        <v>5207</v>
      </c>
      <c r="F7" s="146">
        <v>4096</v>
      </c>
      <c r="G7" s="146">
        <v>2329</v>
      </c>
      <c r="H7" s="146">
        <v>1736</v>
      </c>
      <c r="I7" s="146">
        <v>1319</v>
      </c>
      <c r="J7" s="139"/>
      <c r="K7" s="265">
        <f t="shared" si="3"/>
        <v>-0.34376800460917994</v>
      </c>
      <c r="L7" s="265">
        <f t="shared" si="3"/>
        <v>0.271240234375</v>
      </c>
      <c r="M7" s="265">
        <f t="shared" si="3"/>
        <v>0.75869471876341776</v>
      </c>
      <c r="N7" s="265">
        <f t="shared" si="3"/>
        <v>0.34158986175115208</v>
      </c>
      <c r="O7" s="265">
        <f t="shared" si="3"/>
        <v>0.31614859742228962</v>
      </c>
      <c r="P7" s="265" t="s">
        <v>65</v>
      </c>
      <c r="Q7" s="131"/>
      <c r="Y7" s="152"/>
    </row>
    <row r="8" spans="2:25">
      <c r="B8" s="141">
        <f t="shared" si="1"/>
        <v>9.8368606701940031E-2</v>
      </c>
      <c r="C8" s="142" t="s">
        <v>185</v>
      </c>
      <c r="D8" s="146">
        <v>2231</v>
      </c>
      <c r="E8" s="146">
        <v>1380</v>
      </c>
      <c r="F8" s="146">
        <v>1389</v>
      </c>
      <c r="G8" s="146">
        <v>1096</v>
      </c>
      <c r="H8" s="146">
        <v>597</v>
      </c>
      <c r="I8" s="146">
        <v>728</v>
      </c>
      <c r="J8" s="139"/>
      <c r="K8" s="265">
        <f t="shared" si="3"/>
        <v>0.6166666666666667</v>
      </c>
      <c r="L8" s="265">
        <f t="shared" si="3"/>
        <v>-6.4794816414686825E-3</v>
      </c>
      <c r="M8" s="265">
        <f t="shared" si="3"/>
        <v>0.26733576642335766</v>
      </c>
      <c r="N8" s="265">
        <f t="shared" si="3"/>
        <v>0.83584589614740368</v>
      </c>
      <c r="O8" s="265">
        <f t="shared" si="3"/>
        <v>-0.17994505494505494</v>
      </c>
      <c r="P8" s="265" t="s">
        <v>65</v>
      </c>
      <c r="Q8" s="131"/>
      <c r="Y8" s="152"/>
    </row>
    <row r="9" spans="2:25">
      <c r="B9" s="141">
        <f t="shared" si="1"/>
        <v>8.9506172839506168E-2</v>
      </c>
      <c r="C9" s="142" t="s">
        <v>186</v>
      </c>
      <c r="D9" s="146">
        <v>2030</v>
      </c>
      <c r="E9" s="146">
        <v>1773</v>
      </c>
      <c r="F9" s="146">
        <v>1249</v>
      </c>
      <c r="G9" s="146">
        <v>1108</v>
      </c>
      <c r="H9" s="146">
        <v>762</v>
      </c>
      <c r="I9" s="146">
        <v>470</v>
      </c>
      <c r="J9" s="139"/>
      <c r="K9" s="265">
        <f t="shared" si="3"/>
        <v>0.14495205865764241</v>
      </c>
      <c r="L9" s="265">
        <f t="shared" si="3"/>
        <v>0.41953562850280224</v>
      </c>
      <c r="M9" s="265">
        <f t="shared" si="3"/>
        <v>0.12725631768953069</v>
      </c>
      <c r="N9" s="265">
        <f t="shared" si="3"/>
        <v>0.45406824146981628</v>
      </c>
      <c r="O9" s="265">
        <f t="shared" si="3"/>
        <v>0.62127659574468086</v>
      </c>
      <c r="P9" s="265" t="s">
        <v>65</v>
      </c>
      <c r="Q9" s="131"/>
      <c r="Y9" s="152"/>
    </row>
    <row r="10" spans="2:25">
      <c r="B10" s="141">
        <f t="shared" si="1"/>
        <v>8.1172839506172836E-2</v>
      </c>
      <c r="C10" s="134" t="s">
        <v>187</v>
      </c>
      <c r="D10" s="136">
        <v>1841</v>
      </c>
      <c r="E10" s="136">
        <v>2369</v>
      </c>
      <c r="F10" s="136">
        <v>2091</v>
      </c>
      <c r="G10" s="136">
        <v>1187</v>
      </c>
      <c r="H10" s="136">
        <v>719</v>
      </c>
      <c r="I10" s="136">
        <v>1197</v>
      </c>
      <c r="J10" s="139"/>
      <c r="K10" s="265">
        <f t="shared" si="2"/>
        <v>-0.22287885183621781</v>
      </c>
      <c r="L10" s="265">
        <f t="shared" si="2"/>
        <v>0.13295074127211862</v>
      </c>
      <c r="M10" s="265">
        <f t="shared" si="2"/>
        <v>0.76158382476832354</v>
      </c>
      <c r="N10" s="265">
        <f t="shared" si="2"/>
        <v>0.65090403337969405</v>
      </c>
      <c r="O10" s="265">
        <f t="shared" si="2"/>
        <v>-0.3993316624895572</v>
      </c>
      <c r="P10" s="265" t="s">
        <v>65</v>
      </c>
      <c r="Q10" s="131"/>
      <c r="Y10" s="152"/>
    </row>
    <row r="11" spans="2:25" hidden="1">
      <c r="B11" s="141">
        <f t="shared" si="1"/>
        <v>0</v>
      </c>
      <c r="C11" s="134" t="s">
        <v>187</v>
      </c>
      <c r="D11" s="136"/>
      <c r="E11" s="136"/>
      <c r="F11" s="136"/>
      <c r="G11" s="136"/>
      <c r="H11" s="136"/>
      <c r="I11" s="136"/>
      <c r="J11" s="139"/>
      <c r="K11" s="265" t="e">
        <f t="shared" ref="K11:K13" si="4">(D11-E11)/E11</f>
        <v>#DIV/0!</v>
      </c>
      <c r="L11" s="265" t="e">
        <f t="shared" ref="L11:L13" si="5">(E11-F11)/F11</f>
        <v>#DIV/0!</v>
      </c>
      <c r="M11" s="265" t="e">
        <f t="shared" ref="M11:M13" si="6">(F11-G11)/G11</f>
        <v>#DIV/0!</v>
      </c>
      <c r="N11" s="265" t="e">
        <f t="shared" ref="N11:N13" si="7">(G11-H11)/H11</f>
        <v>#DIV/0!</v>
      </c>
      <c r="O11" s="265" t="e">
        <f t="shared" ref="O11:O13" si="8">(H11-I11)/I11</f>
        <v>#DIV/0!</v>
      </c>
      <c r="P11" s="159"/>
      <c r="Q11" s="131"/>
      <c r="Y11" s="152"/>
    </row>
    <row r="12" spans="2:25" hidden="1">
      <c r="B12" s="141">
        <f t="shared" si="1"/>
        <v>0</v>
      </c>
      <c r="C12" s="134" t="s">
        <v>187</v>
      </c>
      <c r="D12" s="136"/>
      <c r="E12" s="136"/>
      <c r="F12" s="136"/>
      <c r="G12" s="136"/>
      <c r="H12" s="136"/>
      <c r="I12" s="136"/>
      <c r="J12" s="139"/>
      <c r="K12" s="265" t="e">
        <f t="shared" si="4"/>
        <v>#DIV/0!</v>
      </c>
      <c r="L12" s="265" t="e">
        <f t="shared" si="5"/>
        <v>#DIV/0!</v>
      </c>
      <c r="M12" s="265" t="e">
        <f t="shared" si="6"/>
        <v>#DIV/0!</v>
      </c>
      <c r="N12" s="265" t="e">
        <f t="shared" si="7"/>
        <v>#DIV/0!</v>
      </c>
      <c r="O12" s="265" t="e">
        <f t="shared" si="8"/>
        <v>#DIV/0!</v>
      </c>
      <c r="P12" s="160"/>
      <c r="Q12" s="131"/>
      <c r="Y12" s="152"/>
    </row>
    <row r="13" spans="2:25" ht="13.8" thickBot="1">
      <c r="B13" s="141">
        <f t="shared" si="1"/>
        <v>3.0643738977072309E-2</v>
      </c>
      <c r="C13" s="134" t="s">
        <v>188</v>
      </c>
      <c r="D13" s="136">
        <v>695</v>
      </c>
      <c r="E13" s="136">
        <v>646</v>
      </c>
      <c r="F13" s="136">
        <v>572</v>
      </c>
      <c r="G13" s="136">
        <v>716</v>
      </c>
      <c r="H13" s="136">
        <v>313</v>
      </c>
      <c r="I13" s="136">
        <v>0</v>
      </c>
      <c r="J13" s="684"/>
      <c r="K13" s="265">
        <f t="shared" si="4"/>
        <v>7.5851393188854491E-2</v>
      </c>
      <c r="L13" s="265">
        <f t="shared" si="5"/>
        <v>0.12937062937062938</v>
      </c>
      <c r="M13" s="265">
        <f t="shared" si="6"/>
        <v>-0.2011173184357542</v>
      </c>
      <c r="N13" s="265">
        <f t="shared" si="7"/>
        <v>1.2875399361022364</v>
      </c>
      <c r="O13" s="265" t="e">
        <f t="shared" si="8"/>
        <v>#DIV/0!</v>
      </c>
      <c r="P13" s="265" t="s">
        <v>65</v>
      </c>
      <c r="Q13" s="131"/>
      <c r="Y13" s="152"/>
    </row>
    <row r="14" spans="2:25" ht="13.8" thickBot="1">
      <c r="B14" s="135">
        <f>SUM(B5:B12)</f>
        <v>0.9693562610229276</v>
      </c>
      <c r="C14" s="635" t="s">
        <v>189</v>
      </c>
      <c r="D14" s="633">
        <f>SUM(D5:D13)</f>
        <v>22680</v>
      </c>
      <c r="E14" s="633">
        <f t="shared" ref="E14:I14" si="9">SUM(E5:E13)</f>
        <v>23601</v>
      </c>
      <c r="F14" s="633">
        <f t="shared" si="9"/>
        <v>16434</v>
      </c>
      <c r="G14" s="633">
        <f t="shared" si="9"/>
        <v>9763</v>
      </c>
      <c r="H14" s="633">
        <f t="shared" si="9"/>
        <v>6731</v>
      </c>
      <c r="I14" s="633">
        <f t="shared" si="9"/>
        <v>6266</v>
      </c>
      <c r="J14" s="636"/>
      <c r="K14" s="267">
        <f>(D14-E14)/E14</f>
        <v>-3.9023770179229693E-2</v>
      </c>
      <c r="L14" s="267">
        <f>(E14-F14)/F14</f>
        <v>0.43610806863818913</v>
      </c>
      <c r="M14" s="267">
        <f>(F14-G14)/G14</f>
        <v>0.68329406944586701</v>
      </c>
      <c r="N14" s="267">
        <f t="shared" ref="N14:O14" si="10">(G14-H14)/H14</f>
        <v>0.45045312732134896</v>
      </c>
      <c r="O14" s="267">
        <f t="shared" si="10"/>
        <v>7.4210022342802426E-2</v>
      </c>
      <c r="P14" s="267" t="s">
        <v>65</v>
      </c>
      <c r="Q14" s="131"/>
      <c r="Y14" s="152"/>
    </row>
    <row r="15" spans="2:25">
      <c r="B15" s="154"/>
      <c r="C15" s="3"/>
      <c r="D15" s="12"/>
      <c r="E15" s="12"/>
      <c r="F15" s="12"/>
      <c r="G15" s="12"/>
      <c r="H15" s="12"/>
      <c r="I15" s="12"/>
      <c r="J15" s="12"/>
      <c r="K15" s="12"/>
      <c r="L15" s="12"/>
      <c r="M15" s="12"/>
      <c r="N15" s="12"/>
      <c r="O15" s="12"/>
      <c r="P15" s="12"/>
      <c r="Q15" s="131"/>
      <c r="Y15" s="152"/>
    </row>
    <row r="16" spans="2:25" ht="21.6" thickBot="1">
      <c r="B16" s="1773" t="str">
        <f>"Categories "&amp;"("&amp;OP!$J$20&amp;")"</f>
        <v>Categories (2023)</v>
      </c>
      <c r="C16" s="1774"/>
      <c r="D16" s="1774"/>
      <c r="E16" s="1774"/>
      <c r="F16" s="1774"/>
      <c r="G16" s="1774"/>
      <c r="H16" s="1774"/>
      <c r="I16" s="1774"/>
      <c r="J16" s="1774"/>
      <c r="K16" s="1774"/>
      <c r="L16" s="1774"/>
      <c r="M16" s="1774"/>
      <c r="N16" s="1774"/>
      <c r="O16" s="1774"/>
      <c r="P16" s="1774"/>
      <c r="Q16" s="131"/>
      <c r="S16" s="270"/>
      <c r="Y16" s="152"/>
    </row>
    <row r="17" spans="2:17" ht="21">
      <c r="B17" s="156"/>
      <c r="C17" s="157"/>
      <c r="D17" s="1745" t="s">
        <v>178</v>
      </c>
      <c r="E17" s="1746"/>
      <c r="F17" s="1746"/>
      <c r="G17" s="1746"/>
      <c r="H17" s="1746"/>
      <c r="I17" s="1747"/>
      <c r="J17" s="137"/>
      <c r="K17" s="1775" t="s">
        <v>179</v>
      </c>
      <c r="L17" s="1776"/>
      <c r="M17" s="1776"/>
      <c r="N17" s="1776"/>
      <c r="O17" s="1776"/>
      <c r="P17" s="1776"/>
      <c r="Q17" s="131"/>
    </row>
    <row r="18" spans="2:17">
      <c r="B18" s="155" t="s">
        <v>180</v>
      </c>
      <c r="C18" s="130" t="s">
        <v>190</v>
      </c>
      <c r="D18" s="145">
        <f>OP!J20</f>
        <v>2023</v>
      </c>
      <c r="E18" s="145">
        <f>D18-1</f>
        <v>2022</v>
      </c>
      <c r="F18" s="145">
        <f>E18-1</f>
        <v>2021</v>
      </c>
      <c r="G18" s="145">
        <f>F18-1</f>
        <v>2020</v>
      </c>
      <c r="H18" s="145">
        <f>G18-1</f>
        <v>2019</v>
      </c>
      <c r="I18" s="145">
        <f>H18-1</f>
        <v>2018</v>
      </c>
      <c r="J18" s="138"/>
      <c r="K18" s="140">
        <f>OP!J20</f>
        <v>2023</v>
      </c>
      <c r="L18" s="140">
        <f t="shared" ref="L18:P18" si="11">K18-1</f>
        <v>2022</v>
      </c>
      <c r="M18" s="140">
        <f t="shared" si="11"/>
        <v>2021</v>
      </c>
      <c r="N18" s="140">
        <f t="shared" si="11"/>
        <v>2020</v>
      </c>
      <c r="O18" s="140">
        <f t="shared" si="11"/>
        <v>2019</v>
      </c>
      <c r="P18" s="161">
        <f t="shared" si="11"/>
        <v>2018</v>
      </c>
      <c r="Q18" s="131"/>
    </row>
    <row r="19" spans="2:17">
      <c r="B19" s="141">
        <f>IFERROR(D19/$D$23,"")</f>
        <v>0.28641975308641976</v>
      </c>
      <c r="C19" s="133" t="s">
        <v>191</v>
      </c>
      <c r="D19" s="146">
        <v>6496</v>
      </c>
      <c r="E19" s="146">
        <v>6043</v>
      </c>
      <c r="F19" s="146">
        <v>3694</v>
      </c>
      <c r="G19" s="146"/>
      <c r="H19" s="146"/>
      <c r="I19" s="146"/>
      <c r="J19" s="139"/>
      <c r="K19" s="268">
        <f>(D19-E19)/E19</f>
        <v>7.4962766837663411E-2</v>
      </c>
      <c r="L19" s="268">
        <f t="shared" ref="L19:O23" si="12">(E19-F19)/F19</f>
        <v>0.63589604764482943</v>
      </c>
      <c r="M19" s="268" t="e">
        <f t="shared" si="12"/>
        <v>#DIV/0!</v>
      </c>
      <c r="N19" s="268" t="e">
        <f t="shared" si="12"/>
        <v>#DIV/0!</v>
      </c>
      <c r="O19" s="268" t="e">
        <f t="shared" si="12"/>
        <v>#DIV/0!</v>
      </c>
      <c r="P19" s="268" t="s">
        <v>65</v>
      </c>
      <c r="Q19" s="131"/>
    </row>
    <row r="20" spans="2:17">
      <c r="B20" s="141">
        <f>IFERROR(D20/$D$23,"")</f>
        <v>0.20507054673721339</v>
      </c>
      <c r="C20" s="505" t="s">
        <v>192</v>
      </c>
      <c r="D20" s="146">
        <v>4651</v>
      </c>
      <c r="E20" s="146">
        <v>6201</v>
      </c>
      <c r="F20" s="146">
        <v>6887</v>
      </c>
      <c r="G20" s="146"/>
      <c r="H20" s="146"/>
      <c r="I20" s="146"/>
      <c r="J20" s="139"/>
      <c r="K20" s="268">
        <f>(D20-E20)/E20</f>
        <v>-0.24995968392194806</v>
      </c>
      <c r="L20" s="268">
        <f t="shared" ref="L20" si="13">(E20-F20)/F20</f>
        <v>-9.9607957020473356E-2</v>
      </c>
      <c r="M20" s="268" t="e">
        <f t="shared" ref="M20" si="14">(F20-G20)/G20</f>
        <v>#DIV/0!</v>
      </c>
      <c r="N20" s="268" t="e">
        <f t="shared" ref="N20" si="15">(G20-H20)/H20</f>
        <v>#DIV/0!</v>
      </c>
      <c r="O20" s="268" t="e">
        <f t="shared" ref="O20" si="16">(H20-I20)/I20</f>
        <v>#DIV/0!</v>
      </c>
      <c r="P20" s="506" t="s">
        <v>65</v>
      </c>
      <c r="Q20" s="131"/>
    </row>
    <row r="21" spans="2:17">
      <c r="B21" s="141">
        <f>IFERROR(D21/$D$23,"")</f>
        <v>0.27389770723104057</v>
      </c>
      <c r="C21" s="134" t="s">
        <v>193</v>
      </c>
      <c r="D21" s="146">
        <v>6212</v>
      </c>
      <c r="E21" s="146">
        <v>6805</v>
      </c>
      <c r="F21" s="146">
        <v>5607</v>
      </c>
      <c r="G21" s="146"/>
      <c r="H21" s="146"/>
      <c r="I21" s="146"/>
      <c r="J21" s="139"/>
      <c r="K21" s="269">
        <f t="shared" ref="K21:K22" si="17">(D21-E21)/E21</f>
        <v>-8.714180749448934E-2</v>
      </c>
      <c r="L21" s="269">
        <f t="shared" si="12"/>
        <v>0.21366149456037095</v>
      </c>
      <c r="M21" s="269" t="e">
        <f t="shared" si="12"/>
        <v>#DIV/0!</v>
      </c>
      <c r="N21" s="269" t="e">
        <f t="shared" si="12"/>
        <v>#DIV/0!</v>
      </c>
      <c r="O21" s="269" t="e">
        <f t="shared" si="12"/>
        <v>#DIV/0!</v>
      </c>
      <c r="P21" s="269" t="s">
        <v>65</v>
      </c>
      <c r="Q21" s="131"/>
    </row>
    <row r="22" spans="2:17">
      <c r="B22" s="141">
        <f>IFERROR(D22/$D$23,"")</f>
        <v>0.23461199294532628</v>
      </c>
      <c r="C22" s="134" t="s">
        <v>194</v>
      </c>
      <c r="D22" s="146">
        <v>5321</v>
      </c>
      <c r="E22" s="146">
        <v>4552</v>
      </c>
      <c r="F22" s="146">
        <v>246</v>
      </c>
      <c r="G22" s="146"/>
      <c r="H22" s="146"/>
      <c r="I22" s="146"/>
      <c r="J22" s="139"/>
      <c r="K22" s="269">
        <f t="shared" si="17"/>
        <v>0.16893673110720561</v>
      </c>
      <c r="L22" s="269">
        <f t="shared" si="12"/>
        <v>17.504065040650406</v>
      </c>
      <c r="M22" s="269" t="e">
        <f t="shared" si="12"/>
        <v>#DIV/0!</v>
      </c>
      <c r="N22" s="269" t="e">
        <f t="shared" si="12"/>
        <v>#DIV/0!</v>
      </c>
      <c r="O22" s="269" t="e">
        <f t="shared" si="12"/>
        <v>#DIV/0!</v>
      </c>
      <c r="P22" s="269" t="s">
        <v>65</v>
      </c>
      <c r="Q22" s="131"/>
    </row>
    <row r="23" spans="2:17">
      <c r="B23" s="135">
        <f>SUM(B19:B22)</f>
        <v>1</v>
      </c>
      <c r="C23" s="635" t="s">
        <v>189</v>
      </c>
      <c r="D23" s="633">
        <f t="shared" ref="D23:F23" si="18">SUM(D19:D22)</f>
        <v>22680</v>
      </c>
      <c r="E23" s="634">
        <f t="shared" si="18"/>
        <v>23601</v>
      </c>
      <c r="F23" s="634">
        <f t="shared" si="18"/>
        <v>16434</v>
      </c>
      <c r="G23" s="634">
        <f>G14</f>
        <v>9763</v>
      </c>
      <c r="H23" s="634">
        <f t="shared" ref="H23:I23" si="19">H14</f>
        <v>6731</v>
      </c>
      <c r="I23" s="634">
        <f t="shared" si="19"/>
        <v>6266</v>
      </c>
      <c r="J23" s="636"/>
      <c r="K23" s="266">
        <f>(D23-E23)/E23</f>
        <v>-3.9023770179229693E-2</v>
      </c>
      <c r="L23" s="267">
        <f t="shared" si="12"/>
        <v>0.43610806863818913</v>
      </c>
      <c r="M23" s="267">
        <f t="shared" ref="M23" si="20">(F23-G23)/G23</f>
        <v>0.68329406944586701</v>
      </c>
      <c r="N23" s="267">
        <f t="shared" ref="N23" si="21">(G23-H23)/H23</f>
        <v>0.45045312732134896</v>
      </c>
      <c r="O23" s="267">
        <f t="shared" ref="O23" si="22">(H23-I23)/I23</f>
        <v>7.4210022342802426E-2</v>
      </c>
      <c r="P23" s="267" t="s">
        <v>65</v>
      </c>
      <c r="Q23" s="131"/>
    </row>
    <row r="24" spans="2:17">
      <c r="C24" s="11"/>
      <c r="D24" s="12"/>
      <c r="E24" s="13"/>
      <c r="F24" s="12"/>
      <c r="G24" s="13"/>
      <c r="H24" s="12"/>
      <c r="I24" s="13"/>
      <c r="Q24" s="131"/>
    </row>
    <row r="25" spans="2:17" ht="21">
      <c r="B25" s="1745" t="s">
        <v>67</v>
      </c>
      <c r="C25" s="1747"/>
      <c r="D25" s="1745" t="s">
        <v>195</v>
      </c>
      <c r="E25" s="1746"/>
      <c r="F25" s="1746"/>
      <c r="G25" s="1746"/>
      <c r="H25" s="1746"/>
      <c r="I25" s="1782" t="s">
        <v>196</v>
      </c>
      <c r="J25" s="1783"/>
      <c r="K25" s="1783"/>
      <c r="L25" s="1783"/>
      <c r="M25" s="1783"/>
      <c r="N25" s="1783"/>
      <c r="O25" s="1783"/>
      <c r="P25" s="1783"/>
      <c r="Q25" s="131"/>
    </row>
    <row r="26" spans="2:17" ht="55.5" customHeight="1">
      <c r="B26" s="1765" t="s">
        <v>191</v>
      </c>
      <c r="C26" s="1766"/>
      <c r="D26" s="1777" t="s">
        <v>197</v>
      </c>
      <c r="E26" s="1778"/>
      <c r="F26" s="1778"/>
      <c r="G26" s="1778"/>
      <c r="H26" s="1778"/>
      <c r="I26" s="131"/>
      <c r="Q26" s="131"/>
    </row>
    <row r="27" spans="2:17" ht="41.25" customHeight="1">
      <c r="B27" s="1765" t="s">
        <v>192</v>
      </c>
      <c r="C27" s="1766"/>
      <c r="D27" s="1777" t="s">
        <v>198</v>
      </c>
      <c r="E27" s="1778"/>
      <c r="F27" s="1778"/>
      <c r="G27" s="1778"/>
      <c r="H27" s="1778"/>
      <c r="I27" s="131"/>
      <c r="Q27" s="131"/>
    </row>
    <row r="28" spans="2:17" ht="28.5" customHeight="1">
      <c r="B28" s="1765" t="s">
        <v>193</v>
      </c>
      <c r="C28" s="1766"/>
      <c r="D28" s="1779" t="s">
        <v>199</v>
      </c>
      <c r="E28" s="1778"/>
      <c r="F28" s="1778"/>
      <c r="G28" s="1778"/>
      <c r="H28" s="1778"/>
      <c r="I28" s="131"/>
      <c r="Q28" s="131"/>
    </row>
    <row r="29" spans="2:17" ht="38.25" customHeight="1" thickBot="1">
      <c r="B29" s="1765" t="s">
        <v>194</v>
      </c>
      <c r="C29" s="1766"/>
      <c r="D29" s="1779" t="s">
        <v>200</v>
      </c>
      <c r="E29" s="1778"/>
      <c r="F29" s="1778"/>
      <c r="G29" s="1778"/>
      <c r="H29" s="1778"/>
      <c r="I29" s="131"/>
      <c r="Q29" s="131"/>
    </row>
    <row r="30" spans="2:17" ht="28.5" hidden="1" customHeight="1">
      <c r="B30" s="1765"/>
      <c r="C30" s="1766"/>
      <c r="D30" s="1780"/>
      <c r="E30" s="1781"/>
      <c r="F30" s="1781"/>
      <c r="G30" s="1781"/>
      <c r="H30" s="1781"/>
      <c r="I30" s="131"/>
      <c r="Q30" s="131"/>
    </row>
    <row r="31" spans="2:17" ht="56.25" customHeight="1" thickBot="1">
      <c r="I31" s="132"/>
      <c r="J31" s="153"/>
      <c r="K31" s="153"/>
      <c r="L31" s="153"/>
      <c r="M31" s="153"/>
      <c r="N31" s="153"/>
      <c r="O31" s="153"/>
      <c r="P31" s="153"/>
      <c r="Q31" s="132"/>
    </row>
    <row r="32" spans="2:17" ht="21.6" thickBot="1">
      <c r="B32" s="1745" t="s">
        <v>201</v>
      </c>
      <c r="C32" s="1746"/>
      <c r="D32" s="1746"/>
      <c r="E32" s="1746"/>
      <c r="F32" s="1746"/>
      <c r="G32" s="1746"/>
      <c r="H32" s="1746"/>
      <c r="I32" s="1747"/>
      <c r="J32" s="1723" t="s">
        <v>202</v>
      </c>
      <c r="K32" s="1724"/>
      <c r="L32" s="1724"/>
      <c r="M32" s="1724"/>
      <c r="N32" s="1724"/>
      <c r="O32" s="1724"/>
      <c r="P32" s="1724"/>
      <c r="Q32" s="1725"/>
    </row>
    <row r="33" spans="2:17">
      <c r="B33" s="1738" t="s">
        <v>203</v>
      </c>
      <c r="C33" s="1740"/>
      <c r="D33" s="1738" t="s">
        <v>195</v>
      </c>
      <c r="E33" s="1739"/>
      <c r="F33" s="1739"/>
      <c r="G33" s="1739"/>
      <c r="H33" s="1739"/>
      <c r="I33" s="1740"/>
      <c r="J33" s="147"/>
      <c r="K33" s="150"/>
      <c r="L33" s="150"/>
      <c r="M33" s="150"/>
      <c r="N33" s="150"/>
      <c r="O33" s="150"/>
      <c r="P33" s="150"/>
      <c r="Q33" s="151"/>
    </row>
    <row r="34" spans="2:17">
      <c r="B34" s="1751" t="s">
        <v>204</v>
      </c>
      <c r="C34" s="1752"/>
      <c r="D34" s="1755" t="s">
        <v>205</v>
      </c>
      <c r="E34" s="1756"/>
      <c r="F34" s="1756"/>
      <c r="G34" s="1756"/>
      <c r="H34" s="1756"/>
      <c r="I34" s="1757"/>
      <c r="J34" s="131"/>
      <c r="Q34" s="152"/>
    </row>
    <row r="35" spans="2:17">
      <c r="B35" s="1763" t="s">
        <v>206</v>
      </c>
      <c r="C35" s="1764"/>
      <c r="D35" s="1755" t="s">
        <v>207</v>
      </c>
      <c r="E35" s="1756"/>
      <c r="F35" s="1756"/>
      <c r="G35" s="1756"/>
      <c r="H35" s="1756"/>
      <c r="I35" s="1757"/>
      <c r="J35" s="131"/>
      <c r="Q35" s="152"/>
    </row>
    <row r="36" spans="2:17">
      <c r="B36" s="1763" t="s">
        <v>208</v>
      </c>
      <c r="C36" s="1764"/>
      <c r="D36" s="1755" t="s">
        <v>209</v>
      </c>
      <c r="E36" s="1756"/>
      <c r="F36" s="1756"/>
      <c r="G36" s="1756"/>
      <c r="H36" s="1756"/>
      <c r="I36" s="1757"/>
      <c r="J36" s="131"/>
      <c r="Q36" s="152"/>
    </row>
    <row r="37" spans="2:17">
      <c r="B37" s="1763" t="s">
        <v>210</v>
      </c>
      <c r="C37" s="1764"/>
      <c r="D37" s="1755" t="s">
        <v>211</v>
      </c>
      <c r="E37" s="1756"/>
      <c r="F37" s="1756"/>
      <c r="G37" s="1756"/>
      <c r="H37" s="1756"/>
      <c r="I37" s="1757"/>
      <c r="J37" s="131"/>
      <c r="Q37" s="152"/>
    </row>
    <row r="38" spans="2:17">
      <c r="B38" s="1738" t="s">
        <v>212</v>
      </c>
      <c r="C38" s="1739"/>
      <c r="D38" s="1739"/>
      <c r="E38" s="1739"/>
      <c r="F38" s="1739"/>
      <c r="G38" s="1739"/>
      <c r="H38" s="1739"/>
      <c r="I38" s="1740"/>
      <c r="J38" s="131"/>
      <c r="Q38" s="152"/>
    </row>
    <row r="39" spans="2:17" ht="13.5" customHeight="1">
      <c r="B39" s="1741" t="s">
        <v>213</v>
      </c>
      <c r="C39" s="1742"/>
      <c r="D39" s="1760" t="s">
        <v>214</v>
      </c>
      <c r="E39" s="1761"/>
      <c r="F39" s="1762"/>
      <c r="G39" s="1760" t="s">
        <v>215</v>
      </c>
      <c r="H39" s="1761"/>
      <c r="I39" s="1762"/>
      <c r="J39" s="131"/>
      <c r="Q39" s="152"/>
    </row>
    <row r="40" spans="2:17">
      <c r="B40" s="1743" t="s">
        <v>216</v>
      </c>
      <c r="C40" s="1744"/>
      <c r="D40" s="1732">
        <v>6.3E-2</v>
      </c>
      <c r="E40" s="1733"/>
      <c r="F40" s="1734"/>
      <c r="G40" s="1726" t="s">
        <v>217</v>
      </c>
      <c r="H40" s="1727"/>
      <c r="I40" s="1728"/>
      <c r="J40" s="131"/>
      <c r="Q40" s="152"/>
    </row>
    <row r="41" spans="2:17">
      <c r="B41" s="1743" t="s">
        <v>218</v>
      </c>
      <c r="C41" s="1744"/>
      <c r="D41" s="1732">
        <v>7.6399999999999996E-2</v>
      </c>
      <c r="E41" s="1733"/>
      <c r="F41" s="1734"/>
      <c r="G41" s="1726" t="s">
        <v>219</v>
      </c>
      <c r="H41" s="1727"/>
      <c r="I41" s="1728"/>
      <c r="J41" s="131"/>
      <c r="Q41" s="152"/>
    </row>
    <row r="42" spans="2:17">
      <c r="B42" s="1767" t="s">
        <v>220</v>
      </c>
      <c r="C42" s="1768"/>
      <c r="D42" s="1735">
        <v>0.08</v>
      </c>
      <c r="E42" s="1736"/>
      <c r="F42" s="1737"/>
      <c r="G42" s="1729" t="s">
        <v>221</v>
      </c>
      <c r="H42" s="1730"/>
      <c r="I42" s="1731"/>
      <c r="J42" s="131"/>
      <c r="Q42" s="152"/>
    </row>
    <row r="43" spans="2:17" ht="12.75" customHeight="1">
      <c r="B43" s="1753" t="s">
        <v>222</v>
      </c>
      <c r="C43" s="1754"/>
      <c r="D43" s="1758">
        <f>AVERAGE(D40:F42)</f>
        <v>7.3133333333333328E-2</v>
      </c>
      <c r="E43" s="1758"/>
      <c r="F43" s="1758"/>
      <c r="G43" s="1758"/>
      <c r="H43" s="1758"/>
      <c r="I43" s="1759"/>
      <c r="Q43" s="152"/>
    </row>
    <row r="44" spans="2:17" ht="21">
      <c r="B44" s="1748" t="s">
        <v>223</v>
      </c>
      <c r="C44" s="1749"/>
      <c r="D44" s="1749"/>
      <c r="E44" s="1749"/>
      <c r="F44" s="1749"/>
      <c r="G44" s="1749"/>
      <c r="H44" s="1749"/>
      <c r="I44" s="1750"/>
      <c r="J44" s="131"/>
      <c r="Q44" s="152"/>
    </row>
    <row r="45" spans="2:17">
      <c r="B45" s="271"/>
      <c r="C45" s="148"/>
      <c r="D45" s="149"/>
      <c r="E45" s="150"/>
      <c r="F45" s="150"/>
      <c r="G45" s="150"/>
      <c r="H45" s="150"/>
      <c r="I45" s="151"/>
      <c r="J45" s="131"/>
      <c r="Q45" s="152"/>
    </row>
    <row r="46" spans="2:17">
      <c r="B46" s="131"/>
      <c r="I46" s="152"/>
      <c r="J46" s="131"/>
      <c r="Q46" s="152"/>
    </row>
    <row r="47" spans="2:17" ht="12.75" customHeight="1">
      <c r="B47" s="1720" t="s">
        <v>224</v>
      </c>
      <c r="C47" s="1721"/>
      <c r="D47" s="1721"/>
      <c r="E47" s="1721"/>
      <c r="F47" s="1721"/>
      <c r="G47" s="1721"/>
      <c r="H47" s="1721"/>
      <c r="I47" s="1722"/>
      <c r="J47" s="131"/>
      <c r="Q47" s="152"/>
    </row>
    <row r="48" spans="2:17">
      <c r="B48" s="1720"/>
      <c r="C48" s="1721"/>
      <c r="D48" s="1721"/>
      <c r="E48" s="1721"/>
      <c r="F48" s="1721"/>
      <c r="G48" s="1721"/>
      <c r="H48" s="1721"/>
      <c r="I48" s="1722"/>
      <c r="J48" s="131"/>
      <c r="Q48" s="152"/>
    </row>
    <row r="49" spans="2:17">
      <c r="B49" s="1720"/>
      <c r="C49" s="1721"/>
      <c r="D49" s="1721"/>
      <c r="E49" s="1721"/>
      <c r="F49" s="1721"/>
      <c r="G49" s="1721"/>
      <c r="H49" s="1721"/>
      <c r="I49" s="1722"/>
      <c r="J49" s="131"/>
      <c r="Q49" s="152"/>
    </row>
    <row r="50" spans="2:17">
      <c r="B50" s="1720"/>
      <c r="C50" s="1721"/>
      <c r="D50" s="1721"/>
      <c r="E50" s="1721"/>
      <c r="F50" s="1721"/>
      <c r="G50" s="1721"/>
      <c r="H50" s="1721"/>
      <c r="I50" s="1722"/>
      <c r="J50" s="131"/>
      <c r="Q50" s="152"/>
    </row>
    <row r="51" spans="2:17">
      <c r="B51" s="1720"/>
      <c r="C51" s="1721"/>
      <c r="D51" s="1721"/>
      <c r="E51" s="1721"/>
      <c r="F51" s="1721"/>
      <c r="G51" s="1721"/>
      <c r="H51" s="1721"/>
      <c r="I51" s="1722"/>
    </row>
    <row r="52" spans="2:17">
      <c r="B52" s="1720"/>
      <c r="C52" s="1721"/>
      <c r="D52" s="1721"/>
      <c r="E52" s="1721"/>
      <c r="F52" s="1721"/>
      <c r="G52" s="1721"/>
      <c r="H52" s="1721"/>
      <c r="I52" s="1722"/>
    </row>
    <row r="53" spans="2:17">
      <c r="B53" s="1720"/>
      <c r="C53" s="1721"/>
      <c r="D53" s="1721"/>
      <c r="E53" s="1721"/>
      <c r="F53" s="1721"/>
      <c r="G53" s="1721"/>
      <c r="H53" s="1721"/>
      <c r="I53" s="1722"/>
    </row>
    <row r="54" spans="2:17">
      <c r="B54" s="1720"/>
      <c r="C54" s="1721"/>
      <c r="D54" s="1721"/>
      <c r="E54" s="1721"/>
      <c r="F54" s="1721"/>
      <c r="G54" s="1721"/>
      <c r="H54" s="1721"/>
      <c r="I54" s="1722"/>
    </row>
    <row r="55" spans="2:17">
      <c r="B55" s="1720"/>
      <c r="C55" s="1721"/>
      <c r="D55" s="1721"/>
      <c r="E55" s="1721"/>
      <c r="F55" s="1721"/>
      <c r="G55" s="1721"/>
      <c r="H55" s="1721"/>
      <c r="I55" s="1722"/>
    </row>
  </sheetData>
  <mergeCells count="49">
    <mergeCell ref="Q2:Y2"/>
    <mergeCell ref="K3:P3"/>
    <mergeCell ref="B2:P2"/>
    <mergeCell ref="K17:P17"/>
    <mergeCell ref="B30:C30"/>
    <mergeCell ref="B16:P16"/>
    <mergeCell ref="D17:I17"/>
    <mergeCell ref="D25:H25"/>
    <mergeCell ref="D26:H26"/>
    <mergeCell ref="D27:H27"/>
    <mergeCell ref="D28:H28"/>
    <mergeCell ref="D29:H29"/>
    <mergeCell ref="D30:H30"/>
    <mergeCell ref="I25:P25"/>
    <mergeCell ref="D3:I3"/>
    <mergeCell ref="B26:C26"/>
    <mergeCell ref="B29:C29"/>
    <mergeCell ref="B25:C25"/>
    <mergeCell ref="B28:C28"/>
    <mergeCell ref="B27:C27"/>
    <mergeCell ref="B42:C42"/>
    <mergeCell ref="B43:C43"/>
    <mergeCell ref="D34:I34"/>
    <mergeCell ref="D35:I35"/>
    <mergeCell ref="D43:I43"/>
    <mergeCell ref="D39:F39"/>
    <mergeCell ref="G39:I39"/>
    <mergeCell ref="B35:C35"/>
    <mergeCell ref="B41:C41"/>
    <mergeCell ref="B36:C36"/>
    <mergeCell ref="B37:C37"/>
    <mergeCell ref="D36:I36"/>
    <mergeCell ref="D37:I37"/>
    <mergeCell ref="B47:I55"/>
    <mergeCell ref="J32:Q32"/>
    <mergeCell ref="G41:I41"/>
    <mergeCell ref="G42:I42"/>
    <mergeCell ref="D40:F40"/>
    <mergeCell ref="D41:F41"/>
    <mergeCell ref="D42:F42"/>
    <mergeCell ref="B38:I38"/>
    <mergeCell ref="B39:C39"/>
    <mergeCell ref="B40:C40"/>
    <mergeCell ref="G40:I40"/>
    <mergeCell ref="B32:I32"/>
    <mergeCell ref="B44:I44"/>
    <mergeCell ref="B33:C33"/>
    <mergeCell ref="B34:C34"/>
    <mergeCell ref="D33:I33"/>
  </mergeCells>
  <phoneticPr fontId="0" type="noConversion"/>
  <conditionalFormatting sqref="B5:B13">
    <cfRule type="dataBar" priority="69">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9:B22">
    <cfRule type="dataBar" priority="70">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D13">
    <cfRule type="dataBar" priority="52">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9:D22">
    <cfRule type="dataBar" priority="71">
      <dataBar>
        <cfvo type="min"/>
        <cfvo type="max"/>
        <color rgb="FF63C384"/>
      </dataBar>
      <extLst>
        <ext xmlns:x14="http://schemas.microsoft.com/office/spreadsheetml/2009/9/main" uri="{B025F937-C7B1-47D3-B67F-A62EFF666E3E}">
          <x14:id>{3F107DCC-63A1-497B-B919-528218A545C1}</x14:id>
        </ext>
      </extLst>
    </cfRule>
  </conditionalFormatting>
  <conditionalFormatting sqref="D5:I13">
    <cfRule type="dataBar" priority="26">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9:I22">
    <cfRule type="dataBar" priority="72">
      <dataBar>
        <cfvo type="min"/>
        <cfvo type="max"/>
        <color rgb="FF63C384"/>
      </dataBar>
      <extLst>
        <ext xmlns:x14="http://schemas.microsoft.com/office/spreadsheetml/2009/9/main" uri="{B025F937-C7B1-47D3-B67F-A62EFF666E3E}">
          <x14:id>{5BBC426E-7FA9-4F5C-AC78-B3996BA8F931}</x14:id>
        </ext>
      </extLst>
    </cfRule>
  </conditionalFormatting>
  <conditionalFormatting sqref="E5:E13">
    <cfRule type="dataBar" priority="51">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9:E22">
    <cfRule type="dataBar" priority="73">
      <dataBar>
        <cfvo type="min"/>
        <cfvo type="max"/>
        <color rgb="FF63C384"/>
      </dataBar>
      <extLst>
        <ext xmlns:x14="http://schemas.microsoft.com/office/spreadsheetml/2009/9/main" uri="{B025F937-C7B1-47D3-B67F-A62EFF666E3E}">
          <x14:id>{5AA7A103-2149-42E1-9BBB-48A01258D43D}</x14:id>
        </ext>
      </extLst>
    </cfRule>
  </conditionalFormatting>
  <conditionalFormatting sqref="F5:F13">
    <cfRule type="dataBar" priority="50">
      <dataBar>
        <cfvo type="min"/>
        <cfvo type="max"/>
        <color rgb="FF63C384"/>
      </dataBar>
      <extLst>
        <ext xmlns:x14="http://schemas.microsoft.com/office/spreadsheetml/2009/9/main" uri="{B025F937-C7B1-47D3-B67F-A62EFF666E3E}">
          <x14:id>{5EFE30C4-0901-404E-9108-731E3BE4821E}</x14:id>
        </ext>
      </extLst>
    </cfRule>
  </conditionalFormatting>
  <conditionalFormatting sqref="F19:F22">
    <cfRule type="dataBar" priority="74">
      <dataBar>
        <cfvo type="min"/>
        <cfvo type="max"/>
        <color rgb="FF63C384"/>
      </dataBar>
      <extLst>
        <ext xmlns:x14="http://schemas.microsoft.com/office/spreadsheetml/2009/9/main" uri="{B025F937-C7B1-47D3-B67F-A62EFF666E3E}">
          <x14:id>{5EE1521A-2483-44CA-9CCA-E5FC63E6246F}</x14:id>
        </ext>
      </extLst>
    </cfRule>
  </conditionalFormatting>
  <conditionalFormatting sqref="G5:G13">
    <cfRule type="dataBar" priority="49">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9:G22">
    <cfRule type="dataBar" priority="75">
      <dataBar>
        <cfvo type="min"/>
        <cfvo type="max"/>
        <color rgb="FF63C384"/>
      </dataBar>
      <extLst>
        <ext xmlns:x14="http://schemas.microsoft.com/office/spreadsheetml/2009/9/main" uri="{B025F937-C7B1-47D3-B67F-A62EFF666E3E}">
          <x14:id>{00DC50B7-1706-4DFB-A90F-9F95CB19CA6D}</x14:id>
        </ext>
      </extLst>
    </cfRule>
  </conditionalFormatting>
  <conditionalFormatting sqref="H5:H13">
    <cfRule type="dataBar" priority="48">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9:H22">
    <cfRule type="dataBar" priority="76">
      <dataBar>
        <cfvo type="min"/>
        <cfvo type="max"/>
        <color rgb="FF63C384"/>
      </dataBar>
      <extLst>
        <ext xmlns:x14="http://schemas.microsoft.com/office/spreadsheetml/2009/9/main" uri="{B025F937-C7B1-47D3-B67F-A62EFF666E3E}">
          <x14:id>{EED505F4-1AE5-4E85-A25F-1DAC1EADC97D}</x14:id>
        </ext>
      </extLst>
    </cfRule>
  </conditionalFormatting>
  <conditionalFormatting sqref="I5:I13">
    <cfRule type="dataBar" priority="47">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9:I22">
    <cfRule type="dataBar" priority="77">
      <dataBar>
        <cfvo type="min"/>
        <cfvo type="max"/>
        <color rgb="FF63C384"/>
      </dataBar>
      <extLst>
        <ext xmlns:x14="http://schemas.microsoft.com/office/spreadsheetml/2009/9/main" uri="{B025F937-C7B1-47D3-B67F-A62EFF666E3E}">
          <x14:id>{A192D211-7CF8-4DE2-A7D7-7E84CEAE76AC}</x14:id>
        </ext>
      </extLst>
    </cfRule>
  </conditionalFormatting>
  <conditionalFormatting sqref="K5:K13">
    <cfRule type="dataBar" priority="59">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9:K22">
    <cfRule type="dataBar" priority="78">
      <dataBar>
        <cfvo type="min"/>
        <cfvo type="max"/>
        <color rgb="FF63C384"/>
      </dataBar>
      <extLst>
        <ext xmlns:x14="http://schemas.microsoft.com/office/spreadsheetml/2009/9/main" uri="{B025F937-C7B1-47D3-B67F-A62EFF666E3E}">
          <x14:id>{60785AC6-7D44-400D-A2D8-9BBBDC5C548B}</x14:id>
        </ext>
      </extLst>
    </cfRule>
  </conditionalFormatting>
  <conditionalFormatting sqref="K19:O22">
    <cfRule type="dataBar" priority="79">
      <dataBar>
        <cfvo type="min"/>
        <cfvo type="max"/>
        <color rgb="FF63C384"/>
      </dataBar>
      <extLst>
        <ext xmlns:x14="http://schemas.microsoft.com/office/spreadsheetml/2009/9/main" uri="{B025F937-C7B1-47D3-B67F-A62EFF666E3E}">
          <x14:id>{BE9D279A-ADD8-46F4-B26E-577DEFFA037B}</x14:id>
        </ext>
      </extLst>
    </cfRule>
    <cfRule type="dataBar" priority="80">
      <dataBar>
        <cfvo type="min"/>
        <cfvo type="max"/>
        <color rgb="FF63C384"/>
      </dataBar>
      <extLst>
        <ext xmlns:x14="http://schemas.microsoft.com/office/spreadsheetml/2009/9/main" uri="{B025F937-C7B1-47D3-B67F-A62EFF666E3E}">
          <x14:id>{CBC457F7-3DB8-46A0-988B-11CCF8FF31E5}</x14:id>
        </ext>
      </extLst>
    </cfRule>
    <cfRule type="dataBar" priority="81">
      <dataBar>
        <cfvo type="min"/>
        <cfvo type="max"/>
        <color rgb="FF63C384"/>
      </dataBar>
      <extLst>
        <ext xmlns:x14="http://schemas.microsoft.com/office/spreadsheetml/2009/9/main" uri="{B025F937-C7B1-47D3-B67F-A62EFF666E3E}">
          <x14:id>{589E11FE-E342-4D21-9EB3-CB0F15AE87A6}</x14:id>
        </ext>
      </extLst>
    </cfRule>
  </conditionalFormatting>
  <conditionalFormatting sqref="K5:P10 K11:O13">
    <cfRule type="dataBar" priority="32">
      <dataBar>
        <cfvo type="min"/>
        <cfvo type="max"/>
        <color rgb="FF63C384"/>
      </dataBar>
      <extLst>
        <ext xmlns:x14="http://schemas.microsoft.com/office/spreadsheetml/2009/9/main" uri="{B025F937-C7B1-47D3-B67F-A62EFF666E3E}">
          <x14:id>{1642E512-5328-4DB9-81F4-5A67EFFA2D7A}</x14:id>
        </ext>
      </extLst>
    </cfRule>
    <cfRule type="dataBar" priority="33">
      <dataBar>
        <cfvo type="min"/>
        <cfvo type="max"/>
        <color rgb="FF63C384"/>
      </dataBar>
      <extLst>
        <ext xmlns:x14="http://schemas.microsoft.com/office/spreadsheetml/2009/9/main" uri="{B025F937-C7B1-47D3-B67F-A62EFF666E3E}">
          <x14:id>{5832A442-CC22-41FC-AD17-86122538435B}</x14:id>
        </ext>
      </extLst>
    </cfRule>
  </conditionalFormatting>
  <conditionalFormatting sqref="K19:P22">
    <cfRule type="dataBar" priority="82">
      <dataBar>
        <cfvo type="min"/>
        <cfvo type="max"/>
        <color rgb="FF63C384"/>
      </dataBar>
      <extLst>
        <ext xmlns:x14="http://schemas.microsoft.com/office/spreadsheetml/2009/9/main" uri="{B025F937-C7B1-47D3-B67F-A62EFF666E3E}">
          <x14:id>{A85696C3-3FD4-4347-BBC8-6CEF041D9BC2}</x14:id>
        </ext>
      </extLst>
    </cfRule>
    <cfRule type="dataBar" priority="83">
      <dataBar>
        <cfvo type="min"/>
        <cfvo type="max"/>
        <color rgb="FF63C384"/>
      </dataBar>
      <extLst>
        <ext xmlns:x14="http://schemas.microsoft.com/office/spreadsheetml/2009/9/main" uri="{B025F937-C7B1-47D3-B67F-A62EFF666E3E}">
          <x14:id>{4CBCF4A4-EFBB-41F0-984E-0C4EF2D8C81C}</x14:id>
        </ext>
      </extLst>
    </cfRule>
    <cfRule type="dataBar" priority="84">
      <dataBar>
        <cfvo type="min"/>
        <cfvo type="max"/>
        <color rgb="FF63C384"/>
      </dataBar>
      <extLst>
        <ext xmlns:x14="http://schemas.microsoft.com/office/spreadsheetml/2009/9/main" uri="{B025F937-C7B1-47D3-B67F-A62EFF666E3E}">
          <x14:id>{9095667E-69EE-4811-BEDE-AFA010708C3B}</x14:id>
        </ext>
      </extLst>
    </cfRule>
    <cfRule type="dataBar" priority="85">
      <dataBar>
        <cfvo type="min"/>
        <cfvo type="max"/>
        <color rgb="FF63C384"/>
      </dataBar>
      <extLst>
        <ext xmlns:x14="http://schemas.microsoft.com/office/spreadsheetml/2009/9/main" uri="{B025F937-C7B1-47D3-B67F-A62EFF666E3E}">
          <x14:id>{00030478-9DDE-4C48-B970-8BFEEA7887D7}</x14:id>
        </ext>
      </extLst>
    </cfRule>
    <cfRule type="dataBar" priority="86">
      <dataBar>
        <cfvo type="min"/>
        <cfvo type="max"/>
        <color rgb="FF63C384"/>
      </dataBar>
      <extLst>
        <ext xmlns:x14="http://schemas.microsoft.com/office/spreadsheetml/2009/9/main" uri="{B025F937-C7B1-47D3-B67F-A62EFF666E3E}">
          <x14:id>{EC7F1560-4E75-4756-AE37-09B82982D1AB}</x14:id>
        </ext>
      </extLst>
    </cfRule>
  </conditionalFormatting>
  <conditionalFormatting sqref="L5:L13">
    <cfRule type="dataBar" priority="57">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9:L22">
    <cfRule type="dataBar" priority="87">
      <dataBar>
        <cfvo type="min"/>
        <cfvo type="max"/>
        <color rgb="FF63C384"/>
      </dataBar>
      <extLst>
        <ext xmlns:x14="http://schemas.microsoft.com/office/spreadsheetml/2009/9/main" uri="{B025F937-C7B1-47D3-B67F-A62EFF666E3E}">
          <x14:id>{4BEF7755-0998-42F9-BE2B-3DDE71DD6879}</x14:id>
        </ext>
      </extLst>
    </cfRule>
  </conditionalFormatting>
  <conditionalFormatting sqref="M21:M22">
    <cfRule type="dataBar" priority="88">
      <dataBar>
        <cfvo type="min"/>
        <cfvo type="max"/>
        <color rgb="FF63C384"/>
      </dataBar>
      <extLst>
        <ext xmlns:x14="http://schemas.microsoft.com/office/spreadsheetml/2009/9/main" uri="{B025F937-C7B1-47D3-B67F-A62EFF666E3E}">
          <x14:id>{56FDBD16-DDEB-4D7A-98AA-9D8D76CB1BBA}</x14:id>
        </ext>
      </extLst>
    </cfRule>
  </conditionalFormatting>
  <conditionalFormatting sqref="M5:P10 M11:O13">
    <cfRule type="dataBar" priority="38">
      <dataBar>
        <cfvo type="min"/>
        <cfvo type="max"/>
        <color rgb="FF63C384"/>
      </dataBar>
      <extLst>
        <ext xmlns:x14="http://schemas.microsoft.com/office/spreadsheetml/2009/9/main" uri="{B025F937-C7B1-47D3-B67F-A62EFF666E3E}">
          <x14:id>{418255D3-2B96-41A9-9582-87939D7FAE81}</x14:id>
        </ext>
      </extLst>
    </cfRule>
  </conditionalFormatting>
  <conditionalFormatting sqref="N19:N22">
    <cfRule type="dataBar" priority="89">
      <dataBar>
        <cfvo type="min"/>
        <cfvo type="max"/>
        <color rgb="FF63C384"/>
      </dataBar>
      <extLst>
        <ext xmlns:x14="http://schemas.microsoft.com/office/spreadsheetml/2009/9/main" uri="{B025F937-C7B1-47D3-B67F-A62EFF666E3E}">
          <x14:id>{E359D2BF-B4C7-4D3A-9103-4CBEE70A31B4}</x14:id>
        </ext>
      </extLst>
    </cfRule>
  </conditionalFormatting>
  <conditionalFormatting sqref="O19:O22">
    <cfRule type="dataBar" priority="90">
      <dataBar>
        <cfvo type="min"/>
        <cfvo type="max"/>
        <color rgb="FF63C384"/>
      </dataBar>
      <extLst>
        <ext xmlns:x14="http://schemas.microsoft.com/office/spreadsheetml/2009/9/main" uri="{B025F937-C7B1-47D3-B67F-A62EFF666E3E}">
          <x14:id>{26AC0999-7FF4-4431-B91F-7A7C0E85B670}</x14:id>
        </ext>
      </extLst>
    </cfRule>
  </conditionalFormatting>
  <conditionalFormatting sqref="P11:P12">
    <cfRule type="dataBar" priority="53">
      <dataBar>
        <cfvo type="min"/>
        <cfvo type="max"/>
        <color rgb="FF63C384"/>
      </dataBar>
      <extLst>
        <ext xmlns:x14="http://schemas.microsoft.com/office/spreadsheetml/2009/9/main" uri="{B025F937-C7B1-47D3-B67F-A62EFF666E3E}">
          <x14:id>{BA11135A-0895-4A01-87D0-A486C9D5843C}</x14:id>
        </ext>
      </extLst>
    </cfRule>
  </conditionalFormatting>
  <conditionalFormatting sqref="P13">
    <cfRule type="dataBar" priority="2">
      <dataBar>
        <cfvo type="min"/>
        <cfvo type="max"/>
        <color rgb="FF63C384"/>
      </dataBar>
      <extLst>
        <ext xmlns:x14="http://schemas.microsoft.com/office/spreadsheetml/2009/9/main" uri="{B025F937-C7B1-47D3-B67F-A62EFF666E3E}">
          <x14:id>{C5620D93-00F8-46A1-9BC7-8DFFC76E1413}</x14:id>
        </ext>
      </extLst>
    </cfRule>
    <cfRule type="dataBar" priority="3">
      <dataBar>
        <cfvo type="min"/>
        <cfvo type="max"/>
        <color rgb="FF63C384"/>
      </dataBar>
      <extLst>
        <ext xmlns:x14="http://schemas.microsoft.com/office/spreadsheetml/2009/9/main" uri="{B025F937-C7B1-47D3-B67F-A62EFF666E3E}">
          <x14:id>{A6371376-0732-4548-B96F-60ACA8CCB848}</x14:id>
        </ext>
      </extLst>
    </cfRule>
    <cfRule type="dataBar" priority="1">
      <dataBar>
        <cfvo type="min"/>
        <cfvo type="max"/>
        <color rgb="FF63C384"/>
      </dataBar>
      <extLst>
        <ext xmlns:x14="http://schemas.microsoft.com/office/spreadsheetml/2009/9/main" uri="{B025F937-C7B1-47D3-B67F-A62EFF666E3E}">
          <x14:id>{BD1D8FFF-9173-4ACB-BBA1-62A3B463D33B}</x14:id>
        </ext>
      </extLst>
    </cfRule>
  </conditionalFormatting>
  <conditionalFormatting sqref="P19:P22">
    <cfRule type="dataBar" priority="91">
      <dataBar>
        <cfvo type="min"/>
        <cfvo type="max"/>
        <color rgb="FF63C384"/>
      </dataBar>
      <extLst>
        <ext xmlns:x14="http://schemas.microsoft.com/office/spreadsheetml/2009/9/main" uri="{B025F937-C7B1-47D3-B67F-A62EFF666E3E}">
          <x14:id>{00154FAC-2C70-4EF2-A308-BA8404420986}</x14:id>
        </ext>
      </extLst>
    </cfRule>
  </conditionalFormatting>
  <hyperlinks>
    <hyperlink ref="B40:C40" r:id="rId1" location="revenue" display="Statista " xr:uid="{18B4276B-A9C6-4BDF-BA8E-0E89D47615C6}"/>
    <hyperlink ref="B41:C41" r:id="rId2" location=":~:text=The%20global%20semiconductor%20market%20size,forecast%20period%202024%20to%202033." display="Precedence Research" xr:uid="{8D8EB4D0-102C-4EE4-8F83-5F522D626412}"/>
    <hyperlink ref="B42:C42" r:id="rId3" display="DataHorizzon Research" xr:uid="{DC6DD413-90A0-44E6-AF5F-B9F06A1C6131}"/>
  </hyperlinks>
  <pageMargins left="0.75" right="0.75" top="1" bottom="1" header="0" footer="0"/>
  <pageSetup orientation="landscape" r:id="rId4"/>
  <headerFooter alignWithMargins="0"/>
  <drawing r:id="rId5"/>
  <legacyDrawing r:id="rId6"/>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B5:B13</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B19:B22</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D5:D13</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m:sqref>D19:D22</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D5:I13</xm:sqref>
        </x14:conditionalFormatting>
        <x14:conditionalFormatting xmlns:xm="http://schemas.microsoft.com/office/excel/2006/main">
          <x14:cfRule type="dataBar" id="{5BBC426E-7FA9-4F5C-AC78-B3996BA8F931}">
            <x14:dataBar minLength="0" maxLength="100" gradient="0">
              <x14:cfvo type="autoMin"/>
              <x14:cfvo type="autoMax"/>
              <x14:negativeFillColor rgb="FFFF0000"/>
              <x14:axisColor rgb="FF000000"/>
            </x14:dataBar>
          </x14:cfRule>
          <xm:sqref>D19:I22</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E5:E13</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E19:E22</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F5:F13</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F19:F22</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G5:G13</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G19:G22</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H5:H13</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H19:H22</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I5:I13</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I19:I22</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K5:K13</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K19:K22</xm:sqref>
        </x14:conditionalFormatting>
        <x14:conditionalFormatting xmlns:xm="http://schemas.microsoft.com/office/excel/2006/main">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m:sqref>K19:O22</xm:sqref>
        </x14:conditionalFormatting>
        <x14:conditionalFormatting xmlns:xm="http://schemas.microsoft.com/office/excel/2006/main">
          <x14:cfRule type="dataBar" id="{1642E512-5328-4DB9-81F4-5A67EFFA2D7A}">
            <x14:dataBar minLength="0" maxLength="100" gradient="0">
              <x14:cfvo type="autoMin"/>
              <x14:cfvo type="autoMax"/>
              <x14:negativeFillColor rgb="FFFF0000"/>
              <x14:axisColor rgb="FF000000"/>
            </x14:dataBar>
          </x14:cfRule>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m:sqref>K5:P10 K11:O13</xm:sqref>
        </x14:conditionalFormatting>
        <x14:conditionalFormatting xmlns:xm="http://schemas.microsoft.com/office/excel/2006/main">
          <x14:cfRule type="dataBar" id="{A85696C3-3FD4-4347-BBC8-6CEF041D9BC2}">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9095667E-69EE-4811-BEDE-AFA010708C3B}">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m:sqref>K19:P22</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L5:L13</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L19:L22</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M21:M22</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M5:P10 M11:O13</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N19:N22</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O19:O22</xm:sqref>
        </x14:conditionalFormatting>
        <x14:conditionalFormatting xmlns:xm="http://schemas.microsoft.com/office/excel/2006/main">
          <x14:cfRule type="dataBar" id="{BA11135A-0895-4A01-87D0-A486C9D5843C}">
            <x14:dataBar minLength="0" maxLength="100" gradient="0">
              <x14:cfvo type="autoMin"/>
              <x14:cfvo type="autoMax"/>
              <x14:negativeFillColor rgb="FFFF0000"/>
              <x14:axisColor rgb="FF000000"/>
            </x14:dataBar>
          </x14:cfRule>
          <xm:sqref>P11:P12</xm:sqref>
        </x14:conditionalFormatting>
        <x14:conditionalFormatting xmlns:xm="http://schemas.microsoft.com/office/excel/2006/main">
          <x14:cfRule type="dataBar" id="{C5620D93-00F8-46A1-9BC7-8DFFC76E14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6371376-0732-4548-B96F-60ACA8CCB848}">
            <x14:dataBar minLength="0" maxLength="100" gradient="0">
              <x14:cfvo type="autoMin"/>
              <x14:cfvo type="autoMax"/>
              <x14:negativeFillColor rgb="FFFF0000"/>
              <x14:axisColor rgb="FF000000"/>
            </x14:dataBar>
          </x14:cfRule>
          <x14:cfRule type="dataBar" id="{BD1D8FFF-9173-4ACB-BBA1-62A3B463D33B}">
            <x14:dataBar minLength="0" maxLength="100" gradient="0">
              <x14:cfvo type="autoMin"/>
              <x14:cfvo type="autoMax"/>
              <x14:negativeFillColor rgb="FFFF0000"/>
              <x14:axisColor rgb="FF000000"/>
            </x14:dataBar>
          </x14:cfRule>
          <xm:sqref>P13</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P19:P22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4140625" defaultRowHeight="13.2"/>
  <cols>
    <col min="1" max="1" width="27.109375" bestFit="1" customWidth="1"/>
  </cols>
  <sheetData>
    <row r="1" spans="1:1">
      <c r="A1" t="s">
        <v>225</v>
      </c>
    </row>
    <row r="2" spans="1:1">
      <c r="A2" t="s">
        <v>226</v>
      </c>
    </row>
    <row r="3" spans="1:1">
      <c r="A3" t="s">
        <v>227</v>
      </c>
    </row>
    <row r="4" spans="1:1">
      <c r="A4" t="s">
        <v>228</v>
      </c>
    </row>
    <row r="5" spans="1:1">
      <c r="A5" t="s">
        <v>229</v>
      </c>
    </row>
    <row r="6" spans="1:1">
      <c r="A6" s="8" t="s">
        <v>230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S118"/>
  <sheetViews>
    <sheetView showGridLines="0" tabSelected="1" topLeftCell="A3" zoomScale="59" zoomScaleNormal="100" workbookViewId="0">
      <selection activeCell="I67" sqref="I67"/>
    </sheetView>
  </sheetViews>
  <sheetFormatPr defaultColWidth="11.44140625" defaultRowHeight="13.2"/>
  <cols>
    <col min="1" max="1" width="0.44140625" customWidth="1"/>
    <col min="2" max="2" width="36.88671875" customWidth="1"/>
    <col min="3" max="3" width="36" customWidth="1"/>
    <col min="4" max="4" width="43.44140625" customWidth="1"/>
    <col min="5" max="5" width="42.109375" customWidth="1"/>
    <col min="6" max="6" width="34.33203125" customWidth="1"/>
    <col min="7" max="7" width="20" customWidth="1"/>
    <col min="8" max="8" width="22.6640625" customWidth="1"/>
  </cols>
  <sheetData>
    <row r="1" spans="1:13" ht="13.8">
      <c r="B1" s="1117" t="s">
        <v>231</v>
      </c>
      <c r="C1" s="1249" t="s">
        <v>232</v>
      </c>
      <c r="D1" s="1796" t="s">
        <v>195</v>
      </c>
      <c r="E1" s="1797"/>
    </row>
    <row r="2" spans="1:13" ht="99.75" customHeight="1">
      <c r="B2" s="1118" t="e" vm="2">
        <v>#VALUE!</v>
      </c>
      <c r="C2" s="1250" t="e" vm="3">
        <v>#VALUE!</v>
      </c>
      <c r="D2" s="1798" t="s">
        <v>233</v>
      </c>
      <c r="E2" s="1799"/>
    </row>
    <row r="3" spans="1:13" ht="90.75" customHeight="1">
      <c r="A3" s="867" t="s">
        <v>234</v>
      </c>
      <c r="B3" s="1118" t="e" vm="4">
        <v>#VALUE!</v>
      </c>
      <c r="C3" s="1251" t="e" vm="5">
        <v>#VALUE!</v>
      </c>
      <c r="D3" s="1798" t="s">
        <v>235</v>
      </c>
      <c r="E3" s="1799"/>
    </row>
    <row r="4" spans="1:13" ht="97.5" customHeight="1">
      <c r="A4" s="868" t="s">
        <v>236</v>
      </c>
      <c r="B4" s="1119" t="e" vm="6">
        <v>#VALUE!</v>
      </c>
      <c r="C4" s="1252" t="e" vm="7">
        <v>#VALUE!</v>
      </c>
      <c r="D4" s="1801" t="s">
        <v>237</v>
      </c>
      <c r="E4" s="1802"/>
    </row>
    <row r="5" spans="1:13">
      <c r="B5" s="8"/>
    </row>
    <row r="6" spans="1:13" ht="48.75" customHeight="1">
      <c r="B6" s="174" t="s">
        <v>238</v>
      </c>
      <c r="C6" s="352" t="e" vm="1">
        <f>OP!E2</f>
        <v>#VALUE!</v>
      </c>
      <c r="D6" s="353" t="e" vm="3">
        <f>C2</f>
        <v>#VALUE!</v>
      </c>
      <c r="E6" s="354" t="e" vm="5">
        <f>C3</f>
        <v>#VALUE!</v>
      </c>
      <c r="F6" s="355" t="e" vm="7">
        <f>C4</f>
        <v>#VALUE!</v>
      </c>
      <c r="G6" s="1247" t="s">
        <v>239</v>
      </c>
      <c r="H6" s="1248" t="s">
        <v>240</v>
      </c>
    </row>
    <row r="7" spans="1:13" ht="16.5" customHeight="1">
      <c r="B7" s="169" t="s">
        <v>241</v>
      </c>
      <c r="C7" s="164"/>
      <c r="D7" s="165"/>
      <c r="E7" s="165"/>
      <c r="F7" s="162">
        <f ca="1">1113*F43</f>
        <v>138746.57999999999</v>
      </c>
      <c r="G7" s="1172">
        <f t="shared" ref="G7:G20" ca="1" si="0">IFERROR(AVERAGE(C7:F7),"")</f>
        <v>138746.57999999999</v>
      </c>
      <c r="H7" s="1173"/>
      <c r="K7" s="1803" t="s">
        <v>242</v>
      </c>
      <c r="L7" s="1804"/>
      <c r="M7" s="1805"/>
    </row>
    <row r="8" spans="1:13" ht="13.5" customHeight="1">
      <c r="B8" s="168" t="s">
        <v>243</v>
      </c>
      <c r="C8" s="162" cm="1">
        <f t="array" aca="1" ref="C8" ca="1">_FV(C6,"Market cap",TRUE)/1000000</f>
        <v>126410.588369</v>
      </c>
      <c r="D8" s="162">
        <f ca="1">2500.75*D43</f>
        <v>240822.22500000001</v>
      </c>
      <c r="E8" s="162">
        <f ca="1">4264*E43</f>
        <v>77306.319999999992</v>
      </c>
      <c r="G8" s="1174">
        <f t="shared" ca="1" si="0"/>
        <v>148179.71112299999</v>
      </c>
      <c r="H8" s="1175">
        <f ca="1">SQRT((C8-G8)^2)</f>
        <v>21769.122753999982</v>
      </c>
      <c r="K8" s="1806"/>
      <c r="L8" s="1788" t="s">
        <v>244</v>
      </c>
      <c r="M8" s="1789"/>
    </row>
    <row r="9" spans="1:13">
      <c r="B9" s="474" t="s">
        <v>245</v>
      </c>
      <c r="C9" s="1292">
        <f>C55</f>
        <v>22680</v>
      </c>
      <c r="D9" s="475">
        <f t="shared" ref="D9:E9" si="1">D55</f>
        <v>60922</v>
      </c>
      <c r="E9" s="475">
        <f t="shared" si="1"/>
        <v>54228</v>
      </c>
      <c r="F9" s="475">
        <f>F55</f>
        <v>35820</v>
      </c>
      <c r="G9" s="1176">
        <f t="shared" si="0"/>
        <v>43412.5</v>
      </c>
      <c r="H9" s="1177">
        <f>SQRT((C9-G9)^2)</f>
        <v>20732.5</v>
      </c>
      <c r="K9" s="1806"/>
      <c r="L9" s="1788"/>
      <c r="M9" s="1789"/>
    </row>
    <row r="10" spans="1:13" ht="16.5" customHeight="1">
      <c r="B10" s="169" t="s">
        <v>246</v>
      </c>
      <c r="C10" s="173"/>
      <c r="D10" s="173"/>
      <c r="E10" s="173"/>
      <c r="F10" s="173"/>
      <c r="G10" s="1178" t="str">
        <f t="shared" si="0"/>
        <v/>
      </c>
      <c r="H10" s="1179"/>
      <c r="K10" s="1800"/>
      <c r="L10" s="1788" t="s">
        <v>247</v>
      </c>
      <c r="M10" s="1789"/>
    </row>
    <row r="11" spans="1:13">
      <c r="B11" s="168" t="s">
        <v>248</v>
      </c>
      <c r="C11" s="484">
        <f>C55/C54-1</f>
        <v>-3.9023770179229644E-2</v>
      </c>
      <c r="D11" s="484">
        <f t="shared" ref="D11:E11" si="2">D55/D54-1</f>
        <v>1.2585452658115224</v>
      </c>
      <c r="E11" s="484">
        <f t="shared" si="2"/>
        <v>-0.13997525930155108</v>
      </c>
      <c r="F11" s="1180">
        <f>F55/F54-1</f>
        <v>-0.18959276018099547</v>
      </c>
      <c r="G11" s="503">
        <f t="shared" si="0"/>
        <v>0.22248836903743657</v>
      </c>
      <c r="H11" s="1181">
        <f t="shared" ref="H11:H16" si="3">SQRT((C11-G11)^2)</f>
        <v>0.26151213921666622</v>
      </c>
      <c r="K11" s="1800"/>
      <c r="L11" s="1788"/>
      <c r="M11" s="1789"/>
    </row>
    <row r="12" spans="1:13">
      <c r="B12" s="476" t="s">
        <v>249</v>
      </c>
      <c r="C12" s="1012">
        <f>C55/C53-1</f>
        <v>1.3230564375704188</v>
      </c>
      <c r="D12" s="477">
        <f t="shared" ref="D12:E12" si="4">D55/D53-1</f>
        <v>2.6534932533733135</v>
      </c>
      <c r="E12" s="477">
        <f t="shared" si="4"/>
        <v>-0.30358174836580321</v>
      </c>
      <c r="F12" s="477">
        <f>F55/F53-1</f>
        <v>0.52224724831073899</v>
      </c>
      <c r="G12" s="504">
        <f t="shared" si="0"/>
        <v>1.0488037977221671</v>
      </c>
      <c r="H12" s="1182">
        <f t="shared" si="3"/>
        <v>0.27425263984825166</v>
      </c>
      <c r="K12" s="1786"/>
      <c r="L12" s="1788" t="s">
        <v>250</v>
      </c>
      <c r="M12" s="1789"/>
    </row>
    <row r="13" spans="1:13">
      <c r="B13" s="485" t="s">
        <v>121</v>
      </c>
      <c r="C13" s="486">
        <f>C59/C55</f>
        <v>1.7680776014109348E-2</v>
      </c>
      <c r="D13" s="486">
        <f t="shared" ref="D13" si="5">D59/D55</f>
        <v>0.54121663766783756</v>
      </c>
      <c r="E13" s="882">
        <f>E59/E55</f>
        <v>1.714981190528878E-3</v>
      </c>
      <c r="F13" s="1183">
        <f>F59/F55</f>
        <v>0.21742043551088777</v>
      </c>
      <c r="G13" s="504">
        <f t="shared" si="0"/>
        <v>0.19450820759584089</v>
      </c>
      <c r="H13" s="1184">
        <f t="shared" si="3"/>
        <v>0.17682743158173153</v>
      </c>
      <c r="K13" s="1787"/>
      <c r="L13" s="1790"/>
      <c r="M13" s="1791"/>
    </row>
    <row r="14" spans="1:13">
      <c r="B14" s="476" t="s">
        <v>251</v>
      </c>
      <c r="C14" s="477">
        <f>C62/C55</f>
        <v>3.7654320987654324E-2</v>
      </c>
      <c r="D14" s="477">
        <f t="shared" ref="D14:E14" si="6">D62/D55</f>
        <v>0.4884934834706674</v>
      </c>
      <c r="E14" s="477">
        <f t="shared" si="6"/>
        <v>3.088810208748248E-2</v>
      </c>
      <c r="F14" s="477">
        <f>F62/F55</f>
        <v>0.20189838079285316</v>
      </c>
      <c r="G14" s="504">
        <f t="shared" si="0"/>
        <v>0.18973357183466436</v>
      </c>
      <c r="H14" s="1182">
        <f t="shared" si="3"/>
        <v>0.15207925084701002</v>
      </c>
    </row>
    <row r="15" spans="1:13">
      <c r="B15" s="485" t="s">
        <v>252</v>
      </c>
      <c r="C15" s="486">
        <f>C62/C75</f>
        <v>1.5279467544550203E-2</v>
      </c>
      <c r="D15" s="486">
        <f t="shared" ref="D15:E15" si="7">D62/D75</f>
        <v>0.69244729861789756</v>
      </c>
      <c r="E15" s="883">
        <f t="shared" si="7"/>
        <v>1.5232119310689764E-2</v>
      </c>
      <c r="F15" s="1183">
        <f>F62/F75</f>
        <v>0.33510958713683331</v>
      </c>
      <c r="G15" s="504">
        <f t="shared" si="0"/>
        <v>0.26451711815249274</v>
      </c>
      <c r="H15" s="1184">
        <f t="shared" si="3"/>
        <v>0.24923765060794253</v>
      </c>
    </row>
    <row r="16" spans="1:13">
      <c r="B16" s="474" t="s">
        <v>253</v>
      </c>
      <c r="C16" s="1014">
        <f>(1+C61/(C59+C60))*C59/(C74+C75-C66)</f>
        <v>1.6072852810846756E-2</v>
      </c>
      <c r="D16" s="478">
        <f t="shared" ref="D16:E16" si="8">(1+D61/(D59+D60))*D59/(D74+D75-D66)</f>
        <v>0.79658424379206727</v>
      </c>
      <c r="E16" s="1013">
        <f t="shared" si="8"/>
        <v>-9.9665671237913927E-5</v>
      </c>
      <c r="F16" s="1185">
        <f>(1+F61/(F59+F60))*F59/(F74+F75-F66)</f>
        <v>0.27490604389442119</v>
      </c>
      <c r="G16" s="1186">
        <f t="shared" si="0"/>
        <v>0.27186586870652435</v>
      </c>
      <c r="H16" s="1187">
        <f t="shared" si="3"/>
        <v>0.2557930158956776</v>
      </c>
    </row>
    <row r="17" spans="1:8" ht="15.6">
      <c r="B17" s="169" t="s">
        <v>254</v>
      </c>
      <c r="C17" s="173"/>
      <c r="D17" s="173"/>
      <c r="E17" s="173"/>
      <c r="F17" s="173"/>
      <c r="G17" s="1188" t="str">
        <f t="shared" si="0"/>
        <v/>
      </c>
      <c r="H17" s="1179"/>
    </row>
    <row r="18" spans="1:8">
      <c r="B18" s="168" t="s">
        <v>66</v>
      </c>
      <c r="C18" s="487">
        <f>C74/C71</f>
        <v>3.3173749723797601E-2</v>
      </c>
      <c r="D18" s="487">
        <f t="shared" ref="D18" si="9">D74/D71</f>
        <v>0.16473953261927946</v>
      </c>
      <c r="E18" s="487">
        <f>E74/E71</f>
        <v>0.25716701814461401</v>
      </c>
      <c r="F18" s="487">
        <f>F74/F71</f>
        <v>0.3059169278996865</v>
      </c>
      <c r="G18" s="1189">
        <f t="shared" si="0"/>
        <v>0.1902493070968444</v>
      </c>
      <c r="H18" s="1190">
        <f>SQRT((C18-G18)^2)</f>
        <v>0.15707555737304679</v>
      </c>
    </row>
    <row r="19" spans="1:8">
      <c r="B19" s="476" t="s">
        <v>255</v>
      </c>
      <c r="C19" s="1291">
        <f>(C74-C66)/C58</f>
        <v>-0.43707748309932398</v>
      </c>
      <c r="D19" s="479">
        <f t="shared" ref="D19:E19" si="10">(D74-D66)/D58</f>
        <v>0.10290023201856148</v>
      </c>
      <c r="E19" s="479">
        <f t="shared" si="10"/>
        <v>5.3132241813602015</v>
      </c>
      <c r="F19" s="479">
        <f>(F74-F66)/F58</f>
        <v>0.74648327602375741</v>
      </c>
      <c r="G19" s="1189">
        <f t="shared" si="0"/>
        <v>1.431382551575799</v>
      </c>
      <c r="H19" s="1191">
        <f>SQRT((C19-G19)^2)</f>
        <v>1.868460034675123</v>
      </c>
    </row>
    <row r="20" spans="1:8">
      <c r="B20" s="488" t="s">
        <v>256</v>
      </c>
      <c r="C20" s="1015">
        <f>-C58/C60</f>
        <v>36.283018867924525</v>
      </c>
      <c r="D20" s="500">
        <f t="shared" ref="D20:E20" si="11">-D58/D60</f>
        <v>134.16342412451363</v>
      </c>
      <c r="E20" s="500">
        <f t="shared" si="11"/>
        <v>9.0432801822323459</v>
      </c>
      <c r="F20" s="500">
        <f>-F58/F60</f>
        <v>13.828530259365994</v>
      </c>
      <c r="G20" s="1192">
        <f t="shared" si="0"/>
        <v>48.329563358509127</v>
      </c>
      <c r="H20" s="1193">
        <f>SQRT((C20-G20)^2)</f>
        <v>12.046544490584601</v>
      </c>
    </row>
    <row r="21" spans="1:8" ht="15.6">
      <c r="B21" s="169" t="s">
        <v>257</v>
      </c>
      <c r="C21" s="173"/>
      <c r="D21" s="173"/>
      <c r="E21" s="173"/>
      <c r="F21" s="173"/>
      <c r="G21" s="1194"/>
      <c r="H21" s="1179"/>
    </row>
    <row r="22" spans="1:8">
      <c r="B22" s="480" t="s">
        <v>258</v>
      </c>
      <c r="C22" s="1016">
        <f>C69/C73</f>
        <v>2.5068022125878309</v>
      </c>
      <c r="D22" s="481">
        <f t="shared" ref="D22:E22" si="12">D69/D73</f>
        <v>4.1712915059730973</v>
      </c>
      <c r="E22" s="481">
        <f t="shared" si="12"/>
        <v>1.5424018821516416</v>
      </c>
      <c r="F22" s="481">
        <f>F69/F73</f>
        <v>2.3331948483589531</v>
      </c>
      <c r="G22" s="1195">
        <f t="shared" ref="G22:G39" si="13">IFERROR(AVERAGE(C22:F22),"")</f>
        <v>2.6384226122678811</v>
      </c>
      <c r="H22" s="1196">
        <f>SQRT((C22-G22)^2)</f>
        <v>0.13162039968005024</v>
      </c>
    </row>
    <row r="23" spans="1:8">
      <c r="B23" s="488" t="s">
        <v>259</v>
      </c>
      <c r="C23" s="489">
        <f>(C66+C67)/C73</f>
        <v>1.3916878457168484</v>
      </c>
      <c r="D23" s="489">
        <f t="shared" ref="D23:E23" si="14">(D66+D67)/D73</f>
        <v>1.6253409839149657</v>
      </c>
      <c r="E23" s="489">
        <f t="shared" si="14"/>
        <v>0.37361423020710799</v>
      </c>
      <c r="F23" s="489">
        <f>(F66+F67)/F73</f>
        <v>1.2082467802243457</v>
      </c>
      <c r="G23" s="1192">
        <f t="shared" si="13"/>
        <v>1.1497224600158169</v>
      </c>
      <c r="H23" s="1197">
        <f>SQRT((C23-G23)^2)</f>
        <v>0.24196538570103154</v>
      </c>
    </row>
    <row r="24" spans="1:8" ht="15.6">
      <c r="B24" s="169" t="s">
        <v>260</v>
      </c>
      <c r="C24" s="173"/>
      <c r="D24" s="173"/>
      <c r="E24" s="173"/>
      <c r="F24" s="173"/>
      <c r="G24" s="1194" t="str">
        <f t="shared" si="13"/>
        <v/>
      </c>
      <c r="H24" s="1179"/>
    </row>
    <row r="25" spans="1:8">
      <c r="B25" s="480" t="s">
        <v>261</v>
      </c>
      <c r="C25" s="490">
        <f>C56/C68</f>
        <v>2.8085497586761665</v>
      </c>
      <c r="D25" s="481">
        <f t="shared" ref="D25:E25" si="15">D56/D68</f>
        <v>3.1467247254827715</v>
      </c>
      <c r="E25" s="481">
        <f t="shared" si="15"/>
        <v>2.9223510380156377</v>
      </c>
      <c r="F25" s="481">
        <f>F56/F68</f>
        <v>2.471037060105886</v>
      </c>
      <c r="G25" s="1195">
        <f t="shared" si="13"/>
        <v>2.8371656455701153</v>
      </c>
      <c r="H25" s="1196">
        <f>SQRT((C25-G25)^2)</f>
        <v>2.8615886893948783E-2</v>
      </c>
    </row>
    <row r="26" spans="1:8">
      <c r="B26" s="485" t="s">
        <v>262</v>
      </c>
      <c r="C26" s="1017">
        <f>C55/C67</f>
        <v>4.21875</v>
      </c>
      <c r="D26" s="489">
        <f t="shared" ref="D26" si="16">D55/D67</f>
        <v>6.0928092809280932</v>
      </c>
      <c r="E26" s="489">
        <f>E55/E67</f>
        <v>15.940035273368606</v>
      </c>
      <c r="F26" s="489">
        <f>F55/F67</f>
        <v>11.253534401508011</v>
      </c>
      <c r="G26" s="1189">
        <f t="shared" si="13"/>
        <v>9.3762822389511786</v>
      </c>
      <c r="H26" s="1197">
        <f>SQRT((C26-G26)^2)</f>
        <v>5.1575322389511786</v>
      </c>
    </row>
    <row r="27" spans="1:8">
      <c r="A27" s="8" t="s">
        <v>263</v>
      </c>
      <c r="B27" s="476" t="s">
        <v>264</v>
      </c>
      <c r="C27" s="482">
        <f>C56/C72</f>
        <v>5.053763440860215</v>
      </c>
      <c r="D27" s="479">
        <f t="shared" ref="D27:E27" si="17">D56/D72</f>
        <v>6.1582067432382361</v>
      </c>
      <c r="E27" s="479">
        <f t="shared" si="17"/>
        <v>3.7907437631149454</v>
      </c>
      <c r="F27" s="479">
        <f>F56/F72</f>
        <v>8.29968619246862</v>
      </c>
      <c r="G27" s="1189">
        <f t="shared" si="13"/>
        <v>5.8256000349205044</v>
      </c>
      <c r="H27" s="1191">
        <f>SQRT((C27-G27)^2)</f>
        <v>0.77183659406028937</v>
      </c>
    </row>
    <row r="28" spans="1:8">
      <c r="B28" s="485" t="s">
        <v>265</v>
      </c>
      <c r="C28" s="489">
        <f>C55/C70</f>
        <v>14.273127753303966</v>
      </c>
      <c r="D28" s="489">
        <f t="shared" ref="D28:E28" si="18">D55/D70</f>
        <v>15.565150740929996</v>
      </c>
      <c r="E28" s="489">
        <f t="shared" si="18"/>
        <v>0.5610934638426438</v>
      </c>
      <c r="F28" s="489">
        <f>F55/F70</f>
        <v>7.1043236810789372</v>
      </c>
      <c r="G28" s="1189">
        <f t="shared" si="13"/>
        <v>9.3759239097888845</v>
      </c>
      <c r="H28" s="1197">
        <f>SQRT((C28-G28)^2)</f>
        <v>4.8972038435150811</v>
      </c>
    </row>
    <row r="29" spans="1:8">
      <c r="B29" s="474" t="s">
        <v>266</v>
      </c>
      <c r="C29" s="1015">
        <f>C55/C71</f>
        <v>0.33409442439419607</v>
      </c>
      <c r="D29" s="491">
        <f t="shared" ref="D29:E29" si="19">D55/D71</f>
        <v>0.92688047711781885</v>
      </c>
      <c r="E29" s="491">
        <f t="shared" si="19"/>
        <v>0.2830685068799198</v>
      </c>
      <c r="F29" s="491">
        <f>F55/F71</f>
        <v>0.70180250783699061</v>
      </c>
      <c r="G29" s="1189">
        <f t="shared" si="13"/>
        <v>0.56146147905723132</v>
      </c>
      <c r="H29" s="1198">
        <f>SQRT((C29-G29)^2)</f>
        <v>0.22736705466303525</v>
      </c>
    </row>
    <row r="30" spans="1:8" ht="15.6">
      <c r="B30" s="170" t="s">
        <v>106</v>
      </c>
      <c r="C30" s="173"/>
      <c r="D30" s="173"/>
      <c r="E30" s="173"/>
      <c r="F30" s="173"/>
      <c r="G30" s="1199" t="str">
        <f t="shared" si="13"/>
        <v/>
      </c>
      <c r="H30" s="1179"/>
    </row>
    <row r="31" spans="1:8">
      <c r="B31" s="168" t="s">
        <v>267</v>
      </c>
      <c r="C31" s="1018">
        <f ca="1">C8/C62</f>
        <v>148.02176624004684</v>
      </c>
      <c r="D31" s="499">
        <f ca="1">D8/D62</f>
        <v>8.0921446572580642</v>
      </c>
      <c r="E31" s="499">
        <f t="shared" ref="E31" ca="1" si="20">E8/E62</f>
        <v>46.153026865671634</v>
      </c>
      <c r="F31" s="499">
        <f ca="1">F7/F62</f>
        <v>19.185091261061945</v>
      </c>
      <c r="G31" s="1195">
        <f t="shared" ca="1" si="13"/>
        <v>55.363007256009631</v>
      </c>
      <c r="H31" s="1200">
        <f ca="1">SQRT((C31-G31)^2)</f>
        <v>92.658758984037206</v>
      </c>
    </row>
    <row r="32" spans="1:8">
      <c r="B32" s="476" t="s">
        <v>263</v>
      </c>
      <c r="C32" s="501">
        <f ca="1">C8/C55</f>
        <v>5.5736590991622581</v>
      </c>
      <c r="D32" s="483">
        <f t="shared" ref="D32:E32" ca="1" si="21">D8/D55</f>
        <v>3.9529599323725422</v>
      </c>
      <c r="E32" s="483">
        <f t="shared" ca="1" si="21"/>
        <v>1.4255794054731872</v>
      </c>
      <c r="F32" s="483">
        <f ca="1">F7/F55</f>
        <v>3.873438860971524</v>
      </c>
      <c r="G32" s="1189">
        <f t="shared" ca="1" si="13"/>
        <v>3.7064093244948775</v>
      </c>
      <c r="H32" s="1201">
        <f ca="1">SQRT((C32-G32)^2)</f>
        <v>1.8672497746673806</v>
      </c>
    </row>
    <row r="33" spans="2:8">
      <c r="B33" s="485" t="s">
        <v>268</v>
      </c>
      <c r="C33" s="501">
        <f ca="1">C8/C75</f>
        <v>2.261693773151793</v>
      </c>
      <c r="D33" s="501">
        <f ca="1">D8/D75</f>
        <v>5.6033837079435989</v>
      </c>
      <c r="E33" s="501">
        <f t="shared" ref="E33" ca="1" si="22">E8/E75</f>
        <v>0.70300841176738049</v>
      </c>
      <c r="F33" s="501">
        <f ca="1">F7/F75</f>
        <v>6.429108011676937</v>
      </c>
      <c r="G33" s="1189">
        <f t="shared" ca="1" si="13"/>
        <v>3.7492984761349275</v>
      </c>
      <c r="H33" s="1202">
        <f ca="1">SQRT((C33-G33)^2)</f>
        <v>1.4876047029831345</v>
      </c>
    </row>
    <row r="34" spans="2:8">
      <c r="B34" s="476" t="s">
        <v>269</v>
      </c>
      <c r="C34" s="483">
        <f ca="1">(C74+C8-C66)/C55</f>
        <v>5.4995409333774257</v>
      </c>
      <c r="D34" s="483">
        <f t="shared" ref="D34:E34" ca="1" si="23">(D74+D8-D66)/D55</f>
        <v>4.0111983355766387</v>
      </c>
      <c r="E34" s="483">
        <f t="shared" ca="1" si="23"/>
        <v>2.2035354429446041</v>
      </c>
      <c r="F34" s="483">
        <f ca="1">(F74+F7-F66)/F55</f>
        <v>4.0734388609715237</v>
      </c>
      <c r="G34" s="1189">
        <f t="shared" ca="1" si="13"/>
        <v>3.9469283932175481</v>
      </c>
      <c r="H34" s="1201">
        <f ca="1">SQRT((C34-G34)^2)</f>
        <v>1.5526125401598776</v>
      </c>
    </row>
    <row r="35" spans="2:8">
      <c r="B35" s="488" t="s">
        <v>270</v>
      </c>
      <c r="C35" s="498">
        <f ca="1">(C74+C8-C66)/C58</f>
        <v>32.430990215548626</v>
      </c>
      <c r="D35" s="498">
        <f t="shared" ref="D35:E35" ca="1" si="24">(D74+D8-D66)/D58</f>
        <v>7.0873035092807424</v>
      </c>
      <c r="E35" s="498">
        <f t="shared" ca="1" si="24"/>
        <v>15.04953652392947</v>
      </c>
      <c r="F35" s="498">
        <f ca="1">(F74+F7-F66)/F58</f>
        <v>15.203769928102531</v>
      </c>
      <c r="G35" s="1192">
        <f t="shared" ca="1" si="13"/>
        <v>17.442900044215342</v>
      </c>
      <c r="H35" s="1203">
        <f ca="1">SQRT((C35-G35)^2)</f>
        <v>14.988090171333283</v>
      </c>
    </row>
    <row r="36" spans="2:8" ht="15.6">
      <c r="B36" s="170" t="s">
        <v>271</v>
      </c>
      <c r="C36" s="173"/>
      <c r="D36" s="173"/>
      <c r="E36" s="173"/>
      <c r="F36" s="173"/>
      <c r="G36" s="1204" t="str">
        <f t="shared" si="13"/>
        <v/>
      </c>
      <c r="H36" s="1179"/>
    </row>
    <row r="37" spans="2:8">
      <c r="B37" s="168" t="s">
        <v>43</v>
      </c>
      <c r="C37" s="502">
        <f>1.6/1.62</f>
        <v>0.98765432098765427</v>
      </c>
      <c r="D37" s="502">
        <f>2.4/2.5</f>
        <v>0.96</v>
      </c>
      <c r="E37" s="502">
        <f>4.22/4.26</f>
        <v>0.99061032863849763</v>
      </c>
      <c r="F37" s="1205">
        <f>1.11/1.12</f>
        <v>0.9910714285714286</v>
      </c>
      <c r="G37" s="503">
        <f t="shared" si="13"/>
        <v>0.98233401954939503</v>
      </c>
      <c r="H37" s="1206">
        <f>SQRT((C37-G37)^2)</f>
        <v>5.320301438259234E-3</v>
      </c>
    </row>
    <row r="38" spans="2:8">
      <c r="B38" s="492" t="s">
        <v>272</v>
      </c>
      <c r="C38" s="1019">
        <v>1.63</v>
      </c>
      <c r="D38" s="493">
        <v>1.74</v>
      </c>
      <c r="E38" s="493">
        <v>1.01</v>
      </c>
      <c r="F38" s="493">
        <v>1.34</v>
      </c>
      <c r="G38" s="1207">
        <f t="shared" si="13"/>
        <v>1.43</v>
      </c>
      <c r="H38" s="1208">
        <f>SQRT((C38-G38)^2)</f>
        <v>0.19999999999999996</v>
      </c>
    </row>
    <row r="39" spans="2:8">
      <c r="B39" s="488" t="s">
        <v>273</v>
      </c>
      <c r="C39" s="496">
        <f ca="1">OP!M32</f>
        <v>0</v>
      </c>
      <c r="D39" s="497">
        <v>2.0000000000000001E-4</v>
      </c>
      <c r="E39" s="497">
        <v>2.1100000000000001E-2</v>
      </c>
      <c r="F39" s="1209">
        <v>0.02</v>
      </c>
      <c r="G39" s="504">
        <f t="shared" ca="1" si="13"/>
        <v>1.0325000000000001E-2</v>
      </c>
      <c r="H39" s="1210">
        <f ca="1">SQRT((C39-G39)^2)</f>
        <v>1.0325000000000001E-2</v>
      </c>
    </row>
    <row r="40" spans="2:8" ht="15.6">
      <c r="B40" s="170" t="s">
        <v>274</v>
      </c>
      <c r="C40" s="173"/>
      <c r="D40" s="173"/>
      <c r="E40" s="173"/>
      <c r="F40" s="173"/>
      <c r="G40" s="1211"/>
      <c r="H40" s="1179"/>
    </row>
    <row r="41" spans="2:8">
      <c r="B41" s="171" t="s">
        <v>275</v>
      </c>
      <c r="C41" s="1293">
        <f ca="1">(C43-87.44)/87.44</f>
        <v>-0.10555809698078687</v>
      </c>
      <c r="D41" s="617">
        <f ca="1">(D43-272.26)/272.26</f>
        <v>-0.64629398369205904</v>
      </c>
      <c r="E41" s="617">
        <f ca="1">(E43-29.86)/29.86</f>
        <v>-0.39283322170127261</v>
      </c>
      <c r="F41" s="1212">
        <f ca="1">(F43-113.92)/113.92</f>
        <v>9.4276685393258383E-2</v>
      </c>
      <c r="G41" s="503">
        <f t="shared" ref="G41:G49" ca="1" si="25">IFERROR(AVERAGE(C41:F41),"")</f>
        <v>-0.26260215424521505</v>
      </c>
      <c r="H41" s="1213">
        <f ca="1">SQRT((C41-G41)^2)</f>
        <v>0.15704405726442816</v>
      </c>
    </row>
    <row r="42" spans="2:8">
      <c r="B42" s="476" t="s">
        <v>276</v>
      </c>
      <c r="C42" s="1020">
        <f ca="1">(C43-85.21)/85.21</f>
        <v>-8.2149982396432356E-2</v>
      </c>
      <c r="D42" s="618">
        <f ca="1">(D43-153.82)/153.82</f>
        <v>-0.37394357040696918</v>
      </c>
      <c r="E42" s="618">
        <f ca="1">(E43-58.76)/58.76</f>
        <v>-0.6914567733151803</v>
      </c>
      <c r="F42" s="1214">
        <f ca="1">(F43-138.01)/138.01</f>
        <v>-9.6732120860807153E-2</v>
      </c>
      <c r="G42" s="503">
        <f t="shared" ca="1" si="25"/>
        <v>-0.31107061174484724</v>
      </c>
      <c r="H42" s="1215">
        <f ca="1">SQRT((C42-G42)^2)</f>
        <v>0.22892062934841489</v>
      </c>
    </row>
    <row r="43" spans="2:8">
      <c r="B43" s="172" t="s">
        <v>277</v>
      </c>
      <c r="C43" s="637" cm="1">
        <f t="array" aca="1" ref="C43" ca="1">_FV(C6,"Price")</f>
        <v>78.209999999999994</v>
      </c>
      <c r="D43" s="871" cm="1">
        <f t="array" aca="1" ref="D43" ca="1">_FV(D6,"Preço")</f>
        <v>96.3</v>
      </c>
      <c r="E43" s="871" cm="1">
        <f t="array" aca="1" ref="E43" ca="1">_FV(E6,"Preço")</f>
        <v>18.13</v>
      </c>
      <c r="F43" s="871" cm="1">
        <f t="array" aca="1" ref="F43" ca="1">_FV(F6,"Preço")</f>
        <v>124.66</v>
      </c>
      <c r="G43" s="1301">
        <f t="shared" ca="1" si="25"/>
        <v>79.324999999999989</v>
      </c>
      <c r="H43" s="1303">
        <f ca="1">SQRT((C43-G43)^2)</f>
        <v>1.1149999999999949</v>
      </c>
    </row>
    <row r="44" spans="2:8">
      <c r="B44" s="476" t="s">
        <v>278</v>
      </c>
      <c r="C44" s="884">
        <v>192.2</v>
      </c>
      <c r="D44" s="884">
        <v>1003.3</v>
      </c>
      <c r="E44" s="884">
        <v>44.5</v>
      </c>
      <c r="F44" s="953">
        <v>169.64</v>
      </c>
      <c r="G44" s="1301">
        <f t="shared" si="25"/>
        <v>352.40999999999997</v>
      </c>
      <c r="H44" s="1302">
        <f>SQRT((C44-G44)^2)</f>
        <v>160.20999999999998</v>
      </c>
    </row>
    <row r="45" spans="2:8">
      <c r="B45" s="494" t="s">
        <v>279</v>
      </c>
      <c r="C45" s="495">
        <f ca="1">C44/C43-1</f>
        <v>1.4574862549546093</v>
      </c>
      <c r="D45" s="495">
        <f t="shared" ref="D45:E45" ca="1" si="26">D44/D43-1</f>
        <v>9.4184839044652122</v>
      </c>
      <c r="E45" s="495">
        <f t="shared" ca="1" si="26"/>
        <v>1.4544953116381687</v>
      </c>
      <c r="F45" s="1216">
        <f ca="1">F44/F43-1</f>
        <v>0.36082143430129943</v>
      </c>
      <c r="G45" s="1217">
        <f t="shared" ca="1" si="25"/>
        <v>3.1728217263398228</v>
      </c>
      <c r="H45" s="1218">
        <f ca="1">SQRT((C45-G45)^2)</f>
        <v>1.7153354713852136</v>
      </c>
    </row>
    <row r="46" spans="2:8" ht="15.6">
      <c r="B46" s="170" t="s">
        <v>280</v>
      </c>
      <c r="C46" s="170"/>
      <c r="D46" s="170"/>
      <c r="E46" s="170"/>
      <c r="F46" s="170"/>
      <c r="G46" s="170" t="str">
        <f t="shared" si="25"/>
        <v/>
      </c>
      <c r="H46" s="1219"/>
    </row>
    <row r="47" spans="2:8">
      <c r="B47" s="171" t="s">
        <v>281</v>
      </c>
      <c r="C47" s="532">
        <f>(Inputs!B59-Inputs!E59)/Inputs!E59</f>
        <v>0.55648926237161533</v>
      </c>
      <c r="D47" s="399">
        <f>(28090-5822)/5822</f>
        <v>3.8248024733768466</v>
      </c>
      <c r="E47" s="399">
        <f>(11471-35384)/35384</f>
        <v>-0.6758139271987339</v>
      </c>
      <c r="F47" s="399">
        <f>(11299-5814)/5814</f>
        <v>0.94341245270037843</v>
      </c>
      <c r="G47" s="1217">
        <f t="shared" si="25"/>
        <v>1.1622225653125267</v>
      </c>
      <c r="H47" s="1213">
        <f>SQRT((C47-G47)^2)</f>
        <v>0.60573330294091132</v>
      </c>
    </row>
    <row r="48" spans="2:8">
      <c r="B48" s="530" t="s">
        <v>282</v>
      </c>
      <c r="C48" s="1021">
        <f t="shared" ref="C48:E48" si="27">C63/C9</f>
        <v>0.25890652557319221</v>
      </c>
      <c r="D48" s="531">
        <f t="shared" si="27"/>
        <v>0.14199999999999999</v>
      </c>
      <c r="E48" s="531">
        <f t="shared" si="27"/>
        <v>0.29589879766910082</v>
      </c>
      <c r="F48" s="531">
        <f>F63/F9</f>
        <v>0.24617532104969292</v>
      </c>
      <c r="G48" s="1217">
        <f t="shared" si="25"/>
        <v>0.23574516107299648</v>
      </c>
      <c r="H48" s="1220">
        <f>SQRT((C48-G48)^2)</f>
        <v>2.3161364500195736E-2</v>
      </c>
    </row>
    <row r="49" spans="1:8">
      <c r="A49" t="s">
        <v>283</v>
      </c>
      <c r="B49" s="530" t="s">
        <v>284</v>
      </c>
      <c r="C49" s="1297">
        <f>C57/C64</f>
        <v>2.0899100899100898</v>
      </c>
      <c r="D49" s="1297">
        <f t="shared" ref="D49:F49" si="28">D57/D64</f>
        <v>6.0380856947212775</v>
      </c>
      <c r="E49" s="1297">
        <f t="shared" si="28"/>
        <v>1.2386467366499316</v>
      </c>
      <c r="F49" s="1297">
        <f t="shared" si="28"/>
        <v>2.4348303636807418</v>
      </c>
      <c r="G49" s="1298">
        <f t="shared" si="25"/>
        <v>2.95036822124051</v>
      </c>
      <c r="H49" s="1300">
        <f>SQRT((C49-G49)^2)</f>
        <v>0.86045813133042026</v>
      </c>
    </row>
    <row r="50" spans="1:8" ht="24.75" customHeight="1">
      <c r="B50" s="1294"/>
      <c r="C50" s="1296"/>
      <c r="D50" s="1296"/>
      <c r="E50" s="1296"/>
      <c r="F50" s="1296"/>
      <c r="G50" s="1299"/>
      <c r="H50" s="1295"/>
    </row>
    <row r="51" spans="1:8" ht="36.75" customHeight="1">
      <c r="A51" s="912"/>
      <c r="B51" s="1253" t="s">
        <v>285</v>
      </c>
      <c r="C51" s="1254" t="e" vm="1">
        <f>OP!E2</f>
        <v>#VALUE!</v>
      </c>
      <c r="D51" s="1255" t="e" vm="3">
        <f>D6</f>
        <v>#VALUE!</v>
      </c>
      <c r="E51" s="1256" t="e" vm="5">
        <f>E6</f>
        <v>#VALUE!</v>
      </c>
      <c r="F51" s="1257" t="e" vm="7">
        <f>F6</f>
        <v>#VALUE!</v>
      </c>
    </row>
    <row r="52" spans="1:8">
      <c r="A52" s="963"/>
      <c r="B52" s="1258" t="s">
        <v>286</v>
      </c>
      <c r="C52" s="166"/>
      <c r="D52" s="166"/>
      <c r="E52" s="166"/>
      <c r="F52" s="1259"/>
    </row>
    <row r="53" spans="1:8">
      <c r="A53" s="963"/>
      <c r="B53" s="1260" t="s">
        <v>287</v>
      </c>
      <c r="C53" s="175">
        <f>'Fin. Data'!E5</f>
        <v>9763</v>
      </c>
      <c r="D53" s="869">
        <v>16675</v>
      </c>
      <c r="E53" s="163">
        <v>77867</v>
      </c>
      <c r="F53" s="1261">
        <v>23531</v>
      </c>
    </row>
    <row r="54" spans="1:8">
      <c r="A54" s="963"/>
      <c r="B54" s="1260" t="s">
        <v>288</v>
      </c>
      <c r="C54" s="175">
        <f>'Fin. Data'!C5</f>
        <v>23601</v>
      </c>
      <c r="D54" s="870">
        <v>26974</v>
      </c>
      <c r="E54" s="163">
        <v>63054</v>
      </c>
      <c r="F54" s="1261">
        <v>44200</v>
      </c>
    </row>
    <row r="55" spans="1:8">
      <c r="A55" s="963"/>
      <c r="B55" s="1260" t="s">
        <v>245</v>
      </c>
      <c r="C55" s="175">
        <f>'Fin. Data'!B5</f>
        <v>22680</v>
      </c>
      <c r="D55" s="870">
        <v>60922</v>
      </c>
      <c r="E55" s="163">
        <v>54228</v>
      </c>
      <c r="F55" s="1261">
        <v>35820</v>
      </c>
    </row>
    <row r="56" spans="1:8">
      <c r="A56" s="963"/>
      <c r="B56" s="1260" t="s">
        <v>289</v>
      </c>
      <c r="C56" s="175">
        <f>'Fin. Data'!B5-'Fin. Data'!B7</f>
        <v>12220</v>
      </c>
      <c r="D56" s="870">
        <v>16621</v>
      </c>
      <c r="E56" s="163">
        <v>32517</v>
      </c>
      <c r="F56" s="1261">
        <v>15869</v>
      </c>
    </row>
    <row r="57" spans="1:8">
      <c r="A57" s="963"/>
      <c r="B57" s="1260" t="s">
        <v>290</v>
      </c>
      <c r="C57" s="175">
        <f>C55-C56</f>
        <v>10460</v>
      </c>
      <c r="D57" s="163">
        <f t="shared" ref="D57:F57" si="29">D55-D56</f>
        <v>44301</v>
      </c>
      <c r="E57" s="163">
        <f t="shared" si="29"/>
        <v>21711</v>
      </c>
      <c r="F57" s="1261">
        <f t="shared" si="29"/>
        <v>19951</v>
      </c>
    </row>
    <row r="58" spans="1:8">
      <c r="A58" s="963"/>
      <c r="B58" s="1260" t="s">
        <v>50</v>
      </c>
      <c r="C58" s="175">
        <f>'Fin. Data'!B19</f>
        <v>3846</v>
      </c>
      <c r="D58" s="870">
        <f>D59+1508</f>
        <v>34480</v>
      </c>
      <c r="E58" s="163">
        <f>7847+E59</f>
        <v>7940</v>
      </c>
      <c r="F58" s="1261">
        <f>F59+1809</f>
        <v>9597</v>
      </c>
    </row>
    <row r="59" spans="1:8">
      <c r="A59" s="963"/>
      <c r="B59" s="1260" t="s">
        <v>291</v>
      </c>
      <c r="C59" s="462">
        <f>'Fin. Data'!B11</f>
        <v>401</v>
      </c>
      <c r="D59" s="870">
        <v>32972</v>
      </c>
      <c r="E59" s="163">
        <v>93</v>
      </c>
      <c r="F59" s="1261">
        <v>7788</v>
      </c>
    </row>
    <row r="60" spans="1:8">
      <c r="A60" s="963"/>
      <c r="B60" s="1262" t="s">
        <v>292</v>
      </c>
      <c r="C60" s="462">
        <v>-106</v>
      </c>
      <c r="D60" s="870">
        <v>-257</v>
      </c>
      <c r="E60" s="163">
        <v>-878</v>
      </c>
      <c r="F60" s="1263">
        <v>-694</v>
      </c>
    </row>
    <row r="61" spans="1:8">
      <c r="A61" s="963"/>
      <c r="B61" s="1260" t="s">
        <v>293</v>
      </c>
      <c r="C61" s="462">
        <f>'Fin. Data'!B21</f>
        <v>346</v>
      </c>
      <c r="D61" s="870">
        <v>4058</v>
      </c>
      <c r="E61" s="163">
        <v>913</v>
      </c>
      <c r="F61" s="1261">
        <v>104</v>
      </c>
    </row>
    <row r="62" spans="1:8">
      <c r="A62" s="963"/>
      <c r="B62" s="1260" t="s">
        <v>62</v>
      </c>
      <c r="C62" s="462">
        <f>'Fin. Data'!B23</f>
        <v>854</v>
      </c>
      <c r="D62" s="870">
        <v>29760</v>
      </c>
      <c r="E62" s="163">
        <v>1675</v>
      </c>
      <c r="F62" s="1261">
        <v>7232</v>
      </c>
    </row>
    <row r="63" spans="1:8">
      <c r="A63" s="963"/>
      <c r="B63" s="1260" t="s">
        <v>294</v>
      </c>
      <c r="C63" s="462">
        <v>5872</v>
      </c>
      <c r="D63" s="871">
        <f>D55*0.142</f>
        <v>8650.9239999999991</v>
      </c>
      <c r="E63" s="871">
        <v>16046</v>
      </c>
      <c r="F63" s="1261">
        <v>8818</v>
      </c>
    </row>
    <row r="64" spans="1:8">
      <c r="A64" s="963"/>
      <c r="B64" s="1260" t="s">
        <v>295</v>
      </c>
      <c r="C64" s="462">
        <v>5005</v>
      </c>
      <c r="D64" s="871">
        <f>D54*0.272</f>
        <v>7336.9280000000008</v>
      </c>
      <c r="E64" s="871">
        <v>17528</v>
      </c>
      <c r="F64" s="1261">
        <v>8194</v>
      </c>
    </row>
    <row r="65" spans="1:8">
      <c r="A65" s="963"/>
      <c r="B65" s="1264" t="s">
        <v>296</v>
      </c>
      <c r="C65" s="167"/>
      <c r="D65" s="872"/>
      <c r="E65" s="167"/>
      <c r="F65" s="1265"/>
    </row>
    <row r="66" spans="1:8">
      <c r="A66" s="963"/>
      <c r="B66" s="1260" t="s">
        <v>297</v>
      </c>
      <c r="C66" s="175">
        <f>'Fin. Data'!B39</f>
        <v>3933</v>
      </c>
      <c r="D66" s="869">
        <v>7280</v>
      </c>
      <c r="E66" s="163">
        <v>7079</v>
      </c>
      <c r="F66" s="1261">
        <v>8450</v>
      </c>
    </row>
    <row r="67" spans="1:8">
      <c r="A67" s="963"/>
      <c r="B67" s="1260" t="s">
        <v>298</v>
      </c>
      <c r="C67" s="175">
        <f>'Fin. Data'!B40</f>
        <v>5376</v>
      </c>
      <c r="D67" s="870">
        <v>9999</v>
      </c>
      <c r="E67" s="163">
        <v>3402</v>
      </c>
      <c r="F67" s="1261">
        <v>3183</v>
      </c>
    </row>
    <row r="68" spans="1:8">
      <c r="A68" s="963"/>
      <c r="B68" s="1260" t="s">
        <v>299</v>
      </c>
      <c r="C68" s="175">
        <f>'Fin. Data'!B41</f>
        <v>4351</v>
      </c>
      <c r="D68" s="870">
        <v>5282</v>
      </c>
      <c r="E68" s="163">
        <v>11127</v>
      </c>
      <c r="F68" s="1261">
        <v>6422</v>
      </c>
    </row>
    <row r="69" spans="1:8">
      <c r="A69" s="963"/>
      <c r="B69" s="1260" t="s">
        <v>300</v>
      </c>
      <c r="C69" s="175">
        <f>Inputs!B27</f>
        <v>16768</v>
      </c>
      <c r="D69" s="870">
        <v>44345</v>
      </c>
      <c r="E69" s="163">
        <v>43269</v>
      </c>
      <c r="F69" s="1261">
        <v>22464</v>
      </c>
    </row>
    <row r="70" spans="1:8">
      <c r="A70" s="963"/>
      <c r="B70" s="1260" t="s">
        <v>301</v>
      </c>
      <c r="C70" s="175">
        <f>'Fin. Data'!B42</f>
        <v>1589</v>
      </c>
      <c r="D70" s="870">
        <v>3914</v>
      </c>
      <c r="E70" s="163">
        <v>96647</v>
      </c>
      <c r="F70" s="1261">
        <v>5042</v>
      </c>
    </row>
    <row r="71" spans="1:8">
      <c r="A71" s="963"/>
      <c r="B71" s="1260" t="s">
        <v>39</v>
      </c>
      <c r="C71" s="175">
        <f>'Fin. Data'!B44</f>
        <v>67885</v>
      </c>
      <c r="D71" s="870">
        <v>65728</v>
      </c>
      <c r="E71" s="163">
        <v>191572</v>
      </c>
      <c r="F71" s="1261">
        <v>51040</v>
      </c>
    </row>
    <row r="72" spans="1:8">
      <c r="A72" s="963"/>
      <c r="B72" s="1260" t="s">
        <v>302</v>
      </c>
      <c r="C72" s="175">
        <f>Inputs!B43</f>
        <v>2418</v>
      </c>
      <c r="D72" s="870">
        <v>2699</v>
      </c>
      <c r="E72" s="163">
        <v>8578</v>
      </c>
      <c r="F72" s="1261">
        <v>1912</v>
      </c>
    </row>
    <row r="73" spans="1:8">
      <c r="A73" s="963"/>
      <c r="B73" s="1260" t="s">
        <v>303</v>
      </c>
      <c r="C73" s="175">
        <f>Inputs!B42</f>
        <v>6689</v>
      </c>
      <c r="D73" s="870">
        <v>10631</v>
      </c>
      <c r="E73" s="163">
        <v>28053</v>
      </c>
      <c r="F73" s="1261">
        <v>9628</v>
      </c>
    </row>
    <row r="74" spans="1:8">
      <c r="A74" s="963"/>
      <c r="B74" s="1260" t="s">
        <v>304</v>
      </c>
      <c r="C74" s="175">
        <f>'Fin. Data'!B58</f>
        <v>2252</v>
      </c>
      <c r="D74" s="870">
        <f>1250+1119+8459</f>
        <v>10828</v>
      </c>
      <c r="E74" s="163">
        <f>46978+2288</f>
        <v>49266</v>
      </c>
      <c r="F74" s="1261">
        <f>14484+914+216</f>
        <v>15614</v>
      </c>
    </row>
    <row r="75" spans="1:8">
      <c r="A75" s="862"/>
      <c r="B75" s="1266" t="s">
        <v>305</v>
      </c>
      <c r="C75" s="1267">
        <f>'Fin. Data'!B64</f>
        <v>55892</v>
      </c>
      <c r="D75" s="1268">
        <v>42978</v>
      </c>
      <c r="E75" s="1269">
        <v>109965</v>
      </c>
      <c r="F75" s="1270">
        <v>21581</v>
      </c>
    </row>
    <row r="78" spans="1:8">
      <c r="D78" s="875"/>
    </row>
    <row r="79" spans="1:8" ht="21">
      <c r="B79" s="1456" t="s">
        <v>306</v>
      </c>
      <c r="C79" s="1141"/>
      <c r="D79" s="1745" t="s">
        <v>178</v>
      </c>
      <c r="E79" s="1746"/>
      <c r="F79" s="1221"/>
      <c r="G79" s="1794" t="s">
        <v>179</v>
      </c>
      <c r="H79" s="1795"/>
    </row>
    <row r="80" spans="1:8">
      <c r="B80" s="155" t="s">
        <v>180</v>
      </c>
      <c r="C80" s="130" t="s">
        <v>190</v>
      </c>
      <c r="D80" s="145">
        <v>2023</v>
      </c>
      <c r="E80" s="145">
        <f>D80-1</f>
        <v>2022</v>
      </c>
      <c r="F80" s="145">
        <f>E80-1</f>
        <v>2021</v>
      </c>
      <c r="G80" s="1162">
        <v>2023</v>
      </c>
      <c r="H80" s="1163">
        <f t="shared" ref="H80" si="30">G80-1</f>
        <v>2022</v>
      </c>
    </row>
    <row r="81" spans="2:19">
      <c r="B81" s="141">
        <v>0.28999999999999998</v>
      </c>
      <c r="C81" s="133" t="s">
        <v>191</v>
      </c>
      <c r="D81" s="146">
        <v>6496</v>
      </c>
      <c r="E81" s="146">
        <v>6043</v>
      </c>
      <c r="F81" s="146">
        <v>3694</v>
      </c>
      <c r="G81" s="1164">
        <f t="shared" ref="G81:H85" si="31">(D81-E81)/E81</f>
        <v>7.4962766837663411E-2</v>
      </c>
      <c r="H81" s="1165">
        <f t="shared" si="31"/>
        <v>0.63589604764482943</v>
      </c>
    </row>
    <row r="82" spans="2:19">
      <c r="B82" s="141">
        <v>0.21</v>
      </c>
      <c r="C82" s="505" t="s">
        <v>192</v>
      </c>
      <c r="D82" s="146">
        <v>4651</v>
      </c>
      <c r="E82" s="146">
        <v>6201</v>
      </c>
      <c r="F82" s="146">
        <v>6887</v>
      </c>
      <c r="G82" s="1164">
        <f t="shared" si="31"/>
        <v>-0.24995968392194806</v>
      </c>
      <c r="H82" s="1165">
        <f t="shared" si="31"/>
        <v>-9.9607957020473356E-2</v>
      </c>
    </row>
    <row r="83" spans="2:19">
      <c r="B83" s="141">
        <v>0.27</v>
      </c>
      <c r="C83" s="134" t="s">
        <v>193</v>
      </c>
      <c r="D83" s="146">
        <v>6212</v>
      </c>
      <c r="E83" s="146">
        <v>6805</v>
      </c>
      <c r="F83" s="146">
        <v>5607</v>
      </c>
      <c r="G83" s="1166">
        <f t="shared" si="31"/>
        <v>-8.714180749448934E-2</v>
      </c>
      <c r="H83" s="1169">
        <f t="shared" si="31"/>
        <v>0.21366149456037095</v>
      </c>
    </row>
    <row r="84" spans="2:19">
      <c r="B84" s="141">
        <v>0.23</v>
      </c>
      <c r="C84" s="134" t="s">
        <v>194</v>
      </c>
      <c r="D84" s="146">
        <v>5321</v>
      </c>
      <c r="E84" s="146">
        <v>4552</v>
      </c>
      <c r="F84" s="146">
        <v>246</v>
      </c>
      <c r="G84" s="1166">
        <f t="shared" si="31"/>
        <v>0.16893673110720561</v>
      </c>
      <c r="H84" s="1169">
        <f t="shared" si="31"/>
        <v>17.504065040650406</v>
      </c>
    </row>
    <row r="85" spans="2:19">
      <c r="B85" s="1138">
        <f>SUM(B81:B84)</f>
        <v>1</v>
      </c>
      <c r="C85" s="635" t="s">
        <v>189</v>
      </c>
      <c r="D85" s="633">
        <f t="shared" ref="D85:E85" si="32">SUM(D81:D84)</f>
        <v>22680</v>
      </c>
      <c r="E85" s="634">
        <f t="shared" si="32"/>
        <v>23601</v>
      </c>
      <c r="F85" s="634">
        <f>SUM(F81:F84)</f>
        <v>16434</v>
      </c>
      <c r="G85" s="1167">
        <f t="shared" si="31"/>
        <v>-3.9023770179229693E-2</v>
      </c>
      <c r="H85" s="1169">
        <f t="shared" si="31"/>
        <v>0.43610806863818913</v>
      </c>
    </row>
    <row r="86" spans="2:19">
      <c r="C86" s="11"/>
      <c r="D86" s="12"/>
      <c r="E86" s="13"/>
    </row>
    <row r="88" spans="2:19" ht="21">
      <c r="B88" s="1457" t="s">
        <v>307</v>
      </c>
      <c r="C88" s="1140"/>
      <c r="D88" s="1745" t="s">
        <v>178</v>
      </c>
      <c r="E88" s="1746"/>
      <c r="F88" s="1221"/>
      <c r="G88" s="1792" t="s">
        <v>179</v>
      </c>
      <c r="H88" s="1793"/>
    </row>
    <row r="89" spans="2:19">
      <c r="B89" s="155" t="s">
        <v>180</v>
      </c>
      <c r="C89" s="130" t="s">
        <v>190</v>
      </c>
      <c r="D89" s="145">
        <v>2023</v>
      </c>
      <c r="E89" s="145">
        <f>D89-1</f>
        <v>2022</v>
      </c>
      <c r="F89" s="145">
        <f>E89-1</f>
        <v>2021</v>
      </c>
      <c r="G89" s="1162">
        <v>2023</v>
      </c>
      <c r="H89" s="1163">
        <f t="shared" ref="H89" si="33">G89-1</f>
        <v>2022</v>
      </c>
    </row>
    <row r="90" spans="2:19">
      <c r="B90" s="141">
        <f>D90/$D$95</f>
        <v>0.78009586028035849</v>
      </c>
      <c r="C90" s="133" t="s">
        <v>308</v>
      </c>
      <c r="D90" s="146">
        <v>47525</v>
      </c>
      <c r="E90" s="146">
        <v>15005</v>
      </c>
      <c r="F90" s="146">
        <v>10613</v>
      </c>
      <c r="G90" s="1164">
        <f>(D90-E90)/E90</f>
        <v>2.1672775741419525</v>
      </c>
      <c r="H90" s="1165">
        <f>(E90-F90)/F90</f>
        <v>0.4138320927164798</v>
      </c>
    </row>
    <row r="91" spans="2:19">
      <c r="B91" s="141">
        <f t="shared" ref="B91:B95" si="34">D91/$D$95</f>
        <v>0.17148156659334887</v>
      </c>
      <c r="C91" s="505" t="s">
        <v>193</v>
      </c>
      <c r="D91" s="146">
        <v>10447</v>
      </c>
      <c r="E91" s="146">
        <v>9067</v>
      </c>
      <c r="F91" s="146">
        <v>12462</v>
      </c>
      <c r="G91" s="1164">
        <f>(D91-E91)/E91</f>
        <v>0.15220028675416344</v>
      </c>
      <c r="H91" s="1165">
        <f>(E91-F91)/F91</f>
        <v>-0.27242818167228372</v>
      </c>
    </row>
    <row r="92" spans="2:19" ht="12.75" customHeight="1">
      <c r="B92" s="141">
        <f t="shared" si="34"/>
        <v>2.5491612225468634E-2</v>
      </c>
      <c r="C92" s="134" t="s">
        <v>309</v>
      </c>
      <c r="D92" s="146">
        <v>1553</v>
      </c>
      <c r="E92" s="146">
        <v>1544</v>
      </c>
      <c r="F92" s="146">
        <v>2111</v>
      </c>
      <c r="G92" s="1166">
        <f t="shared" ref="G92:G94" si="35">(D92-E92)/E92</f>
        <v>5.8290155440414507E-3</v>
      </c>
      <c r="H92" s="1169">
        <f>(E92-F92)/F92</f>
        <v>-0.26859308384651825</v>
      </c>
      <c r="I92" s="1142"/>
      <c r="J92" s="1142"/>
      <c r="K92" s="1807"/>
      <c r="L92" s="1807"/>
      <c r="M92" s="1142"/>
      <c r="N92" s="1808"/>
      <c r="O92" s="1808"/>
      <c r="P92" s="1808"/>
      <c r="Q92" s="1807"/>
      <c r="R92" s="1807"/>
      <c r="S92" s="1142"/>
    </row>
    <row r="93" spans="2:19" ht="12.75" customHeight="1">
      <c r="B93" s="141">
        <f t="shared" si="34"/>
        <v>1.7908144840944159E-2</v>
      </c>
      <c r="C93" s="134" t="s">
        <v>310</v>
      </c>
      <c r="D93" s="146">
        <v>1091</v>
      </c>
      <c r="E93" s="146">
        <v>903</v>
      </c>
      <c r="F93" s="146">
        <v>566</v>
      </c>
      <c r="G93" s="1166">
        <f t="shared" si="35"/>
        <v>0.20819490586932449</v>
      </c>
      <c r="H93" s="1169">
        <f>(E93-F93)/F93</f>
        <v>0.59540636042402828</v>
      </c>
      <c r="I93" s="1139"/>
      <c r="J93" s="1139"/>
      <c r="K93" s="1809"/>
      <c r="L93" s="1809"/>
      <c r="M93" s="1139"/>
      <c r="N93" s="1810"/>
      <c r="O93" s="1810"/>
      <c r="P93" s="1810"/>
      <c r="Q93" s="1809"/>
      <c r="R93" s="1809"/>
      <c r="S93" s="1139"/>
    </row>
    <row r="94" spans="2:19">
      <c r="B94" s="141">
        <f t="shared" si="34"/>
        <v>5.0228160598798461E-3</v>
      </c>
      <c r="C94" s="134" t="s">
        <v>311</v>
      </c>
      <c r="D94" s="146">
        <v>306</v>
      </c>
      <c r="E94" s="146">
        <v>455</v>
      </c>
      <c r="F94" s="146">
        <v>1162</v>
      </c>
      <c r="G94" s="1166">
        <f t="shared" si="35"/>
        <v>-0.32747252747252747</v>
      </c>
      <c r="H94" s="1169">
        <f>(E94-F94)/F94</f>
        <v>-0.60843373493975905</v>
      </c>
    </row>
    <row r="95" spans="2:19">
      <c r="B95" s="141">
        <f t="shared" si="34"/>
        <v>1</v>
      </c>
      <c r="C95" s="635" t="s">
        <v>189</v>
      </c>
      <c r="D95" s="633">
        <f>SUM(D90:D94)</f>
        <v>60922</v>
      </c>
      <c r="E95" s="634">
        <f>SUM(E90:E94)</f>
        <v>26974</v>
      </c>
      <c r="F95" s="634">
        <f>SUM(F90:F94)</f>
        <v>26914</v>
      </c>
      <c r="G95" s="1167">
        <f>(D95-E95)/E95</f>
        <v>1.2585452658115222</v>
      </c>
      <c r="H95" s="1169">
        <f>(E95-F95)/F95</f>
        <v>2.2293230289068887E-3</v>
      </c>
    </row>
    <row r="96" spans="2:19">
      <c r="B96" s="1458"/>
    </row>
    <row r="98" spans="2:8" ht="21">
      <c r="B98" s="1459" t="s">
        <v>312</v>
      </c>
      <c r="C98" s="1143"/>
      <c r="D98" s="1745" t="s">
        <v>178</v>
      </c>
      <c r="E98" s="1746"/>
      <c r="F98" s="1221"/>
      <c r="G98" s="1792" t="s">
        <v>179</v>
      </c>
      <c r="H98" s="1793"/>
    </row>
    <row r="99" spans="2:8">
      <c r="B99" s="155" t="s">
        <v>180</v>
      </c>
      <c r="C99" s="130" t="s">
        <v>190</v>
      </c>
      <c r="D99" s="145">
        <v>2023</v>
      </c>
      <c r="E99" s="145">
        <f>D99-1</f>
        <v>2022</v>
      </c>
      <c r="F99" s="145">
        <f>E99-1</f>
        <v>2021</v>
      </c>
      <c r="G99" s="1162">
        <v>2023</v>
      </c>
      <c r="H99" s="1163">
        <f t="shared" ref="H99" si="36">G99-1</f>
        <v>2022</v>
      </c>
    </row>
    <row r="100" spans="2:8">
      <c r="B100" s="141">
        <f>D100/$D$106</f>
        <v>0.53953677067197758</v>
      </c>
      <c r="C100" s="133" t="s">
        <v>313</v>
      </c>
      <c r="D100" s="146">
        <v>29258</v>
      </c>
      <c r="E100" s="146">
        <v>31773</v>
      </c>
      <c r="F100" s="146">
        <v>41081</v>
      </c>
      <c r="G100" s="1164">
        <f>(D100-E100)/E100</f>
        <v>-7.9155257608661447E-2</v>
      </c>
      <c r="H100" s="1165">
        <f>(E100-F100)/F100</f>
        <v>-0.22657676298045326</v>
      </c>
    </row>
    <row r="101" spans="2:8">
      <c r="B101" s="141">
        <f t="shared" ref="B101:B106" si="37">D101/$D$106</f>
        <v>0.28621745223869588</v>
      </c>
      <c r="C101" s="505" t="s">
        <v>314</v>
      </c>
      <c r="D101" s="146">
        <v>15521</v>
      </c>
      <c r="E101" s="146">
        <v>19445</v>
      </c>
      <c r="F101" s="146">
        <v>22774</v>
      </c>
      <c r="G101" s="1164">
        <f>(D101-E101)/E101</f>
        <v>-0.20179994857289793</v>
      </c>
      <c r="H101" s="1165">
        <f>(E101-F101)/F101</f>
        <v>-0.146175463247563</v>
      </c>
    </row>
    <row r="102" spans="2:8">
      <c r="B102" s="141">
        <f t="shared" si="37"/>
        <v>0.10647635907649185</v>
      </c>
      <c r="C102" s="134" t="s">
        <v>315</v>
      </c>
      <c r="D102" s="146">
        <v>5774</v>
      </c>
      <c r="E102" s="146">
        <v>8409</v>
      </c>
      <c r="F102" s="146">
        <v>7665</v>
      </c>
      <c r="G102" s="1166">
        <f t="shared" ref="G102:G105" si="38">(D102-E102)/E102</f>
        <v>-0.31335473897015104</v>
      </c>
      <c r="H102" s="1169">
        <f>(E102-F102)/F102</f>
        <v>9.7064579256360084E-2</v>
      </c>
    </row>
    <row r="103" spans="2:8">
      <c r="B103" s="141">
        <f t="shared" si="37"/>
        <v>3.8338127904403628E-2</v>
      </c>
      <c r="C103" s="134" t="s">
        <v>316</v>
      </c>
      <c r="D103" s="146">
        <v>2079</v>
      </c>
      <c r="E103" s="146">
        <v>1869</v>
      </c>
      <c r="F103" s="146">
        <v>1386</v>
      </c>
      <c r="G103" s="1166">
        <f t="shared" si="38"/>
        <v>0.11235955056179775</v>
      </c>
      <c r="H103" s="1169">
        <f>(E103-F103)/F103</f>
        <v>0.34848484848484851</v>
      </c>
    </row>
    <row r="104" spans="2:8">
      <c r="B104" s="141">
        <f t="shared" si="37"/>
        <v>1.7555506380467656E-2</v>
      </c>
      <c r="C104" s="134" t="s">
        <v>317</v>
      </c>
      <c r="D104" s="146">
        <v>952</v>
      </c>
      <c r="E104" s="146">
        <v>469</v>
      </c>
      <c r="F104" s="146">
        <v>347</v>
      </c>
      <c r="G104" s="1166">
        <f t="shared" si="38"/>
        <v>1.0298507462686568</v>
      </c>
      <c r="H104" s="1169">
        <f>(E104-F104)/F104</f>
        <v>0.35158501440922191</v>
      </c>
    </row>
    <row r="105" spans="2:8">
      <c r="B105" s="141">
        <f t="shared" si="37"/>
        <v>1.1875783727963414E-2</v>
      </c>
      <c r="C105" s="134" t="s">
        <v>318</v>
      </c>
      <c r="D105" s="146">
        <v>644</v>
      </c>
      <c r="E105" s="146">
        <v>1089</v>
      </c>
      <c r="F105" s="146">
        <v>5771</v>
      </c>
      <c r="G105" s="1166">
        <f t="shared" si="38"/>
        <v>-0.40863177226813591</v>
      </c>
      <c r="H105" s="1169">
        <f>(E105-F105)/F105</f>
        <v>-0.81129786865361286</v>
      </c>
    </row>
    <row r="106" spans="2:8">
      <c r="B106" s="141">
        <f t="shared" si="37"/>
        <v>1</v>
      </c>
      <c r="C106" s="635" t="s">
        <v>189</v>
      </c>
      <c r="D106" s="633">
        <f>SUM(D100:D105)</f>
        <v>54228</v>
      </c>
      <c r="E106" s="633">
        <f t="shared" ref="E106" si="39">SUM(E100:E105)</f>
        <v>63054</v>
      </c>
      <c r="F106" s="633">
        <f>SUM(F100:F105)</f>
        <v>79024</v>
      </c>
      <c r="G106" s="1167">
        <f>(D106-E106)/E106</f>
        <v>-0.13997525930155105</v>
      </c>
      <c r="H106" s="1169">
        <f>(E106-F106)/F106</f>
        <v>-0.20209050415063778</v>
      </c>
    </row>
    <row r="110" spans="2:8" ht="21">
      <c r="B110" s="1460" t="s">
        <v>319</v>
      </c>
      <c r="C110" s="1171"/>
      <c r="D110" s="1745" t="s">
        <v>178</v>
      </c>
      <c r="E110" s="1746"/>
      <c r="F110" s="1221"/>
      <c r="G110" s="1792" t="s">
        <v>179</v>
      </c>
      <c r="H110" s="1793"/>
    </row>
    <row r="111" spans="2:8">
      <c r="B111" s="155" t="s">
        <v>180</v>
      </c>
      <c r="C111" s="130" t="s">
        <v>190</v>
      </c>
      <c r="D111" s="145">
        <v>2023</v>
      </c>
      <c r="E111" s="145">
        <f>D111-1</f>
        <v>2022</v>
      </c>
      <c r="F111" s="145">
        <f>E111-1</f>
        <v>2021</v>
      </c>
      <c r="G111" s="1162">
        <v>2023</v>
      </c>
      <c r="H111" s="1163">
        <f>G111-1</f>
        <v>2022</v>
      </c>
    </row>
    <row r="112" spans="2:8">
      <c r="B112" s="141">
        <f>D112/$D$116</f>
        <v>0.84818537130094918</v>
      </c>
      <c r="C112" s="133" t="s">
        <v>320</v>
      </c>
      <c r="D112" s="146">
        <v>30382</v>
      </c>
      <c r="E112" s="146">
        <v>37677</v>
      </c>
      <c r="F112" s="146">
        <v>27019</v>
      </c>
      <c r="G112" s="1168">
        <f t="shared" ref="G112:H116" si="40">(D112-E112)/E112</f>
        <v>-0.19361944953154445</v>
      </c>
      <c r="H112" s="1169">
        <f t="shared" si="40"/>
        <v>0.39446315555720046</v>
      </c>
    </row>
    <row r="113" spans="2:8">
      <c r="B113" s="141">
        <f>D113/$D$116</f>
        <v>0.14812953657174763</v>
      </c>
      <c r="C113" s="505" t="s">
        <v>321</v>
      </c>
      <c r="D113" s="146">
        <v>5306</v>
      </c>
      <c r="E113" s="146">
        <v>6358</v>
      </c>
      <c r="F113" s="146">
        <v>6320</v>
      </c>
      <c r="G113" s="1168">
        <f t="shared" si="40"/>
        <v>-0.16546083674111356</v>
      </c>
      <c r="H113" s="1169">
        <f t="shared" si="40"/>
        <v>6.0126582278481012E-3</v>
      </c>
    </row>
    <row r="114" spans="2:8">
      <c r="B114" s="141">
        <f>D114/$D$116</f>
        <v>7.8168620882188716E-4</v>
      </c>
      <c r="C114" s="134" t="s">
        <v>322</v>
      </c>
      <c r="D114" s="146">
        <v>28</v>
      </c>
      <c r="E114" s="146">
        <v>31</v>
      </c>
      <c r="F114" s="146">
        <v>45</v>
      </c>
      <c r="G114" s="1170">
        <f t="shared" si="40"/>
        <v>-9.6774193548387094E-2</v>
      </c>
      <c r="H114" s="1169">
        <f t="shared" si="40"/>
        <v>-0.31111111111111112</v>
      </c>
    </row>
    <row r="115" spans="2:8">
      <c r="B115" s="141">
        <f>D115/$D$116</f>
        <v>2.9034059184812953E-3</v>
      </c>
      <c r="C115" s="134" t="s">
        <v>323</v>
      </c>
      <c r="D115" s="146">
        <v>104</v>
      </c>
      <c r="E115" s="146">
        <v>134</v>
      </c>
      <c r="F115" s="146">
        <v>182</v>
      </c>
      <c r="G115" s="1170">
        <f t="shared" si="40"/>
        <v>-0.22388059701492538</v>
      </c>
      <c r="H115" s="1169">
        <f t="shared" si="40"/>
        <v>-0.26373626373626374</v>
      </c>
    </row>
    <row r="116" spans="2:8">
      <c r="B116" s="141">
        <f>D116/$D$116</f>
        <v>1</v>
      </c>
      <c r="C116" s="635" t="s">
        <v>189</v>
      </c>
      <c r="D116" s="633">
        <f>SUM(D112:D115)</f>
        <v>35820</v>
      </c>
      <c r="E116" s="633">
        <f>SUM(E112:E115)</f>
        <v>44200</v>
      </c>
      <c r="F116" s="633">
        <f>SUM(F112:F115)</f>
        <v>33566</v>
      </c>
      <c r="G116" s="1167">
        <f t="shared" si="40"/>
        <v>-0.18959276018099547</v>
      </c>
      <c r="H116" s="1169">
        <f t="shared" si="40"/>
        <v>0.31680867544539115</v>
      </c>
    </row>
    <row r="118" spans="2:8">
      <c r="B118" s="1458"/>
    </row>
  </sheetData>
  <mergeCells count="25">
    <mergeCell ref="D110:E110"/>
    <mergeCell ref="G110:H110"/>
    <mergeCell ref="K92:L92"/>
    <mergeCell ref="N92:P92"/>
    <mergeCell ref="Q92:R92"/>
    <mergeCell ref="K93:L93"/>
    <mergeCell ref="N93:P93"/>
    <mergeCell ref="Q93:R93"/>
    <mergeCell ref="D1:E1"/>
    <mergeCell ref="D2:E2"/>
    <mergeCell ref="K10:K11"/>
    <mergeCell ref="D3:E3"/>
    <mergeCell ref="D4:E4"/>
    <mergeCell ref="K7:M7"/>
    <mergeCell ref="K8:K9"/>
    <mergeCell ref="K12:K13"/>
    <mergeCell ref="L12:M13"/>
    <mergeCell ref="L8:M9"/>
    <mergeCell ref="D98:E98"/>
    <mergeCell ref="G98:H98"/>
    <mergeCell ref="D79:E79"/>
    <mergeCell ref="G79:H79"/>
    <mergeCell ref="L10:M11"/>
    <mergeCell ref="D88:E88"/>
    <mergeCell ref="G88:H88"/>
  </mergeCells>
  <conditionalFormatting sqref="B81:B84">
    <cfRule type="dataBar" priority="204">
      <dataBar>
        <cfvo type="min"/>
        <cfvo type="max"/>
        <color rgb="FF638EC6"/>
      </dataBar>
      <extLst>
        <ext xmlns:x14="http://schemas.microsoft.com/office/spreadsheetml/2009/9/main" uri="{B025F937-C7B1-47D3-B67F-A62EFF666E3E}">
          <x14:id>{F738E2CE-34CF-4628-BF5A-17935D25A5CC}</x14:id>
        </ext>
      </extLst>
    </cfRule>
  </conditionalFormatting>
  <conditionalFormatting sqref="B90:B95">
    <cfRule type="dataBar" priority="189">
      <dataBar>
        <cfvo type="min"/>
        <cfvo type="max"/>
        <color rgb="FF638EC6"/>
      </dataBar>
      <extLst>
        <ext xmlns:x14="http://schemas.microsoft.com/office/spreadsheetml/2009/9/main" uri="{B025F937-C7B1-47D3-B67F-A62EFF666E3E}">
          <x14:id>{F0CB1052-8FC2-4D7B-B784-F36C4A728556}</x14:id>
        </ext>
      </extLst>
    </cfRule>
  </conditionalFormatting>
  <conditionalFormatting sqref="B100:B106">
    <cfRule type="dataBar" priority="144">
      <dataBar>
        <cfvo type="min"/>
        <cfvo type="max"/>
        <color rgb="FF638EC6"/>
      </dataBar>
      <extLst>
        <ext xmlns:x14="http://schemas.microsoft.com/office/spreadsheetml/2009/9/main" uri="{B025F937-C7B1-47D3-B67F-A62EFF666E3E}">
          <x14:id>{096CEC1B-D6CF-4D82-A319-10AA928C5D89}</x14:id>
        </ext>
      </extLst>
    </cfRule>
  </conditionalFormatting>
  <conditionalFormatting sqref="B112:B116">
    <cfRule type="dataBar" priority="320">
      <dataBar>
        <cfvo type="min"/>
        <cfvo type="max"/>
        <color rgb="FF638EC6"/>
      </dataBar>
      <extLst>
        <ext xmlns:x14="http://schemas.microsoft.com/office/spreadsheetml/2009/9/main" uri="{B025F937-C7B1-47D3-B67F-A62EFF666E3E}">
          <x14:id>{D9D854C8-8773-424F-87BA-BD3D96F80889}</x14:id>
        </ext>
      </extLst>
    </cfRule>
  </conditionalFormatting>
  <conditionalFormatting sqref="D81:D84">
    <cfRule type="dataBar" priority="206">
      <dataBar>
        <cfvo type="min"/>
        <cfvo type="max"/>
        <color rgb="FF63C384"/>
      </dataBar>
      <extLst>
        <ext xmlns:x14="http://schemas.microsoft.com/office/spreadsheetml/2009/9/main" uri="{B025F937-C7B1-47D3-B67F-A62EFF666E3E}">
          <x14:id>{82469EDD-1F60-4E88-84B0-68B633BA2822}</x14:id>
        </ext>
      </extLst>
    </cfRule>
  </conditionalFormatting>
  <conditionalFormatting sqref="D90:D91">
    <cfRule type="dataBar" priority="190">
      <dataBar>
        <cfvo type="min"/>
        <cfvo type="max"/>
        <color rgb="FF63C384"/>
      </dataBar>
      <extLst>
        <ext xmlns:x14="http://schemas.microsoft.com/office/spreadsheetml/2009/9/main" uri="{B025F937-C7B1-47D3-B67F-A62EFF666E3E}">
          <x14:id>{8B9C95F6-D93A-4B4A-B8E1-60EF33380704}</x14:id>
        </ext>
      </extLst>
    </cfRule>
  </conditionalFormatting>
  <conditionalFormatting sqref="D92">
    <cfRule type="dataBar" priority="175">
      <dataBar>
        <cfvo type="min"/>
        <cfvo type="max"/>
        <color rgb="FF63C384"/>
      </dataBar>
      <extLst>
        <ext xmlns:x14="http://schemas.microsoft.com/office/spreadsheetml/2009/9/main" uri="{B025F937-C7B1-47D3-B67F-A62EFF666E3E}">
          <x14:id>{6FD2EF97-D5D3-43B4-93C5-F15395439FF4}</x14:id>
        </ext>
      </extLst>
    </cfRule>
  </conditionalFormatting>
  <conditionalFormatting sqref="D93:D94">
    <cfRule type="dataBar" priority="160">
      <dataBar>
        <cfvo type="min"/>
        <cfvo type="max"/>
        <color rgb="FF63C384"/>
      </dataBar>
      <extLst>
        <ext xmlns:x14="http://schemas.microsoft.com/office/spreadsheetml/2009/9/main" uri="{B025F937-C7B1-47D3-B67F-A62EFF666E3E}">
          <x14:id>{43DE2590-AD6E-4EBD-B51F-DF29BEAD81D4}</x14:id>
        </ext>
      </extLst>
    </cfRule>
  </conditionalFormatting>
  <conditionalFormatting sqref="D100">
    <cfRule type="dataBar" priority="84">
      <dataBar>
        <cfvo type="min"/>
        <cfvo type="max"/>
        <color rgb="FF63C384"/>
      </dataBar>
      <extLst>
        <ext xmlns:x14="http://schemas.microsoft.com/office/spreadsheetml/2009/9/main" uri="{B025F937-C7B1-47D3-B67F-A62EFF666E3E}">
          <x14:id>{E3BD5889-97B2-4E15-B72F-0E4D490D31D3}</x14:id>
        </ext>
      </extLst>
    </cfRule>
    <cfRule type="dataBar" priority="85">
      <dataBar>
        <cfvo type="min"/>
        <cfvo type="max"/>
        <color rgb="FF63C384"/>
      </dataBar>
      <extLst>
        <ext xmlns:x14="http://schemas.microsoft.com/office/spreadsheetml/2009/9/main" uri="{B025F937-C7B1-47D3-B67F-A62EFF666E3E}">
          <x14:id>{1D6861CA-67B4-4AA0-8612-5152DEC7E37B}</x14:id>
        </ext>
      </extLst>
    </cfRule>
  </conditionalFormatting>
  <conditionalFormatting sqref="D101">
    <cfRule type="dataBar" priority="145">
      <dataBar>
        <cfvo type="min"/>
        <cfvo type="max"/>
        <color rgb="FF63C384"/>
      </dataBar>
      <extLst>
        <ext xmlns:x14="http://schemas.microsoft.com/office/spreadsheetml/2009/9/main" uri="{B025F937-C7B1-47D3-B67F-A62EFF666E3E}">
          <x14:id>{5A3B5C8B-7E49-47F9-A4FD-3B6C8F9B8D7B}</x14:id>
        </ext>
      </extLst>
    </cfRule>
  </conditionalFormatting>
  <conditionalFormatting sqref="D102">
    <cfRule type="dataBar" priority="130">
      <dataBar>
        <cfvo type="min"/>
        <cfvo type="max"/>
        <color rgb="FF63C384"/>
      </dataBar>
      <extLst>
        <ext xmlns:x14="http://schemas.microsoft.com/office/spreadsheetml/2009/9/main" uri="{B025F937-C7B1-47D3-B67F-A62EFF666E3E}">
          <x14:id>{63D18635-A1BB-42F1-A97E-F17115B036DA}</x14:id>
        </ext>
      </extLst>
    </cfRule>
  </conditionalFormatting>
  <conditionalFormatting sqref="D103">
    <cfRule type="dataBar" priority="116">
      <dataBar>
        <cfvo type="min"/>
        <cfvo type="max"/>
        <color rgb="FF63C384"/>
      </dataBar>
      <extLst>
        <ext xmlns:x14="http://schemas.microsoft.com/office/spreadsheetml/2009/9/main" uri="{B025F937-C7B1-47D3-B67F-A62EFF666E3E}">
          <x14:id>{3B0FDC50-6784-4427-8EB9-2EB1AAB59E31}</x14:id>
        </ext>
      </extLst>
    </cfRule>
  </conditionalFormatting>
  <conditionalFormatting sqref="D104">
    <cfRule type="dataBar" priority="306">
      <dataBar>
        <cfvo type="min"/>
        <cfvo type="max"/>
        <color rgb="FF63C384"/>
      </dataBar>
      <extLst>
        <ext xmlns:x14="http://schemas.microsoft.com/office/spreadsheetml/2009/9/main" uri="{B025F937-C7B1-47D3-B67F-A62EFF666E3E}">
          <x14:id>{03462721-CBE7-456C-A13F-64F23234BB3C}</x14:id>
        </ext>
      </extLst>
    </cfRule>
  </conditionalFormatting>
  <conditionalFormatting sqref="D105">
    <cfRule type="dataBar" priority="86">
      <dataBar>
        <cfvo type="min"/>
        <cfvo type="max"/>
        <color rgb="FF63C384"/>
      </dataBar>
      <extLst>
        <ext xmlns:x14="http://schemas.microsoft.com/office/spreadsheetml/2009/9/main" uri="{B025F937-C7B1-47D3-B67F-A62EFF666E3E}">
          <x14:id>{AA6D20E5-E641-45A5-A339-6BB2515CB4CE}</x14:id>
        </ext>
      </extLst>
    </cfRule>
  </conditionalFormatting>
  <conditionalFormatting sqref="D112">
    <cfRule type="dataBar" priority="11">
      <dataBar>
        <cfvo type="min"/>
        <cfvo type="max"/>
        <color rgb="FF63C384"/>
      </dataBar>
      <extLst>
        <ext xmlns:x14="http://schemas.microsoft.com/office/spreadsheetml/2009/9/main" uri="{B025F937-C7B1-47D3-B67F-A62EFF666E3E}">
          <x14:id>{7A717535-EB74-4933-B595-9324627B7975}</x14:id>
        </ext>
      </extLst>
    </cfRule>
    <cfRule type="dataBar" priority="10">
      <dataBar>
        <cfvo type="min"/>
        <cfvo type="max"/>
        <color rgb="FF63C384"/>
      </dataBar>
      <extLst>
        <ext xmlns:x14="http://schemas.microsoft.com/office/spreadsheetml/2009/9/main" uri="{B025F937-C7B1-47D3-B67F-A62EFF666E3E}">
          <x14:id>{3B482494-BA6D-4392-8139-1DB7A205B580}</x14:id>
        </ext>
      </extLst>
    </cfRule>
  </conditionalFormatting>
  <conditionalFormatting sqref="D113">
    <cfRule type="dataBar" priority="55">
      <dataBar>
        <cfvo type="min"/>
        <cfvo type="max"/>
        <color rgb="FF63C384"/>
      </dataBar>
      <extLst>
        <ext xmlns:x14="http://schemas.microsoft.com/office/spreadsheetml/2009/9/main" uri="{B025F937-C7B1-47D3-B67F-A62EFF666E3E}">
          <x14:id>{FE4F5D4B-0514-4114-8C55-C71CFAE33777}</x14:id>
        </ext>
      </extLst>
    </cfRule>
  </conditionalFormatting>
  <conditionalFormatting sqref="D114">
    <cfRule type="dataBar" priority="40">
      <dataBar>
        <cfvo type="min"/>
        <cfvo type="max"/>
        <color rgb="FF63C384"/>
      </dataBar>
      <extLst>
        <ext xmlns:x14="http://schemas.microsoft.com/office/spreadsheetml/2009/9/main" uri="{B025F937-C7B1-47D3-B67F-A62EFF666E3E}">
          <x14:id>{457FF652-BF42-4F12-8358-A1970D2D486C}</x14:id>
        </ext>
      </extLst>
    </cfRule>
  </conditionalFormatting>
  <conditionalFormatting sqref="D115">
    <cfRule type="dataBar" priority="26">
      <dataBar>
        <cfvo type="min"/>
        <cfvo type="max"/>
        <color rgb="FF63C384"/>
      </dataBar>
      <extLst>
        <ext xmlns:x14="http://schemas.microsoft.com/office/spreadsheetml/2009/9/main" uri="{B025F937-C7B1-47D3-B67F-A62EFF666E3E}">
          <x14:id>{0EE9515C-CB5F-4866-9482-58A19C936CCA}</x14:id>
        </ext>
      </extLst>
    </cfRule>
  </conditionalFormatting>
  <conditionalFormatting sqref="D81:E84">
    <cfRule type="dataBar" priority="321">
      <dataBar>
        <cfvo type="min"/>
        <cfvo type="max"/>
        <color rgb="FF63C384"/>
      </dataBar>
      <extLst>
        <ext xmlns:x14="http://schemas.microsoft.com/office/spreadsheetml/2009/9/main" uri="{B025F937-C7B1-47D3-B67F-A62EFF666E3E}">
          <x14:id>{830D846F-420E-4415-B9CC-89FC266D361C}</x14:id>
        </ext>
      </extLst>
    </cfRule>
  </conditionalFormatting>
  <conditionalFormatting sqref="D90:E91">
    <cfRule type="dataBar" priority="322">
      <dataBar>
        <cfvo type="min"/>
        <cfvo type="max"/>
        <color rgb="FF63C384"/>
      </dataBar>
      <extLst>
        <ext xmlns:x14="http://schemas.microsoft.com/office/spreadsheetml/2009/9/main" uri="{B025F937-C7B1-47D3-B67F-A62EFF666E3E}">
          <x14:id>{7BDB4067-BEB5-49A6-9F31-C0A0438F142C}</x14:id>
        </ext>
      </extLst>
    </cfRule>
  </conditionalFormatting>
  <conditionalFormatting sqref="D93:E94">
    <cfRule type="dataBar" priority="324">
      <dataBar>
        <cfvo type="min"/>
        <cfvo type="max"/>
        <color rgb="FF63C384"/>
      </dataBar>
      <extLst>
        <ext xmlns:x14="http://schemas.microsoft.com/office/spreadsheetml/2009/9/main" uri="{B025F937-C7B1-47D3-B67F-A62EFF666E3E}">
          <x14:id>{39D8E743-FBBB-49AB-ACD8-9FBF3549F3ED}</x14:id>
        </ext>
      </extLst>
    </cfRule>
  </conditionalFormatting>
  <conditionalFormatting sqref="D92:F92">
    <cfRule type="dataBar" priority="323">
      <dataBar>
        <cfvo type="min"/>
        <cfvo type="max"/>
        <color rgb="FF63C384"/>
      </dataBar>
      <extLst>
        <ext xmlns:x14="http://schemas.microsoft.com/office/spreadsheetml/2009/9/main" uri="{B025F937-C7B1-47D3-B67F-A62EFF666E3E}">
          <x14:id>{CD1BDD23-2505-423C-AD5C-24786B03F6EF}</x14:id>
        </ext>
      </extLst>
    </cfRule>
  </conditionalFormatting>
  <conditionalFormatting sqref="D102:F102">
    <cfRule type="dataBar" priority="327">
      <dataBar>
        <cfvo type="min"/>
        <cfvo type="max"/>
        <color rgb="FF63C384"/>
      </dataBar>
      <extLst>
        <ext xmlns:x14="http://schemas.microsoft.com/office/spreadsheetml/2009/9/main" uri="{B025F937-C7B1-47D3-B67F-A62EFF666E3E}">
          <x14:id>{9B3C178A-39DD-4332-9702-C153970E15C6}</x14:id>
        </ext>
      </extLst>
    </cfRule>
  </conditionalFormatting>
  <conditionalFormatting sqref="D103:F103">
    <cfRule type="dataBar" priority="328">
      <dataBar>
        <cfvo type="min"/>
        <cfvo type="max"/>
        <color rgb="FF63C384"/>
      </dataBar>
      <extLst>
        <ext xmlns:x14="http://schemas.microsoft.com/office/spreadsheetml/2009/9/main" uri="{B025F937-C7B1-47D3-B67F-A62EFF666E3E}">
          <x14:id>{F8B00921-5220-4F96-AFAB-0622FB80B20E}</x14:id>
        </ext>
      </extLst>
    </cfRule>
  </conditionalFormatting>
  <conditionalFormatting sqref="D104:F104">
    <cfRule type="dataBar" priority="329">
      <dataBar>
        <cfvo type="min"/>
        <cfvo type="max"/>
        <color rgb="FF63C384"/>
      </dataBar>
      <extLst>
        <ext xmlns:x14="http://schemas.microsoft.com/office/spreadsheetml/2009/9/main" uri="{B025F937-C7B1-47D3-B67F-A62EFF666E3E}">
          <x14:id>{1EDD0D4A-920B-4803-978F-84607FFD3FD0}</x14:id>
        </ext>
      </extLst>
    </cfRule>
  </conditionalFormatting>
  <conditionalFormatting sqref="D105:F105">
    <cfRule type="dataBar" priority="330">
      <dataBar>
        <cfvo type="min"/>
        <cfvo type="max"/>
        <color rgb="FF63C384"/>
      </dataBar>
      <extLst>
        <ext xmlns:x14="http://schemas.microsoft.com/office/spreadsheetml/2009/9/main" uri="{B025F937-C7B1-47D3-B67F-A62EFF666E3E}">
          <x14:id>{666A0C66-B971-4C5A-AA80-17C50B0D30C1}</x14:id>
        </ext>
      </extLst>
    </cfRule>
  </conditionalFormatting>
  <conditionalFormatting sqref="D114:F114">
    <cfRule type="dataBar" priority="333">
      <dataBar>
        <cfvo type="min"/>
        <cfvo type="max"/>
        <color rgb="FF63C384"/>
      </dataBar>
      <extLst>
        <ext xmlns:x14="http://schemas.microsoft.com/office/spreadsheetml/2009/9/main" uri="{B025F937-C7B1-47D3-B67F-A62EFF666E3E}">
          <x14:id>{841BA96D-1F63-4200-B286-DB72820F0D81}</x14:id>
        </ext>
      </extLst>
    </cfRule>
  </conditionalFormatting>
  <conditionalFormatting sqref="D115:F115">
    <cfRule type="dataBar" priority="334">
      <dataBar>
        <cfvo type="min"/>
        <cfvo type="max"/>
        <color rgb="FF63C384"/>
      </dataBar>
      <extLst>
        <ext xmlns:x14="http://schemas.microsoft.com/office/spreadsheetml/2009/9/main" uri="{B025F937-C7B1-47D3-B67F-A62EFF666E3E}">
          <x14:id>{78273C45-BCAC-4B57-B5BC-616A5A20CDDC}</x14:id>
        </ext>
      </extLst>
    </cfRule>
  </conditionalFormatting>
  <conditionalFormatting sqref="E81:E84">
    <cfRule type="dataBar" priority="208">
      <dataBar>
        <cfvo type="min"/>
        <cfvo type="max"/>
        <color rgb="FF63C384"/>
      </dataBar>
      <extLst>
        <ext xmlns:x14="http://schemas.microsoft.com/office/spreadsheetml/2009/9/main" uri="{B025F937-C7B1-47D3-B67F-A62EFF666E3E}">
          <x14:id>{58CC5DD3-5D88-4A56-9324-674A9E520FC9}</x14:id>
        </ext>
      </extLst>
    </cfRule>
  </conditionalFormatting>
  <conditionalFormatting sqref="E90:E91">
    <cfRule type="dataBar" priority="191">
      <dataBar>
        <cfvo type="min"/>
        <cfvo type="max"/>
        <color rgb="FF63C384"/>
      </dataBar>
      <extLst>
        <ext xmlns:x14="http://schemas.microsoft.com/office/spreadsheetml/2009/9/main" uri="{B025F937-C7B1-47D3-B67F-A62EFF666E3E}">
          <x14:id>{A175A7DB-D77D-4870-AFE0-D6E8C1BDDC0A}</x14:id>
        </ext>
      </extLst>
    </cfRule>
  </conditionalFormatting>
  <conditionalFormatting sqref="E93:E94">
    <cfRule type="dataBar" priority="161">
      <dataBar>
        <cfvo type="min"/>
        <cfvo type="max"/>
        <color rgb="FF63C384"/>
      </dataBar>
      <extLst>
        <ext xmlns:x14="http://schemas.microsoft.com/office/spreadsheetml/2009/9/main" uri="{B025F937-C7B1-47D3-B67F-A62EFF666E3E}">
          <x14:id>{194C446B-67D2-4D84-BAAF-41645E0C07F2}</x14:id>
        </ext>
      </extLst>
    </cfRule>
  </conditionalFormatting>
  <conditionalFormatting sqref="E101:E102">
    <cfRule type="dataBar" priority="131">
      <dataBar>
        <cfvo type="min"/>
        <cfvo type="max"/>
        <color rgb="FF63C384"/>
      </dataBar>
      <extLst>
        <ext xmlns:x14="http://schemas.microsoft.com/office/spreadsheetml/2009/9/main" uri="{B025F937-C7B1-47D3-B67F-A62EFF666E3E}">
          <x14:id>{A51ED08C-1BC4-40B4-ADC1-0BA05422EB89}</x14:id>
        </ext>
      </extLst>
    </cfRule>
  </conditionalFormatting>
  <conditionalFormatting sqref="E113:E114">
    <cfRule type="dataBar" priority="41">
      <dataBar>
        <cfvo type="min"/>
        <cfvo type="max"/>
        <color rgb="FF63C384"/>
      </dataBar>
      <extLst>
        <ext xmlns:x14="http://schemas.microsoft.com/office/spreadsheetml/2009/9/main" uri="{B025F937-C7B1-47D3-B67F-A62EFF666E3E}">
          <x14:id>{C8B5653A-B960-44DD-9B10-2DAEBF1D6C7A}</x14:id>
        </ext>
      </extLst>
    </cfRule>
  </conditionalFormatting>
  <conditionalFormatting sqref="E92:F92">
    <cfRule type="dataBar" priority="176">
      <dataBar>
        <cfvo type="min"/>
        <cfvo type="max"/>
        <color rgb="FF63C384"/>
      </dataBar>
      <extLst>
        <ext xmlns:x14="http://schemas.microsoft.com/office/spreadsheetml/2009/9/main" uri="{B025F937-C7B1-47D3-B67F-A62EFF666E3E}">
          <x14:id>{D06C3B0A-210C-4924-9704-B0BB0014E4D2}</x14:id>
        </ext>
      </extLst>
    </cfRule>
  </conditionalFormatting>
  <conditionalFormatting sqref="E100:F100 D101">
    <cfRule type="dataBar" priority="325">
      <dataBar>
        <cfvo type="min"/>
        <cfvo type="max"/>
        <color rgb="FF63C384"/>
      </dataBar>
      <extLst>
        <ext xmlns:x14="http://schemas.microsoft.com/office/spreadsheetml/2009/9/main" uri="{B025F937-C7B1-47D3-B67F-A62EFF666E3E}">
          <x14:id>{5A2E6B5E-EC65-443D-8AB8-DDA666F33755}</x14:id>
        </ext>
      </extLst>
    </cfRule>
  </conditionalFormatting>
  <conditionalFormatting sqref="E100:F100">
    <cfRule type="dataBar" priority="146">
      <dataBar>
        <cfvo type="min"/>
        <cfvo type="max"/>
        <color rgb="FF63C384"/>
      </dataBar>
      <extLst>
        <ext xmlns:x14="http://schemas.microsoft.com/office/spreadsheetml/2009/9/main" uri="{B025F937-C7B1-47D3-B67F-A62EFF666E3E}">
          <x14:id>{2AA7B6E0-59AA-4BE3-97CB-6ADCED7DAFAF}</x14:id>
        </ext>
      </extLst>
    </cfRule>
  </conditionalFormatting>
  <conditionalFormatting sqref="E101:F101">
    <cfRule type="dataBar" priority="83">
      <dataBar>
        <cfvo type="min"/>
        <cfvo type="max"/>
        <color rgb="FF63C384"/>
      </dataBar>
      <extLst>
        <ext xmlns:x14="http://schemas.microsoft.com/office/spreadsheetml/2009/9/main" uri="{B025F937-C7B1-47D3-B67F-A62EFF666E3E}">
          <x14:id>{A90168B3-C159-4DB4-8923-29268EB6EB97}</x14:id>
        </ext>
      </extLst>
    </cfRule>
  </conditionalFormatting>
  <conditionalFormatting sqref="E103:F103">
    <cfRule type="dataBar" priority="117">
      <dataBar>
        <cfvo type="min"/>
        <cfvo type="max"/>
        <color rgb="FF63C384"/>
      </dataBar>
      <extLst>
        <ext xmlns:x14="http://schemas.microsoft.com/office/spreadsheetml/2009/9/main" uri="{B025F937-C7B1-47D3-B67F-A62EFF666E3E}">
          <x14:id>{CCC61DB5-55E2-4796-BDEC-82C56DBA5ED1}</x14:id>
        </ext>
      </extLst>
    </cfRule>
  </conditionalFormatting>
  <conditionalFormatting sqref="E104:F104">
    <cfRule type="dataBar" priority="307">
      <dataBar>
        <cfvo type="min"/>
        <cfvo type="max"/>
        <color rgb="FF63C384"/>
      </dataBar>
      <extLst>
        <ext xmlns:x14="http://schemas.microsoft.com/office/spreadsheetml/2009/9/main" uri="{B025F937-C7B1-47D3-B67F-A62EFF666E3E}">
          <x14:id>{138B0A6C-DDF2-48AD-BF18-D1F3EFED50D0}</x14:id>
        </ext>
      </extLst>
    </cfRule>
  </conditionalFormatting>
  <conditionalFormatting sqref="E105:F105">
    <cfRule type="dataBar" priority="87">
      <dataBar>
        <cfvo type="min"/>
        <cfvo type="max"/>
        <color rgb="FF63C384"/>
      </dataBar>
      <extLst>
        <ext xmlns:x14="http://schemas.microsoft.com/office/spreadsheetml/2009/9/main" uri="{B025F937-C7B1-47D3-B67F-A62EFF666E3E}">
          <x14:id>{4BEF34BB-724A-46FA-8824-1448A6296373}</x14:id>
        </ext>
      </extLst>
    </cfRule>
  </conditionalFormatting>
  <conditionalFormatting sqref="E112:F112 D113">
    <cfRule type="dataBar" priority="331">
      <dataBar>
        <cfvo type="min"/>
        <cfvo type="max"/>
        <color rgb="FF63C384"/>
      </dataBar>
      <extLst>
        <ext xmlns:x14="http://schemas.microsoft.com/office/spreadsheetml/2009/9/main" uri="{B025F937-C7B1-47D3-B67F-A62EFF666E3E}">
          <x14:id>{7978AE6C-D539-449F-99FD-1DB05740B79A}</x14:id>
        </ext>
      </extLst>
    </cfRule>
  </conditionalFormatting>
  <conditionalFormatting sqref="E112:F112">
    <cfRule type="dataBar" priority="56">
      <dataBar>
        <cfvo type="min"/>
        <cfvo type="max"/>
        <color rgb="FF63C384"/>
      </dataBar>
      <extLst>
        <ext xmlns:x14="http://schemas.microsoft.com/office/spreadsheetml/2009/9/main" uri="{B025F937-C7B1-47D3-B67F-A62EFF666E3E}">
          <x14:id>{EAC40EA6-D7C0-4B18-B06C-4DB9E099F25D}</x14:id>
        </ext>
      </extLst>
    </cfRule>
  </conditionalFormatting>
  <conditionalFormatting sqref="E113:F113">
    <cfRule type="dataBar" priority="9">
      <dataBar>
        <cfvo type="min"/>
        <cfvo type="max"/>
        <color rgb="FF63C384"/>
      </dataBar>
      <extLst>
        <ext xmlns:x14="http://schemas.microsoft.com/office/spreadsheetml/2009/9/main" uri="{B025F937-C7B1-47D3-B67F-A62EFF666E3E}">
          <x14:id>{056748BD-13D2-49DA-8DEA-2D8A42BB77DA}</x14:id>
        </ext>
      </extLst>
    </cfRule>
  </conditionalFormatting>
  <conditionalFormatting sqref="E115:F115">
    <cfRule type="dataBar" priority="27">
      <dataBar>
        <cfvo type="min"/>
        <cfvo type="max"/>
        <color rgb="FF63C384"/>
      </dataBar>
      <extLst>
        <ext xmlns:x14="http://schemas.microsoft.com/office/spreadsheetml/2009/9/main" uri="{B025F937-C7B1-47D3-B67F-A62EFF666E3E}">
          <x14:id>{6FFC3F2C-143C-442C-95FF-0313B4EC4A85}</x14:id>
        </ext>
      </extLst>
    </cfRule>
  </conditionalFormatting>
  <conditionalFormatting sqref="F81:F84">
    <cfRule type="dataBar" priority="7">
      <dataBar>
        <cfvo type="min"/>
        <cfvo type="max"/>
        <color rgb="FF63C384"/>
      </dataBar>
      <extLst>
        <ext xmlns:x14="http://schemas.microsoft.com/office/spreadsheetml/2009/9/main" uri="{B025F937-C7B1-47D3-B67F-A62EFF666E3E}">
          <x14:id>{8ACFF1E8-FA60-4EA6-A1D5-E0CAD4704C58}</x14:id>
        </ext>
      </extLst>
    </cfRule>
    <cfRule type="dataBar" priority="8">
      <dataBar>
        <cfvo type="min"/>
        <cfvo type="max"/>
        <color rgb="FF63C384"/>
      </dataBar>
      <extLst>
        <ext xmlns:x14="http://schemas.microsoft.com/office/spreadsheetml/2009/9/main" uri="{B025F937-C7B1-47D3-B67F-A62EFF666E3E}">
          <x14:id>{520EE6E6-74C9-471D-9EBF-F589F8FAE1F7}</x14:id>
        </ext>
      </extLst>
    </cfRule>
  </conditionalFormatting>
  <conditionalFormatting sqref="F90:F91">
    <cfRule type="dataBar" priority="5">
      <dataBar>
        <cfvo type="min"/>
        <cfvo type="max"/>
        <color rgb="FF63C384"/>
      </dataBar>
      <extLst>
        <ext xmlns:x14="http://schemas.microsoft.com/office/spreadsheetml/2009/9/main" uri="{B025F937-C7B1-47D3-B67F-A62EFF666E3E}">
          <x14:id>{EA0F8CAE-38BA-40CF-AD43-3105F98D9DDE}</x14:id>
        </ext>
      </extLst>
    </cfRule>
    <cfRule type="dataBar" priority="4">
      <dataBar>
        <cfvo type="min"/>
        <cfvo type="max"/>
        <color rgb="FF63C384"/>
      </dataBar>
      <extLst>
        <ext xmlns:x14="http://schemas.microsoft.com/office/spreadsheetml/2009/9/main" uri="{B025F937-C7B1-47D3-B67F-A62EFF666E3E}">
          <x14:id>{6E467127-73D8-419A-8504-66BC0E5E027F}</x14:id>
        </ext>
      </extLst>
    </cfRule>
  </conditionalFormatting>
  <conditionalFormatting sqref="F93:F94">
    <cfRule type="dataBar" priority="6">
      <dataBar>
        <cfvo type="min"/>
        <cfvo type="max"/>
        <color rgb="FF63C384"/>
      </dataBar>
      <extLst>
        <ext xmlns:x14="http://schemas.microsoft.com/office/spreadsheetml/2009/9/main" uri="{B025F937-C7B1-47D3-B67F-A62EFF666E3E}">
          <x14:id>{5A2024B8-61F9-414A-A53B-7628ABC24A93}</x14:id>
        </ext>
      </extLst>
    </cfRule>
    <cfRule type="dataBar" priority="3">
      <dataBar>
        <cfvo type="min"/>
        <cfvo type="max"/>
        <color rgb="FF63C384"/>
      </dataBar>
      <extLst>
        <ext xmlns:x14="http://schemas.microsoft.com/office/spreadsheetml/2009/9/main" uri="{B025F937-C7B1-47D3-B67F-A62EFF666E3E}">
          <x14:id>{C25280E3-DB16-4A02-8E44-9B271BA4C0CC}</x14:id>
        </ext>
      </extLst>
    </cfRule>
  </conditionalFormatting>
  <conditionalFormatting sqref="F101:F102">
    <cfRule type="dataBar" priority="2">
      <dataBar>
        <cfvo type="min"/>
        <cfvo type="max"/>
        <color rgb="FF63C384"/>
      </dataBar>
      <extLst>
        <ext xmlns:x14="http://schemas.microsoft.com/office/spreadsheetml/2009/9/main" uri="{B025F937-C7B1-47D3-B67F-A62EFF666E3E}">
          <x14:id>{58D4396E-03C5-41E2-AB04-E1F6690C7646}</x14:id>
        </ext>
      </extLst>
    </cfRule>
  </conditionalFormatting>
  <conditionalFormatting sqref="F113:F114">
    <cfRule type="dataBar" priority="1">
      <dataBar>
        <cfvo type="min"/>
        <cfvo type="max"/>
        <color rgb="FF63C384"/>
      </dataBar>
      <extLst>
        <ext xmlns:x14="http://schemas.microsoft.com/office/spreadsheetml/2009/9/main" uri="{B025F937-C7B1-47D3-B67F-A62EFF666E3E}">
          <x14:id>{63639A40-08D2-484C-BA19-0AB40D483712}</x14:id>
        </ext>
      </extLst>
    </cfRule>
  </conditionalFormatting>
  <conditionalFormatting sqref="G81:G84">
    <cfRule type="dataBar" priority="213">
      <dataBar>
        <cfvo type="min"/>
        <cfvo type="max"/>
        <color rgb="FF63C384"/>
      </dataBar>
      <extLst>
        <ext xmlns:x14="http://schemas.microsoft.com/office/spreadsheetml/2009/9/main" uri="{B025F937-C7B1-47D3-B67F-A62EFF666E3E}">
          <x14:id>{520C007E-6A15-4D20-9DC0-F7B96C04FB8A}</x14:id>
        </ext>
      </extLst>
    </cfRule>
  </conditionalFormatting>
  <conditionalFormatting sqref="G90:G91">
    <cfRule type="dataBar" priority="193">
      <dataBar>
        <cfvo type="min"/>
        <cfvo type="max"/>
        <color rgb="FF63C384"/>
      </dataBar>
      <extLst>
        <ext xmlns:x14="http://schemas.microsoft.com/office/spreadsheetml/2009/9/main" uri="{B025F937-C7B1-47D3-B67F-A62EFF666E3E}">
          <x14:id>{796089BF-6769-47C3-8351-B3C20874B574}</x14:id>
        </ext>
      </extLst>
    </cfRule>
  </conditionalFormatting>
  <conditionalFormatting sqref="G92">
    <cfRule type="dataBar" priority="186">
      <dataBar>
        <cfvo type="min"/>
        <cfvo type="max"/>
        <color rgb="FF63C384"/>
      </dataBar>
      <extLst>
        <ext xmlns:x14="http://schemas.microsoft.com/office/spreadsheetml/2009/9/main" uri="{B025F937-C7B1-47D3-B67F-A62EFF666E3E}">
          <x14:id>{653DDD96-B083-40F2-A4B2-80C04349D723}</x14:id>
        </ext>
      </extLst>
    </cfRule>
    <cfRule type="dataBar" priority="183">
      <dataBar>
        <cfvo type="min"/>
        <cfvo type="max"/>
        <color rgb="FF63C384"/>
      </dataBar>
      <extLst>
        <ext xmlns:x14="http://schemas.microsoft.com/office/spreadsheetml/2009/9/main" uri="{B025F937-C7B1-47D3-B67F-A62EFF666E3E}">
          <x14:id>{F6AF1BCB-0D49-493B-93EE-E08B8B9A5F36}</x14:id>
        </ext>
      </extLst>
    </cfRule>
    <cfRule type="dataBar" priority="182">
      <dataBar>
        <cfvo type="min"/>
        <cfvo type="max"/>
        <color rgb="FF63C384"/>
      </dataBar>
      <extLst>
        <ext xmlns:x14="http://schemas.microsoft.com/office/spreadsheetml/2009/9/main" uri="{B025F937-C7B1-47D3-B67F-A62EFF666E3E}">
          <x14:id>{6E8FB947-A5FE-4B38-9725-E94ACE07047A}</x14:id>
        </ext>
      </extLst>
    </cfRule>
    <cfRule type="dataBar" priority="181">
      <dataBar>
        <cfvo type="min"/>
        <cfvo type="max"/>
        <color rgb="FF63C384"/>
      </dataBar>
      <extLst>
        <ext xmlns:x14="http://schemas.microsoft.com/office/spreadsheetml/2009/9/main" uri="{B025F937-C7B1-47D3-B67F-A62EFF666E3E}">
          <x14:id>{739E810F-49DD-4792-807E-A0BD860FE573}</x14:id>
        </ext>
      </extLst>
    </cfRule>
    <cfRule type="dataBar" priority="178">
      <dataBar>
        <cfvo type="min"/>
        <cfvo type="max"/>
        <color rgb="FF63C384"/>
      </dataBar>
      <extLst>
        <ext xmlns:x14="http://schemas.microsoft.com/office/spreadsheetml/2009/9/main" uri="{B025F937-C7B1-47D3-B67F-A62EFF666E3E}">
          <x14:id>{F8678895-E5E5-409D-812D-0D96DD4BABBA}</x14:id>
        </ext>
      </extLst>
    </cfRule>
    <cfRule type="dataBar" priority="187">
      <dataBar>
        <cfvo type="min"/>
        <cfvo type="max"/>
        <color rgb="FF63C384"/>
      </dataBar>
      <extLst>
        <ext xmlns:x14="http://schemas.microsoft.com/office/spreadsheetml/2009/9/main" uri="{B025F937-C7B1-47D3-B67F-A62EFF666E3E}">
          <x14:id>{73BFBFF9-CBD0-457C-8C44-E1E2DDFC0CC5}</x14:id>
        </ext>
      </extLst>
    </cfRule>
    <cfRule type="dataBar" priority="188">
      <dataBar>
        <cfvo type="min"/>
        <cfvo type="max"/>
        <color rgb="FF63C384"/>
      </dataBar>
      <extLst>
        <ext xmlns:x14="http://schemas.microsoft.com/office/spreadsheetml/2009/9/main" uri="{B025F937-C7B1-47D3-B67F-A62EFF666E3E}">
          <x14:id>{9CE8967B-DA08-4E43-8AE3-FF5B1C6EE87C}</x14:id>
        </ext>
      </extLst>
    </cfRule>
    <cfRule type="dataBar" priority="184">
      <dataBar>
        <cfvo type="min"/>
        <cfvo type="max"/>
        <color rgb="FF63C384"/>
      </dataBar>
      <extLst>
        <ext xmlns:x14="http://schemas.microsoft.com/office/spreadsheetml/2009/9/main" uri="{B025F937-C7B1-47D3-B67F-A62EFF666E3E}">
          <x14:id>{8EDD8548-2E57-4F4E-BE8F-C67DFB823669}</x14:id>
        </ext>
      </extLst>
    </cfRule>
    <cfRule type="dataBar" priority="185">
      <dataBar>
        <cfvo type="min"/>
        <cfvo type="max"/>
        <color rgb="FF63C384"/>
      </dataBar>
      <extLst>
        <ext xmlns:x14="http://schemas.microsoft.com/office/spreadsheetml/2009/9/main" uri="{B025F937-C7B1-47D3-B67F-A62EFF666E3E}">
          <x14:id>{A7D049B2-1770-4E2E-8AF9-7BA601140A7A}</x14:id>
        </ext>
      </extLst>
    </cfRule>
  </conditionalFormatting>
  <conditionalFormatting sqref="G93:G94">
    <cfRule type="dataBar" priority="172">
      <dataBar>
        <cfvo type="min"/>
        <cfvo type="max"/>
        <color rgb="FF63C384"/>
      </dataBar>
      <extLst>
        <ext xmlns:x14="http://schemas.microsoft.com/office/spreadsheetml/2009/9/main" uri="{B025F937-C7B1-47D3-B67F-A62EFF666E3E}">
          <x14:id>{6BF358DD-188C-42E4-97D1-C948960C9549}</x14:id>
        </ext>
      </extLst>
    </cfRule>
    <cfRule type="dataBar" priority="173">
      <dataBar>
        <cfvo type="min"/>
        <cfvo type="max"/>
        <color rgb="FF63C384"/>
      </dataBar>
      <extLst>
        <ext xmlns:x14="http://schemas.microsoft.com/office/spreadsheetml/2009/9/main" uri="{B025F937-C7B1-47D3-B67F-A62EFF666E3E}">
          <x14:id>{D11900F5-99EE-4147-915C-BB2BBA40B757}</x14:id>
        </ext>
      </extLst>
    </cfRule>
    <cfRule type="dataBar" priority="170">
      <dataBar>
        <cfvo type="min"/>
        <cfvo type="max"/>
        <color rgb="FF63C384"/>
      </dataBar>
      <extLst>
        <ext xmlns:x14="http://schemas.microsoft.com/office/spreadsheetml/2009/9/main" uri="{B025F937-C7B1-47D3-B67F-A62EFF666E3E}">
          <x14:id>{A62F58F4-2DFA-4139-ABEC-618B9BA257B7}</x14:id>
        </ext>
      </extLst>
    </cfRule>
    <cfRule type="dataBar" priority="169">
      <dataBar>
        <cfvo type="min"/>
        <cfvo type="max"/>
        <color rgb="FF63C384"/>
      </dataBar>
      <extLst>
        <ext xmlns:x14="http://schemas.microsoft.com/office/spreadsheetml/2009/9/main" uri="{B025F937-C7B1-47D3-B67F-A62EFF666E3E}">
          <x14:id>{72901314-084C-4C6C-BAA2-71E688D3E828}</x14:id>
        </ext>
      </extLst>
    </cfRule>
    <cfRule type="dataBar" priority="168">
      <dataBar>
        <cfvo type="min"/>
        <cfvo type="max"/>
        <color rgb="FF63C384"/>
      </dataBar>
      <extLst>
        <ext xmlns:x14="http://schemas.microsoft.com/office/spreadsheetml/2009/9/main" uri="{B025F937-C7B1-47D3-B67F-A62EFF666E3E}">
          <x14:id>{EEC42996-9CF4-444C-B926-519C5014F96B}</x14:id>
        </ext>
      </extLst>
    </cfRule>
    <cfRule type="dataBar" priority="171">
      <dataBar>
        <cfvo type="min"/>
        <cfvo type="max"/>
        <color rgb="FF63C384"/>
      </dataBar>
      <extLst>
        <ext xmlns:x14="http://schemas.microsoft.com/office/spreadsheetml/2009/9/main" uri="{B025F937-C7B1-47D3-B67F-A62EFF666E3E}">
          <x14:id>{3685FB9F-8346-4A10-8B49-ECB38798AB68}</x14:id>
        </ext>
      </extLst>
    </cfRule>
    <cfRule type="dataBar" priority="167">
      <dataBar>
        <cfvo type="min"/>
        <cfvo type="max"/>
        <color rgb="FF63C384"/>
      </dataBar>
      <extLst>
        <ext xmlns:x14="http://schemas.microsoft.com/office/spreadsheetml/2009/9/main" uri="{B025F937-C7B1-47D3-B67F-A62EFF666E3E}">
          <x14:id>{E2A1F720-7431-42AE-BF93-0D96288B19C5}</x14:id>
        </ext>
      </extLst>
    </cfRule>
    <cfRule type="dataBar" priority="166">
      <dataBar>
        <cfvo type="min"/>
        <cfvo type="max"/>
        <color rgb="FF63C384"/>
      </dataBar>
      <extLst>
        <ext xmlns:x14="http://schemas.microsoft.com/office/spreadsheetml/2009/9/main" uri="{B025F937-C7B1-47D3-B67F-A62EFF666E3E}">
          <x14:id>{B6FBBFA8-D161-4429-95B7-F9D5A2814F41}</x14:id>
        </ext>
      </extLst>
    </cfRule>
    <cfRule type="dataBar" priority="163">
      <dataBar>
        <cfvo type="min"/>
        <cfvo type="max"/>
        <color rgb="FF63C384"/>
      </dataBar>
      <extLst>
        <ext xmlns:x14="http://schemas.microsoft.com/office/spreadsheetml/2009/9/main" uri="{B025F937-C7B1-47D3-B67F-A62EFF666E3E}">
          <x14:id>{C86780CF-3F7D-4748-8A92-986C5FE7F470}</x14:id>
        </ext>
      </extLst>
    </cfRule>
  </conditionalFormatting>
  <conditionalFormatting sqref="G100:G101">
    <cfRule type="dataBar" priority="148">
      <dataBar>
        <cfvo type="min"/>
        <cfvo type="max"/>
        <color rgb="FF63C384"/>
      </dataBar>
      <extLst>
        <ext xmlns:x14="http://schemas.microsoft.com/office/spreadsheetml/2009/9/main" uri="{B025F937-C7B1-47D3-B67F-A62EFF666E3E}">
          <x14:id>{C8148524-9937-4218-BD7A-5A9F9CD7C28E}</x14:id>
        </ext>
      </extLst>
    </cfRule>
  </conditionalFormatting>
  <conditionalFormatting sqref="G102">
    <cfRule type="dataBar" priority="137">
      <dataBar>
        <cfvo type="min"/>
        <cfvo type="max"/>
        <color rgb="FF63C384"/>
      </dataBar>
      <extLst>
        <ext xmlns:x14="http://schemas.microsoft.com/office/spreadsheetml/2009/9/main" uri="{B025F937-C7B1-47D3-B67F-A62EFF666E3E}">
          <x14:id>{24AD904D-608F-4E13-AA1A-8DCB40FB2874}</x14:id>
        </ext>
      </extLst>
    </cfRule>
    <cfRule type="dataBar" priority="138">
      <dataBar>
        <cfvo type="min"/>
        <cfvo type="max"/>
        <color rgb="FF63C384"/>
      </dataBar>
      <extLst>
        <ext xmlns:x14="http://schemas.microsoft.com/office/spreadsheetml/2009/9/main" uri="{B025F937-C7B1-47D3-B67F-A62EFF666E3E}">
          <x14:id>{2F4421EC-9ECC-401C-A167-4D6DBFCC36D8}</x14:id>
        </ext>
      </extLst>
    </cfRule>
    <cfRule type="dataBar" priority="139">
      <dataBar>
        <cfvo type="min"/>
        <cfvo type="max"/>
        <color rgb="FF63C384"/>
      </dataBar>
      <extLst>
        <ext xmlns:x14="http://schemas.microsoft.com/office/spreadsheetml/2009/9/main" uri="{B025F937-C7B1-47D3-B67F-A62EFF666E3E}">
          <x14:id>{FFB6FCD5-3E95-4439-B674-6C4420F98C19}</x14:id>
        </ext>
      </extLst>
    </cfRule>
    <cfRule type="dataBar" priority="140">
      <dataBar>
        <cfvo type="min"/>
        <cfvo type="max"/>
        <color rgb="FF63C384"/>
      </dataBar>
      <extLst>
        <ext xmlns:x14="http://schemas.microsoft.com/office/spreadsheetml/2009/9/main" uri="{B025F937-C7B1-47D3-B67F-A62EFF666E3E}">
          <x14:id>{E42D7C72-ABD3-42E9-8131-46BB053EE410}</x14:id>
        </ext>
      </extLst>
    </cfRule>
    <cfRule type="dataBar" priority="141">
      <dataBar>
        <cfvo type="min"/>
        <cfvo type="max"/>
        <color rgb="FF63C384"/>
      </dataBar>
      <extLst>
        <ext xmlns:x14="http://schemas.microsoft.com/office/spreadsheetml/2009/9/main" uri="{B025F937-C7B1-47D3-B67F-A62EFF666E3E}">
          <x14:id>{827BC058-C8B7-452D-A3A0-08B393A8A65A}</x14:id>
        </ext>
      </extLst>
    </cfRule>
    <cfRule type="dataBar" priority="142">
      <dataBar>
        <cfvo type="min"/>
        <cfvo type="max"/>
        <color rgb="FF63C384"/>
      </dataBar>
      <extLst>
        <ext xmlns:x14="http://schemas.microsoft.com/office/spreadsheetml/2009/9/main" uri="{B025F937-C7B1-47D3-B67F-A62EFF666E3E}">
          <x14:id>{D78B1186-0BF1-47C3-A2D9-DE765BBB5E6E}</x14:id>
        </ext>
      </extLst>
    </cfRule>
    <cfRule type="dataBar" priority="143">
      <dataBar>
        <cfvo type="min"/>
        <cfvo type="max"/>
        <color rgb="FF63C384"/>
      </dataBar>
      <extLst>
        <ext xmlns:x14="http://schemas.microsoft.com/office/spreadsheetml/2009/9/main" uri="{B025F937-C7B1-47D3-B67F-A62EFF666E3E}">
          <x14:id>{7073D056-6A30-4B88-8F4C-DC47F5DAC9AA}</x14:id>
        </ext>
      </extLst>
    </cfRule>
    <cfRule type="dataBar" priority="133">
      <dataBar>
        <cfvo type="min"/>
        <cfvo type="max"/>
        <color rgb="FF63C384"/>
      </dataBar>
      <extLst>
        <ext xmlns:x14="http://schemas.microsoft.com/office/spreadsheetml/2009/9/main" uri="{B025F937-C7B1-47D3-B67F-A62EFF666E3E}">
          <x14:id>{C00626AC-93F2-4346-8752-1E50CCB05B0C}</x14:id>
        </ext>
      </extLst>
    </cfRule>
    <cfRule type="dataBar" priority="136">
      <dataBar>
        <cfvo type="min"/>
        <cfvo type="max"/>
        <color rgb="FF63C384"/>
      </dataBar>
      <extLst>
        <ext xmlns:x14="http://schemas.microsoft.com/office/spreadsheetml/2009/9/main" uri="{B025F937-C7B1-47D3-B67F-A62EFF666E3E}">
          <x14:id>{3E49B47E-B22B-4239-A4C1-5B694DA91580}</x14:id>
        </ext>
      </extLst>
    </cfRule>
  </conditionalFormatting>
  <conditionalFormatting sqref="G103">
    <cfRule type="dataBar" priority="124">
      <dataBar>
        <cfvo type="min"/>
        <cfvo type="max"/>
        <color rgb="FF63C384"/>
      </dataBar>
      <extLst>
        <ext xmlns:x14="http://schemas.microsoft.com/office/spreadsheetml/2009/9/main" uri="{B025F937-C7B1-47D3-B67F-A62EFF666E3E}">
          <x14:id>{13FDED8C-2BF9-4E77-8B43-239C30186738}</x14:id>
        </ext>
      </extLst>
    </cfRule>
    <cfRule type="dataBar" priority="125">
      <dataBar>
        <cfvo type="min"/>
        <cfvo type="max"/>
        <color rgb="FF63C384"/>
      </dataBar>
      <extLst>
        <ext xmlns:x14="http://schemas.microsoft.com/office/spreadsheetml/2009/9/main" uri="{B025F937-C7B1-47D3-B67F-A62EFF666E3E}">
          <x14:id>{A7A9AF21-CB56-45AF-9703-A5F477008F1C}</x14:id>
        </ext>
      </extLst>
    </cfRule>
    <cfRule type="dataBar" priority="126">
      <dataBar>
        <cfvo type="min"/>
        <cfvo type="max"/>
        <color rgb="FF63C384"/>
      </dataBar>
      <extLst>
        <ext xmlns:x14="http://schemas.microsoft.com/office/spreadsheetml/2009/9/main" uri="{B025F937-C7B1-47D3-B67F-A62EFF666E3E}">
          <x14:id>{3D35B9B2-A2AF-4464-AE53-98CD78371590}</x14:id>
        </ext>
      </extLst>
    </cfRule>
    <cfRule type="dataBar" priority="127">
      <dataBar>
        <cfvo type="min"/>
        <cfvo type="max"/>
        <color rgb="FF63C384"/>
      </dataBar>
      <extLst>
        <ext xmlns:x14="http://schemas.microsoft.com/office/spreadsheetml/2009/9/main" uri="{B025F937-C7B1-47D3-B67F-A62EFF666E3E}">
          <x14:id>{9FB2AAAD-5E74-4FE8-B227-1491A5EECE8D}</x14:id>
        </ext>
      </extLst>
    </cfRule>
    <cfRule type="dataBar" priority="128">
      <dataBar>
        <cfvo type="min"/>
        <cfvo type="max"/>
        <color rgb="FF63C384"/>
      </dataBar>
      <extLst>
        <ext xmlns:x14="http://schemas.microsoft.com/office/spreadsheetml/2009/9/main" uri="{B025F937-C7B1-47D3-B67F-A62EFF666E3E}">
          <x14:id>{F1FB49C1-22B8-48B5-AC25-607C7961A4EB}</x14:id>
        </ext>
      </extLst>
    </cfRule>
    <cfRule type="dataBar" priority="129">
      <dataBar>
        <cfvo type="min"/>
        <cfvo type="max"/>
        <color rgb="FF63C384"/>
      </dataBar>
      <extLst>
        <ext xmlns:x14="http://schemas.microsoft.com/office/spreadsheetml/2009/9/main" uri="{B025F937-C7B1-47D3-B67F-A62EFF666E3E}">
          <x14:id>{FAA33BAC-B810-4661-B0DF-4003249C63AF}</x14:id>
        </ext>
      </extLst>
    </cfRule>
    <cfRule type="dataBar" priority="119">
      <dataBar>
        <cfvo type="min"/>
        <cfvo type="max"/>
        <color rgb="FF63C384"/>
      </dataBar>
      <extLst>
        <ext xmlns:x14="http://schemas.microsoft.com/office/spreadsheetml/2009/9/main" uri="{B025F937-C7B1-47D3-B67F-A62EFF666E3E}">
          <x14:id>{E2541555-BB70-45BA-8CC7-44B66C439C07}</x14:id>
        </ext>
      </extLst>
    </cfRule>
    <cfRule type="dataBar" priority="122">
      <dataBar>
        <cfvo type="min"/>
        <cfvo type="max"/>
        <color rgb="FF63C384"/>
      </dataBar>
      <extLst>
        <ext xmlns:x14="http://schemas.microsoft.com/office/spreadsheetml/2009/9/main" uri="{B025F937-C7B1-47D3-B67F-A62EFF666E3E}">
          <x14:id>{F73D7871-6909-45D6-8C39-CC2926E67A4E}</x14:id>
        </ext>
      </extLst>
    </cfRule>
    <cfRule type="dataBar" priority="123">
      <dataBar>
        <cfvo type="min"/>
        <cfvo type="max"/>
        <color rgb="FF63C384"/>
      </dataBar>
      <extLst>
        <ext xmlns:x14="http://schemas.microsoft.com/office/spreadsheetml/2009/9/main" uri="{B025F937-C7B1-47D3-B67F-A62EFF666E3E}">
          <x14:id>{19163735-1FFC-4960-93EC-9AA43D0642A6}</x14:id>
        </ext>
      </extLst>
    </cfRule>
  </conditionalFormatting>
  <conditionalFormatting sqref="G104">
    <cfRule type="dataBar" priority="309">
      <dataBar>
        <cfvo type="min"/>
        <cfvo type="max"/>
        <color rgb="FF63C384"/>
      </dataBar>
      <extLst>
        <ext xmlns:x14="http://schemas.microsoft.com/office/spreadsheetml/2009/9/main" uri="{B025F937-C7B1-47D3-B67F-A62EFF666E3E}">
          <x14:id>{7FB5903E-E897-4CA6-8E8E-98F39378A3D4}</x14:id>
        </ext>
      </extLst>
    </cfRule>
    <cfRule type="dataBar" priority="313">
      <dataBar>
        <cfvo type="min"/>
        <cfvo type="max"/>
        <color rgb="FF63C384"/>
      </dataBar>
      <extLst>
        <ext xmlns:x14="http://schemas.microsoft.com/office/spreadsheetml/2009/9/main" uri="{B025F937-C7B1-47D3-B67F-A62EFF666E3E}">
          <x14:id>{4407C878-9A16-4AE2-B9E4-D2CEB16550A2}</x14:id>
        </ext>
      </extLst>
    </cfRule>
    <cfRule type="dataBar" priority="314">
      <dataBar>
        <cfvo type="min"/>
        <cfvo type="max"/>
        <color rgb="FF63C384"/>
      </dataBar>
      <extLst>
        <ext xmlns:x14="http://schemas.microsoft.com/office/spreadsheetml/2009/9/main" uri="{B025F937-C7B1-47D3-B67F-A62EFF666E3E}">
          <x14:id>{1DBB84F6-FEBA-4592-AE2B-AE2B799DE34F}</x14:id>
        </ext>
      </extLst>
    </cfRule>
    <cfRule type="dataBar" priority="315">
      <dataBar>
        <cfvo type="min"/>
        <cfvo type="max"/>
        <color rgb="FF63C384"/>
      </dataBar>
      <extLst>
        <ext xmlns:x14="http://schemas.microsoft.com/office/spreadsheetml/2009/9/main" uri="{B025F937-C7B1-47D3-B67F-A62EFF666E3E}">
          <x14:id>{ACD83E90-BFE5-4F0A-8497-D3A5BFFE31F9}</x14:id>
        </ext>
      </extLst>
    </cfRule>
    <cfRule type="dataBar" priority="316">
      <dataBar>
        <cfvo type="min"/>
        <cfvo type="max"/>
        <color rgb="FF63C384"/>
      </dataBar>
      <extLst>
        <ext xmlns:x14="http://schemas.microsoft.com/office/spreadsheetml/2009/9/main" uri="{B025F937-C7B1-47D3-B67F-A62EFF666E3E}">
          <x14:id>{D25D9BD7-BFE2-4430-81A2-AE9F3306AC29}</x14:id>
        </ext>
      </extLst>
    </cfRule>
    <cfRule type="dataBar" priority="317">
      <dataBar>
        <cfvo type="min"/>
        <cfvo type="max"/>
        <color rgb="FF63C384"/>
      </dataBar>
      <extLst>
        <ext xmlns:x14="http://schemas.microsoft.com/office/spreadsheetml/2009/9/main" uri="{B025F937-C7B1-47D3-B67F-A62EFF666E3E}">
          <x14:id>{5B1937C0-CE59-461A-9FF4-39EFBDBD147D}</x14:id>
        </ext>
      </extLst>
    </cfRule>
    <cfRule type="dataBar" priority="318">
      <dataBar>
        <cfvo type="min"/>
        <cfvo type="max"/>
        <color rgb="FF63C384"/>
      </dataBar>
      <extLst>
        <ext xmlns:x14="http://schemas.microsoft.com/office/spreadsheetml/2009/9/main" uri="{B025F937-C7B1-47D3-B67F-A62EFF666E3E}">
          <x14:id>{6B67B246-CB56-49D5-90D7-F8EFD79C4AA6}</x14:id>
        </ext>
      </extLst>
    </cfRule>
    <cfRule type="dataBar" priority="319">
      <dataBar>
        <cfvo type="min"/>
        <cfvo type="max"/>
        <color rgb="FF63C384"/>
      </dataBar>
      <extLst>
        <ext xmlns:x14="http://schemas.microsoft.com/office/spreadsheetml/2009/9/main" uri="{B025F937-C7B1-47D3-B67F-A62EFF666E3E}">
          <x14:id>{6CC687E5-6A84-4F8E-9C83-ACC765CD91DE}</x14:id>
        </ext>
      </extLst>
    </cfRule>
    <cfRule type="dataBar" priority="312">
      <dataBar>
        <cfvo type="min"/>
        <cfvo type="max"/>
        <color rgb="FF63C384"/>
      </dataBar>
      <extLst>
        <ext xmlns:x14="http://schemas.microsoft.com/office/spreadsheetml/2009/9/main" uri="{B025F937-C7B1-47D3-B67F-A62EFF666E3E}">
          <x14:id>{F7321E43-5920-4B27-85B2-1D587A59DA99}</x14:id>
        </ext>
      </extLst>
    </cfRule>
  </conditionalFormatting>
  <conditionalFormatting sqref="G105">
    <cfRule type="dataBar" priority="89">
      <dataBar>
        <cfvo type="min"/>
        <cfvo type="max"/>
        <color rgb="FF63C384"/>
      </dataBar>
      <extLst>
        <ext xmlns:x14="http://schemas.microsoft.com/office/spreadsheetml/2009/9/main" uri="{B025F937-C7B1-47D3-B67F-A62EFF666E3E}">
          <x14:id>{5D1F8644-4EB6-4D0D-9190-0ACDA6285AFF}</x14:id>
        </ext>
      </extLst>
    </cfRule>
    <cfRule type="dataBar" priority="98">
      <dataBar>
        <cfvo type="min"/>
        <cfvo type="max"/>
        <color rgb="FF63C384"/>
      </dataBar>
      <extLst>
        <ext xmlns:x14="http://schemas.microsoft.com/office/spreadsheetml/2009/9/main" uri="{B025F937-C7B1-47D3-B67F-A62EFF666E3E}">
          <x14:id>{5FA55206-5721-4D4D-9638-7D807AE68CF7}</x14:id>
        </ext>
      </extLst>
    </cfRule>
    <cfRule type="dataBar" priority="99">
      <dataBar>
        <cfvo type="min"/>
        <cfvo type="max"/>
        <color rgb="FF63C384"/>
      </dataBar>
      <extLst>
        <ext xmlns:x14="http://schemas.microsoft.com/office/spreadsheetml/2009/9/main" uri="{B025F937-C7B1-47D3-B67F-A62EFF666E3E}">
          <x14:id>{ABCE0ADB-0BB6-48EE-85C5-1AA7EF9DB635}</x14:id>
        </ext>
      </extLst>
    </cfRule>
    <cfRule type="dataBar" priority="92">
      <dataBar>
        <cfvo type="min"/>
        <cfvo type="max"/>
        <color rgb="FF63C384"/>
      </dataBar>
      <extLst>
        <ext xmlns:x14="http://schemas.microsoft.com/office/spreadsheetml/2009/9/main" uri="{B025F937-C7B1-47D3-B67F-A62EFF666E3E}">
          <x14:id>{F9446C83-95CD-47DC-B433-D425F6A8EECD}</x14:id>
        </ext>
      </extLst>
    </cfRule>
    <cfRule type="dataBar" priority="93">
      <dataBar>
        <cfvo type="min"/>
        <cfvo type="max"/>
        <color rgb="FF63C384"/>
      </dataBar>
      <extLst>
        <ext xmlns:x14="http://schemas.microsoft.com/office/spreadsheetml/2009/9/main" uri="{B025F937-C7B1-47D3-B67F-A62EFF666E3E}">
          <x14:id>{7956535C-13E9-4964-9D0B-CF1185779535}</x14:id>
        </ext>
      </extLst>
    </cfRule>
    <cfRule type="dataBar" priority="94">
      <dataBar>
        <cfvo type="min"/>
        <cfvo type="max"/>
        <color rgb="FF63C384"/>
      </dataBar>
      <extLst>
        <ext xmlns:x14="http://schemas.microsoft.com/office/spreadsheetml/2009/9/main" uri="{B025F937-C7B1-47D3-B67F-A62EFF666E3E}">
          <x14:id>{3F6EC96B-F378-4454-9225-EB186F52017F}</x14:id>
        </ext>
      </extLst>
    </cfRule>
    <cfRule type="dataBar" priority="95">
      <dataBar>
        <cfvo type="min"/>
        <cfvo type="max"/>
        <color rgb="FF63C384"/>
      </dataBar>
      <extLst>
        <ext xmlns:x14="http://schemas.microsoft.com/office/spreadsheetml/2009/9/main" uri="{B025F937-C7B1-47D3-B67F-A62EFF666E3E}">
          <x14:id>{5FAB1626-68E6-445B-9850-942C16342728}</x14:id>
        </ext>
      </extLst>
    </cfRule>
    <cfRule type="dataBar" priority="96">
      <dataBar>
        <cfvo type="min"/>
        <cfvo type="max"/>
        <color rgb="FF63C384"/>
      </dataBar>
      <extLst>
        <ext xmlns:x14="http://schemas.microsoft.com/office/spreadsheetml/2009/9/main" uri="{B025F937-C7B1-47D3-B67F-A62EFF666E3E}">
          <x14:id>{BC97258C-AEDF-4FFD-B6EC-E3753C183E25}</x14:id>
        </ext>
      </extLst>
    </cfRule>
    <cfRule type="dataBar" priority="97">
      <dataBar>
        <cfvo type="min"/>
        <cfvo type="max"/>
        <color rgb="FF63C384"/>
      </dataBar>
      <extLst>
        <ext xmlns:x14="http://schemas.microsoft.com/office/spreadsheetml/2009/9/main" uri="{B025F937-C7B1-47D3-B67F-A62EFF666E3E}">
          <x14:id>{C8846412-36BF-4219-8571-AD09536BFB39}</x14:id>
        </ext>
      </extLst>
    </cfRule>
  </conditionalFormatting>
  <conditionalFormatting sqref="G112:G113">
    <cfRule type="dataBar" priority="58">
      <dataBar>
        <cfvo type="min"/>
        <cfvo type="max"/>
        <color rgb="FF63C384"/>
      </dataBar>
      <extLst>
        <ext xmlns:x14="http://schemas.microsoft.com/office/spreadsheetml/2009/9/main" uri="{B025F937-C7B1-47D3-B67F-A62EFF666E3E}">
          <x14:id>{B7E8BFD6-A7A0-43DF-BFD5-2A490A9053D1}</x14:id>
        </ext>
      </extLst>
    </cfRule>
  </conditionalFormatting>
  <conditionalFormatting sqref="G114">
    <cfRule type="dataBar" priority="43">
      <dataBar>
        <cfvo type="min"/>
        <cfvo type="max"/>
        <color rgb="FF63C384"/>
      </dataBar>
      <extLst>
        <ext xmlns:x14="http://schemas.microsoft.com/office/spreadsheetml/2009/9/main" uri="{B025F937-C7B1-47D3-B67F-A62EFF666E3E}">
          <x14:id>{3F42B030-698D-4EF1-8727-560C6C208B30}</x14:id>
        </ext>
      </extLst>
    </cfRule>
    <cfRule type="dataBar" priority="53">
      <dataBar>
        <cfvo type="min"/>
        <cfvo type="max"/>
        <color rgb="FF63C384"/>
      </dataBar>
      <extLst>
        <ext xmlns:x14="http://schemas.microsoft.com/office/spreadsheetml/2009/9/main" uri="{B025F937-C7B1-47D3-B67F-A62EFF666E3E}">
          <x14:id>{1C446554-A444-4CDB-9EFE-69FB5654BA97}</x14:id>
        </ext>
      </extLst>
    </cfRule>
    <cfRule type="dataBar" priority="52">
      <dataBar>
        <cfvo type="min"/>
        <cfvo type="max"/>
        <color rgb="FF63C384"/>
      </dataBar>
      <extLst>
        <ext xmlns:x14="http://schemas.microsoft.com/office/spreadsheetml/2009/9/main" uri="{B025F937-C7B1-47D3-B67F-A62EFF666E3E}">
          <x14:id>{B3104E91-6A2B-4BEF-8429-4D4A2631DF75}</x14:id>
        </ext>
      </extLst>
    </cfRule>
    <cfRule type="dataBar" priority="51">
      <dataBar>
        <cfvo type="min"/>
        <cfvo type="max"/>
        <color rgb="FF63C384"/>
      </dataBar>
      <extLst>
        <ext xmlns:x14="http://schemas.microsoft.com/office/spreadsheetml/2009/9/main" uri="{B025F937-C7B1-47D3-B67F-A62EFF666E3E}">
          <x14:id>{28C93631-42AA-4453-A5DF-E7276270625F}</x14:id>
        </ext>
      </extLst>
    </cfRule>
    <cfRule type="dataBar" priority="50">
      <dataBar>
        <cfvo type="min"/>
        <cfvo type="max"/>
        <color rgb="FF63C384"/>
      </dataBar>
      <extLst>
        <ext xmlns:x14="http://schemas.microsoft.com/office/spreadsheetml/2009/9/main" uri="{B025F937-C7B1-47D3-B67F-A62EFF666E3E}">
          <x14:id>{C7FD3AB0-EB38-4E59-AD10-8EF44DEAF1C5}</x14:id>
        </ext>
      </extLst>
    </cfRule>
    <cfRule type="dataBar" priority="49">
      <dataBar>
        <cfvo type="min"/>
        <cfvo type="max"/>
        <color rgb="FF63C384"/>
      </dataBar>
      <extLst>
        <ext xmlns:x14="http://schemas.microsoft.com/office/spreadsheetml/2009/9/main" uri="{B025F937-C7B1-47D3-B67F-A62EFF666E3E}">
          <x14:id>{12B761BF-FDED-4D0D-AC4C-E5CBD7EF8EB7}</x14:id>
        </ext>
      </extLst>
    </cfRule>
    <cfRule type="dataBar" priority="48">
      <dataBar>
        <cfvo type="min"/>
        <cfvo type="max"/>
        <color rgb="FF63C384"/>
      </dataBar>
      <extLst>
        <ext xmlns:x14="http://schemas.microsoft.com/office/spreadsheetml/2009/9/main" uri="{B025F937-C7B1-47D3-B67F-A62EFF666E3E}">
          <x14:id>{30C659BE-FD24-4C97-9919-605B89459968}</x14:id>
        </ext>
      </extLst>
    </cfRule>
    <cfRule type="dataBar" priority="46">
      <dataBar>
        <cfvo type="min"/>
        <cfvo type="max"/>
        <color rgb="FF63C384"/>
      </dataBar>
      <extLst>
        <ext xmlns:x14="http://schemas.microsoft.com/office/spreadsheetml/2009/9/main" uri="{B025F937-C7B1-47D3-B67F-A62EFF666E3E}">
          <x14:id>{8E7DA615-083B-4BDC-952C-3409965EF8CB}</x14:id>
        </ext>
      </extLst>
    </cfRule>
    <cfRule type="dataBar" priority="47">
      <dataBar>
        <cfvo type="min"/>
        <cfvo type="max"/>
        <color rgb="FF63C384"/>
      </dataBar>
      <extLst>
        <ext xmlns:x14="http://schemas.microsoft.com/office/spreadsheetml/2009/9/main" uri="{B025F937-C7B1-47D3-B67F-A62EFF666E3E}">
          <x14:id>{31874EB8-9F31-447E-8AA1-681E05432B7C}</x14:id>
        </ext>
      </extLst>
    </cfRule>
  </conditionalFormatting>
  <conditionalFormatting sqref="G115">
    <cfRule type="dataBar" priority="38">
      <dataBar>
        <cfvo type="min"/>
        <cfvo type="max"/>
        <color rgb="FF63C384"/>
      </dataBar>
      <extLst>
        <ext xmlns:x14="http://schemas.microsoft.com/office/spreadsheetml/2009/9/main" uri="{B025F937-C7B1-47D3-B67F-A62EFF666E3E}">
          <x14:id>{6BD6813C-CD0E-40B7-9E17-9659A05358CC}</x14:id>
        </ext>
      </extLst>
    </cfRule>
    <cfRule type="dataBar" priority="39">
      <dataBar>
        <cfvo type="min"/>
        <cfvo type="max"/>
        <color rgb="FF63C384"/>
      </dataBar>
      <extLst>
        <ext xmlns:x14="http://schemas.microsoft.com/office/spreadsheetml/2009/9/main" uri="{B025F937-C7B1-47D3-B67F-A62EFF666E3E}">
          <x14:id>{F384721C-6206-4C2D-9127-D81E7374706E}</x14:id>
        </ext>
      </extLst>
    </cfRule>
    <cfRule type="dataBar" priority="37">
      <dataBar>
        <cfvo type="min"/>
        <cfvo type="max"/>
        <color rgb="FF63C384"/>
      </dataBar>
      <extLst>
        <ext xmlns:x14="http://schemas.microsoft.com/office/spreadsheetml/2009/9/main" uri="{B025F937-C7B1-47D3-B67F-A62EFF666E3E}">
          <x14:id>{5D5AF499-D1EF-4230-8499-A3031B3A14CC}</x14:id>
        </ext>
      </extLst>
    </cfRule>
    <cfRule type="dataBar" priority="36">
      <dataBar>
        <cfvo type="min"/>
        <cfvo type="max"/>
        <color rgb="FF63C384"/>
      </dataBar>
      <extLst>
        <ext xmlns:x14="http://schemas.microsoft.com/office/spreadsheetml/2009/9/main" uri="{B025F937-C7B1-47D3-B67F-A62EFF666E3E}">
          <x14:id>{C192503E-4417-4597-9676-07F781A2AC0D}</x14:id>
        </ext>
      </extLst>
    </cfRule>
    <cfRule type="dataBar" priority="34">
      <dataBar>
        <cfvo type="min"/>
        <cfvo type="max"/>
        <color rgb="FF63C384"/>
      </dataBar>
      <extLst>
        <ext xmlns:x14="http://schemas.microsoft.com/office/spreadsheetml/2009/9/main" uri="{B025F937-C7B1-47D3-B67F-A62EFF666E3E}">
          <x14:id>{D7364E21-4524-4439-BE41-67D95C689E93}</x14:id>
        </ext>
      </extLst>
    </cfRule>
    <cfRule type="dataBar" priority="35">
      <dataBar>
        <cfvo type="min"/>
        <cfvo type="max"/>
        <color rgb="FF63C384"/>
      </dataBar>
      <extLst>
        <ext xmlns:x14="http://schemas.microsoft.com/office/spreadsheetml/2009/9/main" uri="{B025F937-C7B1-47D3-B67F-A62EFF666E3E}">
          <x14:id>{FD47B598-C94C-4E48-9F5C-392F879F7873}</x14:id>
        </ext>
      </extLst>
    </cfRule>
    <cfRule type="dataBar" priority="32">
      <dataBar>
        <cfvo type="min"/>
        <cfvo type="max"/>
        <color rgb="FF63C384"/>
      </dataBar>
      <extLst>
        <ext xmlns:x14="http://schemas.microsoft.com/office/spreadsheetml/2009/9/main" uri="{B025F937-C7B1-47D3-B67F-A62EFF666E3E}">
          <x14:id>{2CDBE52B-9CE3-4217-80A6-758A0368B5CC}</x14:id>
        </ext>
      </extLst>
    </cfRule>
    <cfRule type="dataBar" priority="29">
      <dataBar>
        <cfvo type="min"/>
        <cfvo type="max"/>
        <color rgb="FF63C384"/>
      </dataBar>
      <extLst>
        <ext xmlns:x14="http://schemas.microsoft.com/office/spreadsheetml/2009/9/main" uri="{B025F937-C7B1-47D3-B67F-A62EFF666E3E}">
          <x14:id>{DFCD4DE0-6B46-4704-A676-8FC1FD6A4D1F}</x14:id>
        </ext>
      </extLst>
    </cfRule>
    <cfRule type="dataBar" priority="33">
      <dataBar>
        <cfvo type="min"/>
        <cfvo type="max"/>
        <color rgb="FF63C384"/>
      </dataBar>
      <extLst>
        <ext xmlns:x14="http://schemas.microsoft.com/office/spreadsheetml/2009/9/main" uri="{B025F937-C7B1-47D3-B67F-A62EFF666E3E}">
          <x14:id>{B91C6366-3324-4746-8AC5-08CAC104D17E}</x14:id>
        </ext>
      </extLst>
    </cfRule>
  </conditionalFormatting>
  <conditionalFormatting sqref="G81:H81 G82:G84 H82:H85">
    <cfRule type="dataBar" priority="297">
      <dataBar>
        <cfvo type="min"/>
        <cfvo type="max"/>
        <color rgb="FF63C384"/>
      </dataBar>
      <extLst>
        <ext xmlns:x14="http://schemas.microsoft.com/office/spreadsheetml/2009/9/main" uri="{B025F937-C7B1-47D3-B67F-A62EFF666E3E}">
          <x14:id>{0C1DAFA0-6056-4C1D-9C5C-7B74A81B8AC7}</x14:id>
        </ext>
      </extLst>
    </cfRule>
    <cfRule type="dataBar" priority="299">
      <dataBar>
        <cfvo type="min"/>
        <cfvo type="max"/>
        <color rgb="FF63C384"/>
      </dataBar>
      <extLst>
        <ext xmlns:x14="http://schemas.microsoft.com/office/spreadsheetml/2009/9/main" uri="{B025F937-C7B1-47D3-B67F-A62EFF666E3E}">
          <x14:id>{0A5DF661-786E-4F67-BED3-1FB417D5E3FC}</x14:id>
        </ext>
      </extLst>
    </cfRule>
    <cfRule type="dataBar" priority="296">
      <dataBar>
        <cfvo type="min"/>
        <cfvo type="max"/>
        <color rgb="FF63C384"/>
      </dataBar>
      <extLst>
        <ext xmlns:x14="http://schemas.microsoft.com/office/spreadsheetml/2009/9/main" uri="{B025F937-C7B1-47D3-B67F-A62EFF666E3E}">
          <x14:id>{86389987-433F-4803-9776-CA74A79AC120}</x14:id>
        </ext>
      </extLst>
    </cfRule>
    <cfRule type="dataBar" priority="300">
      <dataBar>
        <cfvo type="min"/>
        <cfvo type="max"/>
        <color rgb="FF63C384"/>
      </dataBar>
      <extLst>
        <ext xmlns:x14="http://schemas.microsoft.com/office/spreadsheetml/2009/9/main" uri="{B025F937-C7B1-47D3-B67F-A62EFF666E3E}">
          <x14:id>{7E4670AB-C1AB-4C02-9B2D-E49C55876CA6}</x14:id>
        </ext>
      </extLst>
    </cfRule>
    <cfRule type="dataBar" priority="301">
      <dataBar>
        <cfvo type="min"/>
        <cfvo type="max"/>
        <color rgb="FF63C384"/>
      </dataBar>
      <extLst>
        <ext xmlns:x14="http://schemas.microsoft.com/office/spreadsheetml/2009/9/main" uri="{B025F937-C7B1-47D3-B67F-A62EFF666E3E}">
          <x14:id>{CE6241EF-8D85-4837-B6C4-3EA6D0AF0FD9}</x14:id>
        </ext>
      </extLst>
    </cfRule>
    <cfRule type="dataBar" priority="302">
      <dataBar>
        <cfvo type="min"/>
        <cfvo type="max"/>
        <color rgb="FF63C384"/>
      </dataBar>
      <extLst>
        <ext xmlns:x14="http://schemas.microsoft.com/office/spreadsheetml/2009/9/main" uri="{B025F937-C7B1-47D3-B67F-A62EFF666E3E}">
          <x14:id>{03366EBF-DC53-494E-BC20-93D8D03456B3}</x14:id>
        </ext>
      </extLst>
    </cfRule>
    <cfRule type="dataBar" priority="303">
      <dataBar>
        <cfvo type="min"/>
        <cfvo type="max"/>
        <color rgb="FF63C384"/>
      </dataBar>
      <extLst>
        <ext xmlns:x14="http://schemas.microsoft.com/office/spreadsheetml/2009/9/main" uri="{B025F937-C7B1-47D3-B67F-A62EFF666E3E}">
          <x14:id>{A354346F-638C-40CC-B70D-026FD7CB0E55}</x14:id>
        </ext>
      </extLst>
    </cfRule>
    <cfRule type="dataBar" priority="298">
      <dataBar>
        <cfvo type="min"/>
        <cfvo type="max"/>
        <color rgb="FF63C384"/>
      </dataBar>
      <extLst>
        <ext xmlns:x14="http://schemas.microsoft.com/office/spreadsheetml/2009/9/main" uri="{B025F937-C7B1-47D3-B67F-A62EFF666E3E}">
          <x14:id>{C614C9C6-5DC0-4CBC-91CE-AABCF8B62C7F}</x14:id>
        </ext>
      </extLst>
    </cfRule>
  </conditionalFormatting>
  <conditionalFormatting sqref="G90:H90 G91 H91:H95">
    <cfRule type="dataBar" priority="198">
      <dataBar>
        <cfvo type="min"/>
        <cfvo type="max"/>
        <color rgb="FF63C384"/>
      </dataBar>
      <extLst>
        <ext xmlns:x14="http://schemas.microsoft.com/office/spreadsheetml/2009/9/main" uri="{B025F937-C7B1-47D3-B67F-A62EFF666E3E}">
          <x14:id>{8CB5BD23-1869-4520-AE80-B1E00C7005BE}</x14:id>
        </ext>
      </extLst>
    </cfRule>
    <cfRule type="dataBar" priority="199">
      <dataBar>
        <cfvo type="min"/>
        <cfvo type="max"/>
        <color rgb="FF63C384"/>
      </dataBar>
      <extLst>
        <ext xmlns:x14="http://schemas.microsoft.com/office/spreadsheetml/2009/9/main" uri="{B025F937-C7B1-47D3-B67F-A62EFF666E3E}">
          <x14:id>{D14FA89E-31F2-452B-AF7C-2013ADE36C4B}</x14:id>
        </ext>
      </extLst>
    </cfRule>
    <cfRule type="dataBar" priority="202">
      <dataBar>
        <cfvo type="min"/>
        <cfvo type="max"/>
        <color rgb="FF63C384"/>
      </dataBar>
      <extLst>
        <ext xmlns:x14="http://schemas.microsoft.com/office/spreadsheetml/2009/9/main" uri="{B025F937-C7B1-47D3-B67F-A62EFF666E3E}">
          <x14:id>{4C0B26AB-0D7A-40A5-8439-850E7241D3A9}</x14:id>
        </ext>
      </extLst>
    </cfRule>
    <cfRule type="dataBar" priority="203">
      <dataBar>
        <cfvo type="min"/>
        <cfvo type="max"/>
        <color rgb="FF63C384"/>
      </dataBar>
      <extLst>
        <ext xmlns:x14="http://schemas.microsoft.com/office/spreadsheetml/2009/9/main" uri="{B025F937-C7B1-47D3-B67F-A62EFF666E3E}">
          <x14:id>{8F311DD8-C40B-47BF-99D9-DD90A4B9A432}</x14:id>
        </ext>
      </extLst>
    </cfRule>
    <cfRule type="dataBar" priority="200">
      <dataBar>
        <cfvo type="min"/>
        <cfvo type="max"/>
        <color rgb="FF63C384"/>
      </dataBar>
      <extLst>
        <ext xmlns:x14="http://schemas.microsoft.com/office/spreadsheetml/2009/9/main" uri="{B025F937-C7B1-47D3-B67F-A62EFF666E3E}">
          <x14:id>{B1635071-1758-4A57-82EC-79963486E562}</x14:id>
        </ext>
      </extLst>
    </cfRule>
    <cfRule type="dataBar" priority="201">
      <dataBar>
        <cfvo type="min"/>
        <cfvo type="max"/>
        <color rgb="FF63C384"/>
      </dataBar>
      <extLst>
        <ext xmlns:x14="http://schemas.microsoft.com/office/spreadsheetml/2009/9/main" uri="{B025F937-C7B1-47D3-B67F-A62EFF666E3E}">
          <x14:id>{C2F9D720-1B69-45A6-B54D-B414E2A78B7F}</x14:id>
        </ext>
      </extLst>
    </cfRule>
    <cfRule type="dataBar" priority="196">
      <dataBar>
        <cfvo type="min"/>
        <cfvo type="max"/>
        <color rgb="FF63C384"/>
      </dataBar>
      <extLst>
        <ext xmlns:x14="http://schemas.microsoft.com/office/spreadsheetml/2009/9/main" uri="{B025F937-C7B1-47D3-B67F-A62EFF666E3E}">
          <x14:id>{51EA2429-9B76-4A0B-911B-DC807EE82677}</x14:id>
        </ext>
      </extLst>
    </cfRule>
    <cfRule type="dataBar" priority="197">
      <dataBar>
        <cfvo type="min"/>
        <cfvo type="max"/>
        <color rgb="FF63C384"/>
      </dataBar>
      <extLst>
        <ext xmlns:x14="http://schemas.microsoft.com/office/spreadsheetml/2009/9/main" uri="{B025F937-C7B1-47D3-B67F-A62EFF666E3E}">
          <x14:id>{CCBE3022-1506-48DF-9F7D-1DC73E4D0488}</x14:id>
        </ext>
      </extLst>
    </cfRule>
  </conditionalFormatting>
  <conditionalFormatting sqref="G100:H100 G101 H101:H106">
    <cfRule type="dataBar" priority="151">
      <dataBar>
        <cfvo type="min"/>
        <cfvo type="max"/>
        <color rgb="FF63C384"/>
      </dataBar>
      <extLst>
        <ext xmlns:x14="http://schemas.microsoft.com/office/spreadsheetml/2009/9/main" uri="{B025F937-C7B1-47D3-B67F-A62EFF666E3E}">
          <x14:id>{27C0F2BB-B442-4A1F-B584-244B12AF39B5}</x14:id>
        </ext>
      </extLst>
    </cfRule>
    <cfRule type="dataBar" priority="152">
      <dataBar>
        <cfvo type="min"/>
        <cfvo type="max"/>
        <color rgb="FF63C384"/>
      </dataBar>
      <extLst>
        <ext xmlns:x14="http://schemas.microsoft.com/office/spreadsheetml/2009/9/main" uri="{B025F937-C7B1-47D3-B67F-A62EFF666E3E}">
          <x14:id>{4F496041-976E-44F3-B886-C88224B32225}</x14:id>
        </ext>
      </extLst>
    </cfRule>
    <cfRule type="dataBar" priority="154">
      <dataBar>
        <cfvo type="min"/>
        <cfvo type="max"/>
        <color rgb="FF63C384"/>
      </dataBar>
      <extLst>
        <ext xmlns:x14="http://schemas.microsoft.com/office/spreadsheetml/2009/9/main" uri="{B025F937-C7B1-47D3-B67F-A62EFF666E3E}">
          <x14:id>{8F02219B-B8BE-4CA8-8139-E05A2E83E1B5}</x14:id>
        </ext>
      </extLst>
    </cfRule>
    <cfRule type="dataBar" priority="155">
      <dataBar>
        <cfvo type="min"/>
        <cfvo type="max"/>
        <color rgb="FF63C384"/>
      </dataBar>
      <extLst>
        <ext xmlns:x14="http://schemas.microsoft.com/office/spreadsheetml/2009/9/main" uri="{B025F937-C7B1-47D3-B67F-A62EFF666E3E}">
          <x14:id>{47417C39-D94F-4EBE-9FE7-CD3E984BBD70}</x14:id>
        </ext>
      </extLst>
    </cfRule>
    <cfRule type="dataBar" priority="156">
      <dataBar>
        <cfvo type="min"/>
        <cfvo type="max"/>
        <color rgb="FF63C384"/>
      </dataBar>
      <extLst>
        <ext xmlns:x14="http://schemas.microsoft.com/office/spreadsheetml/2009/9/main" uri="{B025F937-C7B1-47D3-B67F-A62EFF666E3E}">
          <x14:id>{09542535-780C-4A18-BA8D-443C2C5E9BFC}</x14:id>
        </ext>
      </extLst>
    </cfRule>
    <cfRule type="dataBar" priority="157">
      <dataBar>
        <cfvo type="min"/>
        <cfvo type="max"/>
        <color rgb="FF63C384"/>
      </dataBar>
      <extLst>
        <ext xmlns:x14="http://schemas.microsoft.com/office/spreadsheetml/2009/9/main" uri="{B025F937-C7B1-47D3-B67F-A62EFF666E3E}">
          <x14:id>{746079CD-4282-4F16-BC0F-7A42E020B458}</x14:id>
        </ext>
      </extLst>
    </cfRule>
    <cfRule type="dataBar" priority="158">
      <dataBar>
        <cfvo type="min"/>
        <cfvo type="max"/>
        <color rgb="FF63C384"/>
      </dataBar>
      <extLst>
        <ext xmlns:x14="http://schemas.microsoft.com/office/spreadsheetml/2009/9/main" uri="{B025F937-C7B1-47D3-B67F-A62EFF666E3E}">
          <x14:id>{148962C2-C86A-4E76-B14F-F9D17CCBBB00}</x14:id>
        </ext>
      </extLst>
    </cfRule>
    <cfRule type="dataBar" priority="153">
      <dataBar>
        <cfvo type="min"/>
        <cfvo type="max"/>
        <color rgb="FF63C384"/>
      </dataBar>
      <extLst>
        <ext xmlns:x14="http://schemas.microsoft.com/office/spreadsheetml/2009/9/main" uri="{B025F937-C7B1-47D3-B67F-A62EFF666E3E}">
          <x14:id>{6AEEAD1B-5BB7-4718-86D0-5A902C0F5EA3}</x14:id>
        </ext>
      </extLst>
    </cfRule>
  </conditionalFormatting>
  <conditionalFormatting sqref="G112:H112 G113 H113:H116">
    <cfRule type="dataBar" priority="61">
      <dataBar>
        <cfvo type="min"/>
        <cfvo type="max"/>
        <color rgb="FF63C384"/>
      </dataBar>
      <extLst>
        <ext xmlns:x14="http://schemas.microsoft.com/office/spreadsheetml/2009/9/main" uri="{B025F937-C7B1-47D3-B67F-A62EFF666E3E}">
          <x14:id>{15DD04C7-3F32-41CE-A9F3-7AD556BF2BF0}</x14:id>
        </ext>
      </extLst>
    </cfRule>
    <cfRule type="dataBar" priority="68">
      <dataBar>
        <cfvo type="min"/>
        <cfvo type="max"/>
        <color rgb="FF63C384"/>
      </dataBar>
      <extLst>
        <ext xmlns:x14="http://schemas.microsoft.com/office/spreadsheetml/2009/9/main" uri="{B025F937-C7B1-47D3-B67F-A62EFF666E3E}">
          <x14:id>{481BFD90-A0DC-4952-AAAB-C1D5ACCCD97B}</x14:id>
        </ext>
      </extLst>
    </cfRule>
    <cfRule type="dataBar" priority="62">
      <dataBar>
        <cfvo type="min"/>
        <cfvo type="max"/>
        <color rgb="FF63C384"/>
      </dataBar>
      <extLst>
        <ext xmlns:x14="http://schemas.microsoft.com/office/spreadsheetml/2009/9/main" uri="{B025F937-C7B1-47D3-B67F-A62EFF666E3E}">
          <x14:id>{2083B94D-7A49-4533-B9BC-03B6956DD4F7}</x14:id>
        </ext>
      </extLst>
    </cfRule>
    <cfRule type="dataBar" priority="63">
      <dataBar>
        <cfvo type="min"/>
        <cfvo type="max"/>
        <color rgb="FF63C384"/>
      </dataBar>
      <extLst>
        <ext xmlns:x14="http://schemas.microsoft.com/office/spreadsheetml/2009/9/main" uri="{B025F937-C7B1-47D3-B67F-A62EFF666E3E}">
          <x14:id>{A782CF69-601D-42C6-BB31-36062D976AB0}</x14:id>
        </ext>
      </extLst>
    </cfRule>
    <cfRule type="dataBar" priority="64">
      <dataBar>
        <cfvo type="min"/>
        <cfvo type="max"/>
        <color rgb="FF63C384"/>
      </dataBar>
      <extLst>
        <ext xmlns:x14="http://schemas.microsoft.com/office/spreadsheetml/2009/9/main" uri="{B025F937-C7B1-47D3-B67F-A62EFF666E3E}">
          <x14:id>{D1FAD456-1072-462E-B421-1CDB543C308C}</x14:id>
        </ext>
      </extLst>
    </cfRule>
    <cfRule type="dataBar" priority="65">
      <dataBar>
        <cfvo type="min"/>
        <cfvo type="max"/>
        <color rgb="FF63C384"/>
      </dataBar>
      <extLst>
        <ext xmlns:x14="http://schemas.microsoft.com/office/spreadsheetml/2009/9/main" uri="{B025F937-C7B1-47D3-B67F-A62EFF666E3E}">
          <x14:id>{84672F56-2B16-4E13-938D-B619C804CFE6}</x14:id>
        </ext>
      </extLst>
    </cfRule>
    <cfRule type="dataBar" priority="66">
      <dataBar>
        <cfvo type="min"/>
        <cfvo type="max"/>
        <color rgb="FF63C384"/>
      </dataBar>
      <extLst>
        <ext xmlns:x14="http://schemas.microsoft.com/office/spreadsheetml/2009/9/main" uri="{B025F937-C7B1-47D3-B67F-A62EFF666E3E}">
          <x14:id>{F5CE75E1-ADAF-4E21-8758-232B16E8D105}</x14:id>
        </ext>
      </extLst>
    </cfRule>
    <cfRule type="dataBar" priority="67">
      <dataBar>
        <cfvo type="min"/>
        <cfvo type="max"/>
        <color rgb="FF63C384"/>
      </dataBar>
      <extLst>
        <ext xmlns:x14="http://schemas.microsoft.com/office/spreadsheetml/2009/9/main" uri="{B025F937-C7B1-47D3-B67F-A62EFF666E3E}">
          <x14:id>{DC10D33E-164A-45B3-A447-F2FB69D69264}</x14:id>
        </ext>
      </extLst>
    </cfRule>
  </conditionalFormatting>
  <conditionalFormatting sqref="H81:H85">
    <cfRule type="dataBar" priority="222">
      <dataBar>
        <cfvo type="min"/>
        <cfvo type="max"/>
        <color rgb="FF63C384"/>
      </dataBar>
      <extLst>
        <ext xmlns:x14="http://schemas.microsoft.com/office/spreadsheetml/2009/9/main" uri="{B025F937-C7B1-47D3-B67F-A62EFF666E3E}">
          <x14:id>{CDC270FA-85C1-4B2C-89AF-883ABBA42F59}</x14:id>
        </ext>
      </extLst>
    </cfRule>
  </conditionalFormatting>
  <conditionalFormatting sqref="H90:H95">
    <cfRule type="dataBar" priority="194">
      <dataBar>
        <cfvo type="min"/>
        <cfvo type="max"/>
        <color rgb="FF63C384"/>
      </dataBar>
      <extLst>
        <ext xmlns:x14="http://schemas.microsoft.com/office/spreadsheetml/2009/9/main" uri="{B025F937-C7B1-47D3-B67F-A62EFF666E3E}">
          <x14:id>{9BAC2B94-A4FC-4F5E-B716-EBA653AB87F5}</x14:id>
        </ext>
      </extLst>
    </cfRule>
  </conditionalFormatting>
  <conditionalFormatting sqref="H100:H106">
    <cfRule type="dataBar" priority="149">
      <dataBar>
        <cfvo type="min"/>
        <cfvo type="max"/>
        <color rgb="FF63C384"/>
      </dataBar>
      <extLst>
        <ext xmlns:x14="http://schemas.microsoft.com/office/spreadsheetml/2009/9/main" uri="{B025F937-C7B1-47D3-B67F-A62EFF666E3E}">
          <x14:id>{4F61D360-4E73-42C0-A1DB-856744D1699D}</x14:id>
        </ext>
      </extLst>
    </cfRule>
  </conditionalFormatting>
  <conditionalFormatting sqref="H112:H116">
    <cfRule type="dataBar" priority="59">
      <dataBar>
        <cfvo type="min"/>
        <cfvo type="max"/>
        <color rgb="FF63C384"/>
      </dataBar>
      <extLst>
        <ext xmlns:x14="http://schemas.microsoft.com/office/spreadsheetml/2009/9/main" uri="{B025F937-C7B1-47D3-B67F-A62EFF666E3E}">
          <x14:id>{B2837887-ABDA-4848-AAB5-3A142A080C7E}</x14:id>
        </ext>
      </extLst>
    </cfRule>
  </conditionalFormatting>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F738E2CE-34CF-4628-BF5A-17935D25A5CC}">
            <x14:dataBar minLength="0" maxLength="100" border="1" negativeBarBorderColorSameAsPositive="0">
              <x14:cfvo type="autoMin"/>
              <x14:cfvo type="autoMax"/>
              <x14:borderColor rgb="FF638EC6"/>
              <x14:negativeFillColor rgb="FFFF0000"/>
              <x14:negativeBorderColor rgb="FFFF0000"/>
              <x14:axisColor rgb="FF000000"/>
            </x14:dataBar>
          </x14:cfRule>
          <xm:sqref>B81:B84</xm:sqref>
        </x14:conditionalFormatting>
        <x14:conditionalFormatting xmlns:xm="http://schemas.microsoft.com/office/excel/2006/main">
          <x14:cfRule type="dataBar" id="{F0CB1052-8FC2-4D7B-B784-F36C4A728556}">
            <x14:dataBar minLength="0" maxLength="100" border="1" negativeBarBorderColorSameAsPositive="0">
              <x14:cfvo type="autoMin"/>
              <x14:cfvo type="autoMax"/>
              <x14:borderColor rgb="FF638EC6"/>
              <x14:negativeFillColor rgb="FFFF0000"/>
              <x14:negativeBorderColor rgb="FFFF0000"/>
              <x14:axisColor rgb="FF000000"/>
            </x14:dataBar>
          </x14:cfRule>
          <xm:sqref>B90:B95</xm:sqref>
        </x14:conditionalFormatting>
        <x14:conditionalFormatting xmlns:xm="http://schemas.microsoft.com/office/excel/2006/main">
          <x14:cfRule type="dataBar" id="{096CEC1B-D6CF-4D82-A319-10AA928C5D89}">
            <x14:dataBar minLength="0" maxLength="100" border="1" negativeBarBorderColorSameAsPositive="0">
              <x14:cfvo type="autoMin"/>
              <x14:cfvo type="autoMax"/>
              <x14:borderColor rgb="FF638EC6"/>
              <x14:negativeFillColor rgb="FFFF0000"/>
              <x14:negativeBorderColor rgb="FFFF0000"/>
              <x14:axisColor rgb="FF000000"/>
            </x14:dataBar>
          </x14:cfRule>
          <xm:sqref>B100:B106</xm:sqref>
        </x14:conditionalFormatting>
        <x14:conditionalFormatting xmlns:xm="http://schemas.microsoft.com/office/excel/2006/main">
          <x14:cfRule type="dataBar" id="{D9D854C8-8773-424F-87BA-BD3D96F80889}">
            <x14:dataBar minLength="0" maxLength="100" border="1" negativeBarBorderColorSameAsPositive="0">
              <x14:cfvo type="autoMin"/>
              <x14:cfvo type="autoMax"/>
              <x14:borderColor rgb="FF638EC6"/>
              <x14:negativeFillColor rgb="FFFF0000"/>
              <x14:negativeBorderColor rgb="FFFF0000"/>
              <x14:axisColor rgb="FF000000"/>
            </x14:dataBar>
          </x14:cfRule>
          <xm:sqref>B112:B116</xm:sqref>
        </x14:conditionalFormatting>
        <x14:conditionalFormatting xmlns:xm="http://schemas.microsoft.com/office/excel/2006/main">
          <x14:cfRule type="dataBar" id="{82469EDD-1F60-4E88-84B0-68B633BA2822}">
            <x14:dataBar minLength="0" maxLength="100" gradient="0">
              <x14:cfvo type="autoMin"/>
              <x14:cfvo type="autoMax"/>
              <x14:negativeFillColor rgb="FFFF0000"/>
              <x14:axisColor rgb="FF000000"/>
            </x14:dataBar>
          </x14:cfRule>
          <xm:sqref>D81:D84</xm:sqref>
        </x14:conditionalFormatting>
        <x14:conditionalFormatting xmlns:xm="http://schemas.microsoft.com/office/excel/2006/main">
          <x14:cfRule type="dataBar" id="{8B9C95F6-D93A-4B4A-B8E1-60EF33380704}">
            <x14:dataBar minLength="0" maxLength="100" gradient="0">
              <x14:cfvo type="autoMin"/>
              <x14:cfvo type="autoMax"/>
              <x14:negativeFillColor rgb="FFFF0000"/>
              <x14:axisColor rgb="FF000000"/>
            </x14:dataBar>
          </x14:cfRule>
          <xm:sqref>D90:D91</xm:sqref>
        </x14:conditionalFormatting>
        <x14:conditionalFormatting xmlns:xm="http://schemas.microsoft.com/office/excel/2006/main">
          <x14:cfRule type="dataBar" id="{6FD2EF97-D5D3-43B4-93C5-F15395439FF4}">
            <x14:dataBar minLength="0" maxLength="100" gradient="0">
              <x14:cfvo type="autoMin"/>
              <x14:cfvo type="autoMax"/>
              <x14:negativeFillColor rgb="FFFF0000"/>
              <x14:axisColor rgb="FF000000"/>
            </x14:dataBar>
          </x14:cfRule>
          <xm:sqref>D92</xm:sqref>
        </x14:conditionalFormatting>
        <x14:conditionalFormatting xmlns:xm="http://schemas.microsoft.com/office/excel/2006/main">
          <x14:cfRule type="dataBar" id="{43DE2590-AD6E-4EBD-B51F-DF29BEAD81D4}">
            <x14:dataBar minLength="0" maxLength="100" gradient="0">
              <x14:cfvo type="autoMin"/>
              <x14:cfvo type="autoMax"/>
              <x14:negativeFillColor rgb="FFFF0000"/>
              <x14:axisColor rgb="FF000000"/>
            </x14:dataBar>
          </x14:cfRule>
          <xm:sqref>D93:D94</xm:sqref>
        </x14:conditionalFormatting>
        <x14:conditionalFormatting xmlns:xm="http://schemas.microsoft.com/office/excel/2006/main">
          <x14:cfRule type="dataBar" id="{E3BD5889-97B2-4E15-B72F-0E4D490D31D3}">
            <x14:dataBar minLength="0" maxLength="100" gradient="0">
              <x14:cfvo type="autoMin"/>
              <x14:cfvo type="autoMax"/>
              <x14:negativeFillColor rgb="FFFF0000"/>
              <x14:axisColor rgb="FF000000"/>
            </x14:dataBar>
          </x14:cfRule>
          <x14:cfRule type="dataBar" id="{1D6861CA-67B4-4AA0-8612-5152DEC7E37B}">
            <x14:dataBar minLength="0" maxLength="100" gradient="0">
              <x14:cfvo type="autoMin"/>
              <x14:cfvo type="autoMax"/>
              <x14:negativeFillColor rgb="FFFF0000"/>
              <x14:axisColor rgb="FF000000"/>
            </x14:dataBar>
          </x14:cfRule>
          <xm:sqref>D100</xm:sqref>
        </x14:conditionalFormatting>
        <x14:conditionalFormatting xmlns:xm="http://schemas.microsoft.com/office/excel/2006/main">
          <x14:cfRule type="dataBar" id="{5A3B5C8B-7E49-47F9-A4FD-3B6C8F9B8D7B}">
            <x14:dataBar minLength="0" maxLength="100" gradient="0">
              <x14:cfvo type="autoMin"/>
              <x14:cfvo type="autoMax"/>
              <x14:negativeFillColor rgb="FFFF0000"/>
              <x14:axisColor rgb="FF000000"/>
            </x14:dataBar>
          </x14:cfRule>
          <xm:sqref>D101</xm:sqref>
        </x14:conditionalFormatting>
        <x14:conditionalFormatting xmlns:xm="http://schemas.microsoft.com/office/excel/2006/main">
          <x14:cfRule type="dataBar" id="{63D18635-A1BB-42F1-A97E-F17115B036DA}">
            <x14:dataBar minLength="0" maxLength="100" gradient="0">
              <x14:cfvo type="autoMin"/>
              <x14:cfvo type="autoMax"/>
              <x14:negativeFillColor rgb="FFFF0000"/>
              <x14:axisColor rgb="FF000000"/>
            </x14:dataBar>
          </x14:cfRule>
          <xm:sqref>D102</xm:sqref>
        </x14:conditionalFormatting>
        <x14:conditionalFormatting xmlns:xm="http://schemas.microsoft.com/office/excel/2006/main">
          <x14:cfRule type="dataBar" id="{3B0FDC50-6784-4427-8EB9-2EB1AAB59E31}">
            <x14:dataBar minLength="0" maxLength="100" gradient="0">
              <x14:cfvo type="autoMin"/>
              <x14:cfvo type="autoMax"/>
              <x14:negativeFillColor rgb="FFFF0000"/>
              <x14:axisColor rgb="FF000000"/>
            </x14:dataBar>
          </x14:cfRule>
          <xm:sqref>D103</xm:sqref>
        </x14:conditionalFormatting>
        <x14:conditionalFormatting xmlns:xm="http://schemas.microsoft.com/office/excel/2006/main">
          <x14:cfRule type="dataBar" id="{03462721-CBE7-456C-A13F-64F23234BB3C}">
            <x14:dataBar minLength="0" maxLength="100" gradient="0">
              <x14:cfvo type="autoMin"/>
              <x14:cfvo type="autoMax"/>
              <x14:negativeFillColor rgb="FFFF0000"/>
              <x14:axisColor rgb="FF000000"/>
            </x14:dataBar>
          </x14:cfRule>
          <xm:sqref>D104</xm:sqref>
        </x14:conditionalFormatting>
        <x14:conditionalFormatting xmlns:xm="http://schemas.microsoft.com/office/excel/2006/main">
          <x14:cfRule type="dataBar" id="{AA6D20E5-E641-45A5-A339-6BB2515CB4CE}">
            <x14:dataBar minLength="0" maxLength="100" gradient="0">
              <x14:cfvo type="autoMin"/>
              <x14:cfvo type="autoMax"/>
              <x14:negativeFillColor rgb="FFFF0000"/>
              <x14:axisColor rgb="FF000000"/>
            </x14:dataBar>
          </x14:cfRule>
          <xm:sqref>D105</xm:sqref>
        </x14:conditionalFormatting>
        <x14:conditionalFormatting xmlns:xm="http://schemas.microsoft.com/office/excel/2006/main">
          <x14:cfRule type="dataBar" id="{7A717535-EB74-4933-B595-9324627B7975}">
            <x14:dataBar minLength="0" maxLength="100" gradient="0">
              <x14:cfvo type="autoMin"/>
              <x14:cfvo type="autoMax"/>
              <x14:negativeFillColor rgb="FFFF0000"/>
              <x14:axisColor rgb="FF000000"/>
            </x14:dataBar>
          </x14:cfRule>
          <x14:cfRule type="dataBar" id="{3B482494-BA6D-4392-8139-1DB7A205B580}">
            <x14:dataBar minLength="0" maxLength="100" gradient="0">
              <x14:cfvo type="autoMin"/>
              <x14:cfvo type="autoMax"/>
              <x14:negativeFillColor rgb="FFFF0000"/>
              <x14:axisColor rgb="FF000000"/>
            </x14:dataBar>
          </x14:cfRule>
          <xm:sqref>D112</xm:sqref>
        </x14:conditionalFormatting>
        <x14:conditionalFormatting xmlns:xm="http://schemas.microsoft.com/office/excel/2006/main">
          <x14:cfRule type="dataBar" id="{FE4F5D4B-0514-4114-8C55-C71CFAE33777}">
            <x14:dataBar minLength="0" maxLength="100" gradient="0">
              <x14:cfvo type="autoMin"/>
              <x14:cfvo type="autoMax"/>
              <x14:negativeFillColor rgb="FFFF0000"/>
              <x14:axisColor rgb="FF000000"/>
            </x14:dataBar>
          </x14:cfRule>
          <xm:sqref>D113</xm:sqref>
        </x14:conditionalFormatting>
        <x14:conditionalFormatting xmlns:xm="http://schemas.microsoft.com/office/excel/2006/main">
          <x14:cfRule type="dataBar" id="{457FF652-BF42-4F12-8358-A1970D2D486C}">
            <x14:dataBar minLength="0" maxLength="100" gradient="0">
              <x14:cfvo type="autoMin"/>
              <x14:cfvo type="autoMax"/>
              <x14:negativeFillColor rgb="FFFF0000"/>
              <x14:axisColor rgb="FF000000"/>
            </x14:dataBar>
          </x14:cfRule>
          <xm:sqref>D114</xm:sqref>
        </x14:conditionalFormatting>
        <x14:conditionalFormatting xmlns:xm="http://schemas.microsoft.com/office/excel/2006/main">
          <x14:cfRule type="dataBar" id="{0EE9515C-CB5F-4866-9482-58A19C936CCA}">
            <x14:dataBar minLength="0" maxLength="100" gradient="0">
              <x14:cfvo type="autoMin"/>
              <x14:cfvo type="autoMax"/>
              <x14:negativeFillColor rgb="FFFF0000"/>
              <x14:axisColor rgb="FF000000"/>
            </x14:dataBar>
          </x14:cfRule>
          <xm:sqref>D115</xm:sqref>
        </x14:conditionalFormatting>
        <x14:conditionalFormatting xmlns:xm="http://schemas.microsoft.com/office/excel/2006/main">
          <x14:cfRule type="dataBar" id="{830D846F-420E-4415-B9CC-89FC266D361C}">
            <x14:dataBar minLength="0" maxLength="100" gradient="0">
              <x14:cfvo type="autoMin"/>
              <x14:cfvo type="autoMax"/>
              <x14:negativeFillColor rgb="FFFF0000"/>
              <x14:axisColor rgb="FF000000"/>
            </x14:dataBar>
          </x14:cfRule>
          <xm:sqref>D81:E84</xm:sqref>
        </x14:conditionalFormatting>
        <x14:conditionalFormatting xmlns:xm="http://schemas.microsoft.com/office/excel/2006/main">
          <x14:cfRule type="dataBar" id="{7BDB4067-BEB5-49A6-9F31-C0A0438F142C}">
            <x14:dataBar minLength="0" maxLength="100" gradient="0">
              <x14:cfvo type="autoMin"/>
              <x14:cfvo type="autoMax"/>
              <x14:negativeFillColor rgb="FFFF0000"/>
              <x14:axisColor rgb="FF000000"/>
            </x14:dataBar>
          </x14:cfRule>
          <xm:sqref>D90:E91</xm:sqref>
        </x14:conditionalFormatting>
        <x14:conditionalFormatting xmlns:xm="http://schemas.microsoft.com/office/excel/2006/main">
          <x14:cfRule type="dataBar" id="{39D8E743-FBBB-49AB-ACD8-9FBF3549F3ED}">
            <x14:dataBar minLength="0" maxLength="100" gradient="0">
              <x14:cfvo type="autoMin"/>
              <x14:cfvo type="autoMax"/>
              <x14:negativeFillColor rgb="FFFF0000"/>
              <x14:axisColor rgb="FF000000"/>
            </x14:dataBar>
          </x14:cfRule>
          <xm:sqref>D93:E94</xm:sqref>
        </x14:conditionalFormatting>
        <x14:conditionalFormatting xmlns:xm="http://schemas.microsoft.com/office/excel/2006/main">
          <x14:cfRule type="dataBar" id="{CD1BDD23-2505-423C-AD5C-24786B03F6EF}">
            <x14:dataBar minLength="0" maxLength="100" gradient="0">
              <x14:cfvo type="autoMin"/>
              <x14:cfvo type="autoMax"/>
              <x14:negativeFillColor rgb="FFFF0000"/>
              <x14:axisColor rgb="FF000000"/>
            </x14:dataBar>
          </x14:cfRule>
          <xm:sqref>D92:F92</xm:sqref>
        </x14:conditionalFormatting>
        <x14:conditionalFormatting xmlns:xm="http://schemas.microsoft.com/office/excel/2006/main">
          <x14:cfRule type="dataBar" id="{9B3C178A-39DD-4332-9702-C153970E15C6}">
            <x14:dataBar minLength="0" maxLength="100" gradient="0">
              <x14:cfvo type="autoMin"/>
              <x14:cfvo type="autoMax"/>
              <x14:negativeFillColor rgb="FFFF0000"/>
              <x14:axisColor rgb="FF000000"/>
            </x14:dataBar>
          </x14:cfRule>
          <xm:sqref>D102:F102</xm:sqref>
        </x14:conditionalFormatting>
        <x14:conditionalFormatting xmlns:xm="http://schemas.microsoft.com/office/excel/2006/main">
          <x14:cfRule type="dataBar" id="{F8B00921-5220-4F96-AFAB-0622FB80B20E}">
            <x14:dataBar minLength="0" maxLength="100" gradient="0">
              <x14:cfvo type="autoMin"/>
              <x14:cfvo type="autoMax"/>
              <x14:negativeFillColor rgb="FFFF0000"/>
              <x14:axisColor rgb="FF000000"/>
            </x14:dataBar>
          </x14:cfRule>
          <xm:sqref>D103:F103</xm:sqref>
        </x14:conditionalFormatting>
        <x14:conditionalFormatting xmlns:xm="http://schemas.microsoft.com/office/excel/2006/main">
          <x14:cfRule type="dataBar" id="{1EDD0D4A-920B-4803-978F-84607FFD3FD0}">
            <x14:dataBar minLength="0" maxLength="100" gradient="0">
              <x14:cfvo type="autoMin"/>
              <x14:cfvo type="autoMax"/>
              <x14:negativeFillColor rgb="FFFF0000"/>
              <x14:axisColor rgb="FF000000"/>
            </x14:dataBar>
          </x14:cfRule>
          <xm:sqref>D104:F104</xm:sqref>
        </x14:conditionalFormatting>
        <x14:conditionalFormatting xmlns:xm="http://schemas.microsoft.com/office/excel/2006/main">
          <x14:cfRule type="dataBar" id="{666A0C66-B971-4C5A-AA80-17C50B0D30C1}">
            <x14:dataBar minLength="0" maxLength="100" gradient="0">
              <x14:cfvo type="autoMin"/>
              <x14:cfvo type="autoMax"/>
              <x14:negativeFillColor rgb="FFFF0000"/>
              <x14:axisColor rgb="FF000000"/>
            </x14:dataBar>
          </x14:cfRule>
          <xm:sqref>D105:F105</xm:sqref>
        </x14:conditionalFormatting>
        <x14:conditionalFormatting xmlns:xm="http://schemas.microsoft.com/office/excel/2006/main">
          <x14:cfRule type="dataBar" id="{841BA96D-1F63-4200-B286-DB72820F0D81}">
            <x14:dataBar minLength="0" maxLength="100" gradient="0">
              <x14:cfvo type="autoMin"/>
              <x14:cfvo type="autoMax"/>
              <x14:negativeFillColor rgb="FFFF0000"/>
              <x14:axisColor rgb="FF000000"/>
            </x14:dataBar>
          </x14:cfRule>
          <xm:sqref>D114:F114</xm:sqref>
        </x14:conditionalFormatting>
        <x14:conditionalFormatting xmlns:xm="http://schemas.microsoft.com/office/excel/2006/main">
          <x14:cfRule type="dataBar" id="{78273C45-BCAC-4B57-B5BC-616A5A20CDDC}">
            <x14:dataBar minLength="0" maxLength="100" gradient="0">
              <x14:cfvo type="autoMin"/>
              <x14:cfvo type="autoMax"/>
              <x14:negativeFillColor rgb="FFFF0000"/>
              <x14:axisColor rgb="FF000000"/>
            </x14:dataBar>
          </x14:cfRule>
          <xm:sqref>D115:F115</xm:sqref>
        </x14:conditionalFormatting>
        <x14:conditionalFormatting xmlns:xm="http://schemas.microsoft.com/office/excel/2006/main">
          <x14:cfRule type="dataBar" id="{58CC5DD3-5D88-4A56-9324-674A9E520FC9}">
            <x14:dataBar minLength="0" maxLength="100" gradient="0">
              <x14:cfvo type="autoMin"/>
              <x14:cfvo type="autoMax"/>
              <x14:negativeFillColor rgb="FFFF0000"/>
              <x14:axisColor rgb="FF000000"/>
            </x14:dataBar>
          </x14:cfRule>
          <xm:sqref>E81:E84</xm:sqref>
        </x14:conditionalFormatting>
        <x14:conditionalFormatting xmlns:xm="http://schemas.microsoft.com/office/excel/2006/main">
          <x14:cfRule type="dataBar" id="{A175A7DB-D77D-4870-AFE0-D6E8C1BDDC0A}">
            <x14:dataBar minLength="0" maxLength="100" gradient="0">
              <x14:cfvo type="autoMin"/>
              <x14:cfvo type="autoMax"/>
              <x14:negativeFillColor rgb="FFFF0000"/>
              <x14:axisColor rgb="FF000000"/>
            </x14:dataBar>
          </x14:cfRule>
          <xm:sqref>E90:E91</xm:sqref>
        </x14:conditionalFormatting>
        <x14:conditionalFormatting xmlns:xm="http://schemas.microsoft.com/office/excel/2006/main">
          <x14:cfRule type="dataBar" id="{194C446B-67D2-4D84-BAAF-41645E0C07F2}">
            <x14:dataBar minLength="0" maxLength="100" gradient="0">
              <x14:cfvo type="autoMin"/>
              <x14:cfvo type="autoMax"/>
              <x14:negativeFillColor rgb="FFFF0000"/>
              <x14:axisColor rgb="FF000000"/>
            </x14:dataBar>
          </x14:cfRule>
          <xm:sqref>E93:E94</xm:sqref>
        </x14:conditionalFormatting>
        <x14:conditionalFormatting xmlns:xm="http://schemas.microsoft.com/office/excel/2006/main">
          <x14:cfRule type="dataBar" id="{A51ED08C-1BC4-40B4-ADC1-0BA05422EB89}">
            <x14:dataBar minLength="0" maxLength="100" gradient="0">
              <x14:cfvo type="autoMin"/>
              <x14:cfvo type="autoMax"/>
              <x14:negativeFillColor rgb="FFFF0000"/>
              <x14:axisColor rgb="FF000000"/>
            </x14:dataBar>
          </x14:cfRule>
          <xm:sqref>E101:E102</xm:sqref>
        </x14:conditionalFormatting>
        <x14:conditionalFormatting xmlns:xm="http://schemas.microsoft.com/office/excel/2006/main">
          <x14:cfRule type="dataBar" id="{C8B5653A-B960-44DD-9B10-2DAEBF1D6C7A}">
            <x14:dataBar minLength="0" maxLength="100" gradient="0">
              <x14:cfvo type="autoMin"/>
              <x14:cfvo type="autoMax"/>
              <x14:negativeFillColor rgb="FFFF0000"/>
              <x14:axisColor rgb="FF000000"/>
            </x14:dataBar>
          </x14:cfRule>
          <xm:sqref>E113:E114</xm:sqref>
        </x14:conditionalFormatting>
        <x14:conditionalFormatting xmlns:xm="http://schemas.microsoft.com/office/excel/2006/main">
          <x14:cfRule type="dataBar" id="{D06C3B0A-210C-4924-9704-B0BB0014E4D2}">
            <x14:dataBar minLength="0" maxLength="100" gradient="0">
              <x14:cfvo type="autoMin"/>
              <x14:cfvo type="autoMax"/>
              <x14:negativeFillColor rgb="FFFF0000"/>
              <x14:axisColor rgb="FF000000"/>
            </x14:dataBar>
          </x14:cfRule>
          <xm:sqref>E92:F92</xm:sqref>
        </x14:conditionalFormatting>
        <x14:conditionalFormatting xmlns:xm="http://schemas.microsoft.com/office/excel/2006/main">
          <x14:cfRule type="dataBar" id="{5A2E6B5E-EC65-443D-8AB8-DDA666F33755}">
            <x14:dataBar minLength="0" maxLength="100" gradient="0">
              <x14:cfvo type="autoMin"/>
              <x14:cfvo type="autoMax"/>
              <x14:negativeFillColor rgb="FFFF0000"/>
              <x14:axisColor rgb="FF000000"/>
            </x14:dataBar>
          </x14:cfRule>
          <xm:sqref>E100:F100 D101</xm:sqref>
        </x14:conditionalFormatting>
        <x14:conditionalFormatting xmlns:xm="http://schemas.microsoft.com/office/excel/2006/main">
          <x14:cfRule type="dataBar" id="{2AA7B6E0-59AA-4BE3-97CB-6ADCED7DAFAF}">
            <x14:dataBar minLength="0" maxLength="100" gradient="0">
              <x14:cfvo type="autoMin"/>
              <x14:cfvo type="autoMax"/>
              <x14:negativeFillColor rgb="FFFF0000"/>
              <x14:axisColor rgb="FF000000"/>
            </x14:dataBar>
          </x14:cfRule>
          <xm:sqref>E100:F100</xm:sqref>
        </x14:conditionalFormatting>
        <x14:conditionalFormatting xmlns:xm="http://schemas.microsoft.com/office/excel/2006/main">
          <x14:cfRule type="dataBar" id="{A90168B3-C159-4DB4-8923-29268EB6EB97}">
            <x14:dataBar minLength="0" maxLength="100" gradient="0">
              <x14:cfvo type="autoMin"/>
              <x14:cfvo type="autoMax"/>
              <x14:negativeFillColor rgb="FFFF0000"/>
              <x14:axisColor rgb="FF000000"/>
            </x14:dataBar>
          </x14:cfRule>
          <xm:sqref>E101:F101</xm:sqref>
        </x14:conditionalFormatting>
        <x14:conditionalFormatting xmlns:xm="http://schemas.microsoft.com/office/excel/2006/main">
          <x14:cfRule type="dataBar" id="{CCC61DB5-55E2-4796-BDEC-82C56DBA5ED1}">
            <x14:dataBar minLength="0" maxLength="100" gradient="0">
              <x14:cfvo type="autoMin"/>
              <x14:cfvo type="autoMax"/>
              <x14:negativeFillColor rgb="FFFF0000"/>
              <x14:axisColor rgb="FF000000"/>
            </x14:dataBar>
          </x14:cfRule>
          <xm:sqref>E103:F103</xm:sqref>
        </x14:conditionalFormatting>
        <x14:conditionalFormatting xmlns:xm="http://schemas.microsoft.com/office/excel/2006/main">
          <x14:cfRule type="dataBar" id="{138B0A6C-DDF2-48AD-BF18-D1F3EFED50D0}">
            <x14:dataBar minLength="0" maxLength="100" gradient="0">
              <x14:cfvo type="autoMin"/>
              <x14:cfvo type="autoMax"/>
              <x14:negativeFillColor rgb="FFFF0000"/>
              <x14:axisColor rgb="FF000000"/>
            </x14:dataBar>
          </x14:cfRule>
          <xm:sqref>E104:F104</xm:sqref>
        </x14:conditionalFormatting>
        <x14:conditionalFormatting xmlns:xm="http://schemas.microsoft.com/office/excel/2006/main">
          <x14:cfRule type="dataBar" id="{4BEF34BB-724A-46FA-8824-1448A6296373}">
            <x14:dataBar minLength="0" maxLength="100" gradient="0">
              <x14:cfvo type="autoMin"/>
              <x14:cfvo type="autoMax"/>
              <x14:negativeFillColor rgb="FFFF0000"/>
              <x14:axisColor rgb="FF000000"/>
            </x14:dataBar>
          </x14:cfRule>
          <xm:sqref>E105:F105</xm:sqref>
        </x14:conditionalFormatting>
        <x14:conditionalFormatting xmlns:xm="http://schemas.microsoft.com/office/excel/2006/main">
          <x14:cfRule type="dataBar" id="{7978AE6C-D539-449F-99FD-1DB05740B79A}">
            <x14:dataBar minLength="0" maxLength="100" gradient="0">
              <x14:cfvo type="autoMin"/>
              <x14:cfvo type="autoMax"/>
              <x14:negativeFillColor rgb="FFFF0000"/>
              <x14:axisColor rgb="FF000000"/>
            </x14:dataBar>
          </x14:cfRule>
          <xm:sqref>E112:F112 D113</xm:sqref>
        </x14:conditionalFormatting>
        <x14:conditionalFormatting xmlns:xm="http://schemas.microsoft.com/office/excel/2006/main">
          <x14:cfRule type="dataBar" id="{EAC40EA6-D7C0-4B18-B06C-4DB9E099F25D}">
            <x14:dataBar minLength="0" maxLength="100" gradient="0">
              <x14:cfvo type="autoMin"/>
              <x14:cfvo type="autoMax"/>
              <x14:negativeFillColor rgb="FFFF0000"/>
              <x14:axisColor rgb="FF000000"/>
            </x14:dataBar>
          </x14:cfRule>
          <xm:sqref>E112:F112</xm:sqref>
        </x14:conditionalFormatting>
        <x14:conditionalFormatting xmlns:xm="http://schemas.microsoft.com/office/excel/2006/main">
          <x14:cfRule type="dataBar" id="{056748BD-13D2-49DA-8DEA-2D8A42BB77DA}">
            <x14:dataBar minLength="0" maxLength="100" gradient="0">
              <x14:cfvo type="autoMin"/>
              <x14:cfvo type="autoMax"/>
              <x14:negativeFillColor rgb="FFFF0000"/>
              <x14:axisColor rgb="FF000000"/>
            </x14:dataBar>
          </x14:cfRule>
          <xm:sqref>E113:F113</xm:sqref>
        </x14:conditionalFormatting>
        <x14:conditionalFormatting xmlns:xm="http://schemas.microsoft.com/office/excel/2006/main">
          <x14:cfRule type="dataBar" id="{6FFC3F2C-143C-442C-95FF-0313B4EC4A85}">
            <x14:dataBar minLength="0" maxLength="100" gradient="0">
              <x14:cfvo type="autoMin"/>
              <x14:cfvo type="autoMax"/>
              <x14:negativeFillColor rgb="FFFF0000"/>
              <x14:axisColor rgb="FF000000"/>
            </x14:dataBar>
          </x14:cfRule>
          <xm:sqref>E115:F115</xm:sqref>
        </x14:conditionalFormatting>
        <x14:conditionalFormatting xmlns:xm="http://schemas.microsoft.com/office/excel/2006/main">
          <x14:cfRule type="dataBar" id="{8ACFF1E8-FA60-4EA6-A1D5-E0CAD4704C58}">
            <x14:dataBar minLength="0" maxLength="100" gradient="0">
              <x14:cfvo type="autoMin"/>
              <x14:cfvo type="autoMax"/>
              <x14:negativeFillColor rgb="FFFF0000"/>
              <x14:axisColor rgb="FF000000"/>
            </x14:dataBar>
          </x14:cfRule>
          <x14:cfRule type="dataBar" id="{520EE6E6-74C9-471D-9EBF-F589F8FAE1F7}">
            <x14:dataBar minLength="0" maxLength="100" gradient="0">
              <x14:cfvo type="autoMin"/>
              <x14:cfvo type="autoMax"/>
              <x14:negativeFillColor rgb="FFFF0000"/>
              <x14:axisColor rgb="FF000000"/>
            </x14:dataBar>
          </x14:cfRule>
          <xm:sqref>F81:F84</xm:sqref>
        </x14:conditionalFormatting>
        <x14:conditionalFormatting xmlns:xm="http://schemas.microsoft.com/office/excel/2006/main">
          <x14:cfRule type="dataBar" id="{EA0F8CAE-38BA-40CF-AD43-3105F98D9DDE}">
            <x14:dataBar minLength="0" maxLength="100" gradient="0">
              <x14:cfvo type="autoMin"/>
              <x14:cfvo type="autoMax"/>
              <x14:negativeFillColor rgb="FFFF0000"/>
              <x14:axisColor rgb="FF000000"/>
            </x14:dataBar>
          </x14:cfRule>
          <x14:cfRule type="dataBar" id="{6E467127-73D8-419A-8504-66BC0E5E027F}">
            <x14:dataBar minLength="0" maxLength="100" gradient="0">
              <x14:cfvo type="autoMin"/>
              <x14:cfvo type="autoMax"/>
              <x14:negativeFillColor rgb="FFFF0000"/>
              <x14:axisColor rgb="FF000000"/>
            </x14:dataBar>
          </x14:cfRule>
          <xm:sqref>F90:F91</xm:sqref>
        </x14:conditionalFormatting>
        <x14:conditionalFormatting xmlns:xm="http://schemas.microsoft.com/office/excel/2006/main">
          <x14:cfRule type="dataBar" id="{5A2024B8-61F9-414A-A53B-7628ABC24A93}">
            <x14:dataBar minLength="0" maxLength="100" gradient="0">
              <x14:cfvo type="autoMin"/>
              <x14:cfvo type="autoMax"/>
              <x14:negativeFillColor rgb="FFFF0000"/>
              <x14:axisColor rgb="FF000000"/>
            </x14:dataBar>
          </x14:cfRule>
          <x14:cfRule type="dataBar" id="{C25280E3-DB16-4A02-8E44-9B271BA4C0CC}">
            <x14:dataBar minLength="0" maxLength="100" gradient="0">
              <x14:cfvo type="autoMin"/>
              <x14:cfvo type="autoMax"/>
              <x14:negativeFillColor rgb="FFFF0000"/>
              <x14:axisColor rgb="FF000000"/>
            </x14:dataBar>
          </x14:cfRule>
          <xm:sqref>F93:F94</xm:sqref>
        </x14:conditionalFormatting>
        <x14:conditionalFormatting xmlns:xm="http://schemas.microsoft.com/office/excel/2006/main">
          <x14:cfRule type="dataBar" id="{58D4396E-03C5-41E2-AB04-E1F6690C7646}">
            <x14:dataBar minLength="0" maxLength="100" gradient="0">
              <x14:cfvo type="autoMin"/>
              <x14:cfvo type="autoMax"/>
              <x14:negativeFillColor rgb="FFFF0000"/>
              <x14:axisColor rgb="FF000000"/>
            </x14:dataBar>
          </x14:cfRule>
          <xm:sqref>F101:F102</xm:sqref>
        </x14:conditionalFormatting>
        <x14:conditionalFormatting xmlns:xm="http://schemas.microsoft.com/office/excel/2006/main">
          <x14:cfRule type="dataBar" id="{63639A40-08D2-484C-BA19-0AB40D483712}">
            <x14:dataBar minLength="0" maxLength="100" gradient="0">
              <x14:cfvo type="autoMin"/>
              <x14:cfvo type="autoMax"/>
              <x14:negativeFillColor rgb="FFFF0000"/>
              <x14:axisColor rgb="FF000000"/>
            </x14:dataBar>
          </x14:cfRule>
          <xm:sqref>F113:F114</xm:sqref>
        </x14:conditionalFormatting>
        <x14:conditionalFormatting xmlns:xm="http://schemas.microsoft.com/office/excel/2006/main">
          <x14:cfRule type="dataBar" id="{520C007E-6A15-4D20-9DC0-F7B96C04FB8A}">
            <x14:dataBar minLength="0" maxLength="100" gradient="0">
              <x14:cfvo type="autoMin"/>
              <x14:cfvo type="autoMax"/>
              <x14:negativeFillColor rgb="FFFF0000"/>
              <x14:axisColor rgb="FF000000"/>
            </x14:dataBar>
          </x14:cfRule>
          <xm:sqref>G81:G84</xm:sqref>
        </x14:conditionalFormatting>
        <x14:conditionalFormatting xmlns:xm="http://schemas.microsoft.com/office/excel/2006/main">
          <x14:cfRule type="dataBar" id="{796089BF-6769-47C3-8351-B3C20874B574}">
            <x14:dataBar minLength="0" maxLength="100" gradient="0">
              <x14:cfvo type="autoMin"/>
              <x14:cfvo type="autoMax"/>
              <x14:negativeFillColor rgb="FFFF0000"/>
              <x14:axisColor rgb="FF000000"/>
            </x14:dataBar>
          </x14:cfRule>
          <xm:sqref>G90:G91</xm:sqref>
        </x14:conditionalFormatting>
        <x14:conditionalFormatting xmlns:xm="http://schemas.microsoft.com/office/excel/2006/main">
          <x14:cfRule type="dataBar" id="{653DDD96-B083-40F2-A4B2-80C04349D723}">
            <x14:dataBar minLength="0" maxLength="100" gradient="0">
              <x14:cfvo type="autoMin"/>
              <x14:cfvo type="autoMax"/>
              <x14:negativeFillColor rgb="FFFF0000"/>
              <x14:axisColor rgb="FF000000"/>
            </x14:dataBar>
          </x14:cfRule>
          <x14:cfRule type="dataBar" id="{F6AF1BCB-0D49-493B-93EE-E08B8B9A5F36}">
            <x14:dataBar minLength="0" maxLength="100" gradient="0">
              <x14:cfvo type="autoMin"/>
              <x14:cfvo type="autoMax"/>
              <x14:negativeFillColor rgb="FFFF0000"/>
              <x14:axisColor rgb="FF000000"/>
            </x14:dataBar>
          </x14:cfRule>
          <x14:cfRule type="dataBar" id="{6E8FB947-A5FE-4B38-9725-E94ACE07047A}">
            <x14:dataBar minLength="0" maxLength="100" gradient="0">
              <x14:cfvo type="autoMin"/>
              <x14:cfvo type="autoMax"/>
              <x14:negativeFillColor rgb="FFFF0000"/>
              <x14:axisColor rgb="FF000000"/>
            </x14:dataBar>
          </x14:cfRule>
          <x14:cfRule type="dataBar" id="{739E810F-49DD-4792-807E-A0BD860FE57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8678895-E5E5-409D-812D-0D96DD4BABBA}">
            <x14:dataBar minLength="0" maxLength="100" gradient="0">
              <x14:cfvo type="autoMin"/>
              <x14:cfvo type="autoMax"/>
              <x14:negativeFillColor rgb="FFFF0000"/>
              <x14:axisColor rgb="FF000000"/>
            </x14:dataBar>
          </x14:cfRule>
          <x14:cfRule type="dataBar" id="{73BFBFF9-CBD0-457C-8C44-E1E2DDFC0CC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E8967B-DA08-4E43-8AE3-FF5B1C6EE87C}">
            <x14:dataBar minLength="0" maxLength="100" gradient="0">
              <x14:cfvo type="autoMin"/>
              <x14:cfvo type="autoMax"/>
              <x14:negativeFillColor rgb="FFFF0000"/>
              <x14:axisColor rgb="FF000000"/>
            </x14:dataBar>
          </x14:cfRule>
          <x14:cfRule type="dataBar" id="{8EDD8548-2E57-4F4E-BE8F-C67DFB823669}">
            <x14:dataBar minLength="0" maxLength="100" gradient="0">
              <x14:cfvo type="autoMin"/>
              <x14:cfvo type="autoMax"/>
              <x14:negativeFillColor rgb="FFFF0000"/>
              <x14:axisColor rgb="FF000000"/>
            </x14:dataBar>
          </x14:cfRule>
          <x14:cfRule type="dataBar" id="{A7D049B2-1770-4E2E-8AF9-7BA601140A7A}">
            <x14:dataBar minLength="0" maxLength="100" gradient="0">
              <x14:cfvo type="autoMin"/>
              <x14:cfvo type="autoMax"/>
              <x14:negativeFillColor rgb="FFFF0000"/>
              <x14:axisColor rgb="FF000000"/>
            </x14:dataBar>
          </x14:cfRule>
          <xm:sqref>G92</xm:sqref>
        </x14:conditionalFormatting>
        <x14:conditionalFormatting xmlns:xm="http://schemas.microsoft.com/office/excel/2006/main">
          <x14:cfRule type="dataBar" id="{6BF358DD-188C-42E4-97D1-C948960C954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11900F5-99EE-4147-915C-BB2BBA40B757}">
            <x14:dataBar minLength="0" maxLength="100" gradient="0">
              <x14:cfvo type="autoMin"/>
              <x14:cfvo type="autoMax"/>
              <x14:negativeFillColor rgb="FFFF0000"/>
              <x14:axisColor rgb="FF000000"/>
            </x14:dataBar>
          </x14:cfRule>
          <x14:cfRule type="dataBar" id="{A62F58F4-2DFA-4139-ABEC-618B9BA257B7}">
            <x14:dataBar minLength="0" maxLength="100" gradient="0">
              <x14:cfvo type="autoMin"/>
              <x14:cfvo type="autoMax"/>
              <x14:negativeFillColor rgb="FFFF0000"/>
              <x14:axisColor rgb="FF000000"/>
            </x14:dataBar>
          </x14:cfRule>
          <x14:cfRule type="dataBar" id="{72901314-084C-4C6C-BAA2-71E688D3E828}">
            <x14:dataBar minLength="0" maxLength="100" gradient="0">
              <x14:cfvo type="autoMin"/>
              <x14:cfvo type="autoMax"/>
              <x14:negativeFillColor rgb="FFFF0000"/>
              <x14:axisColor rgb="FF000000"/>
            </x14:dataBar>
          </x14:cfRule>
          <x14:cfRule type="dataBar" id="{EEC42996-9CF4-444C-B926-519C5014F96B}">
            <x14:dataBar minLength="0" maxLength="100" gradient="0">
              <x14:cfvo type="autoMin"/>
              <x14:cfvo type="autoMax"/>
              <x14:negativeFillColor rgb="FFFF0000"/>
              <x14:axisColor rgb="FF000000"/>
            </x14:dataBar>
          </x14:cfRule>
          <x14:cfRule type="dataBar" id="{3685FB9F-8346-4A10-8B49-ECB38798AB68}">
            <x14:dataBar minLength="0" maxLength="100" gradient="0">
              <x14:cfvo type="autoMin"/>
              <x14:cfvo type="autoMax"/>
              <x14:negativeFillColor rgb="FFFF0000"/>
              <x14:axisColor rgb="FF000000"/>
            </x14:dataBar>
          </x14:cfRule>
          <x14:cfRule type="dataBar" id="{E2A1F720-7431-42AE-BF93-0D96288B19C5}">
            <x14:dataBar minLength="0" maxLength="100" gradient="0">
              <x14:cfvo type="autoMin"/>
              <x14:cfvo type="autoMax"/>
              <x14:negativeFillColor rgb="FFFF0000"/>
              <x14:axisColor rgb="FF000000"/>
            </x14:dataBar>
          </x14:cfRule>
          <x14:cfRule type="dataBar" id="{B6FBBFA8-D161-4429-95B7-F9D5A2814F4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86780CF-3F7D-4748-8A92-986C5FE7F470}">
            <x14:dataBar minLength="0" maxLength="100" gradient="0">
              <x14:cfvo type="autoMin"/>
              <x14:cfvo type="autoMax"/>
              <x14:negativeFillColor rgb="FFFF0000"/>
              <x14:axisColor rgb="FF000000"/>
            </x14:dataBar>
          </x14:cfRule>
          <xm:sqref>G93:G94</xm:sqref>
        </x14:conditionalFormatting>
        <x14:conditionalFormatting xmlns:xm="http://schemas.microsoft.com/office/excel/2006/main">
          <x14:cfRule type="dataBar" id="{C8148524-9937-4218-BD7A-5A9F9CD7C28E}">
            <x14:dataBar minLength="0" maxLength="100" gradient="0">
              <x14:cfvo type="autoMin"/>
              <x14:cfvo type="autoMax"/>
              <x14:negativeFillColor rgb="FFFF0000"/>
              <x14:axisColor rgb="FF000000"/>
            </x14:dataBar>
          </x14:cfRule>
          <xm:sqref>G100:G101</xm:sqref>
        </x14:conditionalFormatting>
        <x14:conditionalFormatting xmlns:xm="http://schemas.microsoft.com/office/excel/2006/main">
          <x14:cfRule type="dataBar" id="{24AD904D-608F-4E13-AA1A-8DCB40FB2874}">
            <x14:dataBar minLength="0" maxLength="100" gradient="0">
              <x14:cfvo type="autoMin"/>
              <x14:cfvo type="autoMax"/>
              <x14:negativeFillColor rgb="FFFF0000"/>
              <x14:axisColor rgb="FF000000"/>
            </x14:dataBar>
          </x14:cfRule>
          <x14:cfRule type="dataBar" id="{2F4421EC-9ECC-401C-A167-4D6DBFCC36D8}">
            <x14:dataBar minLength="0" maxLength="100" gradient="0">
              <x14:cfvo type="autoMin"/>
              <x14:cfvo type="autoMax"/>
              <x14:negativeFillColor rgb="FFFF0000"/>
              <x14:axisColor rgb="FF000000"/>
            </x14:dataBar>
          </x14:cfRule>
          <x14:cfRule type="dataBar" id="{FFB6FCD5-3E95-4439-B674-6C4420F98C19}">
            <x14:dataBar minLength="0" maxLength="100" gradient="0">
              <x14:cfvo type="autoMin"/>
              <x14:cfvo type="autoMax"/>
              <x14:negativeFillColor rgb="FFFF0000"/>
              <x14:axisColor rgb="FF000000"/>
            </x14:dataBar>
          </x14:cfRule>
          <x14:cfRule type="dataBar" id="{E42D7C72-ABD3-42E9-8131-46BB053EE410}">
            <x14:dataBar minLength="0" maxLength="100" gradient="0">
              <x14:cfvo type="autoMin"/>
              <x14:cfvo type="autoMax"/>
              <x14:negativeFillColor rgb="FFFF0000"/>
              <x14:axisColor rgb="FF000000"/>
            </x14:dataBar>
          </x14:cfRule>
          <x14:cfRule type="dataBar" id="{827BC058-C8B7-452D-A3A0-08B393A8A65A}">
            <x14:dataBar minLength="0" maxLength="100" gradient="0">
              <x14:cfvo type="autoMin"/>
              <x14:cfvo type="autoMax"/>
              <x14:negativeFillColor rgb="FFFF0000"/>
              <x14:axisColor rgb="FF000000"/>
            </x14:dataBar>
          </x14:cfRule>
          <x14:cfRule type="dataBar" id="{D78B1186-0BF1-47C3-A2D9-DE765BBB5E6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073D056-6A30-4B88-8F4C-DC47F5DAC9AA}">
            <x14:dataBar minLength="0" maxLength="100" gradient="0">
              <x14:cfvo type="autoMin"/>
              <x14:cfvo type="autoMax"/>
              <x14:negativeFillColor rgb="FFFF0000"/>
              <x14:axisColor rgb="FF000000"/>
            </x14:dataBar>
          </x14:cfRule>
          <x14:cfRule type="dataBar" id="{C00626AC-93F2-4346-8752-1E50CCB05B0C}">
            <x14:dataBar minLength="0" maxLength="100" gradient="0">
              <x14:cfvo type="autoMin"/>
              <x14:cfvo type="autoMax"/>
              <x14:negativeFillColor rgb="FFFF0000"/>
              <x14:axisColor rgb="FF000000"/>
            </x14:dataBar>
          </x14:cfRule>
          <x14:cfRule type="dataBar" id="{3E49B47E-B22B-4239-A4C1-5B694DA91580}">
            <x14:dataBar minLength="0" maxLength="100" border="1" negativeBarBorderColorSameAsPositive="0">
              <x14:cfvo type="autoMin"/>
              <x14:cfvo type="autoMax"/>
              <x14:borderColor rgb="FF63C384"/>
              <x14:negativeFillColor rgb="FFFF0000"/>
              <x14:negativeBorderColor rgb="FFFF0000"/>
              <x14:axisColor rgb="FF000000"/>
            </x14:dataBar>
          </x14:cfRule>
          <xm:sqref>G102</xm:sqref>
        </x14:conditionalFormatting>
        <x14:conditionalFormatting xmlns:xm="http://schemas.microsoft.com/office/excel/2006/main">
          <x14:cfRule type="dataBar" id="{13FDED8C-2BF9-4E77-8B43-239C30186738}">
            <x14:dataBar minLength="0" maxLength="100" gradient="0">
              <x14:cfvo type="autoMin"/>
              <x14:cfvo type="autoMax"/>
              <x14:negativeFillColor rgb="FFFF0000"/>
              <x14:axisColor rgb="FF000000"/>
            </x14:dataBar>
          </x14:cfRule>
          <x14:cfRule type="dataBar" id="{A7A9AF21-CB56-45AF-9703-A5F477008F1C}">
            <x14:dataBar minLength="0" maxLength="100" gradient="0">
              <x14:cfvo type="autoMin"/>
              <x14:cfvo type="autoMax"/>
              <x14:negativeFillColor rgb="FFFF0000"/>
              <x14:axisColor rgb="FF000000"/>
            </x14:dataBar>
          </x14:cfRule>
          <x14:cfRule type="dataBar" id="{3D35B9B2-A2AF-4464-AE53-98CD78371590}">
            <x14:dataBar minLength="0" maxLength="100" gradient="0">
              <x14:cfvo type="autoMin"/>
              <x14:cfvo type="autoMax"/>
              <x14:negativeFillColor rgb="FFFF0000"/>
              <x14:axisColor rgb="FF000000"/>
            </x14:dataBar>
          </x14:cfRule>
          <x14:cfRule type="dataBar" id="{9FB2AAAD-5E74-4FE8-B227-1491A5EECE8D}">
            <x14:dataBar minLength="0" maxLength="100" gradient="0">
              <x14:cfvo type="autoMin"/>
              <x14:cfvo type="autoMax"/>
              <x14:negativeFillColor rgb="FFFF0000"/>
              <x14:axisColor rgb="FF000000"/>
            </x14:dataBar>
          </x14:cfRule>
          <x14:cfRule type="dataBar" id="{F1FB49C1-22B8-48B5-AC25-607C7961A4E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AA33BAC-B810-4661-B0DF-4003249C63AF}">
            <x14:dataBar minLength="0" maxLength="100" gradient="0">
              <x14:cfvo type="autoMin"/>
              <x14:cfvo type="autoMax"/>
              <x14:negativeFillColor rgb="FFFF0000"/>
              <x14:axisColor rgb="FF000000"/>
            </x14:dataBar>
          </x14:cfRule>
          <x14:cfRule type="dataBar" id="{E2541555-BB70-45BA-8CC7-44B66C439C07}">
            <x14:dataBar minLength="0" maxLength="100" gradient="0">
              <x14:cfvo type="autoMin"/>
              <x14:cfvo type="autoMax"/>
              <x14:negativeFillColor rgb="FFFF0000"/>
              <x14:axisColor rgb="FF000000"/>
            </x14:dataBar>
          </x14:cfRule>
          <x14:cfRule type="dataBar" id="{F73D7871-6909-45D6-8C39-CC2926E67A4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9163735-1FFC-4960-93EC-9AA43D0642A6}">
            <x14:dataBar minLength="0" maxLength="100" gradient="0">
              <x14:cfvo type="autoMin"/>
              <x14:cfvo type="autoMax"/>
              <x14:negativeFillColor rgb="FFFF0000"/>
              <x14:axisColor rgb="FF000000"/>
            </x14:dataBar>
          </x14:cfRule>
          <xm:sqref>G103</xm:sqref>
        </x14:conditionalFormatting>
        <x14:conditionalFormatting xmlns:xm="http://schemas.microsoft.com/office/excel/2006/main">
          <x14:cfRule type="dataBar" id="{7FB5903E-E897-4CA6-8E8E-98F39378A3D4}">
            <x14:dataBar minLength="0" maxLength="100" gradient="0">
              <x14:cfvo type="autoMin"/>
              <x14:cfvo type="autoMax"/>
              <x14:negativeFillColor rgb="FFFF0000"/>
              <x14:axisColor rgb="FF000000"/>
            </x14:dataBar>
          </x14:cfRule>
          <x14:cfRule type="dataBar" id="{4407C878-9A16-4AE2-B9E4-D2CEB16550A2}">
            <x14:dataBar minLength="0" maxLength="100" gradient="0">
              <x14:cfvo type="autoMin"/>
              <x14:cfvo type="autoMax"/>
              <x14:negativeFillColor rgb="FFFF0000"/>
              <x14:axisColor rgb="FF000000"/>
            </x14:dataBar>
          </x14:cfRule>
          <x14:cfRule type="dataBar" id="{1DBB84F6-FEBA-4592-AE2B-AE2B799DE34F}">
            <x14:dataBar minLength="0" maxLength="100" gradient="0">
              <x14:cfvo type="autoMin"/>
              <x14:cfvo type="autoMax"/>
              <x14:negativeFillColor rgb="FFFF0000"/>
              <x14:axisColor rgb="FF000000"/>
            </x14:dataBar>
          </x14:cfRule>
          <x14:cfRule type="dataBar" id="{ACD83E90-BFE5-4F0A-8497-D3A5BFFE31F9}">
            <x14:dataBar minLength="0" maxLength="100" gradient="0">
              <x14:cfvo type="autoMin"/>
              <x14:cfvo type="autoMax"/>
              <x14:negativeFillColor rgb="FFFF0000"/>
              <x14:axisColor rgb="FF000000"/>
            </x14:dataBar>
          </x14:cfRule>
          <x14:cfRule type="dataBar" id="{D25D9BD7-BFE2-4430-81A2-AE9F3306AC29}">
            <x14:dataBar minLength="0" maxLength="100" gradient="0">
              <x14:cfvo type="autoMin"/>
              <x14:cfvo type="autoMax"/>
              <x14:negativeFillColor rgb="FFFF0000"/>
              <x14:axisColor rgb="FF000000"/>
            </x14:dataBar>
          </x14:cfRule>
          <x14:cfRule type="dataBar" id="{5B1937C0-CE59-461A-9FF4-39EFBDBD147D}">
            <x14:dataBar minLength="0" maxLength="100" gradient="0">
              <x14:cfvo type="autoMin"/>
              <x14:cfvo type="autoMax"/>
              <x14:negativeFillColor rgb="FFFF0000"/>
              <x14:axisColor rgb="FF000000"/>
            </x14:dataBar>
          </x14:cfRule>
          <x14:cfRule type="dataBar" id="{6B67B246-CB56-49D5-90D7-F8EFD79C4AA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CC687E5-6A84-4F8E-9C83-ACC765CD91DE}">
            <x14:dataBar minLength="0" maxLength="100" gradient="0">
              <x14:cfvo type="autoMin"/>
              <x14:cfvo type="autoMax"/>
              <x14:negativeFillColor rgb="FFFF0000"/>
              <x14:axisColor rgb="FF000000"/>
            </x14:dataBar>
          </x14:cfRule>
          <x14:cfRule type="dataBar" id="{F7321E43-5920-4B27-85B2-1D587A59DA99}">
            <x14:dataBar minLength="0" maxLength="100" border="1" negativeBarBorderColorSameAsPositive="0">
              <x14:cfvo type="autoMin"/>
              <x14:cfvo type="autoMax"/>
              <x14:borderColor rgb="FF63C384"/>
              <x14:negativeFillColor rgb="FFFF0000"/>
              <x14:negativeBorderColor rgb="FFFF0000"/>
              <x14:axisColor rgb="FF000000"/>
            </x14:dataBar>
          </x14:cfRule>
          <xm:sqref>G104</xm:sqref>
        </x14:conditionalFormatting>
        <x14:conditionalFormatting xmlns:xm="http://schemas.microsoft.com/office/excel/2006/main">
          <x14:cfRule type="dataBar" id="{5D1F8644-4EB6-4D0D-9190-0ACDA6285AFF}">
            <x14:dataBar minLength="0" maxLength="100" gradient="0">
              <x14:cfvo type="autoMin"/>
              <x14:cfvo type="autoMax"/>
              <x14:negativeFillColor rgb="FFFF0000"/>
              <x14:axisColor rgb="FF000000"/>
            </x14:dataBar>
          </x14:cfRule>
          <x14:cfRule type="dataBar" id="{5FA55206-5721-4D4D-9638-7D807AE68CF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BCE0ADB-0BB6-48EE-85C5-1AA7EF9DB635}">
            <x14:dataBar minLength="0" maxLength="100" gradient="0">
              <x14:cfvo type="autoMin"/>
              <x14:cfvo type="autoMax"/>
              <x14:negativeFillColor rgb="FFFF0000"/>
              <x14:axisColor rgb="FF000000"/>
            </x14:dataBar>
          </x14:cfRule>
          <x14:cfRule type="dataBar" id="{F9446C83-95CD-47DC-B433-D425F6A8EEC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956535C-13E9-4964-9D0B-CF1185779535}">
            <x14:dataBar minLength="0" maxLength="100" gradient="0">
              <x14:cfvo type="autoMin"/>
              <x14:cfvo type="autoMax"/>
              <x14:negativeFillColor rgb="FFFF0000"/>
              <x14:axisColor rgb="FF000000"/>
            </x14:dataBar>
          </x14:cfRule>
          <x14:cfRule type="dataBar" id="{3F6EC96B-F378-4454-9225-EB186F52017F}">
            <x14:dataBar minLength="0" maxLength="100" gradient="0">
              <x14:cfvo type="autoMin"/>
              <x14:cfvo type="autoMax"/>
              <x14:negativeFillColor rgb="FFFF0000"/>
              <x14:axisColor rgb="FF000000"/>
            </x14:dataBar>
          </x14:cfRule>
          <x14:cfRule type="dataBar" id="{5FAB1626-68E6-445B-9850-942C16342728}">
            <x14:dataBar minLength="0" maxLength="100" gradient="0">
              <x14:cfvo type="autoMin"/>
              <x14:cfvo type="autoMax"/>
              <x14:negativeFillColor rgb="FFFF0000"/>
              <x14:axisColor rgb="FF000000"/>
            </x14:dataBar>
          </x14:cfRule>
          <x14:cfRule type="dataBar" id="{BC97258C-AEDF-4FFD-B6EC-E3753C183E25}">
            <x14:dataBar minLength="0" maxLength="100" gradient="0">
              <x14:cfvo type="autoMin"/>
              <x14:cfvo type="autoMax"/>
              <x14:negativeFillColor rgb="FFFF0000"/>
              <x14:axisColor rgb="FF000000"/>
            </x14:dataBar>
          </x14:cfRule>
          <x14:cfRule type="dataBar" id="{C8846412-36BF-4219-8571-AD09536BFB39}">
            <x14:dataBar minLength="0" maxLength="100" gradient="0">
              <x14:cfvo type="autoMin"/>
              <x14:cfvo type="autoMax"/>
              <x14:negativeFillColor rgb="FFFF0000"/>
              <x14:axisColor rgb="FF000000"/>
            </x14:dataBar>
          </x14:cfRule>
          <xm:sqref>G105</xm:sqref>
        </x14:conditionalFormatting>
        <x14:conditionalFormatting xmlns:xm="http://schemas.microsoft.com/office/excel/2006/main">
          <x14:cfRule type="dataBar" id="{B7E8BFD6-A7A0-43DF-BFD5-2A490A9053D1}">
            <x14:dataBar minLength="0" maxLength="100" gradient="0">
              <x14:cfvo type="autoMin"/>
              <x14:cfvo type="autoMax"/>
              <x14:negativeFillColor rgb="FFFF0000"/>
              <x14:axisColor rgb="FF000000"/>
            </x14:dataBar>
          </x14:cfRule>
          <xm:sqref>G112:G113</xm:sqref>
        </x14:conditionalFormatting>
        <x14:conditionalFormatting xmlns:xm="http://schemas.microsoft.com/office/excel/2006/main">
          <x14:cfRule type="dataBar" id="{3F42B030-698D-4EF1-8727-560C6C208B30}">
            <x14:dataBar minLength="0" maxLength="100" gradient="0">
              <x14:cfvo type="autoMin"/>
              <x14:cfvo type="autoMax"/>
              <x14:negativeFillColor rgb="FFFF0000"/>
              <x14:axisColor rgb="FF000000"/>
            </x14:dataBar>
          </x14:cfRule>
          <x14:cfRule type="dataBar" id="{1C446554-A444-4CDB-9EFE-69FB5654BA97}">
            <x14:dataBar minLength="0" maxLength="100" gradient="0">
              <x14:cfvo type="autoMin"/>
              <x14:cfvo type="autoMax"/>
              <x14:negativeFillColor rgb="FFFF0000"/>
              <x14:axisColor rgb="FF000000"/>
            </x14:dataBar>
          </x14:cfRule>
          <x14:cfRule type="dataBar" id="{B3104E91-6A2B-4BEF-8429-4D4A2631DF7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8C93631-42AA-4453-A5DF-E7276270625F}">
            <x14:dataBar minLength="0" maxLength="100" gradient="0">
              <x14:cfvo type="autoMin"/>
              <x14:cfvo type="autoMax"/>
              <x14:negativeFillColor rgb="FFFF0000"/>
              <x14:axisColor rgb="FF000000"/>
            </x14:dataBar>
          </x14:cfRule>
          <x14:cfRule type="dataBar" id="{C7FD3AB0-EB38-4E59-AD10-8EF44DEAF1C5}">
            <x14:dataBar minLength="0" maxLength="100" gradient="0">
              <x14:cfvo type="autoMin"/>
              <x14:cfvo type="autoMax"/>
              <x14:negativeFillColor rgb="FFFF0000"/>
              <x14:axisColor rgb="FF000000"/>
            </x14:dataBar>
          </x14:cfRule>
          <x14:cfRule type="dataBar" id="{12B761BF-FDED-4D0D-AC4C-E5CBD7EF8EB7}">
            <x14:dataBar minLength="0" maxLength="100" gradient="0">
              <x14:cfvo type="autoMin"/>
              <x14:cfvo type="autoMax"/>
              <x14:negativeFillColor rgb="FFFF0000"/>
              <x14:axisColor rgb="FF000000"/>
            </x14:dataBar>
          </x14:cfRule>
          <x14:cfRule type="dataBar" id="{30C659BE-FD24-4C97-9919-605B89459968}">
            <x14:dataBar minLength="0" maxLength="100" gradient="0">
              <x14:cfvo type="autoMin"/>
              <x14:cfvo type="autoMax"/>
              <x14:negativeFillColor rgb="FFFF0000"/>
              <x14:axisColor rgb="FF000000"/>
            </x14:dataBar>
          </x14:cfRule>
          <x14:cfRule type="dataBar" id="{8E7DA615-083B-4BDC-952C-3409965EF8C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1874EB8-9F31-447E-8AA1-681E05432B7C}">
            <x14:dataBar minLength="0" maxLength="100" gradient="0">
              <x14:cfvo type="autoMin"/>
              <x14:cfvo type="autoMax"/>
              <x14:negativeFillColor rgb="FFFF0000"/>
              <x14:axisColor rgb="FF000000"/>
            </x14:dataBar>
          </x14:cfRule>
          <xm:sqref>G114</xm:sqref>
        </x14:conditionalFormatting>
        <x14:conditionalFormatting xmlns:xm="http://schemas.microsoft.com/office/excel/2006/main">
          <x14:cfRule type="dataBar" id="{6BD6813C-CD0E-40B7-9E17-9659A05358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384721C-6206-4C2D-9127-D81E7374706E}">
            <x14:dataBar minLength="0" maxLength="100" gradient="0">
              <x14:cfvo type="autoMin"/>
              <x14:cfvo type="autoMax"/>
              <x14:negativeFillColor rgb="FFFF0000"/>
              <x14:axisColor rgb="FF000000"/>
            </x14:dataBar>
          </x14:cfRule>
          <x14:cfRule type="dataBar" id="{5D5AF499-D1EF-4230-8499-A3031B3A14CC}">
            <x14:dataBar minLength="0" maxLength="100" gradient="0">
              <x14:cfvo type="autoMin"/>
              <x14:cfvo type="autoMax"/>
              <x14:negativeFillColor rgb="FFFF0000"/>
              <x14:axisColor rgb="FF000000"/>
            </x14:dataBar>
          </x14:cfRule>
          <x14:cfRule type="dataBar" id="{C192503E-4417-4597-9676-07F781A2AC0D}">
            <x14:dataBar minLength="0" maxLength="100" gradient="0">
              <x14:cfvo type="autoMin"/>
              <x14:cfvo type="autoMax"/>
              <x14:negativeFillColor rgb="FFFF0000"/>
              <x14:axisColor rgb="FF000000"/>
            </x14:dataBar>
          </x14:cfRule>
          <x14:cfRule type="dataBar" id="{D7364E21-4524-4439-BE41-67D95C689E93}">
            <x14:dataBar minLength="0" maxLength="100" gradient="0">
              <x14:cfvo type="autoMin"/>
              <x14:cfvo type="autoMax"/>
              <x14:negativeFillColor rgb="FFFF0000"/>
              <x14:axisColor rgb="FF000000"/>
            </x14:dataBar>
          </x14:cfRule>
          <x14:cfRule type="dataBar" id="{FD47B598-C94C-4E48-9F5C-392F879F7873}">
            <x14:dataBar minLength="0" maxLength="100" gradient="0">
              <x14:cfvo type="autoMin"/>
              <x14:cfvo type="autoMax"/>
              <x14:negativeFillColor rgb="FFFF0000"/>
              <x14:axisColor rgb="FF000000"/>
            </x14:dataBar>
          </x14:cfRule>
          <x14:cfRule type="dataBar" id="{2CDBE52B-9CE3-4217-80A6-758A0368B5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FCD4DE0-6B46-4704-A676-8FC1FD6A4D1F}">
            <x14:dataBar minLength="0" maxLength="100" gradient="0">
              <x14:cfvo type="autoMin"/>
              <x14:cfvo type="autoMax"/>
              <x14:negativeFillColor rgb="FFFF0000"/>
              <x14:axisColor rgb="FF000000"/>
            </x14:dataBar>
          </x14:cfRule>
          <x14:cfRule type="dataBar" id="{B91C6366-3324-4746-8AC5-08CAC104D17E}">
            <x14:dataBar minLength="0" maxLength="100" gradient="0">
              <x14:cfvo type="autoMin"/>
              <x14:cfvo type="autoMax"/>
              <x14:negativeFillColor rgb="FFFF0000"/>
              <x14:axisColor rgb="FF000000"/>
            </x14:dataBar>
          </x14:cfRule>
          <xm:sqref>G115</xm:sqref>
        </x14:conditionalFormatting>
        <x14:conditionalFormatting xmlns:xm="http://schemas.microsoft.com/office/excel/2006/main">
          <x14:cfRule type="dataBar" id="{0C1DAFA0-6056-4C1D-9C5C-7B74A81B8AC7}">
            <x14:dataBar minLength="0" maxLength="100" gradient="0">
              <x14:cfvo type="autoMin"/>
              <x14:cfvo type="autoMax"/>
              <x14:negativeFillColor rgb="FFFF0000"/>
              <x14:axisColor rgb="FF000000"/>
            </x14:dataBar>
          </x14:cfRule>
          <x14:cfRule type="dataBar" id="{0A5DF661-786E-4F67-BED3-1FB417D5E3FC}">
            <x14:dataBar minLength="0" maxLength="100" gradient="0">
              <x14:cfvo type="autoMin"/>
              <x14:cfvo type="autoMax"/>
              <x14:negativeFillColor rgb="FFFF0000"/>
              <x14:axisColor rgb="FF000000"/>
            </x14:dataBar>
          </x14:cfRule>
          <x14:cfRule type="dataBar" id="{86389987-433F-4803-9776-CA74A79AC12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E4670AB-C1AB-4C02-9B2D-E49C55876CA6}">
            <x14:dataBar minLength="0" maxLength="100" gradient="0">
              <x14:cfvo type="autoMin"/>
              <x14:cfvo type="autoMax"/>
              <x14:negativeFillColor rgb="FFFF0000"/>
              <x14:axisColor rgb="FF000000"/>
            </x14:dataBar>
          </x14:cfRule>
          <x14:cfRule type="dataBar" id="{CE6241EF-8D85-4837-B6C4-3EA6D0AF0FD9}">
            <x14:dataBar minLength="0" maxLength="100" gradient="0">
              <x14:cfvo type="autoMin"/>
              <x14:cfvo type="autoMax"/>
              <x14:negativeFillColor rgb="FFFF0000"/>
              <x14:axisColor rgb="FF000000"/>
            </x14:dataBar>
          </x14:cfRule>
          <x14:cfRule type="dataBar" id="{03366EBF-DC53-494E-BC20-93D8D03456B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354346F-638C-40CC-B70D-026FD7CB0E55}">
            <x14:dataBar minLength="0" maxLength="100" gradient="0">
              <x14:cfvo type="autoMin"/>
              <x14:cfvo type="autoMax"/>
              <x14:negativeFillColor rgb="FFFF0000"/>
              <x14:axisColor rgb="FF000000"/>
            </x14:dataBar>
          </x14:cfRule>
          <x14:cfRule type="dataBar" id="{C614C9C6-5DC0-4CBC-91CE-AABCF8B62C7F}">
            <x14:dataBar minLength="0" maxLength="100" gradient="0">
              <x14:cfvo type="autoMin"/>
              <x14:cfvo type="autoMax"/>
              <x14:negativeFillColor rgb="FFFF0000"/>
              <x14:axisColor rgb="FF000000"/>
            </x14:dataBar>
          </x14:cfRule>
          <xm:sqref>G81:H81 G82:G84 H82:H85</xm:sqref>
        </x14:conditionalFormatting>
        <x14:conditionalFormatting xmlns:xm="http://schemas.microsoft.com/office/excel/2006/main">
          <x14:cfRule type="dataBar" id="{8CB5BD23-1869-4520-AE80-B1E00C7005BE}">
            <x14:dataBar minLength="0" maxLength="100" gradient="0">
              <x14:cfvo type="autoMin"/>
              <x14:cfvo type="autoMax"/>
              <x14:negativeFillColor rgb="FFFF0000"/>
              <x14:axisColor rgb="FF000000"/>
            </x14:dataBar>
          </x14:cfRule>
          <x14:cfRule type="dataBar" id="{D14FA89E-31F2-452B-AF7C-2013ADE36C4B}">
            <x14:dataBar minLength="0" maxLength="100" gradient="0">
              <x14:cfvo type="autoMin"/>
              <x14:cfvo type="autoMax"/>
              <x14:negativeFillColor rgb="FFFF0000"/>
              <x14:axisColor rgb="FF000000"/>
            </x14:dataBar>
          </x14:cfRule>
          <x14:cfRule type="dataBar" id="{4C0B26AB-0D7A-40A5-8439-850E7241D3A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F311DD8-C40B-47BF-99D9-DD90A4B9A432}">
            <x14:dataBar minLength="0" maxLength="100" gradient="0">
              <x14:cfvo type="autoMin"/>
              <x14:cfvo type="autoMax"/>
              <x14:negativeFillColor rgb="FFFF0000"/>
              <x14:axisColor rgb="FF000000"/>
            </x14:dataBar>
          </x14:cfRule>
          <x14:cfRule type="dataBar" id="{B1635071-1758-4A57-82EC-79963486E562}">
            <x14:dataBar minLength="0" maxLength="100" gradient="0">
              <x14:cfvo type="autoMin"/>
              <x14:cfvo type="autoMax"/>
              <x14:negativeFillColor rgb="FFFF0000"/>
              <x14:axisColor rgb="FF000000"/>
            </x14:dataBar>
          </x14:cfRule>
          <x14:cfRule type="dataBar" id="{C2F9D720-1B69-45A6-B54D-B414E2A78B7F}">
            <x14:dataBar minLength="0" maxLength="100" gradient="0">
              <x14:cfvo type="autoMin"/>
              <x14:cfvo type="autoMax"/>
              <x14:negativeFillColor rgb="FFFF0000"/>
              <x14:axisColor rgb="FF000000"/>
            </x14:dataBar>
          </x14:cfRule>
          <x14:cfRule type="dataBar" id="{51EA2429-9B76-4A0B-911B-DC807EE8267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CBE3022-1506-48DF-9F7D-1DC73E4D0488}">
            <x14:dataBar minLength="0" maxLength="100" gradient="0">
              <x14:cfvo type="autoMin"/>
              <x14:cfvo type="autoMax"/>
              <x14:negativeFillColor rgb="FFFF0000"/>
              <x14:axisColor rgb="FF000000"/>
            </x14:dataBar>
          </x14:cfRule>
          <xm:sqref>G90:H90 G91 H91:H95</xm:sqref>
        </x14:conditionalFormatting>
        <x14:conditionalFormatting xmlns:xm="http://schemas.microsoft.com/office/excel/2006/main">
          <x14:cfRule type="dataBar" id="{27C0F2BB-B442-4A1F-B584-244B12AF39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F496041-976E-44F3-B886-C88224B32225}">
            <x14:dataBar minLength="0" maxLength="100" gradient="0">
              <x14:cfvo type="autoMin"/>
              <x14:cfvo type="autoMax"/>
              <x14:negativeFillColor rgb="FFFF0000"/>
              <x14:axisColor rgb="FF000000"/>
            </x14:dataBar>
          </x14:cfRule>
          <x14:cfRule type="dataBar" id="{8F02219B-B8BE-4CA8-8139-E05A2E83E1B5}">
            <x14:dataBar minLength="0" maxLength="100" gradient="0">
              <x14:cfvo type="autoMin"/>
              <x14:cfvo type="autoMax"/>
              <x14:negativeFillColor rgb="FFFF0000"/>
              <x14:axisColor rgb="FF000000"/>
            </x14:dataBar>
          </x14:cfRule>
          <x14:cfRule type="dataBar" id="{47417C39-D94F-4EBE-9FE7-CD3E984BBD70}">
            <x14:dataBar minLength="0" maxLength="100" gradient="0">
              <x14:cfvo type="autoMin"/>
              <x14:cfvo type="autoMax"/>
              <x14:negativeFillColor rgb="FFFF0000"/>
              <x14:axisColor rgb="FF000000"/>
            </x14:dataBar>
          </x14:cfRule>
          <x14:cfRule type="dataBar" id="{09542535-780C-4A18-BA8D-443C2C5E9BFC}">
            <x14:dataBar minLength="0" maxLength="100" gradient="0">
              <x14:cfvo type="autoMin"/>
              <x14:cfvo type="autoMax"/>
              <x14:negativeFillColor rgb="FFFF0000"/>
              <x14:axisColor rgb="FF000000"/>
            </x14:dataBar>
          </x14:cfRule>
          <x14:cfRule type="dataBar" id="{746079CD-4282-4F16-BC0F-7A42E020B458}">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48962C2-C86A-4E76-B14F-F9D17CCBBB00}">
            <x14:dataBar minLength="0" maxLength="100" gradient="0">
              <x14:cfvo type="autoMin"/>
              <x14:cfvo type="autoMax"/>
              <x14:negativeFillColor rgb="FFFF0000"/>
              <x14:axisColor rgb="FF000000"/>
            </x14:dataBar>
          </x14:cfRule>
          <x14:cfRule type="dataBar" id="{6AEEAD1B-5BB7-4718-86D0-5A902C0F5EA3}">
            <x14:dataBar minLength="0" maxLength="100" gradient="0">
              <x14:cfvo type="autoMin"/>
              <x14:cfvo type="autoMax"/>
              <x14:negativeFillColor rgb="FFFF0000"/>
              <x14:axisColor rgb="FF000000"/>
            </x14:dataBar>
          </x14:cfRule>
          <xm:sqref>G100:H100 G101 H101:H106</xm:sqref>
        </x14:conditionalFormatting>
        <x14:conditionalFormatting xmlns:xm="http://schemas.microsoft.com/office/excel/2006/main">
          <x14:cfRule type="dataBar" id="{15DD04C7-3F32-41CE-A9F3-7AD556BF2BF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81BFD90-A0DC-4952-AAAB-C1D5ACCCD97B}">
            <x14:dataBar minLength="0" maxLength="100" gradient="0">
              <x14:cfvo type="autoMin"/>
              <x14:cfvo type="autoMax"/>
              <x14:negativeFillColor rgb="FFFF0000"/>
              <x14:axisColor rgb="FF000000"/>
            </x14:dataBar>
          </x14:cfRule>
          <x14:cfRule type="dataBar" id="{2083B94D-7A49-4533-B9BC-03B6956DD4F7}">
            <x14:dataBar minLength="0" maxLength="100" gradient="0">
              <x14:cfvo type="autoMin"/>
              <x14:cfvo type="autoMax"/>
              <x14:negativeFillColor rgb="FFFF0000"/>
              <x14:axisColor rgb="FF000000"/>
            </x14:dataBar>
          </x14:cfRule>
          <x14:cfRule type="dataBar" id="{A782CF69-601D-42C6-BB31-36062D976AB0}">
            <x14:dataBar minLength="0" maxLength="100" gradient="0">
              <x14:cfvo type="autoMin"/>
              <x14:cfvo type="autoMax"/>
              <x14:negativeFillColor rgb="FFFF0000"/>
              <x14:axisColor rgb="FF000000"/>
            </x14:dataBar>
          </x14:cfRule>
          <x14:cfRule type="dataBar" id="{D1FAD456-1072-462E-B421-1CDB543C308C}">
            <x14:dataBar minLength="0" maxLength="100" gradient="0">
              <x14:cfvo type="autoMin"/>
              <x14:cfvo type="autoMax"/>
              <x14:negativeFillColor rgb="FFFF0000"/>
              <x14:axisColor rgb="FF000000"/>
            </x14:dataBar>
          </x14:cfRule>
          <x14:cfRule type="dataBar" id="{84672F56-2B16-4E13-938D-B619C804CFE6}">
            <x14:dataBar minLength="0" maxLength="100" gradient="0">
              <x14:cfvo type="autoMin"/>
              <x14:cfvo type="autoMax"/>
              <x14:negativeFillColor rgb="FFFF0000"/>
              <x14:axisColor rgb="FF000000"/>
            </x14:dataBar>
          </x14:cfRule>
          <x14:cfRule type="dataBar" id="{F5CE75E1-ADAF-4E21-8758-232B16E8D105}">
            <x14:dataBar minLength="0" maxLength="100" gradient="0">
              <x14:cfvo type="autoMin"/>
              <x14:cfvo type="autoMax"/>
              <x14:negativeFillColor rgb="FFFF0000"/>
              <x14:axisColor rgb="FF000000"/>
            </x14:dataBar>
          </x14:cfRule>
          <x14:cfRule type="dataBar" id="{DC10D33E-164A-45B3-A447-F2FB69D69264}">
            <x14:dataBar minLength="0" maxLength="100" border="1" negativeBarBorderColorSameAsPositive="0">
              <x14:cfvo type="autoMin"/>
              <x14:cfvo type="autoMax"/>
              <x14:borderColor rgb="FF63C384"/>
              <x14:negativeFillColor rgb="FFFF0000"/>
              <x14:negativeBorderColor rgb="FFFF0000"/>
              <x14:axisColor rgb="FF000000"/>
            </x14:dataBar>
          </x14:cfRule>
          <xm:sqref>G112:H112 G113 H113:H116</xm:sqref>
        </x14:conditionalFormatting>
        <x14:conditionalFormatting xmlns:xm="http://schemas.microsoft.com/office/excel/2006/main">
          <x14:cfRule type="dataBar" id="{CDC270FA-85C1-4B2C-89AF-883ABBA42F59}">
            <x14:dataBar minLength="0" maxLength="100" gradient="0">
              <x14:cfvo type="autoMin"/>
              <x14:cfvo type="autoMax"/>
              <x14:negativeFillColor rgb="FFFF0000"/>
              <x14:axisColor rgb="FF000000"/>
            </x14:dataBar>
          </x14:cfRule>
          <xm:sqref>H81:H85</xm:sqref>
        </x14:conditionalFormatting>
        <x14:conditionalFormatting xmlns:xm="http://schemas.microsoft.com/office/excel/2006/main">
          <x14:cfRule type="dataBar" id="{9BAC2B94-A4FC-4F5E-B716-EBA653AB87F5}">
            <x14:dataBar minLength="0" maxLength="100" gradient="0">
              <x14:cfvo type="autoMin"/>
              <x14:cfvo type="autoMax"/>
              <x14:negativeFillColor rgb="FFFF0000"/>
              <x14:axisColor rgb="FF000000"/>
            </x14:dataBar>
          </x14:cfRule>
          <xm:sqref>H90:H95</xm:sqref>
        </x14:conditionalFormatting>
        <x14:conditionalFormatting xmlns:xm="http://schemas.microsoft.com/office/excel/2006/main">
          <x14:cfRule type="dataBar" id="{4F61D360-4E73-42C0-A1DB-856744D1699D}">
            <x14:dataBar minLength="0" maxLength="100" gradient="0">
              <x14:cfvo type="autoMin"/>
              <x14:cfvo type="autoMax"/>
              <x14:negativeFillColor rgb="FFFF0000"/>
              <x14:axisColor rgb="FF000000"/>
            </x14:dataBar>
          </x14:cfRule>
          <xm:sqref>H100:H106</xm:sqref>
        </x14:conditionalFormatting>
        <x14:conditionalFormatting xmlns:xm="http://schemas.microsoft.com/office/excel/2006/main">
          <x14:cfRule type="dataBar" id="{B2837887-ABDA-4848-AAB5-3A142A080C7E}">
            <x14:dataBar minLength="0" maxLength="100" gradient="0">
              <x14:cfvo type="autoMin"/>
              <x14:cfvo type="autoMax"/>
              <x14:negativeFillColor rgb="FFFF0000"/>
              <x14:axisColor rgb="FF000000"/>
            </x14:dataBar>
          </x14:cfRule>
          <xm:sqref>H112:H116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4F75-56E5-4EBB-ADC2-DFE62BF08BD2}">
  <dimension ref="A1:AN100"/>
  <sheetViews>
    <sheetView showGridLines="0" workbookViewId="0">
      <selection activeCell="C16" sqref="C16"/>
    </sheetView>
  </sheetViews>
  <sheetFormatPr defaultColWidth="8.88671875" defaultRowHeight="12.75" customHeight="1"/>
  <cols>
    <col min="1" max="1" width="12.44140625" style="568" customWidth="1"/>
    <col min="2" max="2" width="14.33203125" style="605" customWidth="1"/>
    <col min="3" max="3" width="21.44140625" style="568" customWidth="1"/>
    <col min="4" max="4" width="22.6640625" style="568" customWidth="1"/>
    <col min="5" max="5" width="12.88671875" style="568" customWidth="1"/>
    <col min="6" max="6" width="8.88671875" style="568"/>
    <col min="7" max="7" width="9.6640625" style="568" customWidth="1"/>
    <col min="8" max="8" width="17.109375" style="568" customWidth="1"/>
    <col min="9" max="9" width="11.33203125" style="568" customWidth="1"/>
    <col min="10" max="11" width="8.88671875" style="568"/>
    <col min="12" max="12" width="10" style="568" customWidth="1"/>
    <col min="13" max="16" width="8.88671875" style="568"/>
    <col min="17" max="17" width="10.44140625" style="568" customWidth="1"/>
    <col min="18" max="24" width="8.88671875" style="568"/>
    <col min="25" max="26" width="11.44140625" style="568" customWidth="1"/>
    <col min="27" max="27" width="8.88671875" style="568"/>
    <col min="28" max="28" width="12.6640625" style="568" customWidth="1"/>
    <col min="29" max="30" width="8.88671875" style="568"/>
    <col min="31" max="31" width="17.109375" style="568" customWidth="1"/>
    <col min="32" max="32" width="10" style="568" customWidth="1"/>
    <col min="33" max="33" width="14.33203125" style="568" customWidth="1"/>
    <col min="34" max="34" width="28.44140625" style="568" customWidth="1"/>
    <col min="35" max="35" width="12.88671875" style="568" customWidth="1"/>
    <col min="36" max="38" width="15" style="568" customWidth="1"/>
    <col min="39" max="40" width="20.33203125" style="568" customWidth="1"/>
    <col min="41" max="16384" width="8.88671875" style="568"/>
  </cols>
  <sheetData>
    <row r="1" spans="1:40" ht="18">
      <c r="B1" s="579"/>
      <c r="C1" s="348"/>
      <c r="D1" s="348"/>
      <c r="E1" s="348"/>
      <c r="F1" s="1811" t="s">
        <v>324</v>
      </c>
      <c r="G1" s="1812"/>
      <c r="H1" s="1812"/>
      <c r="I1" s="1812"/>
      <c r="J1" s="1813"/>
      <c r="K1" s="1814" t="s">
        <v>325</v>
      </c>
      <c r="L1" s="1815"/>
      <c r="M1" s="1815"/>
      <c r="N1" s="1815"/>
      <c r="O1" s="1816"/>
      <c r="P1" s="1811" t="s">
        <v>326</v>
      </c>
      <c r="Q1" s="1812"/>
      <c r="R1" s="1812"/>
      <c r="S1" s="1812"/>
      <c r="T1" s="1813"/>
      <c r="U1" s="1817" t="s">
        <v>327</v>
      </c>
      <c r="V1" s="1818"/>
      <c r="W1" s="1818"/>
      <c r="X1" s="580"/>
      <c r="Y1" s="1818" t="s">
        <v>328</v>
      </c>
      <c r="Z1" s="1818"/>
      <c r="AA1" s="1818"/>
      <c r="AB1" s="1818"/>
      <c r="AD1" s="1819">
        <f>B3</f>
        <v>0</v>
      </c>
      <c r="AE1" s="1819" t="s">
        <v>329</v>
      </c>
      <c r="AF1" s="1819"/>
      <c r="AG1" s="1819"/>
      <c r="AH1" s="1819"/>
      <c r="AI1" s="1819"/>
      <c r="AJ1" s="1820" t="s">
        <v>330</v>
      </c>
      <c r="AK1" s="1820"/>
      <c r="AL1" s="1820"/>
      <c r="AM1" s="1820" t="s">
        <v>331</v>
      </c>
      <c r="AN1" s="1820"/>
    </row>
    <row r="2" spans="1:40" ht="72">
      <c r="B2" s="561" t="s">
        <v>332</v>
      </c>
      <c r="C2" s="561" t="s">
        <v>333</v>
      </c>
      <c r="D2" s="561" t="s">
        <v>334</v>
      </c>
      <c r="E2" s="561" t="s">
        <v>335</v>
      </c>
      <c r="F2" s="562" t="s">
        <v>336</v>
      </c>
      <c r="G2" s="563" t="s">
        <v>337</v>
      </c>
      <c r="H2" s="564" t="s">
        <v>243</v>
      </c>
      <c r="I2" s="562" t="s">
        <v>338</v>
      </c>
      <c r="J2" s="562" t="s">
        <v>339</v>
      </c>
      <c r="K2" s="612" t="s">
        <v>336</v>
      </c>
      <c r="L2" s="613" t="s">
        <v>337</v>
      </c>
      <c r="M2" s="612" t="s">
        <v>243</v>
      </c>
      <c r="N2" s="612" t="s">
        <v>340</v>
      </c>
      <c r="O2" s="612" t="s">
        <v>339</v>
      </c>
      <c r="P2" s="562" t="s">
        <v>336</v>
      </c>
      <c r="Q2" s="563" t="s">
        <v>337</v>
      </c>
      <c r="R2" s="562" t="s">
        <v>243</v>
      </c>
      <c r="S2" s="562" t="s">
        <v>340</v>
      </c>
      <c r="T2" s="562" t="s">
        <v>339</v>
      </c>
      <c r="U2" s="565" t="s">
        <v>341</v>
      </c>
      <c r="V2" s="612" t="s">
        <v>342</v>
      </c>
      <c r="W2" s="565" t="s">
        <v>343</v>
      </c>
      <c r="X2" s="567"/>
      <c r="Y2" s="566" t="s">
        <v>344</v>
      </c>
      <c r="Z2" s="565" t="s">
        <v>345</v>
      </c>
      <c r="AA2" s="565" t="s">
        <v>346</v>
      </c>
      <c r="AB2" s="565" t="s">
        <v>347</v>
      </c>
      <c r="AD2" s="1819"/>
      <c r="AE2" s="614" t="s">
        <v>343</v>
      </c>
      <c r="AF2" s="577" t="s">
        <v>341</v>
      </c>
      <c r="AG2" s="577" t="s">
        <v>332</v>
      </c>
      <c r="AH2" s="577" t="s">
        <v>333</v>
      </c>
      <c r="AI2" s="577" t="s">
        <v>335</v>
      </c>
      <c r="AJ2" s="577" t="s">
        <v>348</v>
      </c>
      <c r="AK2" s="577" t="s">
        <v>349</v>
      </c>
      <c r="AL2" s="577" t="s">
        <v>350</v>
      </c>
      <c r="AM2" s="577" t="s">
        <v>351</v>
      </c>
      <c r="AN2" s="577" t="s">
        <v>352</v>
      </c>
    </row>
    <row r="3" spans="1:40" ht="14.4">
      <c r="A3" s="581" t="s">
        <v>353</v>
      </c>
      <c r="B3" s="582"/>
      <c r="C3" s="583"/>
      <c r="D3" s="583"/>
      <c r="E3" s="583"/>
      <c r="F3" s="559"/>
      <c r="G3" s="584"/>
      <c r="H3" s="585"/>
      <c r="I3" s="559"/>
      <c r="J3" s="559"/>
      <c r="K3" s="586" t="str">
        <f>IFERROR(_xlfn.RANK.EQ(F3,F$3:F$61),"N/A")</f>
        <v>N/A</v>
      </c>
      <c r="L3" s="586" t="str">
        <f t="shared" ref="L3:L34" si="0">IFERROR(_xlfn.RANK.EQ(G3,G$3:G$61),"N/A")</f>
        <v>N/A</v>
      </c>
      <c r="M3" s="586" t="str">
        <f t="shared" ref="M3:M34" si="1">IFERROR(_xlfn.RANK.EQ(H3,H$3:H$61),"N/A")</f>
        <v>N/A</v>
      </c>
      <c r="N3" s="586" t="str">
        <f t="shared" ref="N3:N34" si="2">IFERROR(_xlfn.RANK.EQ(I3,I$3:I$61),"N/A")</f>
        <v>N/A</v>
      </c>
      <c r="O3" s="586" t="str">
        <f t="shared" ref="O3:O34" si="3">IFERROR(_xlfn.RANK.EQ(J3,J$3:J$61),"N/A")</f>
        <v>N/A</v>
      </c>
      <c r="P3" s="586" t="s">
        <v>65</v>
      </c>
      <c r="Q3" s="586" t="s">
        <v>65</v>
      </c>
      <c r="R3" s="586" t="s">
        <v>65</v>
      </c>
      <c r="S3" s="586" t="s">
        <v>65</v>
      </c>
      <c r="T3" s="586" t="s">
        <v>65</v>
      </c>
      <c r="U3" s="586" t="s">
        <v>65</v>
      </c>
      <c r="V3" s="586" t="s">
        <v>65</v>
      </c>
      <c r="W3" s="586" t="s">
        <v>65</v>
      </c>
      <c r="X3" s="348"/>
      <c r="Y3" s="587" t="str">
        <f t="shared" ref="Y3:Y66" si="4">IF(OR(Z3="Y",AA3="Y"),"Not suitable","")</f>
        <v>Not suitable</v>
      </c>
      <c r="Z3" s="587" t="str">
        <f>IF(N3="N/A","Y","")</f>
        <v>Y</v>
      </c>
      <c r="AA3" s="560"/>
      <c r="AB3" s="586"/>
      <c r="AD3" s="1819"/>
      <c r="AE3" s="569" t="e" cm="1">
        <f t="array" ref="AE3">_xlfn._xlws.SORT(_xlfn._xlws.FILTER(SARD!W3:W61,SARD!W3:W61&lt;=SMALL(W3:W61,6)),,1)</f>
        <v>#NUM!</v>
      </c>
      <c r="AF3" s="576" t="e">
        <f t="shared" ref="AF3:AF8" si="5">_xlfn.XLOOKUP($AE3,$W:$W,U:U,,0)</f>
        <v>#NUM!</v>
      </c>
      <c r="AG3" s="576" t="e">
        <f>_xlfn.XLOOKUP($AE3,$W:$W,B:B,,0)</f>
        <v>#NUM!</v>
      </c>
      <c r="AH3" s="576" t="e">
        <f t="shared" ref="AG3:AH8" si="6">_xlfn.XLOOKUP($AE3,$W:$W,C:C,,0)</f>
        <v>#NUM!</v>
      </c>
      <c r="AI3" s="576" t="e">
        <f t="shared" ref="AI3:AI8" si="7">_xlfn.XLOOKUP($AE3,$W:$W,E:E,,0)</f>
        <v>#NUM!</v>
      </c>
      <c r="AJ3" s="570"/>
      <c r="AK3" s="570"/>
      <c r="AL3" s="570"/>
      <c r="AM3" s="570"/>
      <c r="AN3" s="570"/>
    </row>
    <row r="4" spans="1:40" ht="14.4">
      <c r="A4" s="588" t="s">
        <v>354</v>
      </c>
      <c r="B4" s="589"/>
      <c r="C4" s="583"/>
      <c r="D4" s="590"/>
      <c r="E4" s="583"/>
      <c r="F4" s="559"/>
      <c r="G4" s="584"/>
      <c r="H4" s="585"/>
      <c r="I4" s="559"/>
      <c r="J4" s="559"/>
      <c r="K4" s="586" t="str">
        <f t="shared" ref="K4:K34" si="8">IFERROR(_xlfn.RANK.EQ(F4,F$3:F$61),"N/A")</f>
        <v>N/A</v>
      </c>
      <c r="L4" s="586" t="str">
        <f t="shared" si="0"/>
        <v>N/A</v>
      </c>
      <c r="M4" s="586" t="str">
        <f t="shared" si="1"/>
        <v>N/A</v>
      </c>
      <c r="N4" s="586" t="str">
        <f t="shared" si="2"/>
        <v>N/A</v>
      </c>
      <c r="O4" s="586" t="str">
        <f t="shared" si="3"/>
        <v>N/A</v>
      </c>
      <c r="P4" s="586" t="str">
        <f t="shared" ref="P4:P35" si="9">IFERROR(ABS(K$3-K4),"N/A")</f>
        <v>N/A</v>
      </c>
      <c r="Q4" s="586" t="str">
        <f t="shared" ref="Q4:Q35" si="10">IFERROR(ABS(L$3-L4),"N/A")</f>
        <v>N/A</v>
      </c>
      <c r="R4" s="586" t="str">
        <f t="shared" ref="R4:R35" si="11">IFERROR(ABS(M$3-M4),"N/A")</f>
        <v>N/A</v>
      </c>
      <c r="S4" s="586" t="str">
        <f t="shared" ref="S4:S35" si="12">IFERROR(ABS(N$3-N4),"N/A")</f>
        <v>N/A</v>
      </c>
      <c r="T4" s="586" t="str">
        <f t="shared" ref="T4:T35" si="13">IFERROR(ABS(O$3-O4),"N/A")</f>
        <v>N/A</v>
      </c>
      <c r="U4" s="591">
        <f t="shared" ref="U4:U35" si="14">SUM(P4:T4)</f>
        <v>0</v>
      </c>
      <c r="V4" s="586">
        <f>_xlfn.RANK.EQ(U4,$U$4:$U$61,1)</f>
        <v>1</v>
      </c>
      <c r="W4" s="592" t="str">
        <f t="shared" ref="W4" si="15">IF(Y4="Not suitable","-",V4)</f>
        <v>-</v>
      </c>
      <c r="X4" s="348"/>
      <c r="Y4" s="593" t="str">
        <f t="shared" si="4"/>
        <v>Not suitable</v>
      </c>
      <c r="Z4" s="594" t="str">
        <f>IF(N4="N/A","Y","")</f>
        <v>Y</v>
      </c>
      <c r="AA4" s="560"/>
      <c r="AB4" s="586"/>
      <c r="AD4" s="1819"/>
      <c r="AE4" s="569"/>
      <c r="AF4" s="576" t="str">
        <f t="shared" si="5"/>
        <v>Results</v>
      </c>
      <c r="AG4" s="576">
        <f t="shared" si="6"/>
        <v>0</v>
      </c>
      <c r="AH4" s="576">
        <f t="shared" si="6"/>
        <v>0</v>
      </c>
      <c r="AI4" s="576">
        <f t="shared" si="7"/>
        <v>0</v>
      </c>
      <c r="AJ4" s="570"/>
      <c r="AK4" s="570"/>
      <c r="AL4" s="570"/>
      <c r="AM4" s="570"/>
      <c r="AN4" s="570"/>
    </row>
    <row r="5" spans="1:40" ht="14.4">
      <c r="A5" s="595"/>
      <c r="B5" s="596"/>
      <c r="C5" s="597"/>
      <c r="D5" s="598"/>
      <c r="E5" s="599"/>
      <c r="F5" s="575"/>
      <c r="G5" s="600"/>
      <c r="H5" s="601"/>
      <c r="I5" s="575"/>
      <c r="J5" s="575"/>
      <c r="K5" s="593" t="str">
        <f t="shared" si="8"/>
        <v>N/A</v>
      </c>
      <c r="L5" s="593" t="str">
        <f t="shared" si="0"/>
        <v>N/A</v>
      </c>
      <c r="M5" s="593" t="str">
        <f t="shared" si="1"/>
        <v>N/A</v>
      </c>
      <c r="N5" s="593" t="str">
        <f t="shared" si="2"/>
        <v>N/A</v>
      </c>
      <c r="O5" s="593" t="str">
        <f t="shared" si="3"/>
        <v>N/A</v>
      </c>
      <c r="P5" s="593" t="str">
        <f t="shared" si="9"/>
        <v>N/A</v>
      </c>
      <c r="Q5" s="593" t="str">
        <f t="shared" si="10"/>
        <v>N/A</v>
      </c>
      <c r="R5" s="593" t="str">
        <f t="shared" si="11"/>
        <v>N/A</v>
      </c>
      <c r="S5" s="593" t="str">
        <f t="shared" si="12"/>
        <v>N/A</v>
      </c>
      <c r="T5" s="593" t="str">
        <f t="shared" si="13"/>
        <v>N/A</v>
      </c>
      <c r="U5" s="593">
        <f t="shared" si="14"/>
        <v>0</v>
      </c>
      <c r="V5" s="593">
        <f>_xlfn.RANK.EQ(U5,$U$4:$U$61,1)</f>
        <v>1</v>
      </c>
      <c r="W5" s="593" t="str">
        <f t="shared" ref="W5:W36" si="16">IF(Y5="Not suitable","-",V5)</f>
        <v>-</v>
      </c>
      <c r="Y5" s="593" t="str">
        <f t="shared" si="4"/>
        <v>Not suitable</v>
      </c>
      <c r="Z5" s="602" t="str">
        <f>IF(N5="N/A","Y","")</f>
        <v>Y</v>
      </c>
      <c r="AA5" s="574"/>
      <c r="AB5" s="593"/>
      <c r="AD5" s="1819"/>
      <c r="AE5" s="569"/>
      <c r="AF5" s="576" t="str">
        <f t="shared" si="5"/>
        <v>Results</v>
      </c>
      <c r="AG5" s="576">
        <f t="shared" si="6"/>
        <v>0</v>
      </c>
      <c r="AH5" s="576">
        <f t="shared" si="6"/>
        <v>0</v>
      </c>
      <c r="AI5" s="576">
        <f t="shared" si="7"/>
        <v>0</v>
      </c>
      <c r="AJ5" s="570"/>
      <c r="AK5" s="570"/>
      <c r="AL5" s="570"/>
      <c r="AM5" s="570"/>
      <c r="AN5" s="570"/>
    </row>
    <row r="6" spans="1:40" ht="14.4">
      <c r="A6" s="588"/>
      <c r="B6" s="596"/>
      <c r="C6" s="598"/>
      <c r="D6" s="598"/>
      <c r="E6" s="598"/>
      <c r="F6" s="575"/>
      <c r="G6" s="600"/>
      <c r="H6" s="601"/>
      <c r="I6" s="575"/>
      <c r="J6" s="575"/>
      <c r="K6" s="593" t="str">
        <f t="shared" si="8"/>
        <v>N/A</v>
      </c>
      <c r="L6" s="593" t="str">
        <f t="shared" si="0"/>
        <v>N/A</v>
      </c>
      <c r="M6" s="593" t="str">
        <f t="shared" si="1"/>
        <v>N/A</v>
      </c>
      <c r="N6" s="593" t="str">
        <f t="shared" si="2"/>
        <v>N/A</v>
      </c>
      <c r="O6" s="593" t="str">
        <f t="shared" si="3"/>
        <v>N/A</v>
      </c>
      <c r="P6" s="593" t="str">
        <f t="shared" si="9"/>
        <v>N/A</v>
      </c>
      <c r="Q6" s="593" t="str">
        <f t="shared" si="10"/>
        <v>N/A</v>
      </c>
      <c r="R6" s="593" t="str">
        <f t="shared" si="11"/>
        <v>N/A</v>
      </c>
      <c r="S6" s="593" t="str">
        <f t="shared" si="12"/>
        <v>N/A</v>
      </c>
      <c r="T6" s="593" t="str">
        <f t="shared" si="13"/>
        <v>N/A</v>
      </c>
      <c r="U6" s="593">
        <f t="shared" si="14"/>
        <v>0</v>
      </c>
      <c r="V6" s="593">
        <f t="shared" ref="V6:V35" si="17">_xlfn.RANK.EQ(U6,$U$4:$U$61,1)</f>
        <v>1</v>
      </c>
      <c r="W6" s="593" t="str">
        <f t="shared" si="16"/>
        <v>-</v>
      </c>
      <c r="Y6" s="593" t="str">
        <f t="shared" si="4"/>
        <v>Not suitable</v>
      </c>
      <c r="Z6" s="602" t="str">
        <f t="shared" ref="Z6:Z69" si="18">IF(N6="N/A","Y","")</f>
        <v>Y</v>
      </c>
      <c r="AA6" s="574"/>
      <c r="AB6" s="593"/>
      <c r="AD6" s="1819"/>
      <c r="AE6" s="572"/>
      <c r="AF6" s="576" t="str">
        <f t="shared" si="5"/>
        <v>Results</v>
      </c>
      <c r="AG6" s="576">
        <f t="shared" si="6"/>
        <v>0</v>
      </c>
      <c r="AH6" s="576">
        <f t="shared" si="6"/>
        <v>0</v>
      </c>
      <c r="AI6" s="576">
        <f t="shared" si="7"/>
        <v>0</v>
      </c>
      <c r="AJ6" s="573"/>
      <c r="AK6" s="573"/>
      <c r="AL6" s="573"/>
      <c r="AM6" s="573"/>
      <c r="AN6" s="573"/>
    </row>
    <row r="7" spans="1:40" ht="14.4">
      <c r="A7" s="588"/>
      <c r="B7" s="596"/>
      <c r="C7" s="598"/>
      <c r="D7" s="598"/>
      <c r="E7" s="598"/>
      <c r="F7" s="575"/>
      <c r="G7" s="600"/>
      <c r="H7" s="601"/>
      <c r="I7" s="575"/>
      <c r="J7" s="575"/>
      <c r="K7" s="593" t="str">
        <f t="shared" si="8"/>
        <v>N/A</v>
      </c>
      <c r="L7" s="593" t="str">
        <f t="shared" si="0"/>
        <v>N/A</v>
      </c>
      <c r="M7" s="593" t="str">
        <f t="shared" si="1"/>
        <v>N/A</v>
      </c>
      <c r="N7" s="593" t="str">
        <f t="shared" si="2"/>
        <v>N/A</v>
      </c>
      <c r="O7" s="593" t="str">
        <f t="shared" si="3"/>
        <v>N/A</v>
      </c>
      <c r="P7" s="593" t="str">
        <f t="shared" si="9"/>
        <v>N/A</v>
      </c>
      <c r="Q7" s="593" t="str">
        <f t="shared" si="10"/>
        <v>N/A</v>
      </c>
      <c r="R7" s="593" t="str">
        <f t="shared" si="11"/>
        <v>N/A</v>
      </c>
      <c r="S7" s="593" t="str">
        <f t="shared" si="12"/>
        <v>N/A</v>
      </c>
      <c r="T7" s="593" t="str">
        <f t="shared" si="13"/>
        <v>N/A</v>
      </c>
      <c r="U7" s="593">
        <f t="shared" si="14"/>
        <v>0</v>
      </c>
      <c r="V7" s="593">
        <f t="shared" si="17"/>
        <v>1</v>
      </c>
      <c r="W7" s="593" t="str">
        <f t="shared" si="16"/>
        <v>-</v>
      </c>
      <c r="Y7" s="593" t="str">
        <f t="shared" si="4"/>
        <v>Not suitable</v>
      </c>
      <c r="Z7" s="602" t="str">
        <f t="shared" si="18"/>
        <v>Y</v>
      </c>
      <c r="AA7" s="574"/>
      <c r="AB7" s="593"/>
      <c r="AD7" s="1819"/>
      <c r="AE7" s="569"/>
      <c r="AF7" s="576" t="str">
        <f t="shared" si="5"/>
        <v>Results</v>
      </c>
      <c r="AG7" s="576">
        <f t="shared" si="6"/>
        <v>0</v>
      </c>
      <c r="AH7" s="576">
        <f t="shared" si="6"/>
        <v>0</v>
      </c>
      <c r="AI7" s="576">
        <f t="shared" si="7"/>
        <v>0</v>
      </c>
      <c r="AJ7" s="570"/>
      <c r="AK7" s="570"/>
      <c r="AL7" s="570"/>
      <c r="AM7" s="570"/>
      <c r="AN7" s="570"/>
    </row>
    <row r="8" spans="1:40" ht="14.4">
      <c r="A8" s="588"/>
      <c r="B8" s="596"/>
      <c r="C8" s="598"/>
      <c r="D8" s="598"/>
      <c r="E8" s="598"/>
      <c r="F8" s="575"/>
      <c r="G8" s="600"/>
      <c r="H8" s="601"/>
      <c r="I8" s="575"/>
      <c r="J8" s="575"/>
      <c r="K8" s="593" t="str">
        <f t="shared" si="8"/>
        <v>N/A</v>
      </c>
      <c r="L8" s="593" t="str">
        <f t="shared" si="0"/>
        <v>N/A</v>
      </c>
      <c r="M8" s="593" t="str">
        <f t="shared" si="1"/>
        <v>N/A</v>
      </c>
      <c r="N8" s="593" t="str">
        <f t="shared" si="2"/>
        <v>N/A</v>
      </c>
      <c r="O8" s="593" t="str">
        <f t="shared" si="3"/>
        <v>N/A</v>
      </c>
      <c r="P8" s="593" t="str">
        <f t="shared" si="9"/>
        <v>N/A</v>
      </c>
      <c r="Q8" s="593" t="str">
        <f t="shared" si="10"/>
        <v>N/A</v>
      </c>
      <c r="R8" s="593" t="str">
        <f t="shared" si="11"/>
        <v>N/A</v>
      </c>
      <c r="S8" s="593" t="str">
        <f t="shared" si="12"/>
        <v>N/A</v>
      </c>
      <c r="T8" s="593" t="str">
        <f t="shared" si="13"/>
        <v>N/A</v>
      </c>
      <c r="U8" s="593">
        <f t="shared" si="14"/>
        <v>0</v>
      </c>
      <c r="V8" s="593">
        <f t="shared" si="17"/>
        <v>1</v>
      </c>
      <c r="W8" s="593" t="str">
        <f t="shared" si="16"/>
        <v>-</v>
      </c>
      <c r="Y8" s="593" t="str">
        <f t="shared" si="4"/>
        <v>Not suitable</v>
      </c>
      <c r="Z8" s="602" t="str">
        <f t="shared" si="18"/>
        <v>Y</v>
      </c>
      <c r="AA8" s="574"/>
      <c r="AB8" s="593"/>
      <c r="AD8" s="1819"/>
      <c r="AE8" s="569"/>
      <c r="AF8" s="576" t="str">
        <f t="shared" si="5"/>
        <v>Results</v>
      </c>
      <c r="AG8" s="576">
        <f t="shared" si="6"/>
        <v>0</v>
      </c>
      <c r="AH8" s="576">
        <f t="shared" si="6"/>
        <v>0</v>
      </c>
      <c r="AI8" s="576">
        <f t="shared" si="7"/>
        <v>0</v>
      </c>
      <c r="AJ8" s="570"/>
      <c r="AK8" s="570"/>
      <c r="AL8" s="570"/>
      <c r="AM8" s="570"/>
      <c r="AN8" s="570"/>
    </row>
    <row r="9" spans="1:40" ht="14.4">
      <c r="A9" s="588"/>
      <c r="B9" s="596"/>
      <c r="C9" s="598"/>
      <c r="D9" s="598"/>
      <c r="E9" s="598"/>
      <c r="F9" s="575"/>
      <c r="G9" s="600"/>
      <c r="H9" s="601"/>
      <c r="I9" s="575"/>
      <c r="J9" s="575"/>
      <c r="K9" s="593" t="str">
        <f t="shared" si="8"/>
        <v>N/A</v>
      </c>
      <c r="L9" s="593" t="str">
        <f t="shared" si="0"/>
        <v>N/A</v>
      </c>
      <c r="M9" s="593" t="str">
        <f t="shared" si="1"/>
        <v>N/A</v>
      </c>
      <c r="N9" s="593" t="str">
        <f t="shared" si="2"/>
        <v>N/A</v>
      </c>
      <c r="O9" s="593" t="str">
        <f t="shared" si="3"/>
        <v>N/A</v>
      </c>
      <c r="P9" s="593" t="str">
        <f t="shared" si="9"/>
        <v>N/A</v>
      </c>
      <c r="Q9" s="593" t="str">
        <f t="shared" si="10"/>
        <v>N/A</v>
      </c>
      <c r="R9" s="593" t="str">
        <f t="shared" si="11"/>
        <v>N/A</v>
      </c>
      <c r="S9" s="593" t="str">
        <f t="shared" si="12"/>
        <v>N/A</v>
      </c>
      <c r="T9" s="593" t="str">
        <f t="shared" si="13"/>
        <v>N/A</v>
      </c>
      <c r="U9" s="593">
        <f t="shared" si="14"/>
        <v>0</v>
      </c>
      <c r="V9" s="593">
        <f t="shared" si="17"/>
        <v>1</v>
      </c>
      <c r="W9" s="593" t="str">
        <f t="shared" si="16"/>
        <v>-</v>
      </c>
      <c r="Y9" s="593" t="str">
        <f t="shared" si="4"/>
        <v>Not suitable</v>
      </c>
      <c r="Z9" s="602" t="str">
        <f t="shared" si="18"/>
        <v>Y</v>
      </c>
      <c r="AA9" s="574"/>
      <c r="AB9" s="593"/>
      <c r="AD9" s="1819"/>
      <c r="AE9" s="1825" t="s">
        <v>355</v>
      </c>
      <c r="AF9" s="1826"/>
      <c r="AG9" s="1826"/>
      <c r="AH9" s="1826"/>
      <c r="AI9" s="1827"/>
      <c r="AJ9" s="571" t="e">
        <f>MEDIAN(AJ3:AJ8)</f>
        <v>#NUM!</v>
      </c>
      <c r="AK9" s="571" t="e">
        <f t="shared" ref="AK9:AN9" si="19">MEDIAN(AK3:AK8)</f>
        <v>#NUM!</v>
      </c>
      <c r="AL9" s="571" t="e">
        <f t="shared" si="19"/>
        <v>#NUM!</v>
      </c>
      <c r="AM9" s="571" t="e">
        <f t="shared" si="19"/>
        <v>#NUM!</v>
      </c>
      <c r="AN9" s="571" t="e">
        <f t="shared" si="19"/>
        <v>#NUM!</v>
      </c>
    </row>
    <row r="10" spans="1:40" ht="18">
      <c r="A10" s="588"/>
      <c r="B10" s="596"/>
      <c r="C10" s="598"/>
      <c r="D10" s="598"/>
      <c r="E10" s="598"/>
      <c r="F10" s="575"/>
      <c r="G10" s="600"/>
      <c r="H10" s="601"/>
      <c r="I10" s="575"/>
      <c r="J10" s="575"/>
      <c r="K10" s="593" t="str">
        <f t="shared" si="8"/>
        <v>N/A</v>
      </c>
      <c r="L10" s="593" t="str">
        <f t="shared" si="0"/>
        <v>N/A</v>
      </c>
      <c r="M10" s="593" t="str">
        <f t="shared" si="1"/>
        <v>N/A</v>
      </c>
      <c r="N10" s="593" t="str">
        <f t="shared" si="2"/>
        <v>N/A</v>
      </c>
      <c r="O10" s="593" t="str">
        <f t="shared" si="3"/>
        <v>N/A</v>
      </c>
      <c r="P10" s="593" t="str">
        <f t="shared" si="9"/>
        <v>N/A</v>
      </c>
      <c r="Q10" s="593" t="str">
        <f t="shared" si="10"/>
        <v>N/A</v>
      </c>
      <c r="R10" s="593" t="str">
        <f t="shared" si="11"/>
        <v>N/A</v>
      </c>
      <c r="S10" s="593" t="str">
        <f t="shared" si="12"/>
        <v>N/A</v>
      </c>
      <c r="T10" s="593" t="str">
        <f t="shared" si="13"/>
        <v>N/A</v>
      </c>
      <c r="U10" s="593">
        <f t="shared" si="14"/>
        <v>0</v>
      </c>
      <c r="V10" s="593">
        <f t="shared" si="17"/>
        <v>1</v>
      </c>
      <c r="W10" s="593" t="str">
        <f t="shared" si="16"/>
        <v>-</v>
      </c>
      <c r="Y10" s="593" t="str">
        <f t="shared" si="4"/>
        <v>Not suitable</v>
      </c>
      <c r="Z10" s="602" t="str">
        <f t="shared" si="18"/>
        <v>Y</v>
      </c>
      <c r="AA10" s="574"/>
      <c r="AB10" s="593"/>
      <c r="AD10" s="1819"/>
      <c r="AE10" s="1819" t="s">
        <v>356</v>
      </c>
      <c r="AF10" s="1819"/>
      <c r="AG10" s="1819"/>
      <c r="AH10" s="1819"/>
      <c r="AI10" s="1819"/>
      <c r="AJ10" s="1820" t="s">
        <v>357</v>
      </c>
      <c r="AK10" s="1820"/>
      <c r="AL10" s="1820"/>
      <c r="AM10" s="1820"/>
      <c r="AN10" s="1820"/>
    </row>
    <row r="11" spans="1:40" ht="14.4">
      <c r="A11" s="588"/>
      <c r="B11" s="596"/>
      <c r="C11" s="598"/>
      <c r="D11" s="598"/>
      <c r="E11" s="598"/>
      <c r="F11" s="575"/>
      <c r="G11" s="600"/>
      <c r="H11" s="601"/>
      <c r="I11" s="575"/>
      <c r="J11" s="575"/>
      <c r="K11" s="593" t="str">
        <f t="shared" si="8"/>
        <v>N/A</v>
      </c>
      <c r="L11" s="593" t="str">
        <f t="shared" si="0"/>
        <v>N/A</v>
      </c>
      <c r="M11" s="593" t="str">
        <f t="shared" si="1"/>
        <v>N/A</v>
      </c>
      <c r="N11" s="593" t="str">
        <f t="shared" si="2"/>
        <v>N/A</v>
      </c>
      <c r="O11" s="593" t="str">
        <f t="shared" si="3"/>
        <v>N/A</v>
      </c>
      <c r="P11" s="593" t="str">
        <f t="shared" si="9"/>
        <v>N/A</v>
      </c>
      <c r="Q11" s="593" t="str">
        <f t="shared" si="10"/>
        <v>N/A</v>
      </c>
      <c r="R11" s="593" t="str">
        <f t="shared" si="11"/>
        <v>N/A</v>
      </c>
      <c r="S11" s="593" t="str">
        <f t="shared" si="12"/>
        <v>N/A</v>
      </c>
      <c r="T11" s="593" t="str">
        <f t="shared" si="13"/>
        <v>N/A</v>
      </c>
      <c r="U11" s="593">
        <f t="shared" si="14"/>
        <v>0</v>
      </c>
      <c r="V11" s="593">
        <f t="shared" si="17"/>
        <v>1</v>
      </c>
      <c r="W11" s="593" t="str">
        <f t="shared" si="16"/>
        <v>-</v>
      </c>
      <c r="Y11" s="593" t="str">
        <f t="shared" si="4"/>
        <v>Not suitable</v>
      </c>
      <c r="Z11" s="602" t="str">
        <f t="shared" si="18"/>
        <v>Y</v>
      </c>
      <c r="AA11" s="574"/>
      <c r="AB11" s="593"/>
      <c r="AD11" s="1819"/>
      <c r="AE11" s="577" t="s">
        <v>353</v>
      </c>
      <c r="AF11" s="578" t="s">
        <v>358</v>
      </c>
      <c r="AG11" s="577" t="s">
        <v>359</v>
      </c>
      <c r="AH11" s="1821" t="s">
        <v>360</v>
      </c>
      <c r="AI11" s="1822"/>
      <c r="AJ11" s="577" t="s">
        <v>348</v>
      </c>
      <c r="AK11" s="577" t="s">
        <v>349</v>
      </c>
      <c r="AL11" s="577" t="s">
        <v>350</v>
      </c>
      <c r="AM11" s="577" t="s">
        <v>351</v>
      </c>
      <c r="AN11" s="577" t="s">
        <v>352</v>
      </c>
    </row>
    <row r="12" spans="1:40" ht="14.4">
      <c r="A12" s="588"/>
      <c r="B12" s="596"/>
      <c r="C12" s="598"/>
      <c r="D12" s="598"/>
      <c r="E12" s="598"/>
      <c r="F12" s="575"/>
      <c r="G12" s="600"/>
      <c r="H12" s="601"/>
      <c r="I12" s="575"/>
      <c r="J12" s="575"/>
      <c r="K12" s="593" t="str">
        <f t="shared" si="8"/>
        <v>N/A</v>
      </c>
      <c r="L12" s="593" t="str">
        <f t="shared" si="0"/>
        <v>N/A</v>
      </c>
      <c r="M12" s="593" t="str">
        <f t="shared" si="1"/>
        <v>N/A</v>
      </c>
      <c r="N12" s="593" t="str">
        <f t="shared" si="2"/>
        <v>N/A</v>
      </c>
      <c r="O12" s="593" t="str">
        <f t="shared" si="3"/>
        <v>N/A</v>
      </c>
      <c r="P12" s="593" t="str">
        <f t="shared" si="9"/>
        <v>N/A</v>
      </c>
      <c r="Q12" s="593" t="str">
        <f t="shared" si="10"/>
        <v>N/A</v>
      </c>
      <c r="R12" s="593" t="str">
        <f t="shared" si="11"/>
        <v>N/A</v>
      </c>
      <c r="S12" s="593" t="str">
        <f t="shared" si="12"/>
        <v>N/A</v>
      </c>
      <c r="T12" s="593" t="str">
        <f t="shared" si="13"/>
        <v>N/A</v>
      </c>
      <c r="U12" s="593">
        <f t="shared" si="14"/>
        <v>0</v>
      </c>
      <c r="V12" s="593">
        <f t="shared" si="17"/>
        <v>1</v>
      </c>
      <c r="W12" s="593" t="str">
        <f t="shared" si="16"/>
        <v>-</v>
      </c>
      <c r="Y12" s="593" t="str">
        <f t="shared" si="4"/>
        <v>Not suitable</v>
      </c>
      <c r="Z12" s="602" t="str">
        <f t="shared" si="18"/>
        <v>Y</v>
      </c>
      <c r="AA12" s="574"/>
      <c r="AB12" s="593"/>
      <c r="AD12" s="1819"/>
      <c r="AE12" s="569">
        <f>C3</f>
        <v>0</v>
      </c>
      <c r="AF12" s="404">
        <v>1000000</v>
      </c>
      <c r="AG12" s="404">
        <f ca="1">OP!C21</f>
        <v>1616297000</v>
      </c>
      <c r="AH12" s="1823">
        <f>-'Fin. Data'!B58*SARD!AF12+'Fin. Data'!B39*SARD!AF12</f>
        <v>1681000000</v>
      </c>
      <c r="AI12" s="1824"/>
      <c r="AJ12" s="570" t="e">
        <f ca="1">AJ9*'Fin. Data'!B23*AF$12/AG$12</f>
        <v>#NUM!</v>
      </c>
      <c r="AK12" s="570" t="e">
        <f ca="1">AK9*'Fin. Data'!B64*AF$12/AG$12</f>
        <v>#NUM!</v>
      </c>
      <c r="AL12" s="608" t="e">
        <f ca="1">AL9*'Fin. Data'!B5*AF$12/AG$12</f>
        <v>#NUM!</v>
      </c>
      <c r="AM12" s="570" t="e">
        <f ca="1">(AM9*'Fin. Data'!B5*$AF12+$AH12)/$AG12</f>
        <v>#NUM!</v>
      </c>
      <c r="AN12" s="570" t="e">
        <f ca="1">(AN9*'Fin. Data'!B19*$AF12+$AH12)/$AG12</f>
        <v>#NUM!</v>
      </c>
    </row>
    <row r="13" spans="1:40" ht="18">
      <c r="A13" s="588"/>
      <c r="B13" s="596"/>
      <c r="C13" s="598"/>
      <c r="D13" s="598"/>
      <c r="E13" s="598"/>
      <c r="F13" s="575"/>
      <c r="G13" s="600"/>
      <c r="H13" s="601"/>
      <c r="I13" s="575"/>
      <c r="J13" s="575"/>
      <c r="K13" s="593" t="str">
        <f t="shared" si="8"/>
        <v>N/A</v>
      </c>
      <c r="L13" s="593" t="str">
        <f t="shared" si="0"/>
        <v>N/A</v>
      </c>
      <c r="M13" s="593" t="str">
        <f t="shared" si="1"/>
        <v>N/A</v>
      </c>
      <c r="N13" s="593" t="str">
        <f t="shared" si="2"/>
        <v>N/A</v>
      </c>
      <c r="O13" s="593" t="str">
        <f t="shared" si="3"/>
        <v>N/A</v>
      </c>
      <c r="P13" s="593" t="str">
        <f t="shared" si="9"/>
        <v>N/A</v>
      </c>
      <c r="Q13" s="593" t="str">
        <f t="shared" si="10"/>
        <v>N/A</v>
      </c>
      <c r="R13" s="593" t="str">
        <f t="shared" si="11"/>
        <v>N/A</v>
      </c>
      <c r="S13" s="593" t="str">
        <f t="shared" si="12"/>
        <v>N/A</v>
      </c>
      <c r="T13" s="593" t="str">
        <f t="shared" si="13"/>
        <v>N/A</v>
      </c>
      <c r="U13" s="593">
        <f t="shared" si="14"/>
        <v>0</v>
      </c>
      <c r="V13" s="593">
        <f t="shared" si="17"/>
        <v>1</v>
      </c>
      <c r="W13" s="593" t="str">
        <f t="shared" si="16"/>
        <v>-</v>
      </c>
      <c r="Y13" s="593" t="str">
        <f t="shared" si="4"/>
        <v>Not suitable</v>
      </c>
      <c r="Z13" s="602" t="str">
        <f t="shared" si="18"/>
        <v>Y</v>
      </c>
      <c r="AA13" s="574"/>
      <c r="AB13" s="593"/>
      <c r="AE13" s="1833" t="s">
        <v>361</v>
      </c>
      <c r="AF13" s="1833"/>
      <c r="AG13" s="1834"/>
      <c r="AH13" s="1834"/>
      <c r="AI13" s="1833"/>
      <c r="AJ13" s="1835" t="e">
        <f ca="1">AVERAGE(AJ12:AL12)</f>
        <v>#NUM!</v>
      </c>
      <c r="AK13" s="1835"/>
      <c r="AL13" s="1835"/>
      <c r="AM13" s="1835" t="e">
        <f ca="1">AVERAGE(AM12:AN12)</f>
        <v>#NUM!</v>
      </c>
      <c r="AN13" s="1835"/>
    </row>
    <row r="14" spans="1:40" ht="18.75" customHeight="1">
      <c r="A14" s="588"/>
      <c r="B14" s="596"/>
      <c r="C14" s="598"/>
      <c r="D14" s="598"/>
      <c r="E14" s="598"/>
      <c r="F14" s="575"/>
      <c r="G14" s="600"/>
      <c r="H14" s="601"/>
      <c r="I14" s="575"/>
      <c r="J14" s="575"/>
      <c r="K14" s="593" t="str">
        <f t="shared" si="8"/>
        <v>N/A</v>
      </c>
      <c r="L14" s="593" t="str">
        <f t="shared" si="0"/>
        <v>N/A</v>
      </c>
      <c r="M14" s="593" t="str">
        <f t="shared" si="1"/>
        <v>N/A</v>
      </c>
      <c r="N14" s="593" t="str">
        <f t="shared" si="2"/>
        <v>N/A</v>
      </c>
      <c r="O14" s="593" t="str">
        <f t="shared" si="3"/>
        <v>N/A</v>
      </c>
      <c r="P14" s="593" t="str">
        <f t="shared" si="9"/>
        <v>N/A</v>
      </c>
      <c r="Q14" s="593" t="str">
        <f t="shared" si="10"/>
        <v>N/A</v>
      </c>
      <c r="R14" s="593" t="str">
        <f t="shared" si="11"/>
        <v>N/A</v>
      </c>
      <c r="S14" s="593" t="str">
        <f t="shared" si="12"/>
        <v>N/A</v>
      </c>
      <c r="T14" s="593" t="str">
        <f t="shared" si="13"/>
        <v>N/A</v>
      </c>
      <c r="U14" s="593">
        <f t="shared" si="14"/>
        <v>0</v>
      </c>
      <c r="V14" s="593">
        <f t="shared" si="17"/>
        <v>1</v>
      </c>
      <c r="W14" s="593" t="str">
        <f t="shared" si="16"/>
        <v>-</v>
      </c>
      <c r="Y14" s="593" t="str">
        <f t="shared" si="4"/>
        <v>Not suitable</v>
      </c>
      <c r="Z14" s="602" t="str">
        <f t="shared" si="18"/>
        <v>Y</v>
      </c>
      <c r="AA14" s="574"/>
      <c r="AB14" s="593"/>
      <c r="AD14" s="603"/>
      <c r="AE14" s="1828" t="s">
        <v>114</v>
      </c>
      <c r="AF14" s="1829"/>
      <c r="AG14" s="1829"/>
      <c r="AH14" s="1829"/>
      <c r="AI14" s="1830"/>
      <c r="AJ14" s="1831" t="e">
        <f ca="1">AJ13/OP!C20-1</f>
        <v>#NUM!</v>
      </c>
      <c r="AK14" s="1832"/>
      <c r="AL14" s="1832"/>
      <c r="AM14" s="1832" t="e">
        <f ca="1">AM13/OP!C20-1</f>
        <v>#NUM!</v>
      </c>
      <c r="AN14" s="1832"/>
    </row>
    <row r="15" spans="1:40" ht="14.4">
      <c r="A15" s="588"/>
      <c r="B15" s="596"/>
      <c r="C15" s="598"/>
      <c r="D15" s="598"/>
      <c r="E15" s="598"/>
      <c r="F15" s="575"/>
      <c r="G15" s="600"/>
      <c r="H15" s="601"/>
      <c r="I15" s="575"/>
      <c r="J15" s="575"/>
      <c r="K15" s="593" t="str">
        <f t="shared" si="8"/>
        <v>N/A</v>
      </c>
      <c r="L15" s="593" t="str">
        <f t="shared" si="0"/>
        <v>N/A</v>
      </c>
      <c r="M15" s="593" t="str">
        <f t="shared" si="1"/>
        <v>N/A</v>
      </c>
      <c r="N15" s="593" t="str">
        <f t="shared" si="2"/>
        <v>N/A</v>
      </c>
      <c r="O15" s="593" t="str">
        <f t="shared" si="3"/>
        <v>N/A</v>
      </c>
      <c r="P15" s="593" t="str">
        <f t="shared" si="9"/>
        <v>N/A</v>
      </c>
      <c r="Q15" s="593" t="str">
        <f t="shared" si="10"/>
        <v>N/A</v>
      </c>
      <c r="R15" s="593" t="str">
        <f t="shared" si="11"/>
        <v>N/A</v>
      </c>
      <c r="S15" s="593" t="str">
        <f t="shared" si="12"/>
        <v>N/A</v>
      </c>
      <c r="T15" s="593" t="str">
        <f t="shared" si="13"/>
        <v>N/A</v>
      </c>
      <c r="U15" s="593">
        <f t="shared" si="14"/>
        <v>0</v>
      </c>
      <c r="V15" s="593">
        <f t="shared" si="17"/>
        <v>1</v>
      </c>
      <c r="W15" s="593" t="str">
        <f t="shared" si="16"/>
        <v>-</v>
      </c>
      <c r="Y15" s="593" t="str">
        <f t="shared" si="4"/>
        <v>Not suitable</v>
      </c>
      <c r="Z15" s="602" t="str">
        <f t="shared" si="18"/>
        <v>Y</v>
      </c>
      <c r="AA15" s="574"/>
      <c r="AB15" s="593"/>
      <c r="AE15" s="603"/>
      <c r="AF15" s="603"/>
      <c r="AG15" s="603"/>
      <c r="AH15" s="603"/>
      <c r="AI15" s="603"/>
      <c r="AJ15" s="603"/>
      <c r="AK15" s="603"/>
      <c r="AL15" s="603"/>
      <c r="AM15" s="603"/>
      <c r="AN15" s="603"/>
    </row>
    <row r="16" spans="1:40" ht="14.4">
      <c r="A16" s="588"/>
      <c r="B16" s="596"/>
      <c r="C16" s="598"/>
      <c r="D16" s="598"/>
      <c r="E16" s="598"/>
      <c r="F16" s="575"/>
      <c r="G16" s="600"/>
      <c r="H16" s="601"/>
      <c r="I16" s="575"/>
      <c r="J16" s="575"/>
      <c r="K16" s="593" t="str">
        <f t="shared" si="8"/>
        <v>N/A</v>
      </c>
      <c r="L16" s="593" t="str">
        <f t="shared" si="0"/>
        <v>N/A</v>
      </c>
      <c r="M16" s="593" t="str">
        <f t="shared" si="1"/>
        <v>N/A</v>
      </c>
      <c r="N16" s="593" t="str">
        <f t="shared" si="2"/>
        <v>N/A</v>
      </c>
      <c r="O16" s="593" t="str">
        <f t="shared" si="3"/>
        <v>N/A</v>
      </c>
      <c r="P16" s="593" t="str">
        <f t="shared" si="9"/>
        <v>N/A</v>
      </c>
      <c r="Q16" s="593" t="str">
        <f t="shared" si="10"/>
        <v>N/A</v>
      </c>
      <c r="R16" s="593" t="str">
        <f t="shared" si="11"/>
        <v>N/A</v>
      </c>
      <c r="S16" s="593" t="str">
        <f t="shared" si="12"/>
        <v>N/A</v>
      </c>
      <c r="T16" s="593" t="str">
        <f t="shared" si="13"/>
        <v>N/A</v>
      </c>
      <c r="U16" s="593">
        <f t="shared" si="14"/>
        <v>0</v>
      </c>
      <c r="V16" s="593">
        <f t="shared" si="17"/>
        <v>1</v>
      </c>
      <c r="W16" s="593" t="str">
        <f t="shared" si="16"/>
        <v>-</v>
      </c>
      <c r="Y16" s="593" t="str">
        <f t="shared" si="4"/>
        <v>Not suitable</v>
      </c>
      <c r="Z16" s="602" t="str">
        <f t="shared" si="18"/>
        <v>Y</v>
      </c>
      <c r="AA16" s="574"/>
      <c r="AB16" s="593"/>
      <c r="AE16" s="603"/>
      <c r="AF16" s="603"/>
      <c r="AG16" s="603"/>
      <c r="AH16" s="603"/>
      <c r="AI16" s="603"/>
      <c r="AJ16" s="603"/>
      <c r="AK16" s="603"/>
      <c r="AL16" s="603"/>
      <c r="AM16" s="603"/>
      <c r="AN16" s="603"/>
    </row>
    <row r="17" spans="1:28" ht="14.4">
      <c r="A17" s="588"/>
      <c r="B17" s="596"/>
      <c r="C17" s="598"/>
      <c r="D17" s="598"/>
      <c r="E17" s="598"/>
      <c r="F17" s="575"/>
      <c r="G17" s="600"/>
      <c r="H17" s="601"/>
      <c r="I17" s="575"/>
      <c r="J17" s="575"/>
      <c r="K17" s="593" t="str">
        <f t="shared" si="8"/>
        <v>N/A</v>
      </c>
      <c r="L17" s="593" t="str">
        <f t="shared" si="0"/>
        <v>N/A</v>
      </c>
      <c r="M17" s="593" t="str">
        <f t="shared" si="1"/>
        <v>N/A</v>
      </c>
      <c r="N17" s="593" t="str">
        <f t="shared" si="2"/>
        <v>N/A</v>
      </c>
      <c r="O17" s="593" t="str">
        <f t="shared" si="3"/>
        <v>N/A</v>
      </c>
      <c r="P17" s="593" t="str">
        <f t="shared" si="9"/>
        <v>N/A</v>
      </c>
      <c r="Q17" s="593" t="str">
        <f t="shared" si="10"/>
        <v>N/A</v>
      </c>
      <c r="R17" s="593" t="str">
        <f t="shared" si="11"/>
        <v>N/A</v>
      </c>
      <c r="S17" s="593" t="str">
        <f t="shared" si="12"/>
        <v>N/A</v>
      </c>
      <c r="T17" s="593" t="str">
        <f t="shared" si="13"/>
        <v>N/A</v>
      </c>
      <c r="U17" s="593">
        <f t="shared" si="14"/>
        <v>0</v>
      </c>
      <c r="V17" s="593">
        <f t="shared" si="17"/>
        <v>1</v>
      </c>
      <c r="W17" s="593" t="str">
        <f t="shared" si="16"/>
        <v>-</v>
      </c>
      <c r="Y17" s="593" t="str">
        <f t="shared" si="4"/>
        <v>Not suitable</v>
      </c>
      <c r="Z17" s="602" t="str">
        <f t="shared" si="18"/>
        <v>Y</v>
      </c>
      <c r="AA17" s="574"/>
      <c r="AB17" s="593"/>
    </row>
    <row r="18" spans="1:28" ht="14.4">
      <c r="A18" s="588"/>
      <c r="B18" s="596"/>
      <c r="C18" s="598"/>
      <c r="D18" s="598"/>
      <c r="E18" s="598"/>
      <c r="F18" s="575"/>
      <c r="G18" s="600"/>
      <c r="H18" s="601"/>
      <c r="I18" s="575"/>
      <c r="J18" s="575"/>
      <c r="K18" s="593" t="str">
        <f t="shared" si="8"/>
        <v>N/A</v>
      </c>
      <c r="L18" s="593" t="str">
        <f t="shared" si="0"/>
        <v>N/A</v>
      </c>
      <c r="M18" s="593" t="str">
        <f t="shared" si="1"/>
        <v>N/A</v>
      </c>
      <c r="N18" s="593" t="str">
        <f t="shared" si="2"/>
        <v>N/A</v>
      </c>
      <c r="O18" s="593" t="str">
        <f t="shared" si="3"/>
        <v>N/A</v>
      </c>
      <c r="P18" s="593" t="str">
        <f t="shared" si="9"/>
        <v>N/A</v>
      </c>
      <c r="Q18" s="593" t="str">
        <f t="shared" si="10"/>
        <v>N/A</v>
      </c>
      <c r="R18" s="593" t="str">
        <f t="shared" si="11"/>
        <v>N/A</v>
      </c>
      <c r="S18" s="593" t="str">
        <f t="shared" si="12"/>
        <v>N/A</v>
      </c>
      <c r="T18" s="593" t="str">
        <f t="shared" si="13"/>
        <v>N/A</v>
      </c>
      <c r="U18" s="593">
        <f t="shared" si="14"/>
        <v>0</v>
      </c>
      <c r="V18" s="593">
        <f t="shared" si="17"/>
        <v>1</v>
      </c>
      <c r="W18" s="593" t="str">
        <f t="shared" si="16"/>
        <v>-</v>
      </c>
      <c r="Y18" s="593" t="str">
        <f t="shared" si="4"/>
        <v>Not suitable</v>
      </c>
      <c r="Z18" s="602" t="str">
        <f t="shared" si="18"/>
        <v>Y</v>
      </c>
      <c r="AA18" s="574"/>
      <c r="AB18" s="593"/>
    </row>
    <row r="19" spans="1:28" ht="14.4">
      <c r="A19" s="588"/>
      <c r="B19" s="596"/>
      <c r="C19" s="598"/>
      <c r="D19" s="598"/>
      <c r="E19" s="598"/>
      <c r="F19" s="575"/>
      <c r="G19" s="600"/>
      <c r="H19" s="601"/>
      <c r="I19" s="575"/>
      <c r="J19" s="575"/>
      <c r="K19" s="593" t="str">
        <f t="shared" si="8"/>
        <v>N/A</v>
      </c>
      <c r="L19" s="593" t="str">
        <f t="shared" si="0"/>
        <v>N/A</v>
      </c>
      <c r="M19" s="593" t="str">
        <f t="shared" si="1"/>
        <v>N/A</v>
      </c>
      <c r="N19" s="593" t="str">
        <f t="shared" si="2"/>
        <v>N/A</v>
      </c>
      <c r="O19" s="593" t="str">
        <f t="shared" si="3"/>
        <v>N/A</v>
      </c>
      <c r="P19" s="593" t="str">
        <f t="shared" si="9"/>
        <v>N/A</v>
      </c>
      <c r="Q19" s="593" t="str">
        <f t="shared" si="10"/>
        <v>N/A</v>
      </c>
      <c r="R19" s="593" t="str">
        <f t="shared" si="11"/>
        <v>N/A</v>
      </c>
      <c r="S19" s="593" t="str">
        <f t="shared" si="12"/>
        <v>N/A</v>
      </c>
      <c r="T19" s="593" t="str">
        <f t="shared" si="13"/>
        <v>N/A</v>
      </c>
      <c r="U19" s="593">
        <f t="shared" si="14"/>
        <v>0</v>
      </c>
      <c r="V19" s="593">
        <f t="shared" si="17"/>
        <v>1</v>
      </c>
      <c r="W19" s="593" t="str">
        <f t="shared" si="16"/>
        <v>-</v>
      </c>
      <c r="Y19" s="593" t="str">
        <f t="shared" si="4"/>
        <v>Not suitable</v>
      </c>
      <c r="Z19" s="602" t="str">
        <f t="shared" si="18"/>
        <v>Y</v>
      </c>
      <c r="AA19" s="574"/>
      <c r="AB19" s="593"/>
    </row>
    <row r="20" spans="1:28" ht="14.4">
      <c r="A20" s="588"/>
      <c r="B20" s="596"/>
      <c r="C20" s="598"/>
      <c r="D20" s="598"/>
      <c r="E20" s="598"/>
      <c r="F20" s="575"/>
      <c r="G20" s="600"/>
      <c r="H20" s="601"/>
      <c r="I20" s="575"/>
      <c r="J20" s="575"/>
      <c r="K20" s="593" t="str">
        <f t="shared" si="8"/>
        <v>N/A</v>
      </c>
      <c r="L20" s="593" t="str">
        <f t="shared" si="0"/>
        <v>N/A</v>
      </c>
      <c r="M20" s="593" t="str">
        <f t="shared" si="1"/>
        <v>N/A</v>
      </c>
      <c r="N20" s="593" t="str">
        <f t="shared" si="2"/>
        <v>N/A</v>
      </c>
      <c r="O20" s="593" t="str">
        <f t="shared" si="3"/>
        <v>N/A</v>
      </c>
      <c r="P20" s="593" t="str">
        <f t="shared" si="9"/>
        <v>N/A</v>
      </c>
      <c r="Q20" s="593" t="str">
        <f t="shared" si="10"/>
        <v>N/A</v>
      </c>
      <c r="R20" s="593" t="str">
        <f t="shared" si="11"/>
        <v>N/A</v>
      </c>
      <c r="S20" s="593" t="str">
        <f t="shared" si="12"/>
        <v>N/A</v>
      </c>
      <c r="T20" s="593" t="str">
        <f t="shared" si="13"/>
        <v>N/A</v>
      </c>
      <c r="U20" s="593">
        <f t="shared" si="14"/>
        <v>0</v>
      </c>
      <c r="V20" s="593">
        <f t="shared" si="17"/>
        <v>1</v>
      </c>
      <c r="W20" s="593" t="str">
        <f t="shared" si="16"/>
        <v>-</v>
      </c>
      <c r="Y20" s="593" t="str">
        <f t="shared" si="4"/>
        <v>Not suitable</v>
      </c>
      <c r="Z20" s="602" t="str">
        <f t="shared" si="18"/>
        <v>Y</v>
      </c>
      <c r="AA20" s="574"/>
      <c r="AB20" s="593"/>
    </row>
    <row r="21" spans="1:28" ht="14.4">
      <c r="A21" s="588"/>
      <c r="B21" s="596"/>
      <c r="C21" s="598"/>
      <c r="D21" s="598"/>
      <c r="E21" s="598"/>
      <c r="F21" s="575"/>
      <c r="G21" s="600"/>
      <c r="H21" s="601"/>
      <c r="I21" s="575"/>
      <c r="J21" s="575"/>
      <c r="K21" s="593" t="str">
        <f t="shared" si="8"/>
        <v>N/A</v>
      </c>
      <c r="L21" s="593" t="str">
        <f t="shared" si="0"/>
        <v>N/A</v>
      </c>
      <c r="M21" s="593" t="str">
        <f t="shared" si="1"/>
        <v>N/A</v>
      </c>
      <c r="N21" s="593" t="str">
        <f t="shared" si="2"/>
        <v>N/A</v>
      </c>
      <c r="O21" s="593" t="str">
        <f t="shared" si="3"/>
        <v>N/A</v>
      </c>
      <c r="P21" s="593" t="str">
        <f t="shared" si="9"/>
        <v>N/A</v>
      </c>
      <c r="Q21" s="593" t="str">
        <f t="shared" si="10"/>
        <v>N/A</v>
      </c>
      <c r="R21" s="593" t="str">
        <f t="shared" si="11"/>
        <v>N/A</v>
      </c>
      <c r="S21" s="593" t="str">
        <f t="shared" si="12"/>
        <v>N/A</v>
      </c>
      <c r="T21" s="593" t="str">
        <f t="shared" si="13"/>
        <v>N/A</v>
      </c>
      <c r="U21" s="593">
        <f t="shared" si="14"/>
        <v>0</v>
      </c>
      <c r="V21" s="593">
        <f t="shared" si="17"/>
        <v>1</v>
      </c>
      <c r="W21" s="593" t="str">
        <f t="shared" si="16"/>
        <v>-</v>
      </c>
      <c r="Y21" s="593" t="str">
        <f t="shared" si="4"/>
        <v>Not suitable</v>
      </c>
      <c r="Z21" s="602" t="str">
        <f t="shared" si="18"/>
        <v>Y</v>
      </c>
      <c r="AA21" s="574"/>
      <c r="AB21" s="593"/>
    </row>
    <row r="22" spans="1:28" ht="14.4">
      <c r="A22" s="588"/>
      <c r="B22" s="596"/>
      <c r="C22" s="598"/>
      <c r="D22" s="598"/>
      <c r="E22" s="598"/>
      <c r="F22" s="575"/>
      <c r="G22" s="600"/>
      <c r="H22" s="601"/>
      <c r="I22" s="575"/>
      <c r="J22" s="575"/>
      <c r="K22" s="593" t="str">
        <f t="shared" si="8"/>
        <v>N/A</v>
      </c>
      <c r="L22" s="593" t="str">
        <f t="shared" si="0"/>
        <v>N/A</v>
      </c>
      <c r="M22" s="593" t="str">
        <f t="shared" si="1"/>
        <v>N/A</v>
      </c>
      <c r="N22" s="593" t="str">
        <f t="shared" si="2"/>
        <v>N/A</v>
      </c>
      <c r="O22" s="593" t="str">
        <f t="shared" si="3"/>
        <v>N/A</v>
      </c>
      <c r="P22" s="593" t="str">
        <f t="shared" si="9"/>
        <v>N/A</v>
      </c>
      <c r="Q22" s="593" t="str">
        <f t="shared" si="10"/>
        <v>N/A</v>
      </c>
      <c r="R22" s="593" t="str">
        <f t="shared" si="11"/>
        <v>N/A</v>
      </c>
      <c r="S22" s="593" t="str">
        <f t="shared" si="12"/>
        <v>N/A</v>
      </c>
      <c r="T22" s="593" t="str">
        <f t="shared" si="13"/>
        <v>N/A</v>
      </c>
      <c r="U22" s="593">
        <f t="shared" si="14"/>
        <v>0</v>
      </c>
      <c r="V22" s="593">
        <f t="shared" si="17"/>
        <v>1</v>
      </c>
      <c r="W22" s="593" t="str">
        <f t="shared" si="16"/>
        <v>-</v>
      </c>
      <c r="Y22" s="593" t="str">
        <f t="shared" si="4"/>
        <v>Not suitable</v>
      </c>
      <c r="Z22" s="602" t="str">
        <f t="shared" si="18"/>
        <v>Y</v>
      </c>
      <c r="AA22" s="574"/>
      <c r="AB22" s="593"/>
    </row>
    <row r="23" spans="1:28" ht="14.4">
      <c r="A23" s="588"/>
      <c r="B23" s="596"/>
      <c r="C23" s="598"/>
      <c r="D23" s="598"/>
      <c r="E23" s="598"/>
      <c r="F23" s="575"/>
      <c r="G23" s="600"/>
      <c r="H23" s="601"/>
      <c r="I23" s="575"/>
      <c r="J23" s="575"/>
      <c r="K23" s="593" t="str">
        <f t="shared" si="8"/>
        <v>N/A</v>
      </c>
      <c r="L23" s="593" t="str">
        <f t="shared" si="0"/>
        <v>N/A</v>
      </c>
      <c r="M23" s="593" t="str">
        <f t="shared" si="1"/>
        <v>N/A</v>
      </c>
      <c r="N23" s="593" t="str">
        <f t="shared" si="2"/>
        <v>N/A</v>
      </c>
      <c r="O23" s="593" t="str">
        <f t="shared" si="3"/>
        <v>N/A</v>
      </c>
      <c r="P23" s="593" t="str">
        <f t="shared" si="9"/>
        <v>N/A</v>
      </c>
      <c r="Q23" s="593" t="str">
        <f t="shared" si="10"/>
        <v>N/A</v>
      </c>
      <c r="R23" s="593" t="str">
        <f t="shared" si="11"/>
        <v>N/A</v>
      </c>
      <c r="S23" s="593" t="str">
        <f t="shared" si="12"/>
        <v>N/A</v>
      </c>
      <c r="T23" s="593" t="str">
        <f t="shared" si="13"/>
        <v>N/A</v>
      </c>
      <c r="U23" s="593">
        <f t="shared" si="14"/>
        <v>0</v>
      </c>
      <c r="V23" s="593">
        <f t="shared" si="17"/>
        <v>1</v>
      </c>
      <c r="W23" s="593" t="str">
        <f t="shared" si="16"/>
        <v>-</v>
      </c>
      <c r="Y23" s="593" t="str">
        <f t="shared" si="4"/>
        <v>Not suitable</v>
      </c>
      <c r="Z23" s="602" t="str">
        <f t="shared" si="18"/>
        <v>Y</v>
      </c>
      <c r="AA23" s="574"/>
      <c r="AB23" s="593"/>
    </row>
    <row r="24" spans="1:28" ht="14.4">
      <c r="A24" s="588"/>
      <c r="B24" s="596"/>
      <c r="C24" s="598"/>
      <c r="D24" s="598"/>
      <c r="E24" s="598"/>
      <c r="F24" s="575"/>
      <c r="G24" s="600"/>
      <c r="H24" s="601"/>
      <c r="I24" s="575"/>
      <c r="J24" s="575"/>
      <c r="K24" s="593" t="str">
        <f t="shared" si="8"/>
        <v>N/A</v>
      </c>
      <c r="L24" s="593" t="str">
        <f t="shared" si="0"/>
        <v>N/A</v>
      </c>
      <c r="M24" s="593" t="str">
        <f t="shared" si="1"/>
        <v>N/A</v>
      </c>
      <c r="N24" s="593" t="str">
        <f t="shared" si="2"/>
        <v>N/A</v>
      </c>
      <c r="O24" s="593" t="str">
        <f t="shared" si="3"/>
        <v>N/A</v>
      </c>
      <c r="P24" s="593" t="str">
        <f t="shared" si="9"/>
        <v>N/A</v>
      </c>
      <c r="Q24" s="593" t="str">
        <f t="shared" si="10"/>
        <v>N/A</v>
      </c>
      <c r="R24" s="593" t="str">
        <f t="shared" si="11"/>
        <v>N/A</v>
      </c>
      <c r="S24" s="593" t="str">
        <f t="shared" si="12"/>
        <v>N/A</v>
      </c>
      <c r="T24" s="593" t="str">
        <f t="shared" si="13"/>
        <v>N/A</v>
      </c>
      <c r="U24" s="593">
        <f t="shared" si="14"/>
        <v>0</v>
      </c>
      <c r="V24" s="593">
        <f t="shared" si="17"/>
        <v>1</v>
      </c>
      <c r="W24" s="593" t="str">
        <f t="shared" si="16"/>
        <v>-</v>
      </c>
      <c r="Y24" s="593" t="str">
        <f t="shared" si="4"/>
        <v>Not suitable</v>
      </c>
      <c r="Z24" s="602" t="str">
        <f t="shared" si="18"/>
        <v>Y</v>
      </c>
      <c r="AA24" s="574"/>
      <c r="AB24" s="593"/>
    </row>
    <row r="25" spans="1:28" ht="14.4">
      <c r="A25" s="588"/>
      <c r="B25" s="596"/>
      <c r="C25" s="598"/>
      <c r="D25" s="598"/>
      <c r="E25" s="598"/>
      <c r="F25" s="575"/>
      <c r="G25" s="600"/>
      <c r="H25" s="601"/>
      <c r="I25" s="575"/>
      <c r="J25" s="575"/>
      <c r="K25" s="593" t="str">
        <f t="shared" si="8"/>
        <v>N/A</v>
      </c>
      <c r="L25" s="593" t="str">
        <f t="shared" si="0"/>
        <v>N/A</v>
      </c>
      <c r="M25" s="593" t="str">
        <f t="shared" si="1"/>
        <v>N/A</v>
      </c>
      <c r="N25" s="593" t="str">
        <f t="shared" si="2"/>
        <v>N/A</v>
      </c>
      <c r="O25" s="593" t="str">
        <f t="shared" si="3"/>
        <v>N/A</v>
      </c>
      <c r="P25" s="593" t="str">
        <f t="shared" si="9"/>
        <v>N/A</v>
      </c>
      <c r="Q25" s="593" t="str">
        <f t="shared" si="10"/>
        <v>N/A</v>
      </c>
      <c r="R25" s="593" t="str">
        <f t="shared" si="11"/>
        <v>N/A</v>
      </c>
      <c r="S25" s="593" t="str">
        <f t="shared" si="12"/>
        <v>N/A</v>
      </c>
      <c r="T25" s="593" t="str">
        <f t="shared" si="13"/>
        <v>N/A</v>
      </c>
      <c r="U25" s="593">
        <f t="shared" si="14"/>
        <v>0</v>
      </c>
      <c r="V25" s="593">
        <f t="shared" si="17"/>
        <v>1</v>
      </c>
      <c r="W25" s="593" t="str">
        <f t="shared" si="16"/>
        <v>-</v>
      </c>
      <c r="Y25" s="593" t="str">
        <f t="shared" si="4"/>
        <v>Not suitable</v>
      </c>
      <c r="Z25" s="602" t="str">
        <f t="shared" si="18"/>
        <v>Y</v>
      </c>
      <c r="AA25" s="574"/>
      <c r="AB25" s="593"/>
    </row>
    <row r="26" spans="1:28" ht="14.4">
      <c r="A26" s="588"/>
      <c r="B26" s="596"/>
      <c r="C26" s="598"/>
      <c r="D26" s="598"/>
      <c r="E26" s="598"/>
      <c r="F26" s="575"/>
      <c r="G26" s="600"/>
      <c r="H26" s="601"/>
      <c r="I26" s="575"/>
      <c r="J26" s="575"/>
      <c r="K26" s="593" t="str">
        <f t="shared" si="8"/>
        <v>N/A</v>
      </c>
      <c r="L26" s="593" t="str">
        <f t="shared" si="0"/>
        <v>N/A</v>
      </c>
      <c r="M26" s="593" t="str">
        <f t="shared" si="1"/>
        <v>N/A</v>
      </c>
      <c r="N26" s="593" t="str">
        <f t="shared" si="2"/>
        <v>N/A</v>
      </c>
      <c r="O26" s="593" t="str">
        <f t="shared" si="3"/>
        <v>N/A</v>
      </c>
      <c r="P26" s="593" t="str">
        <f t="shared" si="9"/>
        <v>N/A</v>
      </c>
      <c r="Q26" s="593" t="str">
        <f t="shared" si="10"/>
        <v>N/A</v>
      </c>
      <c r="R26" s="593" t="str">
        <f t="shared" si="11"/>
        <v>N/A</v>
      </c>
      <c r="S26" s="593" t="str">
        <f t="shared" si="12"/>
        <v>N/A</v>
      </c>
      <c r="T26" s="593" t="str">
        <f t="shared" si="13"/>
        <v>N/A</v>
      </c>
      <c r="U26" s="593">
        <f t="shared" si="14"/>
        <v>0</v>
      </c>
      <c r="V26" s="593">
        <f t="shared" si="17"/>
        <v>1</v>
      </c>
      <c r="W26" s="593" t="str">
        <f t="shared" si="16"/>
        <v>-</v>
      </c>
      <c r="Y26" s="593" t="str">
        <f t="shared" si="4"/>
        <v>Not suitable</v>
      </c>
      <c r="Z26" s="602" t="str">
        <f t="shared" si="18"/>
        <v>Y</v>
      </c>
      <c r="AA26" s="574"/>
      <c r="AB26" s="593"/>
    </row>
    <row r="27" spans="1:28" ht="14.4">
      <c r="A27" s="588"/>
      <c r="B27" s="596"/>
      <c r="C27" s="598"/>
      <c r="D27" s="598"/>
      <c r="E27" s="598"/>
      <c r="F27" s="575"/>
      <c r="G27" s="600"/>
      <c r="H27" s="601"/>
      <c r="I27" s="575"/>
      <c r="J27" s="575"/>
      <c r="K27" s="593" t="str">
        <f t="shared" si="8"/>
        <v>N/A</v>
      </c>
      <c r="L27" s="593" t="str">
        <f t="shared" si="0"/>
        <v>N/A</v>
      </c>
      <c r="M27" s="593" t="str">
        <f t="shared" si="1"/>
        <v>N/A</v>
      </c>
      <c r="N27" s="593" t="str">
        <f t="shared" si="2"/>
        <v>N/A</v>
      </c>
      <c r="O27" s="593" t="str">
        <f t="shared" si="3"/>
        <v>N/A</v>
      </c>
      <c r="P27" s="593" t="str">
        <f t="shared" si="9"/>
        <v>N/A</v>
      </c>
      <c r="Q27" s="593" t="str">
        <f t="shared" si="10"/>
        <v>N/A</v>
      </c>
      <c r="R27" s="593" t="str">
        <f t="shared" si="11"/>
        <v>N/A</v>
      </c>
      <c r="S27" s="593" t="str">
        <f t="shared" si="12"/>
        <v>N/A</v>
      </c>
      <c r="T27" s="593" t="str">
        <f t="shared" si="13"/>
        <v>N/A</v>
      </c>
      <c r="U27" s="593">
        <f t="shared" si="14"/>
        <v>0</v>
      </c>
      <c r="V27" s="593">
        <f t="shared" si="17"/>
        <v>1</v>
      </c>
      <c r="W27" s="593" t="str">
        <f t="shared" si="16"/>
        <v>-</v>
      </c>
      <c r="Y27" s="593" t="str">
        <f t="shared" si="4"/>
        <v>Not suitable</v>
      </c>
      <c r="Z27" s="602" t="str">
        <f t="shared" si="18"/>
        <v>Y</v>
      </c>
      <c r="AA27" s="574"/>
      <c r="AB27" s="593"/>
    </row>
    <row r="28" spans="1:28" ht="14.4">
      <c r="A28" s="588"/>
      <c r="B28" s="596"/>
      <c r="C28" s="598"/>
      <c r="D28" s="598"/>
      <c r="E28" s="598"/>
      <c r="F28" s="575"/>
      <c r="G28" s="600"/>
      <c r="H28" s="601"/>
      <c r="I28" s="575"/>
      <c r="J28" s="575"/>
      <c r="K28" s="593" t="str">
        <f t="shared" si="8"/>
        <v>N/A</v>
      </c>
      <c r="L28" s="593" t="str">
        <f t="shared" si="0"/>
        <v>N/A</v>
      </c>
      <c r="M28" s="593" t="str">
        <f t="shared" si="1"/>
        <v>N/A</v>
      </c>
      <c r="N28" s="593" t="str">
        <f t="shared" si="2"/>
        <v>N/A</v>
      </c>
      <c r="O28" s="593" t="str">
        <f t="shared" si="3"/>
        <v>N/A</v>
      </c>
      <c r="P28" s="593" t="str">
        <f t="shared" si="9"/>
        <v>N/A</v>
      </c>
      <c r="Q28" s="593" t="str">
        <f t="shared" si="10"/>
        <v>N/A</v>
      </c>
      <c r="R28" s="593" t="str">
        <f t="shared" si="11"/>
        <v>N/A</v>
      </c>
      <c r="S28" s="593" t="str">
        <f t="shared" si="12"/>
        <v>N/A</v>
      </c>
      <c r="T28" s="593" t="str">
        <f t="shared" si="13"/>
        <v>N/A</v>
      </c>
      <c r="U28" s="593">
        <f t="shared" si="14"/>
        <v>0</v>
      </c>
      <c r="V28" s="593">
        <f t="shared" si="17"/>
        <v>1</v>
      </c>
      <c r="W28" s="593" t="str">
        <f t="shared" si="16"/>
        <v>-</v>
      </c>
      <c r="Y28" s="593" t="str">
        <f t="shared" si="4"/>
        <v>Not suitable</v>
      </c>
      <c r="Z28" s="602" t="str">
        <f t="shared" si="18"/>
        <v>Y</v>
      </c>
      <c r="AA28" s="574"/>
      <c r="AB28" s="593"/>
    </row>
    <row r="29" spans="1:28" ht="14.4">
      <c r="A29" s="588"/>
      <c r="B29" s="596"/>
      <c r="C29" s="598"/>
      <c r="D29" s="598"/>
      <c r="E29" s="598"/>
      <c r="F29" s="575"/>
      <c r="G29" s="600"/>
      <c r="H29" s="601"/>
      <c r="I29" s="575"/>
      <c r="J29" s="575"/>
      <c r="K29" s="593" t="str">
        <f t="shared" si="8"/>
        <v>N/A</v>
      </c>
      <c r="L29" s="593" t="str">
        <f t="shared" si="0"/>
        <v>N/A</v>
      </c>
      <c r="M29" s="593" t="str">
        <f t="shared" si="1"/>
        <v>N/A</v>
      </c>
      <c r="N29" s="593" t="str">
        <f t="shared" si="2"/>
        <v>N/A</v>
      </c>
      <c r="O29" s="593" t="str">
        <f t="shared" si="3"/>
        <v>N/A</v>
      </c>
      <c r="P29" s="593" t="str">
        <f t="shared" si="9"/>
        <v>N/A</v>
      </c>
      <c r="Q29" s="593" t="str">
        <f t="shared" si="10"/>
        <v>N/A</v>
      </c>
      <c r="R29" s="593" t="str">
        <f t="shared" si="11"/>
        <v>N/A</v>
      </c>
      <c r="S29" s="593" t="str">
        <f t="shared" si="12"/>
        <v>N/A</v>
      </c>
      <c r="T29" s="593" t="str">
        <f t="shared" si="13"/>
        <v>N/A</v>
      </c>
      <c r="U29" s="593">
        <f t="shared" si="14"/>
        <v>0</v>
      </c>
      <c r="V29" s="593">
        <f t="shared" si="17"/>
        <v>1</v>
      </c>
      <c r="W29" s="593" t="str">
        <f t="shared" si="16"/>
        <v>-</v>
      </c>
      <c r="Y29" s="593" t="str">
        <f t="shared" si="4"/>
        <v>Not suitable</v>
      </c>
      <c r="Z29" s="602" t="str">
        <f t="shared" si="18"/>
        <v>Y</v>
      </c>
      <c r="AA29" s="574"/>
      <c r="AB29" s="593"/>
    </row>
    <row r="30" spans="1:28" ht="14.4">
      <c r="A30" s="588"/>
      <c r="B30" s="596"/>
      <c r="C30" s="598"/>
      <c r="D30" s="598"/>
      <c r="E30" s="598"/>
      <c r="F30" s="575"/>
      <c r="G30" s="600"/>
      <c r="H30" s="601"/>
      <c r="I30" s="575"/>
      <c r="J30" s="575"/>
      <c r="K30" s="593" t="str">
        <f t="shared" si="8"/>
        <v>N/A</v>
      </c>
      <c r="L30" s="593" t="str">
        <f t="shared" si="0"/>
        <v>N/A</v>
      </c>
      <c r="M30" s="593" t="str">
        <f t="shared" si="1"/>
        <v>N/A</v>
      </c>
      <c r="N30" s="593" t="str">
        <f t="shared" si="2"/>
        <v>N/A</v>
      </c>
      <c r="O30" s="593" t="str">
        <f t="shared" si="3"/>
        <v>N/A</v>
      </c>
      <c r="P30" s="593" t="str">
        <f t="shared" si="9"/>
        <v>N/A</v>
      </c>
      <c r="Q30" s="593" t="str">
        <f t="shared" si="10"/>
        <v>N/A</v>
      </c>
      <c r="R30" s="593" t="str">
        <f t="shared" si="11"/>
        <v>N/A</v>
      </c>
      <c r="S30" s="593" t="str">
        <f t="shared" si="12"/>
        <v>N/A</v>
      </c>
      <c r="T30" s="593" t="str">
        <f t="shared" si="13"/>
        <v>N/A</v>
      </c>
      <c r="U30" s="593">
        <f t="shared" si="14"/>
        <v>0</v>
      </c>
      <c r="V30" s="593">
        <f t="shared" si="17"/>
        <v>1</v>
      </c>
      <c r="W30" s="593" t="str">
        <f t="shared" si="16"/>
        <v>-</v>
      </c>
      <c r="Y30" s="593" t="str">
        <f t="shared" si="4"/>
        <v>Not suitable</v>
      </c>
      <c r="Z30" s="602" t="str">
        <f t="shared" si="18"/>
        <v>Y</v>
      </c>
      <c r="AA30" s="574"/>
      <c r="AB30" s="593"/>
    </row>
    <row r="31" spans="1:28" ht="14.4">
      <c r="A31" s="588"/>
      <c r="B31" s="596"/>
      <c r="C31" s="598"/>
      <c r="D31" s="598"/>
      <c r="E31" s="598"/>
      <c r="F31" s="575"/>
      <c r="G31" s="600"/>
      <c r="H31" s="601"/>
      <c r="I31" s="575"/>
      <c r="J31" s="575"/>
      <c r="K31" s="593" t="str">
        <f t="shared" si="8"/>
        <v>N/A</v>
      </c>
      <c r="L31" s="593" t="str">
        <f t="shared" si="0"/>
        <v>N/A</v>
      </c>
      <c r="M31" s="593" t="str">
        <f t="shared" si="1"/>
        <v>N/A</v>
      </c>
      <c r="N31" s="593" t="str">
        <f t="shared" si="2"/>
        <v>N/A</v>
      </c>
      <c r="O31" s="593" t="str">
        <f t="shared" si="3"/>
        <v>N/A</v>
      </c>
      <c r="P31" s="593" t="str">
        <f t="shared" si="9"/>
        <v>N/A</v>
      </c>
      <c r="Q31" s="593" t="str">
        <f t="shared" si="10"/>
        <v>N/A</v>
      </c>
      <c r="R31" s="593" t="str">
        <f t="shared" si="11"/>
        <v>N/A</v>
      </c>
      <c r="S31" s="593" t="str">
        <f t="shared" si="12"/>
        <v>N/A</v>
      </c>
      <c r="T31" s="593" t="str">
        <f t="shared" si="13"/>
        <v>N/A</v>
      </c>
      <c r="U31" s="593">
        <f t="shared" si="14"/>
        <v>0</v>
      </c>
      <c r="V31" s="593">
        <f t="shared" si="17"/>
        <v>1</v>
      </c>
      <c r="W31" s="593" t="str">
        <f t="shared" si="16"/>
        <v>-</v>
      </c>
      <c r="Y31" s="593" t="str">
        <f t="shared" si="4"/>
        <v>Not suitable</v>
      </c>
      <c r="Z31" s="602" t="str">
        <f t="shared" si="18"/>
        <v>Y</v>
      </c>
      <c r="AA31" s="574"/>
      <c r="AB31" s="593"/>
    </row>
    <row r="32" spans="1:28" ht="14.4">
      <c r="A32" s="588"/>
      <c r="B32" s="596"/>
      <c r="C32" s="598"/>
      <c r="D32" s="598"/>
      <c r="E32" s="598"/>
      <c r="F32" s="575"/>
      <c r="G32" s="600"/>
      <c r="H32" s="601"/>
      <c r="I32" s="575"/>
      <c r="J32" s="575"/>
      <c r="K32" s="593" t="str">
        <f t="shared" si="8"/>
        <v>N/A</v>
      </c>
      <c r="L32" s="593" t="str">
        <f t="shared" si="0"/>
        <v>N/A</v>
      </c>
      <c r="M32" s="593" t="str">
        <f t="shared" si="1"/>
        <v>N/A</v>
      </c>
      <c r="N32" s="593" t="str">
        <f t="shared" si="2"/>
        <v>N/A</v>
      </c>
      <c r="O32" s="593" t="str">
        <f t="shared" si="3"/>
        <v>N/A</v>
      </c>
      <c r="P32" s="593" t="str">
        <f t="shared" si="9"/>
        <v>N/A</v>
      </c>
      <c r="Q32" s="593" t="str">
        <f t="shared" si="10"/>
        <v>N/A</v>
      </c>
      <c r="R32" s="593" t="str">
        <f t="shared" si="11"/>
        <v>N/A</v>
      </c>
      <c r="S32" s="593" t="str">
        <f t="shared" si="12"/>
        <v>N/A</v>
      </c>
      <c r="T32" s="593" t="str">
        <f t="shared" si="13"/>
        <v>N/A</v>
      </c>
      <c r="U32" s="593">
        <f t="shared" si="14"/>
        <v>0</v>
      </c>
      <c r="V32" s="593">
        <f t="shared" si="17"/>
        <v>1</v>
      </c>
      <c r="W32" s="593" t="str">
        <f t="shared" si="16"/>
        <v>-</v>
      </c>
      <c r="Y32" s="593" t="str">
        <f t="shared" si="4"/>
        <v>Not suitable</v>
      </c>
      <c r="Z32" s="602" t="str">
        <f t="shared" si="18"/>
        <v>Y</v>
      </c>
      <c r="AA32" s="574"/>
      <c r="AB32" s="593"/>
    </row>
    <row r="33" spans="1:28" ht="14.4">
      <c r="A33" s="588"/>
      <c r="B33" s="596"/>
      <c r="C33" s="598"/>
      <c r="D33" s="598"/>
      <c r="E33" s="598"/>
      <c r="F33" s="575"/>
      <c r="G33" s="600"/>
      <c r="H33" s="601"/>
      <c r="I33" s="575"/>
      <c r="J33" s="575"/>
      <c r="K33" s="593" t="str">
        <f t="shared" si="8"/>
        <v>N/A</v>
      </c>
      <c r="L33" s="593" t="str">
        <f t="shared" si="0"/>
        <v>N/A</v>
      </c>
      <c r="M33" s="593" t="str">
        <f t="shared" si="1"/>
        <v>N/A</v>
      </c>
      <c r="N33" s="593" t="str">
        <f t="shared" si="2"/>
        <v>N/A</v>
      </c>
      <c r="O33" s="593" t="str">
        <f t="shared" si="3"/>
        <v>N/A</v>
      </c>
      <c r="P33" s="593" t="str">
        <f t="shared" si="9"/>
        <v>N/A</v>
      </c>
      <c r="Q33" s="593" t="str">
        <f t="shared" si="10"/>
        <v>N/A</v>
      </c>
      <c r="R33" s="593" t="str">
        <f t="shared" si="11"/>
        <v>N/A</v>
      </c>
      <c r="S33" s="593" t="str">
        <f t="shared" si="12"/>
        <v>N/A</v>
      </c>
      <c r="T33" s="593" t="str">
        <f t="shared" si="13"/>
        <v>N/A</v>
      </c>
      <c r="U33" s="593">
        <f t="shared" si="14"/>
        <v>0</v>
      </c>
      <c r="V33" s="593">
        <f t="shared" si="17"/>
        <v>1</v>
      </c>
      <c r="W33" s="593" t="str">
        <f t="shared" si="16"/>
        <v>-</v>
      </c>
      <c r="Y33" s="593" t="str">
        <f t="shared" si="4"/>
        <v>Not suitable</v>
      </c>
      <c r="Z33" s="602" t="str">
        <f t="shared" si="18"/>
        <v>Y</v>
      </c>
      <c r="AA33" s="574"/>
      <c r="AB33" s="593"/>
    </row>
    <row r="34" spans="1:28" ht="14.4">
      <c r="A34" s="588"/>
      <c r="B34" s="596"/>
      <c r="C34" s="598"/>
      <c r="D34" s="598"/>
      <c r="E34" s="598"/>
      <c r="F34" s="575"/>
      <c r="G34" s="600"/>
      <c r="H34" s="601"/>
      <c r="I34" s="575"/>
      <c r="J34" s="575"/>
      <c r="K34" s="593" t="str">
        <f t="shared" si="8"/>
        <v>N/A</v>
      </c>
      <c r="L34" s="593" t="str">
        <f t="shared" si="0"/>
        <v>N/A</v>
      </c>
      <c r="M34" s="593" t="str">
        <f t="shared" si="1"/>
        <v>N/A</v>
      </c>
      <c r="N34" s="593" t="str">
        <f t="shared" si="2"/>
        <v>N/A</v>
      </c>
      <c r="O34" s="593" t="str">
        <f t="shared" si="3"/>
        <v>N/A</v>
      </c>
      <c r="P34" s="593" t="str">
        <f t="shared" si="9"/>
        <v>N/A</v>
      </c>
      <c r="Q34" s="593" t="str">
        <f t="shared" si="10"/>
        <v>N/A</v>
      </c>
      <c r="R34" s="593" t="str">
        <f t="shared" si="11"/>
        <v>N/A</v>
      </c>
      <c r="S34" s="593" t="str">
        <f t="shared" si="12"/>
        <v>N/A</v>
      </c>
      <c r="T34" s="593" t="str">
        <f t="shared" si="13"/>
        <v>N/A</v>
      </c>
      <c r="U34" s="593">
        <f t="shared" si="14"/>
        <v>0</v>
      </c>
      <c r="V34" s="593">
        <f t="shared" si="17"/>
        <v>1</v>
      </c>
      <c r="W34" s="593" t="str">
        <f t="shared" si="16"/>
        <v>-</v>
      </c>
      <c r="Y34" s="593" t="str">
        <f t="shared" si="4"/>
        <v>Not suitable</v>
      </c>
      <c r="Z34" s="602" t="str">
        <f t="shared" si="18"/>
        <v>Y</v>
      </c>
      <c r="AA34" s="574"/>
      <c r="AB34" s="593"/>
    </row>
    <row r="35" spans="1:28" ht="14.4">
      <c r="A35" s="588"/>
      <c r="B35" s="596"/>
      <c r="C35" s="598"/>
      <c r="D35" s="598"/>
      <c r="E35" s="598"/>
      <c r="F35" s="575"/>
      <c r="G35" s="600"/>
      <c r="H35" s="601"/>
      <c r="I35" s="575"/>
      <c r="J35" s="575"/>
      <c r="K35" s="593" t="str">
        <f t="shared" ref="K35:K66" si="20">IFERROR(_xlfn.RANK.EQ(F35,F$3:F$61),"N/A")</f>
        <v>N/A</v>
      </c>
      <c r="L35" s="593" t="str">
        <f t="shared" ref="L35:L66" si="21">IFERROR(_xlfn.RANK.EQ(G35,G$3:G$61),"N/A")</f>
        <v>N/A</v>
      </c>
      <c r="M35" s="593" t="str">
        <f t="shared" ref="M35:M66" si="22">IFERROR(_xlfn.RANK.EQ(H35,H$3:H$61),"N/A")</f>
        <v>N/A</v>
      </c>
      <c r="N35" s="593" t="str">
        <f t="shared" ref="N35:N66" si="23">IFERROR(_xlfn.RANK.EQ(I35,I$3:I$61),"N/A")</f>
        <v>N/A</v>
      </c>
      <c r="O35" s="593" t="str">
        <f t="shared" ref="O35:O66" si="24">IFERROR(_xlfn.RANK.EQ(J35,J$3:J$61),"N/A")</f>
        <v>N/A</v>
      </c>
      <c r="P35" s="593" t="str">
        <f t="shared" si="9"/>
        <v>N/A</v>
      </c>
      <c r="Q35" s="593" t="str">
        <f t="shared" si="10"/>
        <v>N/A</v>
      </c>
      <c r="R35" s="593" t="str">
        <f t="shared" si="11"/>
        <v>N/A</v>
      </c>
      <c r="S35" s="593" t="str">
        <f t="shared" si="12"/>
        <v>N/A</v>
      </c>
      <c r="T35" s="593" t="str">
        <f t="shared" si="13"/>
        <v>N/A</v>
      </c>
      <c r="U35" s="593">
        <f t="shared" si="14"/>
        <v>0</v>
      </c>
      <c r="V35" s="593">
        <f t="shared" si="17"/>
        <v>1</v>
      </c>
      <c r="W35" s="593" t="str">
        <f t="shared" si="16"/>
        <v>-</v>
      </c>
      <c r="Y35" s="593" t="str">
        <f t="shared" si="4"/>
        <v>Not suitable</v>
      </c>
      <c r="Z35" s="602" t="str">
        <f t="shared" si="18"/>
        <v>Y</v>
      </c>
      <c r="AA35" s="574"/>
      <c r="AB35" s="593"/>
    </row>
    <row r="36" spans="1:28" ht="14.4">
      <c r="A36" s="588"/>
      <c r="B36" s="596"/>
      <c r="C36" s="598"/>
      <c r="D36" s="598"/>
      <c r="E36" s="598"/>
      <c r="F36" s="575"/>
      <c r="G36" s="600"/>
      <c r="H36" s="601"/>
      <c r="I36" s="575"/>
      <c r="J36" s="575"/>
      <c r="K36" s="593" t="str">
        <f t="shared" si="20"/>
        <v>N/A</v>
      </c>
      <c r="L36" s="593" t="str">
        <f t="shared" si="21"/>
        <v>N/A</v>
      </c>
      <c r="M36" s="593" t="str">
        <f t="shared" si="22"/>
        <v>N/A</v>
      </c>
      <c r="N36" s="593" t="str">
        <f t="shared" si="23"/>
        <v>N/A</v>
      </c>
      <c r="O36" s="593" t="str">
        <f t="shared" si="24"/>
        <v>N/A</v>
      </c>
      <c r="P36" s="593" t="str">
        <f t="shared" ref="P36:P67" si="25">IFERROR(ABS(K$3-K36),"N/A")</f>
        <v>N/A</v>
      </c>
      <c r="Q36" s="593" t="str">
        <f t="shared" ref="Q36:Q67" si="26">IFERROR(ABS(L$3-L36),"N/A")</f>
        <v>N/A</v>
      </c>
      <c r="R36" s="593" t="str">
        <f t="shared" ref="R36:R67" si="27">IFERROR(ABS(M$3-M36),"N/A")</f>
        <v>N/A</v>
      </c>
      <c r="S36" s="593" t="str">
        <f t="shared" ref="S36:S67" si="28">IFERROR(ABS(N$3-N36),"N/A")</f>
        <v>N/A</v>
      </c>
      <c r="T36" s="593" t="str">
        <f t="shared" ref="T36:T67" si="29">IFERROR(ABS(O$3-O36),"N/A")</f>
        <v>N/A</v>
      </c>
      <c r="U36" s="593">
        <f t="shared" ref="U36:U67" si="30">SUM(P36:T36)</f>
        <v>0</v>
      </c>
      <c r="V36" s="593">
        <f t="shared" ref="V36:V67" si="31">_xlfn.RANK.EQ(U36,$U$4:$U$61,1)</f>
        <v>1</v>
      </c>
      <c r="W36" s="593" t="str">
        <f t="shared" si="16"/>
        <v>-</v>
      </c>
      <c r="Y36" s="593" t="str">
        <f t="shared" si="4"/>
        <v>Not suitable</v>
      </c>
      <c r="Z36" s="602" t="str">
        <f t="shared" si="18"/>
        <v>Y</v>
      </c>
      <c r="AA36" s="574"/>
      <c r="AB36" s="593"/>
    </row>
    <row r="37" spans="1:28" ht="14.4">
      <c r="A37" s="588"/>
      <c r="B37" s="596"/>
      <c r="C37" s="598"/>
      <c r="D37" s="598"/>
      <c r="E37" s="598"/>
      <c r="F37" s="575"/>
      <c r="G37" s="600"/>
      <c r="H37" s="601"/>
      <c r="I37" s="575"/>
      <c r="J37" s="575"/>
      <c r="K37" s="593" t="str">
        <f t="shared" si="20"/>
        <v>N/A</v>
      </c>
      <c r="L37" s="593" t="str">
        <f t="shared" si="21"/>
        <v>N/A</v>
      </c>
      <c r="M37" s="593" t="str">
        <f t="shared" si="22"/>
        <v>N/A</v>
      </c>
      <c r="N37" s="593" t="str">
        <f t="shared" si="23"/>
        <v>N/A</v>
      </c>
      <c r="O37" s="593" t="str">
        <f t="shared" si="24"/>
        <v>N/A</v>
      </c>
      <c r="P37" s="593" t="str">
        <f t="shared" si="25"/>
        <v>N/A</v>
      </c>
      <c r="Q37" s="593" t="str">
        <f t="shared" si="26"/>
        <v>N/A</v>
      </c>
      <c r="R37" s="593" t="str">
        <f t="shared" si="27"/>
        <v>N/A</v>
      </c>
      <c r="S37" s="593" t="str">
        <f t="shared" si="28"/>
        <v>N/A</v>
      </c>
      <c r="T37" s="593" t="str">
        <f t="shared" si="29"/>
        <v>N/A</v>
      </c>
      <c r="U37" s="593">
        <f t="shared" si="30"/>
        <v>0</v>
      </c>
      <c r="V37" s="593">
        <f t="shared" si="31"/>
        <v>1</v>
      </c>
      <c r="W37" s="593" t="str">
        <f t="shared" ref="W37:W68" si="32">IF(Y37="Not suitable","-",V37)</f>
        <v>-</v>
      </c>
      <c r="Y37" s="593" t="str">
        <f t="shared" si="4"/>
        <v>Not suitable</v>
      </c>
      <c r="Z37" s="602" t="str">
        <f t="shared" si="18"/>
        <v>Y</v>
      </c>
      <c r="AA37" s="574"/>
      <c r="AB37" s="593"/>
    </row>
    <row r="38" spans="1:28" ht="14.4">
      <c r="A38" s="588"/>
      <c r="B38" s="596"/>
      <c r="C38" s="598"/>
      <c r="D38" s="598"/>
      <c r="E38" s="598"/>
      <c r="F38" s="575"/>
      <c r="G38" s="600"/>
      <c r="H38" s="601"/>
      <c r="I38" s="575"/>
      <c r="J38" s="575"/>
      <c r="K38" s="593" t="str">
        <f t="shared" si="20"/>
        <v>N/A</v>
      </c>
      <c r="L38" s="593" t="str">
        <f t="shared" si="21"/>
        <v>N/A</v>
      </c>
      <c r="M38" s="593" t="str">
        <f t="shared" si="22"/>
        <v>N/A</v>
      </c>
      <c r="N38" s="593" t="str">
        <f t="shared" si="23"/>
        <v>N/A</v>
      </c>
      <c r="O38" s="593" t="str">
        <f t="shared" si="24"/>
        <v>N/A</v>
      </c>
      <c r="P38" s="593" t="str">
        <f t="shared" si="25"/>
        <v>N/A</v>
      </c>
      <c r="Q38" s="593" t="str">
        <f t="shared" si="26"/>
        <v>N/A</v>
      </c>
      <c r="R38" s="593" t="str">
        <f t="shared" si="27"/>
        <v>N/A</v>
      </c>
      <c r="S38" s="593" t="str">
        <f t="shared" si="28"/>
        <v>N/A</v>
      </c>
      <c r="T38" s="593" t="str">
        <f t="shared" si="29"/>
        <v>N/A</v>
      </c>
      <c r="U38" s="593">
        <f t="shared" si="30"/>
        <v>0</v>
      </c>
      <c r="V38" s="593">
        <f t="shared" si="31"/>
        <v>1</v>
      </c>
      <c r="W38" s="593" t="str">
        <f t="shared" si="32"/>
        <v>-</v>
      </c>
      <c r="Y38" s="593" t="str">
        <f t="shared" si="4"/>
        <v>Not suitable</v>
      </c>
      <c r="Z38" s="602" t="str">
        <f t="shared" si="18"/>
        <v>Y</v>
      </c>
      <c r="AA38" s="574"/>
      <c r="AB38" s="593"/>
    </row>
    <row r="39" spans="1:28" ht="14.4">
      <c r="A39" s="588"/>
      <c r="B39" s="596"/>
      <c r="C39" s="598"/>
      <c r="D39" s="598"/>
      <c r="E39" s="598"/>
      <c r="F39" s="575"/>
      <c r="G39" s="600"/>
      <c r="H39" s="601"/>
      <c r="I39" s="575"/>
      <c r="J39" s="575"/>
      <c r="K39" s="593" t="str">
        <f t="shared" si="20"/>
        <v>N/A</v>
      </c>
      <c r="L39" s="593" t="str">
        <f t="shared" si="21"/>
        <v>N/A</v>
      </c>
      <c r="M39" s="593" t="str">
        <f t="shared" si="22"/>
        <v>N/A</v>
      </c>
      <c r="N39" s="593" t="str">
        <f t="shared" si="23"/>
        <v>N/A</v>
      </c>
      <c r="O39" s="593" t="str">
        <f t="shared" si="24"/>
        <v>N/A</v>
      </c>
      <c r="P39" s="593" t="str">
        <f t="shared" si="25"/>
        <v>N/A</v>
      </c>
      <c r="Q39" s="593" t="str">
        <f t="shared" si="26"/>
        <v>N/A</v>
      </c>
      <c r="R39" s="593" t="str">
        <f t="shared" si="27"/>
        <v>N/A</v>
      </c>
      <c r="S39" s="593" t="str">
        <f t="shared" si="28"/>
        <v>N/A</v>
      </c>
      <c r="T39" s="593" t="str">
        <f t="shared" si="29"/>
        <v>N/A</v>
      </c>
      <c r="U39" s="593">
        <f t="shared" si="30"/>
        <v>0</v>
      </c>
      <c r="V39" s="593">
        <f t="shared" si="31"/>
        <v>1</v>
      </c>
      <c r="W39" s="593" t="str">
        <f t="shared" si="32"/>
        <v>-</v>
      </c>
      <c r="Y39" s="593" t="str">
        <f t="shared" si="4"/>
        <v>Not suitable</v>
      </c>
      <c r="Z39" s="602" t="str">
        <f t="shared" si="18"/>
        <v>Y</v>
      </c>
      <c r="AA39" s="574"/>
      <c r="AB39" s="593"/>
    </row>
    <row r="40" spans="1:28" ht="14.4">
      <c r="A40" s="588"/>
      <c r="B40" s="596"/>
      <c r="C40" s="598"/>
      <c r="D40" s="598"/>
      <c r="E40" s="598"/>
      <c r="F40" s="575"/>
      <c r="G40" s="600"/>
      <c r="H40" s="601"/>
      <c r="I40" s="575"/>
      <c r="J40" s="575"/>
      <c r="K40" s="593" t="str">
        <f t="shared" si="20"/>
        <v>N/A</v>
      </c>
      <c r="L40" s="593" t="str">
        <f t="shared" si="21"/>
        <v>N/A</v>
      </c>
      <c r="M40" s="593" t="str">
        <f t="shared" si="22"/>
        <v>N/A</v>
      </c>
      <c r="N40" s="593" t="str">
        <f t="shared" si="23"/>
        <v>N/A</v>
      </c>
      <c r="O40" s="593" t="str">
        <f t="shared" si="24"/>
        <v>N/A</v>
      </c>
      <c r="P40" s="593" t="str">
        <f t="shared" si="25"/>
        <v>N/A</v>
      </c>
      <c r="Q40" s="593" t="str">
        <f t="shared" si="26"/>
        <v>N/A</v>
      </c>
      <c r="R40" s="593" t="str">
        <f t="shared" si="27"/>
        <v>N/A</v>
      </c>
      <c r="S40" s="593" t="str">
        <f t="shared" si="28"/>
        <v>N/A</v>
      </c>
      <c r="T40" s="593" t="str">
        <f t="shared" si="29"/>
        <v>N/A</v>
      </c>
      <c r="U40" s="593">
        <f t="shared" si="30"/>
        <v>0</v>
      </c>
      <c r="V40" s="593">
        <f t="shared" si="31"/>
        <v>1</v>
      </c>
      <c r="W40" s="593" t="str">
        <f t="shared" si="32"/>
        <v>-</v>
      </c>
      <c r="Y40" s="593" t="str">
        <f t="shared" si="4"/>
        <v>Not suitable</v>
      </c>
      <c r="Z40" s="602" t="str">
        <f t="shared" si="18"/>
        <v>Y</v>
      </c>
      <c r="AA40" s="574"/>
      <c r="AB40" s="593"/>
    </row>
    <row r="41" spans="1:28" ht="14.4">
      <c r="A41" s="588"/>
      <c r="B41" s="596"/>
      <c r="C41" s="598"/>
      <c r="D41" s="598"/>
      <c r="E41" s="598"/>
      <c r="F41" s="575"/>
      <c r="G41" s="600"/>
      <c r="H41" s="601"/>
      <c r="I41" s="575"/>
      <c r="J41" s="575"/>
      <c r="K41" s="593" t="str">
        <f t="shared" si="20"/>
        <v>N/A</v>
      </c>
      <c r="L41" s="593" t="str">
        <f t="shared" si="21"/>
        <v>N/A</v>
      </c>
      <c r="M41" s="593" t="str">
        <f t="shared" si="22"/>
        <v>N/A</v>
      </c>
      <c r="N41" s="593" t="str">
        <f t="shared" si="23"/>
        <v>N/A</v>
      </c>
      <c r="O41" s="593" t="str">
        <f t="shared" si="24"/>
        <v>N/A</v>
      </c>
      <c r="P41" s="593" t="str">
        <f t="shared" si="25"/>
        <v>N/A</v>
      </c>
      <c r="Q41" s="593" t="str">
        <f t="shared" si="26"/>
        <v>N/A</v>
      </c>
      <c r="R41" s="593" t="str">
        <f t="shared" si="27"/>
        <v>N/A</v>
      </c>
      <c r="S41" s="593" t="str">
        <f t="shared" si="28"/>
        <v>N/A</v>
      </c>
      <c r="T41" s="593" t="str">
        <f t="shared" si="29"/>
        <v>N/A</v>
      </c>
      <c r="U41" s="593">
        <f t="shared" si="30"/>
        <v>0</v>
      </c>
      <c r="V41" s="593">
        <f t="shared" si="31"/>
        <v>1</v>
      </c>
      <c r="W41" s="593" t="str">
        <f t="shared" si="32"/>
        <v>-</v>
      </c>
      <c r="Y41" s="593" t="str">
        <f t="shared" si="4"/>
        <v>Not suitable</v>
      </c>
      <c r="Z41" s="602" t="str">
        <f t="shared" si="18"/>
        <v>Y</v>
      </c>
      <c r="AA41" s="574"/>
      <c r="AB41" s="593"/>
    </row>
    <row r="42" spans="1:28" ht="14.4">
      <c r="A42" s="588"/>
      <c r="B42" s="596"/>
      <c r="C42" s="598"/>
      <c r="D42" s="598"/>
      <c r="E42" s="598"/>
      <c r="F42" s="575"/>
      <c r="G42" s="600"/>
      <c r="H42" s="601"/>
      <c r="I42" s="575"/>
      <c r="J42" s="575"/>
      <c r="K42" s="593" t="str">
        <f t="shared" si="20"/>
        <v>N/A</v>
      </c>
      <c r="L42" s="593" t="str">
        <f t="shared" si="21"/>
        <v>N/A</v>
      </c>
      <c r="M42" s="593" t="str">
        <f t="shared" si="22"/>
        <v>N/A</v>
      </c>
      <c r="N42" s="593" t="str">
        <f t="shared" si="23"/>
        <v>N/A</v>
      </c>
      <c r="O42" s="593" t="str">
        <f t="shared" si="24"/>
        <v>N/A</v>
      </c>
      <c r="P42" s="593" t="str">
        <f t="shared" si="25"/>
        <v>N/A</v>
      </c>
      <c r="Q42" s="593" t="str">
        <f t="shared" si="26"/>
        <v>N/A</v>
      </c>
      <c r="R42" s="593" t="str">
        <f t="shared" si="27"/>
        <v>N/A</v>
      </c>
      <c r="S42" s="593" t="str">
        <f t="shared" si="28"/>
        <v>N/A</v>
      </c>
      <c r="T42" s="593" t="str">
        <f t="shared" si="29"/>
        <v>N/A</v>
      </c>
      <c r="U42" s="593">
        <f t="shared" si="30"/>
        <v>0</v>
      </c>
      <c r="V42" s="593">
        <f t="shared" si="31"/>
        <v>1</v>
      </c>
      <c r="W42" s="593" t="str">
        <f t="shared" si="32"/>
        <v>-</v>
      </c>
      <c r="Y42" s="593" t="str">
        <f t="shared" si="4"/>
        <v>Not suitable</v>
      </c>
      <c r="Z42" s="602" t="str">
        <f t="shared" si="18"/>
        <v>Y</v>
      </c>
      <c r="AA42" s="574"/>
      <c r="AB42" s="593"/>
    </row>
    <row r="43" spans="1:28" ht="14.4">
      <c r="A43" s="588"/>
      <c r="B43" s="596"/>
      <c r="C43" s="598"/>
      <c r="D43" s="598"/>
      <c r="E43" s="598"/>
      <c r="F43" s="575"/>
      <c r="G43" s="600"/>
      <c r="H43" s="601"/>
      <c r="I43" s="575"/>
      <c r="J43" s="575"/>
      <c r="K43" s="593" t="str">
        <f t="shared" si="20"/>
        <v>N/A</v>
      </c>
      <c r="L43" s="593" t="str">
        <f t="shared" si="21"/>
        <v>N/A</v>
      </c>
      <c r="M43" s="593" t="str">
        <f t="shared" si="22"/>
        <v>N/A</v>
      </c>
      <c r="N43" s="593" t="str">
        <f t="shared" si="23"/>
        <v>N/A</v>
      </c>
      <c r="O43" s="593" t="str">
        <f t="shared" si="24"/>
        <v>N/A</v>
      </c>
      <c r="P43" s="593" t="str">
        <f t="shared" si="25"/>
        <v>N/A</v>
      </c>
      <c r="Q43" s="593" t="str">
        <f t="shared" si="26"/>
        <v>N/A</v>
      </c>
      <c r="R43" s="593" t="str">
        <f t="shared" si="27"/>
        <v>N/A</v>
      </c>
      <c r="S43" s="593" t="str">
        <f t="shared" si="28"/>
        <v>N/A</v>
      </c>
      <c r="T43" s="593" t="str">
        <f t="shared" si="29"/>
        <v>N/A</v>
      </c>
      <c r="U43" s="593">
        <f t="shared" si="30"/>
        <v>0</v>
      </c>
      <c r="V43" s="593">
        <f t="shared" si="31"/>
        <v>1</v>
      </c>
      <c r="W43" s="593" t="str">
        <f t="shared" si="32"/>
        <v>-</v>
      </c>
      <c r="Y43" s="593" t="str">
        <f t="shared" si="4"/>
        <v>Not suitable</v>
      </c>
      <c r="Z43" s="602" t="str">
        <f t="shared" si="18"/>
        <v>Y</v>
      </c>
      <c r="AA43" s="574"/>
      <c r="AB43" s="593"/>
    </row>
    <row r="44" spans="1:28" ht="14.4">
      <c r="A44" s="588"/>
      <c r="B44" s="596"/>
      <c r="C44" s="598"/>
      <c r="D44" s="598"/>
      <c r="E44" s="598"/>
      <c r="F44" s="575"/>
      <c r="G44" s="600"/>
      <c r="H44" s="601"/>
      <c r="I44" s="575"/>
      <c r="J44" s="575"/>
      <c r="K44" s="593" t="str">
        <f t="shared" si="20"/>
        <v>N/A</v>
      </c>
      <c r="L44" s="593" t="str">
        <f t="shared" si="21"/>
        <v>N/A</v>
      </c>
      <c r="M44" s="593" t="str">
        <f t="shared" si="22"/>
        <v>N/A</v>
      </c>
      <c r="N44" s="593" t="str">
        <f t="shared" si="23"/>
        <v>N/A</v>
      </c>
      <c r="O44" s="593" t="str">
        <f t="shared" si="24"/>
        <v>N/A</v>
      </c>
      <c r="P44" s="593" t="str">
        <f t="shared" si="25"/>
        <v>N/A</v>
      </c>
      <c r="Q44" s="593" t="str">
        <f t="shared" si="26"/>
        <v>N/A</v>
      </c>
      <c r="R44" s="593" t="str">
        <f t="shared" si="27"/>
        <v>N/A</v>
      </c>
      <c r="S44" s="593" t="str">
        <f t="shared" si="28"/>
        <v>N/A</v>
      </c>
      <c r="T44" s="593" t="str">
        <f t="shared" si="29"/>
        <v>N/A</v>
      </c>
      <c r="U44" s="593">
        <f t="shared" si="30"/>
        <v>0</v>
      </c>
      <c r="V44" s="593">
        <f t="shared" si="31"/>
        <v>1</v>
      </c>
      <c r="W44" s="593" t="str">
        <f t="shared" si="32"/>
        <v>-</v>
      </c>
      <c r="Y44" s="593" t="str">
        <f t="shared" si="4"/>
        <v>Not suitable</v>
      </c>
      <c r="Z44" s="602" t="str">
        <f t="shared" si="18"/>
        <v>Y</v>
      </c>
      <c r="AA44" s="574"/>
      <c r="AB44" s="593"/>
    </row>
    <row r="45" spans="1:28" ht="14.4">
      <c r="A45" s="588"/>
      <c r="B45" s="596"/>
      <c r="C45" s="598"/>
      <c r="D45" s="598"/>
      <c r="E45" s="598"/>
      <c r="F45" s="575"/>
      <c r="G45" s="600"/>
      <c r="H45" s="601"/>
      <c r="I45" s="575"/>
      <c r="J45" s="575"/>
      <c r="K45" s="593" t="str">
        <f t="shared" si="20"/>
        <v>N/A</v>
      </c>
      <c r="L45" s="593" t="str">
        <f t="shared" si="21"/>
        <v>N/A</v>
      </c>
      <c r="M45" s="593" t="str">
        <f t="shared" si="22"/>
        <v>N/A</v>
      </c>
      <c r="N45" s="593" t="str">
        <f t="shared" si="23"/>
        <v>N/A</v>
      </c>
      <c r="O45" s="593" t="str">
        <f t="shared" si="24"/>
        <v>N/A</v>
      </c>
      <c r="P45" s="593" t="str">
        <f t="shared" si="25"/>
        <v>N/A</v>
      </c>
      <c r="Q45" s="593" t="str">
        <f t="shared" si="26"/>
        <v>N/A</v>
      </c>
      <c r="R45" s="593" t="str">
        <f t="shared" si="27"/>
        <v>N/A</v>
      </c>
      <c r="S45" s="593" t="str">
        <f t="shared" si="28"/>
        <v>N/A</v>
      </c>
      <c r="T45" s="593" t="str">
        <f t="shared" si="29"/>
        <v>N/A</v>
      </c>
      <c r="U45" s="593">
        <f t="shared" si="30"/>
        <v>0</v>
      </c>
      <c r="V45" s="593">
        <f t="shared" si="31"/>
        <v>1</v>
      </c>
      <c r="W45" s="593" t="str">
        <f t="shared" si="32"/>
        <v>-</v>
      </c>
      <c r="Y45" s="593" t="str">
        <f t="shared" si="4"/>
        <v>Not suitable</v>
      </c>
      <c r="Z45" s="602" t="str">
        <f t="shared" si="18"/>
        <v>Y</v>
      </c>
      <c r="AA45" s="574"/>
      <c r="AB45" s="593"/>
    </row>
    <row r="46" spans="1:28" ht="14.4">
      <c r="A46" s="588"/>
      <c r="B46" s="596"/>
      <c r="C46" s="598"/>
      <c r="D46" s="598"/>
      <c r="E46" s="598"/>
      <c r="F46" s="575"/>
      <c r="G46" s="600"/>
      <c r="H46" s="601"/>
      <c r="I46" s="575"/>
      <c r="J46" s="575"/>
      <c r="K46" s="593" t="str">
        <f t="shared" si="20"/>
        <v>N/A</v>
      </c>
      <c r="L46" s="593" t="str">
        <f t="shared" si="21"/>
        <v>N/A</v>
      </c>
      <c r="M46" s="593" t="str">
        <f t="shared" si="22"/>
        <v>N/A</v>
      </c>
      <c r="N46" s="593" t="str">
        <f t="shared" si="23"/>
        <v>N/A</v>
      </c>
      <c r="O46" s="593" t="str">
        <f t="shared" si="24"/>
        <v>N/A</v>
      </c>
      <c r="P46" s="593" t="str">
        <f t="shared" si="25"/>
        <v>N/A</v>
      </c>
      <c r="Q46" s="593" t="str">
        <f t="shared" si="26"/>
        <v>N/A</v>
      </c>
      <c r="R46" s="593" t="str">
        <f t="shared" si="27"/>
        <v>N/A</v>
      </c>
      <c r="S46" s="593" t="str">
        <f t="shared" si="28"/>
        <v>N/A</v>
      </c>
      <c r="T46" s="593" t="str">
        <f t="shared" si="29"/>
        <v>N/A</v>
      </c>
      <c r="U46" s="593">
        <f t="shared" si="30"/>
        <v>0</v>
      </c>
      <c r="V46" s="593">
        <f t="shared" si="31"/>
        <v>1</v>
      </c>
      <c r="W46" s="593" t="str">
        <f t="shared" si="32"/>
        <v>-</v>
      </c>
      <c r="Y46" s="593" t="str">
        <f t="shared" si="4"/>
        <v>Not suitable</v>
      </c>
      <c r="Z46" s="602" t="str">
        <f t="shared" si="18"/>
        <v>Y</v>
      </c>
      <c r="AA46" s="574"/>
      <c r="AB46" s="593"/>
    </row>
    <row r="47" spans="1:28" ht="14.4">
      <c r="A47" s="588"/>
      <c r="B47" s="596"/>
      <c r="C47" s="598"/>
      <c r="D47" s="598"/>
      <c r="E47" s="598"/>
      <c r="F47" s="575"/>
      <c r="G47" s="600"/>
      <c r="H47" s="601"/>
      <c r="I47" s="575"/>
      <c r="J47" s="575"/>
      <c r="K47" s="593" t="str">
        <f t="shared" si="20"/>
        <v>N/A</v>
      </c>
      <c r="L47" s="593" t="str">
        <f t="shared" si="21"/>
        <v>N/A</v>
      </c>
      <c r="M47" s="593" t="str">
        <f t="shared" si="22"/>
        <v>N/A</v>
      </c>
      <c r="N47" s="593" t="str">
        <f t="shared" si="23"/>
        <v>N/A</v>
      </c>
      <c r="O47" s="593" t="str">
        <f t="shared" si="24"/>
        <v>N/A</v>
      </c>
      <c r="P47" s="593" t="str">
        <f t="shared" si="25"/>
        <v>N/A</v>
      </c>
      <c r="Q47" s="593" t="str">
        <f t="shared" si="26"/>
        <v>N/A</v>
      </c>
      <c r="R47" s="593" t="str">
        <f t="shared" si="27"/>
        <v>N/A</v>
      </c>
      <c r="S47" s="593" t="str">
        <f t="shared" si="28"/>
        <v>N/A</v>
      </c>
      <c r="T47" s="593" t="str">
        <f t="shared" si="29"/>
        <v>N/A</v>
      </c>
      <c r="U47" s="593">
        <f t="shared" si="30"/>
        <v>0</v>
      </c>
      <c r="V47" s="593">
        <f t="shared" si="31"/>
        <v>1</v>
      </c>
      <c r="W47" s="593" t="str">
        <f t="shared" si="32"/>
        <v>-</v>
      </c>
      <c r="Y47" s="593" t="str">
        <f t="shared" si="4"/>
        <v>Not suitable</v>
      </c>
      <c r="Z47" s="602" t="str">
        <f t="shared" si="18"/>
        <v>Y</v>
      </c>
      <c r="AA47" s="574"/>
      <c r="AB47" s="593"/>
    </row>
    <row r="48" spans="1:28" ht="14.4">
      <c r="A48" s="588"/>
      <c r="B48" s="596"/>
      <c r="C48" s="598"/>
      <c r="D48" s="598"/>
      <c r="E48" s="598"/>
      <c r="F48" s="575"/>
      <c r="G48" s="600"/>
      <c r="H48" s="601"/>
      <c r="I48" s="575"/>
      <c r="J48" s="575"/>
      <c r="K48" s="593" t="str">
        <f t="shared" si="20"/>
        <v>N/A</v>
      </c>
      <c r="L48" s="593" t="str">
        <f t="shared" si="21"/>
        <v>N/A</v>
      </c>
      <c r="M48" s="593" t="str">
        <f t="shared" si="22"/>
        <v>N/A</v>
      </c>
      <c r="N48" s="593" t="str">
        <f t="shared" si="23"/>
        <v>N/A</v>
      </c>
      <c r="O48" s="593" t="str">
        <f t="shared" si="24"/>
        <v>N/A</v>
      </c>
      <c r="P48" s="593" t="str">
        <f t="shared" si="25"/>
        <v>N/A</v>
      </c>
      <c r="Q48" s="593" t="str">
        <f t="shared" si="26"/>
        <v>N/A</v>
      </c>
      <c r="R48" s="593" t="str">
        <f t="shared" si="27"/>
        <v>N/A</v>
      </c>
      <c r="S48" s="593" t="str">
        <f t="shared" si="28"/>
        <v>N/A</v>
      </c>
      <c r="T48" s="593" t="str">
        <f t="shared" si="29"/>
        <v>N/A</v>
      </c>
      <c r="U48" s="593">
        <f t="shared" si="30"/>
        <v>0</v>
      </c>
      <c r="V48" s="593">
        <f t="shared" si="31"/>
        <v>1</v>
      </c>
      <c r="W48" s="593" t="str">
        <f t="shared" si="32"/>
        <v>-</v>
      </c>
      <c r="Y48" s="593" t="str">
        <f t="shared" si="4"/>
        <v>Not suitable</v>
      </c>
      <c r="Z48" s="602" t="str">
        <f t="shared" si="18"/>
        <v>Y</v>
      </c>
      <c r="AA48" s="574"/>
      <c r="AB48" s="593"/>
    </row>
    <row r="49" spans="1:28" ht="14.4">
      <c r="A49" s="588"/>
      <c r="B49" s="596"/>
      <c r="C49" s="598"/>
      <c r="D49" s="598"/>
      <c r="E49" s="598"/>
      <c r="F49" s="575"/>
      <c r="G49" s="600"/>
      <c r="H49" s="601"/>
      <c r="I49" s="575"/>
      <c r="J49" s="575"/>
      <c r="K49" s="593" t="str">
        <f t="shared" si="20"/>
        <v>N/A</v>
      </c>
      <c r="L49" s="593" t="str">
        <f t="shared" si="21"/>
        <v>N/A</v>
      </c>
      <c r="M49" s="593" t="str">
        <f t="shared" si="22"/>
        <v>N/A</v>
      </c>
      <c r="N49" s="593" t="str">
        <f t="shared" si="23"/>
        <v>N/A</v>
      </c>
      <c r="O49" s="593" t="str">
        <f t="shared" si="24"/>
        <v>N/A</v>
      </c>
      <c r="P49" s="593" t="str">
        <f t="shared" si="25"/>
        <v>N/A</v>
      </c>
      <c r="Q49" s="593" t="str">
        <f t="shared" si="26"/>
        <v>N/A</v>
      </c>
      <c r="R49" s="593" t="str">
        <f t="shared" si="27"/>
        <v>N/A</v>
      </c>
      <c r="S49" s="593" t="str">
        <f t="shared" si="28"/>
        <v>N/A</v>
      </c>
      <c r="T49" s="593" t="str">
        <f t="shared" si="29"/>
        <v>N/A</v>
      </c>
      <c r="U49" s="593">
        <f t="shared" si="30"/>
        <v>0</v>
      </c>
      <c r="V49" s="593">
        <f t="shared" si="31"/>
        <v>1</v>
      </c>
      <c r="W49" s="593" t="str">
        <f t="shared" si="32"/>
        <v>-</v>
      </c>
      <c r="Y49" s="593" t="str">
        <f t="shared" si="4"/>
        <v>Not suitable</v>
      </c>
      <c r="Z49" s="602" t="str">
        <f t="shared" si="18"/>
        <v>Y</v>
      </c>
      <c r="AA49" s="574"/>
      <c r="AB49" s="593"/>
    </row>
    <row r="50" spans="1:28" ht="14.4">
      <c r="A50" s="588"/>
      <c r="B50" s="596"/>
      <c r="C50" s="598"/>
      <c r="D50" s="598"/>
      <c r="E50" s="598"/>
      <c r="F50" s="575"/>
      <c r="G50" s="600"/>
      <c r="H50" s="601"/>
      <c r="I50" s="575"/>
      <c r="J50" s="575"/>
      <c r="K50" s="593" t="str">
        <f t="shared" si="20"/>
        <v>N/A</v>
      </c>
      <c r="L50" s="593" t="str">
        <f t="shared" si="21"/>
        <v>N/A</v>
      </c>
      <c r="M50" s="593" t="str">
        <f t="shared" si="22"/>
        <v>N/A</v>
      </c>
      <c r="N50" s="593" t="str">
        <f t="shared" si="23"/>
        <v>N/A</v>
      </c>
      <c r="O50" s="593" t="str">
        <f t="shared" si="24"/>
        <v>N/A</v>
      </c>
      <c r="P50" s="593" t="str">
        <f t="shared" si="25"/>
        <v>N/A</v>
      </c>
      <c r="Q50" s="593" t="str">
        <f t="shared" si="26"/>
        <v>N/A</v>
      </c>
      <c r="R50" s="593" t="str">
        <f t="shared" si="27"/>
        <v>N/A</v>
      </c>
      <c r="S50" s="593" t="str">
        <f t="shared" si="28"/>
        <v>N/A</v>
      </c>
      <c r="T50" s="593" t="str">
        <f t="shared" si="29"/>
        <v>N/A</v>
      </c>
      <c r="U50" s="593">
        <f t="shared" si="30"/>
        <v>0</v>
      </c>
      <c r="V50" s="593">
        <f t="shared" si="31"/>
        <v>1</v>
      </c>
      <c r="W50" s="593" t="str">
        <f t="shared" si="32"/>
        <v>-</v>
      </c>
      <c r="Y50" s="593" t="str">
        <f t="shared" si="4"/>
        <v>Not suitable</v>
      </c>
      <c r="Z50" s="602" t="str">
        <f t="shared" si="18"/>
        <v>Y</v>
      </c>
      <c r="AA50" s="574"/>
      <c r="AB50" s="593"/>
    </row>
    <row r="51" spans="1:28" ht="14.4">
      <c r="A51" s="588"/>
      <c r="B51" s="596"/>
      <c r="C51" s="598"/>
      <c r="D51" s="598"/>
      <c r="E51" s="598"/>
      <c r="F51" s="575"/>
      <c r="G51" s="600"/>
      <c r="H51" s="601"/>
      <c r="I51" s="575"/>
      <c r="J51" s="575"/>
      <c r="K51" s="593" t="str">
        <f t="shared" si="20"/>
        <v>N/A</v>
      </c>
      <c r="L51" s="593" t="str">
        <f t="shared" si="21"/>
        <v>N/A</v>
      </c>
      <c r="M51" s="593" t="str">
        <f t="shared" si="22"/>
        <v>N/A</v>
      </c>
      <c r="N51" s="593" t="str">
        <f t="shared" si="23"/>
        <v>N/A</v>
      </c>
      <c r="O51" s="593" t="str">
        <f t="shared" si="24"/>
        <v>N/A</v>
      </c>
      <c r="P51" s="593" t="str">
        <f t="shared" si="25"/>
        <v>N/A</v>
      </c>
      <c r="Q51" s="593" t="str">
        <f t="shared" si="26"/>
        <v>N/A</v>
      </c>
      <c r="R51" s="593" t="str">
        <f t="shared" si="27"/>
        <v>N/A</v>
      </c>
      <c r="S51" s="593" t="str">
        <f t="shared" si="28"/>
        <v>N/A</v>
      </c>
      <c r="T51" s="593" t="str">
        <f t="shared" si="29"/>
        <v>N/A</v>
      </c>
      <c r="U51" s="593">
        <f t="shared" si="30"/>
        <v>0</v>
      </c>
      <c r="V51" s="593">
        <f t="shared" si="31"/>
        <v>1</v>
      </c>
      <c r="W51" s="593" t="str">
        <f t="shared" si="32"/>
        <v>-</v>
      </c>
      <c r="Y51" s="593" t="str">
        <f t="shared" si="4"/>
        <v>Not suitable</v>
      </c>
      <c r="Z51" s="602" t="str">
        <f t="shared" si="18"/>
        <v>Y</v>
      </c>
      <c r="AA51" s="574"/>
      <c r="AB51" s="593"/>
    </row>
    <row r="52" spans="1:28" ht="14.4">
      <c r="A52" s="588"/>
      <c r="B52" s="596"/>
      <c r="C52" s="598"/>
      <c r="D52" s="598"/>
      <c r="E52" s="598"/>
      <c r="F52" s="575"/>
      <c r="G52" s="600"/>
      <c r="H52" s="601"/>
      <c r="I52" s="575"/>
      <c r="J52" s="575"/>
      <c r="K52" s="593" t="str">
        <f t="shared" si="20"/>
        <v>N/A</v>
      </c>
      <c r="L52" s="593" t="str">
        <f t="shared" si="21"/>
        <v>N/A</v>
      </c>
      <c r="M52" s="593" t="str">
        <f t="shared" si="22"/>
        <v>N/A</v>
      </c>
      <c r="N52" s="593" t="str">
        <f t="shared" si="23"/>
        <v>N/A</v>
      </c>
      <c r="O52" s="593" t="str">
        <f t="shared" si="24"/>
        <v>N/A</v>
      </c>
      <c r="P52" s="593" t="str">
        <f t="shared" si="25"/>
        <v>N/A</v>
      </c>
      <c r="Q52" s="593" t="str">
        <f t="shared" si="26"/>
        <v>N/A</v>
      </c>
      <c r="R52" s="593" t="str">
        <f t="shared" si="27"/>
        <v>N/A</v>
      </c>
      <c r="S52" s="593" t="str">
        <f t="shared" si="28"/>
        <v>N/A</v>
      </c>
      <c r="T52" s="593" t="str">
        <f t="shared" si="29"/>
        <v>N/A</v>
      </c>
      <c r="U52" s="593">
        <f t="shared" si="30"/>
        <v>0</v>
      </c>
      <c r="V52" s="593">
        <f t="shared" si="31"/>
        <v>1</v>
      </c>
      <c r="W52" s="593" t="str">
        <f t="shared" si="32"/>
        <v>-</v>
      </c>
      <c r="Y52" s="593" t="str">
        <f t="shared" si="4"/>
        <v>Not suitable</v>
      </c>
      <c r="Z52" s="602" t="str">
        <f t="shared" si="18"/>
        <v>Y</v>
      </c>
      <c r="AA52" s="574"/>
      <c r="AB52" s="593"/>
    </row>
    <row r="53" spans="1:28" ht="14.4">
      <c r="A53" s="588"/>
      <c r="B53" s="596"/>
      <c r="C53" s="598"/>
      <c r="D53" s="598"/>
      <c r="E53" s="598"/>
      <c r="F53" s="575"/>
      <c r="G53" s="600"/>
      <c r="H53" s="601"/>
      <c r="I53" s="575"/>
      <c r="J53" s="575"/>
      <c r="K53" s="593" t="str">
        <f t="shared" si="20"/>
        <v>N/A</v>
      </c>
      <c r="L53" s="593" t="str">
        <f t="shared" si="21"/>
        <v>N/A</v>
      </c>
      <c r="M53" s="593" t="str">
        <f t="shared" si="22"/>
        <v>N/A</v>
      </c>
      <c r="N53" s="593" t="str">
        <f t="shared" si="23"/>
        <v>N/A</v>
      </c>
      <c r="O53" s="593" t="str">
        <f t="shared" si="24"/>
        <v>N/A</v>
      </c>
      <c r="P53" s="593" t="str">
        <f t="shared" si="25"/>
        <v>N/A</v>
      </c>
      <c r="Q53" s="593" t="str">
        <f t="shared" si="26"/>
        <v>N/A</v>
      </c>
      <c r="R53" s="593" t="str">
        <f t="shared" si="27"/>
        <v>N/A</v>
      </c>
      <c r="S53" s="593" t="str">
        <f t="shared" si="28"/>
        <v>N/A</v>
      </c>
      <c r="T53" s="593" t="str">
        <f t="shared" si="29"/>
        <v>N/A</v>
      </c>
      <c r="U53" s="593">
        <f t="shared" si="30"/>
        <v>0</v>
      </c>
      <c r="V53" s="593">
        <f t="shared" si="31"/>
        <v>1</v>
      </c>
      <c r="W53" s="593" t="str">
        <f t="shared" si="32"/>
        <v>-</v>
      </c>
      <c r="Y53" s="593" t="str">
        <f t="shared" si="4"/>
        <v>Not suitable</v>
      </c>
      <c r="Z53" s="602" t="str">
        <f t="shared" si="18"/>
        <v>Y</v>
      </c>
      <c r="AA53" s="574"/>
      <c r="AB53" s="593"/>
    </row>
    <row r="54" spans="1:28" ht="14.4">
      <c r="A54" s="588"/>
      <c r="B54" s="596"/>
      <c r="C54" s="598"/>
      <c r="D54" s="598"/>
      <c r="E54" s="598"/>
      <c r="F54" s="575"/>
      <c r="G54" s="600"/>
      <c r="H54" s="601"/>
      <c r="I54" s="575"/>
      <c r="J54" s="575"/>
      <c r="K54" s="593" t="str">
        <f t="shared" si="20"/>
        <v>N/A</v>
      </c>
      <c r="L54" s="593" t="str">
        <f t="shared" si="21"/>
        <v>N/A</v>
      </c>
      <c r="M54" s="593" t="str">
        <f t="shared" si="22"/>
        <v>N/A</v>
      </c>
      <c r="N54" s="593" t="str">
        <f t="shared" si="23"/>
        <v>N/A</v>
      </c>
      <c r="O54" s="593" t="str">
        <f t="shared" si="24"/>
        <v>N/A</v>
      </c>
      <c r="P54" s="593" t="str">
        <f t="shared" si="25"/>
        <v>N/A</v>
      </c>
      <c r="Q54" s="593" t="str">
        <f t="shared" si="26"/>
        <v>N/A</v>
      </c>
      <c r="R54" s="593" t="str">
        <f t="shared" si="27"/>
        <v>N/A</v>
      </c>
      <c r="S54" s="593" t="str">
        <f t="shared" si="28"/>
        <v>N/A</v>
      </c>
      <c r="T54" s="593" t="str">
        <f t="shared" si="29"/>
        <v>N/A</v>
      </c>
      <c r="U54" s="593">
        <f t="shared" si="30"/>
        <v>0</v>
      </c>
      <c r="V54" s="593">
        <f t="shared" si="31"/>
        <v>1</v>
      </c>
      <c r="W54" s="593" t="str">
        <f t="shared" si="32"/>
        <v>-</v>
      </c>
      <c r="Y54" s="593" t="str">
        <f t="shared" si="4"/>
        <v>Not suitable</v>
      </c>
      <c r="Z54" s="602" t="str">
        <f t="shared" si="18"/>
        <v>Y</v>
      </c>
      <c r="AA54" s="574"/>
      <c r="AB54" s="593"/>
    </row>
    <row r="55" spans="1:28" ht="14.4">
      <c r="A55" s="588"/>
      <c r="B55" s="596"/>
      <c r="C55" s="598"/>
      <c r="D55" s="598"/>
      <c r="E55" s="598"/>
      <c r="F55" s="575"/>
      <c r="G55" s="600"/>
      <c r="H55" s="601"/>
      <c r="I55" s="575"/>
      <c r="J55" s="575"/>
      <c r="K55" s="593" t="str">
        <f t="shared" si="20"/>
        <v>N/A</v>
      </c>
      <c r="L55" s="593" t="str">
        <f t="shared" si="21"/>
        <v>N/A</v>
      </c>
      <c r="M55" s="593" t="str">
        <f t="shared" si="22"/>
        <v>N/A</v>
      </c>
      <c r="N55" s="593" t="str">
        <f t="shared" si="23"/>
        <v>N/A</v>
      </c>
      <c r="O55" s="593" t="str">
        <f t="shared" si="24"/>
        <v>N/A</v>
      </c>
      <c r="P55" s="593" t="str">
        <f t="shared" si="25"/>
        <v>N/A</v>
      </c>
      <c r="Q55" s="593" t="str">
        <f t="shared" si="26"/>
        <v>N/A</v>
      </c>
      <c r="R55" s="593" t="str">
        <f t="shared" si="27"/>
        <v>N/A</v>
      </c>
      <c r="S55" s="593" t="str">
        <f t="shared" si="28"/>
        <v>N/A</v>
      </c>
      <c r="T55" s="593" t="str">
        <f t="shared" si="29"/>
        <v>N/A</v>
      </c>
      <c r="U55" s="593">
        <f t="shared" si="30"/>
        <v>0</v>
      </c>
      <c r="V55" s="593">
        <f t="shared" si="31"/>
        <v>1</v>
      </c>
      <c r="W55" s="593" t="str">
        <f t="shared" si="32"/>
        <v>-</v>
      </c>
      <c r="Y55" s="593" t="str">
        <f t="shared" si="4"/>
        <v>Not suitable</v>
      </c>
      <c r="Z55" s="602" t="str">
        <f t="shared" si="18"/>
        <v>Y</v>
      </c>
      <c r="AA55" s="574"/>
      <c r="AB55" s="593"/>
    </row>
    <row r="56" spans="1:28" ht="14.4">
      <c r="A56" s="588"/>
      <c r="B56" s="596"/>
      <c r="C56" s="598"/>
      <c r="D56" s="598"/>
      <c r="E56" s="598"/>
      <c r="F56" s="575"/>
      <c r="G56" s="600"/>
      <c r="H56" s="601"/>
      <c r="I56" s="575"/>
      <c r="J56" s="575"/>
      <c r="K56" s="593" t="str">
        <f t="shared" si="20"/>
        <v>N/A</v>
      </c>
      <c r="L56" s="593" t="str">
        <f t="shared" si="21"/>
        <v>N/A</v>
      </c>
      <c r="M56" s="593" t="str">
        <f t="shared" si="22"/>
        <v>N/A</v>
      </c>
      <c r="N56" s="593" t="str">
        <f t="shared" si="23"/>
        <v>N/A</v>
      </c>
      <c r="O56" s="593" t="str">
        <f t="shared" si="24"/>
        <v>N/A</v>
      </c>
      <c r="P56" s="593" t="str">
        <f t="shared" si="25"/>
        <v>N/A</v>
      </c>
      <c r="Q56" s="593" t="str">
        <f t="shared" si="26"/>
        <v>N/A</v>
      </c>
      <c r="R56" s="593" t="str">
        <f t="shared" si="27"/>
        <v>N/A</v>
      </c>
      <c r="S56" s="593" t="str">
        <f t="shared" si="28"/>
        <v>N/A</v>
      </c>
      <c r="T56" s="593" t="str">
        <f t="shared" si="29"/>
        <v>N/A</v>
      </c>
      <c r="U56" s="593">
        <f t="shared" si="30"/>
        <v>0</v>
      </c>
      <c r="V56" s="593">
        <f t="shared" si="31"/>
        <v>1</v>
      </c>
      <c r="W56" s="593" t="str">
        <f t="shared" si="32"/>
        <v>-</v>
      </c>
      <c r="Y56" s="593" t="str">
        <f t="shared" si="4"/>
        <v>Not suitable</v>
      </c>
      <c r="Z56" s="602" t="str">
        <f t="shared" si="18"/>
        <v>Y</v>
      </c>
      <c r="AA56" s="574"/>
      <c r="AB56" s="593"/>
    </row>
    <row r="57" spans="1:28" ht="14.4">
      <c r="A57" s="588"/>
      <c r="B57" s="596"/>
      <c r="C57" s="598"/>
      <c r="D57" s="598"/>
      <c r="E57" s="598"/>
      <c r="F57" s="575"/>
      <c r="G57" s="600"/>
      <c r="H57" s="601"/>
      <c r="I57" s="575"/>
      <c r="J57" s="575"/>
      <c r="K57" s="593" t="str">
        <f t="shared" si="20"/>
        <v>N/A</v>
      </c>
      <c r="L57" s="593" t="str">
        <f t="shared" si="21"/>
        <v>N/A</v>
      </c>
      <c r="M57" s="593" t="str">
        <f t="shared" si="22"/>
        <v>N/A</v>
      </c>
      <c r="N57" s="593" t="str">
        <f t="shared" si="23"/>
        <v>N/A</v>
      </c>
      <c r="O57" s="593" t="str">
        <f t="shared" si="24"/>
        <v>N/A</v>
      </c>
      <c r="P57" s="593" t="str">
        <f t="shared" si="25"/>
        <v>N/A</v>
      </c>
      <c r="Q57" s="593" t="str">
        <f t="shared" si="26"/>
        <v>N/A</v>
      </c>
      <c r="R57" s="593" t="str">
        <f t="shared" si="27"/>
        <v>N/A</v>
      </c>
      <c r="S57" s="593" t="str">
        <f t="shared" si="28"/>
        <v>N/A</v>
      </c>
      <c r="T57" s="593" t="str">
        <f t="shared" si="29"/>
        <v>N/A</v>
      </c>
      <c r="U57" s="593">
        <f t="shared" si="30"/>
        <v>0</v>
      </c>
      <c r="V57" s="593">
        <f t="shared" si="31"/>
        <v>1</v>
      </c>
      <c r="W57" s="593" t="str">
        <f t="shared" si="32"/>
        <v>-</v>
      </c>
      <c r="Y57" s="593" t="str">
        <f t="shared" si="4"/>
        <v>Not suitable</v>
      </c>
      <c r="Z57" s="602" t="str">
        <f t="shared" si="18"/>
        <v>Y</v>
      </c>
      <c r="AA57" s="574"/>
      <c r="AB57" s="593"/>
    </row>
    <row r="58" spans="1:28" ht="14.4">
      <c r="A58" s="588"/>
      <c r="B58" s="596"/>
      <c r="C58" s="598"/>
      <c r="D58" s="598"/>
      <c r="E58" s="598"/>
      <c r="F58" s="575"/>
      <c r="G58" s="600"/>
      <c r="H58" s="601"/>
      <c r="I58" s="575"/>
      <c r="J58" s="575"/>
      <c r="K58" s="593" t="str">
        <f t="shared" si="20"/>
        <v>N/A</v>
      </c>
      <c r="L58" s="593" t="str">
        <f t="shared" si="21"/>
        <v>N/A</v>
      </c>
      <c r="M58" s="593" t="str">
        <f t="shared" si="22"/>
        <v>N/A</v>
      </c>
      <c r="N58" s="593" t="str">
        <f t="shared" si="23"/>
        <v>N/A</v>
      </c>
      <c r="O58" s="593" t="str">
        <f t="shared" si="24"/>
        <v>N/A</v>
      </c>
      <c r="P58" s="593" t="str">
        <f t="shared" si="25"/>
        <v>N/A</v>
      </c>
      <c r="Q58" s="593" t="str">
        <f t="shared" si="26"/>
        <v>N/A</v>
      </c>
      <c r="R58" s="593" t="str">
        <f t="shared" si="27"/>
        <v>N/A</v>
      </c>
      <c r="S58" s="593" t="str">
        <f t="shared" si="28"/>
        <v>N/A</v>
      </c>
      <c r="T58" s="593" t="str">
        <f t="shared" si="29"/>
        <v>N/A</v>
      </c>
      <c r="U58" s="593">
        <f t="shared" si="30"/>
        <v>0</v>
      </c>
      <c r="V58" s="593">
        <f t="shared" si="31"/>
        <v>1</v>
      </c>
      <c r="W58" s="593" t="str">
        <f t="shared" si="32"/>
        <v>-</v>
      </c>
      <c r="Y58" s="593" t="str">
        <f t="shared" si="4"/>
        <v>Not suitable</v>
      </c>
      <c r="Z58" s="602" t="str">
        <f t="shared" si="18"/>
        <v>Y</v>
      </c>
      <c r="AA58" s="574"/>
      <c r="AB58" s="593"/>
    </row>
    <row r="59" spans="1:28" ht="14.4">
      <c r="A59" s="588"/>
      <c r="B59" s="596"/>
      <c r="C59" s="598"/>
      <c r="D59" s="598"/>
      <c r="E59" s="598"/>
      <c r="F59" s="575"/>
      <c r="G59" s="600"/>
      <c r="H59" s="601"/>
      <c r="I59" s="575"/>
      <c r="J59" s="575"/>
      <c r="K59" s="593" t="str">
        <f t="shared" si="20"/>
        <v>N/A</v>
      </c>
      <c r="L59" s="593" t="str">
        <f t="shared" si="21"/>
        <v>N/A</v>
      </c>
      <c r="M59" s="593" t="str">
        <f t="shared" si="22"/>
        <v>N/A</v>
      </c>
      <c r="N59" s="593" t="str">
        <f t="shared" si="23"/>
        <v>N/A</v>
      </c>
      <c r="O59" s="593" t="str">
        <f t="shared" si="24"/>
        <v>N/A</v>
      </c>
      <c r="P59" s="593" t="str">
        <f t="shared" si="25"/>
        <v>N/A</v>
      </c>
      <c r="Q59" s="593" t="str">
        <f t="shared" si="26"/>
        <v>N/A</v>
      </c>
      <c r="R59" s="593" t="str">
        <f t="shared" si="27"/>
        <v>N/A</v>
      </c>
      <c r="S59" s="593" t="str">
        <f t="shared" si="28"/>
        <v>N/A</v>
      </c>
      <c r="T59" s="593" t="str">
        <f t="shared" si="29"/>
        <v>N/A</v>
      </c>
      <c r="U59" s="593">
        <f t="shared" si="30"/>
        <v>0</v>
      </c>
      <c r="V59" s="593">
        <f t="shared" si="31"/>
        <v>1</v>
      </c>
      <c r="W59" s="593" t="str">
        <f t="shared" si="32"/>
        <v>-</v>
      </c>
      <c r="Y59" s="593" t="str">
        <f t="shared" si="4"/>
        <v>Not suitable</v>
      </c>
      <c r="Z59" s="602" t="str">
        <f t="shared" si="18"/>
        <v>Y</v>
      </c>
      <c r="AA59" s="574"/>
      <c r="AB59" s="593"/>
    </row>
    <row r="60" spans="1:28" ht="14.4">
      <c r="A60" s="588"/>
      <c r="B60" s="596"/>
      <c r="C60" s="598"/>
      <c r="D60" s="598"/>
      <c r="E60" s="598"/>
      <c r="F60" s="575"/>
      <c r="G60" s="600"/>
      <c r="H60" s="601"/>
      <c r="I60" s="575"/>
      <c r="J60" s="575"/>
      <c r="K60" s="593" t="str">
        <f t="shared" si="20"/>
        <v>N/A</v>
      </c>
      <c r="L60" s="593" t="str">
        <f t="shared" si="21"/>
        <v>N/A</v>
      </c>
      <c r="M60" s="593" t="str">
        <f t="shared" si="22"/>
        <v>N/A</v>
      </c>
      <c r="N60" s="593" t="str">
        <f t="shared" si="23"/>
        <v>N/A</v>
      </c>
      <c r="O60" s="593" t="str">
        <f t="shared" si="24"/>
        <v>N/A</v>
      </c>
      <c r="P60" s="593" t="str">
        <f t="shared" si="25"/>
        <v>N/A</v>
      </c>
      <c r="Q60" s="593" t="str">
        <f t="shared" si="26"/>
        <v>N/A</v>
      </c>
      <c r="R60" s="593" t="str">
        <f t="shared" si="27"/>
        <v>N/A</v>
      </c>
      <c r="S60" s="593" t="str">
        <f t="shared" si="28"/>
        <v>N/A</v>
      </c>
      <c r="T60" s="593" t="str">
        <f t="shared" si="29"/>
        <v>N/A</v>
      </c>
      <c r="U60" s="593">
        <f t="shared" si="30"/>
        <v>0</v>
      </c>
      <c r="V60" s="593">
        <f t="shared" si="31"/>
        <v>1</v>
      </c>
      <c r="W60" s="593" t="str">
        <f t="shared" si="32"/>
        <v>-</v>
      </c>
      <c r="Y60" s="593" t="str">
        <f t="shared" si="4"/>
        <v>Not suitable</v>
      </c>
      <c r="Z60" s="602" t="str">
        <f t="shared" si="18"/>
        <v>Y</v>
      </c>
      <c r="AA60" s="574"/>
      <c r="AB60" s="593"/>
    </row>
    <row r="61" spans="1:28" ht="14.4">
      <c r="A61" s="588"/>
      <c r="B61" s="596"/>
      <c r="C61" s="598"/>
      <c r="D61" s="598"/>
      <c r="E61" s="598"/>
      <c r="F61" s="575"/>
      <c r="G61" s="600"/>
      <c r="H61" s="601"/>
      <c r="I61" s="575"/>
      <c r="J61" s="575"/>
      <c r="K61" s="593" t="str">
        <f t="shared" si="20"/>
        <v>N/A</v>
      </c>
      <c r="L61" s="593" t="str">
        <f t="shared" si="21"/>
        <v>N/A</v>
      </c>
      <c r="M61" s="593" t="str">
        <f t="shared" si="22"/>
        <v>N/A</v>
      </c>
      <c r="N61" s="593" t="str">
        <f t="shared" si="23"/>
        <v>N/A</v>
      </c>
      <c r="O61" s="593" t="str">
        <f t="shared" si="24"/>
        <v>N/A</v>
      </c>
      <c r="P61" s="593" t="str">
        <f t="shared" si="25"/>
        <v>N/A</v>
      </c>
      <c r="Q61" s="593" t="str">
        <f t="shared" si="26"/>
        <v>N/A</v>
      </c>
      <c r="R61" s="593" t="str">
        <f t="shared" si="27"/>
        <v>N/A</v>
      </c>
      <c r="S61" s="593" t="str">
        <f t="shared" si="28"/>
        <v>N/A</v>
      </c>
      <c r="T61" s="593" t="str">
        <f t="shared" si="29"/>
        <v>N/A</v>
      </c>
      <c r="U61" s="593">
        <f t="shared" si="30"/>
        <v>0</v>
      </c>
      <c r="V61" s="593">
        <f t="shared" si="31"/>
        <v>1</v>
      </c>
      <c r="W61" s="593" t="str">
        <f t="shared" si="32"/>
        <v>-</v>
      </c>
      <c r="Y61" s="593" t="str">
        <f t="shared" si="4"/>
        <v>Not suitable</v>
      </c>
      <c r="Z61" s="348" t="str">
        <f t="shared" si="18"/>
        <v>Y</v>
      </c>
      <c r="AA61" s="574"/>
      <c r="AB61" s="602"/>
    </row>
    <row r="62" spans="1:28" ht="13.2">
      <c r="A62" s="588"/>
      <c r="B62" s="609"/>
      <c r="C62" s="599"/>
      <c r="D62" s="599"/>
      <c r="E62" s="597"/>
      <c r="F62" s="593"/>
      <c r="G62" s="602"/>
      <c r="H62" s="602"/>
      <c r="I62" s="602"/>
      <c r="J62" s="602"/>
      <c r="K62" s="602" t="str">
        <f t="shared" si="20"/>
        <v>N/A</v>
      </c>
      <c r="L62" s="593" t="str">
        <f t="shared" si="21"/>
        <v>N/A</v>
      </c>
      <c r="M62" s="593" t="str">
        <f t="shared" si="22"/>
        <v>N/A</v>
      </c>
      <c r="N62" s="593" t="str">
        <f t="shared" si="23"/>
        <v>N/A</v>
      </c>
      <c r="O62" s="593" t="str">
        <f t="shared" si="24"/>
        <v>N/A</v>
      </c>
      <c r="P62" s="593" t="str">
        <f t="shared" si="25"/>
        <v>N/A</v>
      </c>
      <c r="Q62" s="593" t="str">
        <f t="shared" si="26"/>
        <v>N/A</v>
      </c>
      <c r="R62" s="593" t="str">
        <f t="shared" si="27"/>
        <v>N/A</v>
      </c>
      <c r="S62" s="593" t="str">
        <f t="shared" si="28"/>
        <v>N/A</v>
      </c>
      <c r="T62" s="593" t="str">
        <f t="shared" si="29"/>
        <v>N/A</v>
      </c>
      <c r="U62" s="593">
        <f t="shared" si="30"/>
        <v>0</v>
      </c>
      <c r="V62" s="593">
        <f t="shared" si="31"/>
        <v>1</v>
      </c>
      <c r="W62" s="593" t="str">
        <f t="shared" si="32"/>
        <v>-</v>
      </c>
      <c r="Y62" s="593" t="str">
        <f t="shared" si="4"/>
        <v>Not suitable</v>
      </c>
      <c r="Z62" s="602" t="str">
        <f t="shared" si="18"/>
        <v>Y</v>
      </c>
      <c r="AA62" s="593"/>
      <c r="AB62" s="593"/>
    </row>
    <row r="63" spans="1:28" ht="13.2">
      <c r="A63" s="588"/>
      <c r="C63" s="598"/>
      <c r="D63" s="598"/>
      <c r="E63" s="598"/>
      <c r="F63" s="593"/>
      <c r="G63" s="593"/>
      <c r="H63" s="593"/>
      <c r="I63" s="593"/>
      <c r="J63" s="593"/>
      <c r="K63" s="593" t="str">
        <f t="shared" si="20"/>
        <v>N/A</v>
      </c>
      <c r="L63" s="593" t="str">
        <f t="shared" si="21"/>
        <v>N/A</v>
      </c>
      <c r="M63" s="593" t="str">
        <f t="shared" si="22"/>
        <v>N/A</v>
      </c>
      <c r="N63" s="593" t="str">
        <f t="shared" si="23"/>
        <v>N/A</v>
      </c>
      <c r="O63" s="593" t="str">
        <f t="shared" si="24"/>
        <v>N/A</v>
      </c>
      <c r="P63" s="593" t="str">
        <f t="shared" si="25"/>
        <v>N/A</v>
      </c>
      <c r="Q63" s="593" t="str">
        <f t="shared" si="26"/>
        <v>N/A</v>
      </c>
      <c r="R63" s="593" t="str">
        <f t="shared" si="27"/>
        <v>N/A</v>
      </c>
      <c r="S63" s="593" t="str">
        <f t="shared" si="28"/>
        <v>N/A</v>
      </c>
      <c r="T63" s="593" t="str">
        <f t="shared" si="29"/>
        <v>N/A</v>
      </c>
      <c r="U63" s="593">
        <f t="shared" si="30"/>
        <v>0</v>
      </c>
      <c r="V63" s="593">
        <f t="shared" si="31"/>
        <v>1</v>
      </c>
      <c r="W63" s="593" t="str">
        <f t="shared" si="32"/>
        <v>-</v>
      </c>
      <c r="Y63" s="593" t="str">
        <f t="shared" si="4"/>
        <v>Not suitable</v>
      </c>
      <c r="Z63" s="602" t="str">
        <f t="shared" si="18"/>
        <v>Y</v>
      </c>
      <c r="AA63" s="593"/>
      <c r="AB63" s="593"/>
    </row>
    <row r="64" spans="1:28" ht="13.2">
      <c r="A64" s="588"/>
      <c r="C64" s="598"/>
      <c r="D64" s="598"/>
      <c r="E64" s="598"/>
      <c r="F64" s="593"/>
      <c r="G64" s="593"/>
      <c r="H64" s="593"/>
      <c r="I64" s="593"/>
      <c r="J64" s="593"/>
      <c r="K64" s="593" t="str">
        <f t="shared" si="20"/>
        <v>N/A</v>
      </c>
      <c r="L64" s="593" t="str">
        <f t="shared" si="21"/>
        <v>N/A</v>
      </c>
      <c r="M64" s="593" t="str">
        <f t="shared" si="22"/>
        <v>N/A</v>
      </c>
      <c r="N64" s="593" t="str">
        <f t="shared" si="23"/>
        <v>N/A</v>
      </c>
      <c r="O64" s="593" t="str">
        <f t="shared" si="24"/>
        <v>N/A</v>
      </c>
      <c r="P64" s="593" t="str">
        <f t="shared" si="25"/>
        <v>N/A</v>
      </c>
      <c r="Q64" s="593" t="str">
        <f t="shared" si="26"/>
        <v>N/A</v>
      </c>
      <c r="R64" s="593" t="str">
        <f t="shared" si="27"/>
        <v>N/A</v>
      </c>
      <c r="S64" s="593" t="str">
        <f t="shared" si="28"/>
        <v>N/A</v>
      </c>
      <c r="T64" s="593" t="str">
        <f t="shared" si="29"/>
        <v>N/A</v>
      </c>
      <c r="U64" s="593">
        <f t="shared" si="30"/>
        <v>0</v>
      </c>
      <c r="V64" s="593">
        <f t="shared" si="31"/>
        <v>1</v>
      </c>
      <c r="W64" s="593" t="str">
        <f t="shared" si="32"/>
        <v>-</v>
      </c>
      <c r="Y64" s="593" t="str">
        <f t="shared" si="4"/>
        <v>Not suitable</v>
      </c>
      <c r="Z64" s="602" t="str">
        <f t="shared" si="18"/>
        <v>Y</v>
      </c>
      <c r="AA64" s="593"/>
      <c r="AB64" s="593"/>
    </row>
    <row r="65" spans="1:28" ht="13.2">
      <c r="A65" s="588"/>
      <c r="C65" s="598"/>
      <c r="D65" s="598"/>
      <c r="E65" s="598"/>
      <c r="F65" s="593"/>
      <c r="G65" s="593"/>
      <c r="H65" s="593"/>
      <c r="I65" s="593"/>
      <c r="J65" s="593"/>
      <c r="K65" s="593" t="str">
        <f t="shared" si="20"/>
        <v>N/A</v>
      </c>
      <c r="L65" s="593" t="str">
        <f t="shared" si="21"/>
        <v>N/A</v>
      </c>
      <c r="M65" s="593" t="str">
        <f t="shared" si="22"/>
        <v>N/A</v>
      </c>
      <c r="N65" s="593" t="str">
        <f t="shared" si="23"/>
        <v>N/A</v>
      </c>
      <c r="O65" s="593" t="str">
        <f t="shared" si="24"/>
        <v>N/A</v>
      </c>
      <c r="P65" s="593" t="str">
        <f t="shared" si="25"/>
        <v>N/A</v>
      </c>
      <c r="Q65" s="593" t="str">
        <f t="shared" si="26"/>
        <v>N/A</v>
      </c>
      <c r="R65" s="593" t="str">
        <f t="shared" si="27"/>
        <v>N/A</v>
      </c>
      <c r="S65" s="593" t="str">
        <f t="shared" si="28"/>
        <v>N/A</v>
      </c>
      <c r="T65" s="593" t="str">
        <f t="shared" si="29"/>
        <v>N/A</v>
      </c>
      <c r="U65" s="593">
        <f t="shared" si="30"/>
        <v>0</v>
      </c>
      <c r="V65" s="593">
        <f t="shared" si="31"/>
        <v>1</v>
      </c>
      <c r="W65" s="593" t="str">
        <f t="shared" si="32"/>
        <v>-</v>
      </c>
      <c r="Y65" s="593" t="str">
        <f t="shared" si="4"/>
        <v>Not suitable</v>
      </c>
      <c r="Z65" s="602" t="str">
        <f t="shared" si="18"/>
        <v>Y</v>
      </c>
      <c r="AA65" s="593"/>
      <c r="AB65" s="593"/>
    </row>
    <row r="66" spans="1:28" ht="13.2">
      <c r="A66" s="588"/>
      <c r="C66" s="598"/>
      <c r="D66" s="598"/>
      <c r="E66" s="598"/>
      <c r="F66" s="593"/>
      <c r="G66" s="593"/>
      <c r="H66" s="593"/>
      <c r="I66" s="593"/>
      <c r="J66" s="593"/>
      <c r="K66" s="593" t="str">
        <f t="shared" si="20"/>
        <v>N/A</v>
      </c>
      <c r="L66" s="593" t="str">
        <f t="shared" si="21"/>
        <v>N/A</v>
      </c>
      <c r="M66" s="593" t="str">
        <f t="shared" si="22"/>
        <v>N/A</v>
      </c>
      <c r="N66" s="593" t="str">
        <f t="shared" si="23"/>
        <v>N/A</v>
      </c>
      <c r="O66" s="593" t="str">
        <f t="shared" si="24"/>
        <v>N/A</v>
      </c>
      <c r="P66" s="593" t="str">
        <f t="shared" si="25"/>
        <v>N/A</v>
      </c>
      <c r="Q66" s="593" t="str">
        <f t="shared" si="26"/>
        <v>N/A</v>
      </c>
      <c r="R66" s="593" t="str">
        <f t="shared" si="27"/>
        <v>N/A</v>
      </c>
      <c r="S66" s="593" t="str">
        <f t="shared" si="28"/>
        <v>N/A</v>
      </c>
      <c r="T66" s="593" t="str">
        <f t="shared" si="29"/>
        <v>N/A</v>
      </c>
      <c r="U66" s="593">
        <f t="shared" si="30"/>
        <v>0</v>
      </c>
      <c r="V66" s="593">
        <f t="shared" si="31"/>
        <v>1</v>
      </c>
      <c r="W66" s="593" t="str">
        <f t="shared" si="32"/>
        <v>-</v>
      </c>
      <c r="Y66" s="593" t="str">
        <f t="shared" si="4"/>
        <v>Not suitable</v>
      </c>
      <c r="Z66" s="602" t="str">
        <f t="shared" si="18"/>
        <v>Y</v>
      </c>
      <c r="AA66" s="593"/>
      <c r="AB66" s="593"/>
    </row>
    <row r="67" spans="1:28" ht="13.2">
      <c r="A67" s="588"/>
      <c r="C67" s="598"/>
      <c r="D67" s="598"/>
      <c r="E67" s="598"/>
      <c r="F67" s="593"/>
      <c r="G67" s="593"/>
      <c r="H67" s="593"/>
      <c r="I67" s="593"/>
      <c r="J67" s="593"/>
      <c r="K67" s="593" t="str">
        <f t="shared" ref="K67:K100" si="33">IFERROR(_xlfn.RANK.EQ(F67,F$3:F$61),"N/A")</f>
        <v>N/A</v>
      </c>
      <c r="L67" s="593" t="str">
        <f t="shared" ref="L67:L100" si="34">IFERROR(_xlfn.RANK.EQ(G67,G$3:G$61),"N/A")</f>
        <v>N/A</v>
      </c>
      <c r="M67" s="593" t="str">
        <f t="shared" ref="M67:M100" si="35">IFERROR(_xlfn.RANK.EQ(H67,H$3:H$61),"N/A")</f>
        <v>N/A</v>
      </c>
      <c r="N67" s="593" t="str">
        <f t="shared" ref="N67:N100" si="36">IFERROR(_xlfn.RANK.EQ(I67,I$3:I$61),"N/A")</f>
        <v>N/A</v>
      </c>
      <c r="O67" s="593" t="str">
        <f t="shared" ref="O67:O100" si="37">IFERROR(_xlfn.RANK.EQ(J67,J$3:J$61),"N/A")</f>
        <v>N/A</v>
      </c>
      <c r="P67" s="593" t="str">
        <f t="shared" si="25"/>
        <v>N/A</v>
      </c>
      <c r="Q67" s="593" t="str">
        <f t="shared" si="26"/>
        <v>N/A</v>
      </c>
      <c r="R67" s="593" t="str">
        <f t="shared" si="27"/>
        <v>N/A</v>
      </c>
      <c r="S67" s="593" t="str">
        <f t="shared" si="28"/>
        <v>N/A</v>
      </c>
      <c r="T67" s="593" t="str">
        <f t="shared" si="29"/>
        <v>N/A</v>
      </c>
      <c r="U67" s="593">
        <f t="shared" si="30"/>
        <v>0</v>
      </c>
      <c r="V67" s="593">
        <f t="shared" si="31"/>
        <v>1</v>
      </c>
      <c r="W67" s="593" t="str">
        <f t="shared" si="32"/>
        <v>-</v>
      </c>
      <c r="Y67" s="593" t="str">
        <f t="shared" ref="Y67:Y100" si="38">IF(OR(Z67="Y",AA67="Y"),"Not suitable","")</f>
        <v>Not suitable</v>
      </c>
      <c r="Z67" s="602" t="str">
        <f t="shared" si="18"/>
        <v>Y</v>
      </c>
      <c r="AA67" s="593"/>
      <c r="AB67" s="593"/>
    </row>
    <row r="68" spans="1:28" ht="13.2">
      <c r="A68" s="588"/>
      <c r="C68" s="598"/>
      <c r="D68" s="598"/>
      <c r="E68" s="598"/>
      <c r="F68" s="593"/>
      <c r="G68" s="593"/>
      <c r="H68" s="593"/>
      <c r="I68" s="593"/>
      <c r="J68" s="593"/>
      <c r="K68" s="593" t="str">
        <f t="shared" si="33"/>
        <v>N/A</v>
      </c>
      <c r="L68" s="593" t="str">
        <f t="shared" si="34"/>
        <v>N/A</v>
      </c>
      <c r="M68" s="593" t="str">
        <f t="shared" si="35"/>
        <v>N/A</v>
      </c>
      <c r="N68" s="593" t="str">
        <f t="shared" si="36"/>
        <v>N/A</v>
      </c>
      <c r="O68" s="593" t="str">
        <f t="shared" si="37"/>
        <v>N/A</v>
      </c>
      <c r="P68" s="593" t="str">
        <f t="shared" ref="P68:P100" si="39">IFERROR(ABS(K$3-K68),"N/A")</f>
        <v>N/A</v>
      </c>
      <c r="Q68" s="593" t="str">
        <f t="shared" ref="Q68:Q100" si="40">IFERROR(ABS(L$3-L68),"N/A")</f>
        <v>N/A</v>
      </c>
      <c r="R68" s="593" t="str">
        <f t="shared" ref="R68:R100" si="41">IFERROR(ABS(M$3-M68),"N/A")</f>
        <v>N/A</v>
      </c>
      <c r="S68" s="593" t="str">
        <f t="shared" ref="S68:S100" si="42">IFERROR(ABS(N$3-N68),"N/A")</f>
        <v>N/A</v>
      </c>
      <c r="T68" s="593" t="str">
        <f t="shared" ref="T68:T100" si="43">IFERROR(ABS(O$3-O68),"N/A")</f>
        <v>N/A</v>
      </c>
      <c r="U68" s="593">
        <f t="shared" ref="U68:U99" si="44">SUM(P68:T68)</f>
        <v>0</v>
      </c>
      <c r="V68" s="593">
        <f t="shared" ref="V68:V99" si="45">_xlfn.RANK.EQ(U68,$U$4:$U$61,1)</f>
        <v>1</v>
      </c>
      <c r="W68" s="593" t="str">
        <f t="shared" si="32"/>
        <v>-</v>
      </c>
      <c r="Y68" s="593" t="str">
        <f t="shared" si="38"/>
        <v>Not suitable</v>
      </c>
      <c r="Z68" s="602" t="str">
        <f t="shared" si="18"/>
        <v>Y</v>
      </c>
      <c r="AA68" s="593"/>
      <c r="AB68" s="593"/>
    </row>
    <row r="69" spans="1:28" ht="13.2">
      <c r="A69" s="588"/>
      <c r="C69" s="598"/>
      <c r="D69" s="598"/>
      <c r="E69" s="598"/>
      <c r="F69" s="593"/>
      <c r="G69" s="593"/>
      <c r="H69" s="593"/>
      <c r="I69" s="593"/>
      <c r="J69" s="593"/>
      <c r="K69" s="593" t="str">
        <f t="shared" si="33"/>
        <v>N/A</v>
      </c>
      <c r="L69" s="593" t="str">
        <f t="shared" si="34"/>
        <v>N/A</v>
      </c>
      <c r="M69" s="593" t="str">
        <f t="shared" si="35"/>
        <v>N/A</v>
      </c>
      <c r="N69" s="593" t="str">
        <f t="shared" si="36"/>
        <v>N/A</v>
      </c>
      <c r="O69" s="593" t="str">
        <f t="shared" si="37"/>
        <v>N/A</v>
      </c>
      <c r="P69" s="593" t="str">
        <f t="shared" si="39"/>
        <v>N/A</v>
      </c>
      <c r="Q69" s="593" t="str">
        <f t="shared" si="40"/>
        <v>N/A</v>
      </c>
      <c r="R69" s="593" t="str">
        <f t="shared" si="41"/>
        <v>N/A</v>
      </c>
      <c r="S69" s="593" t="str">
        <f t="shared" si="42"/>
        <v>N/A</v>
      </c>
      <c r="T69" s="593" t="str">
        <f t="shared" si="43"/>
        <v>N/A</v>
      </c>
      <c r="U69" s="593">
        <f t="shared" si="44"/>
        <v>0</v>
      </c>
      <c r="V69" s="593">
        <f t="shared" si="45"/>
        <v>1</v>
      </c>
      <c r="W69" s="593" t="str">
        <f t="shared" ref="W69:W100" si="46">IF(Y69="Not suitable","-",V69)</f>
        <v>-</v>
      </c>
      <c r="Y69" s="593" t="str">
        <f t="shared" si="38"/>
        <v>Not suitable</v>
      </c>
      <c r="Z69" s="602" t="str">
        <f t="shared" si="18"/>
        <v>Y</v>
      </c>
      <c r="AA69" s="593"/>
      <c r="AB69" s="593"/>
    </row>
    <row r="70" spans="1:28" ht="13.2">
      <c r="A70" s="588"/>
      <c r="C70" s="598"/>
      <c r="D70" s="598"/>
      <c r="E70" s="598"/>
      <c r="F70" s="593"/>
      <c r="G70" s="593"/>
      <c r="H70" s="593"/>
      <c r="I70" s="593"/>
      <c r="J70" s="593"/>
      <c r="K70" s="593" t="str">
        <f t="shared" si="33"/>
        <v>N/A</v>
      </c>
      <c r="L70" s="593" t="str">
        <f t="shared" si="34"/>
        <v>N/A</v>
      </c>
      <c r="M70" s="593" t="str">
        <f t="shared" si="35"/>
        <v>N/A</v>
      </c>
      <c r="N70" s="593" t="str">
        <f t="shared" si="36"/>
        <v>N/A</v>
      </c>
      <c r="O70" s="593" t="str">
        <f t="shared" si="37"/>
        <v>N/A</v>
      </c>
      <c r="P70" s="593" t="str">
        <f t="shared" si="39"/>
        <v>N/A</v>
      </c>
      <c r="Q70" s="593" t="str">
        <f t="shared" si="40"/>
        <v>N/A</v>
      </c>
      <c r="R70" s="593" t="str">
        <f t="shared" si="41"/>
        <v>N/A</v>
      </c>
      <c r="S70" s="593" t="str">
        <f t="shared" si="42"/>
        <v>N/A</v>
      </c>
      <c r="T70" s="593" t="str">
        <f t="shared" si="43"/>
        <v>N/A</v>
      </c>
      <c r="U70" s="593">
        <f t="shared" si="44"/>
        <v>0</v>
      </c>
      <c r="V70" s="593">
        <f t="shared" si="45"/>
        <v>1</v>
      </c>
      <c r="W70" s="593" t="str">
        <f t="shared" si="46"/>
        <v>-</v>
      </c>
      <c r="Y70" s="593" t="str">
        <f t="shared" si="38"/>
        <v>Not suitable</v>
      </c>
      <c r="Z70" s="602" t="str">
        <f t="shared" ref="Z70:Z100" si="47">IF(N70="N/A","Y","")</f>
        <v>Y</v>
      </c>
      <c r="AA70" s="593"/>
      <c r="AB70" s="593"/>
    </row>
    <row r="71" spans="1:28" ht="13.2">
      <c r="A71" s="588"/>
      <c r="C71" s="598"/>
      <c r="D71" s="598"/>
      <c r="E71" s="598"/>
      <c r="F71" s="593"/>
      <c r="G71" s="593"/>
      <c r="H71" s="593"/>
      <c r="I71" s="593"/>
      <c r="J71" s="593"/>
      <c r="K71" s="593" t="str">
        <f t="shared" si="33"/>
        <v>N/A</v>
      </c>
      <c r="L71" s="593" t="str">
        <f t="shared" si="34"/>
        <v>N/A</v>
      </c>
      <c r="M71" s="593" t="str">
        <f t="shared" si="35"/>
        <v>N/A</v>
      </c>
      <c r="N71" s="593" t="str">
        <f t="shared" si="36"/>
        <v>N/A</v>
      </c>
      <c r="O71" s="593" t="str">
        <f t="shared" si="37"/>
        <v>N/A</v>
      </c>
      <c r="P71" s="593" t="str">
        <f t="shared" si="39"/>
        <v>N/A</v>
      </c>
      <c r="Q71" s="593" t="str">
        <f t="shared" si="40"/>
        <v>N/A</v>
      </c>
      <c r="R71" s="593" t="str">
        <f t="shared" si="41"/>
        <v>N/A</v>
      </c>
      <c r="S71" s="593" t="str">
        <f t="shared" si="42"/>
        <v>N/A</v>
      </c>
      <c r="T71" s="593" t="str">
        <f t="shared" si="43"/>
        <v>N/A</v>
      </c>
      <c r="U71" s="593">
        <f t="shared" si="44"/>
        <v>0</v>
      </c>
      <c r="V71" s="593">
        <f t="shared" si="45"/>
        <v>1</v>
      </c>
      <c r="W71" s="593" t="str">
        <f t="shared" si="46"/>
        <v>-</v>
      </c>
      <c r="Y71" s="593" t="str">
        <f t="shared" si="38"/>
        <v>Not suitable</v>
      </c>
      <c r="Z71" s="602" t="str">
        <f t="shared" si="47"/>
        <v>Y</v>
      </c>
      <c r="AA71" s="593"/>
      <c r="AB71" s="593"/>
    </row>
    <row r="72" spans="1:28" ht="13.2">
      <c r="A72" s="588"/>
      <c r="C72" s="598"/>
      <c r="D72" s="598"/>
      <c r="E72" s="598"/>
      <c r="F72" s="593"/>
      <c r="G72" s="593"/>
      <c r="H72" s="593"/>
      <c r="I72" s="593"/>
      <c r="J72" s="593"/>
      <c r="K72" s="593" t="str">
        <f t="shared" si="33"/>
        <v>N/A</v>
      </c>
      <c r="L72" s="593" t="str">
        <f t="shared" si="34"/>
        <v>N/A</v>
      </c>
      <c r="M72" s="593" t="str">
        <f t="shared" si="35"/>
        <v>N/A</v>
      </c>
      <c r="N72" s="593" t="str">
        <f t="shared" si="36"/>
        <v>N/A</v>
      </c>
      <c r="O72" s="593" t="str">
        <f t="shared" si="37"/>
        <v>N/A</v>
      </c>
      <c r="P72" s="593" t="str">
        <f t="shared" si="39"/>
        <v>N/A</v>
      </c>
      <c r="Q72" s="593" t="str">
        <f t="shared" si="40"/>
        <v>N/A</v>
      </c>
      <c r="R72" s="593" t="str">
        <f t="shared" si="41"/>
        <v>N/A</v>
      </c>
      <c r="S72" s="593" t="str">
        <f t="shared" si="42"/>
        <v>N/A</v>
      </c>
      <c r="T72" s="593" t="str">
        <f t="shared" si="43"/>
        <v>N/A</v>
      </c>
      <c r="U72" s="593">
        <f t="shared" si="44"/>
        <v>0</v>
      </c>
      <c r="V72" s="593">
        <f t="shared" si="45"/>
        <v>1</v>
      </c>
      <c r="W72" s="593" t="str">
        <f t="shared" si="46"/>
        <v>-</v>
      </c>
      <c r="Y72" s="593" t="str">
        <f t="shared" si="38"/>
        <v>Not suitable</v>
      </c>
      <c r="Z72" s="602" t="str">
        <f t="shared" si="47"/>
        <v>Y</v>
      </c>
      <c r="AA72" s="593"/>
      <c r="AB72" s="593"/>
    </row>
    <row r="73" spans="1:28" ht="13.2">
      <c r="A73" s="588"/>
      <c r="C73" s="598"/>
      <c r="D73" s="598"/>
      <c r="E73" s="598"/>
      <c r="F73" s="593"/>
      <c r="G73" s="593"/>
      <c r="H73" s="593"/>
      <c r="I73" s="593"/>
      <c r="J73" s="593"/>
      <c r="K73" s="593" t="str">
        <f t="shared" si="33"/>
        <v>N/A</v>
      </c>
      <c r="L73" s="593" t="str">
        <f t="shared" si="34"/>
        <v>N/A</v>
      </c>
      <c r="M73" s="593" t="str">
        <f t="shared" si="35"/>
        <v>N/A</v>
      </c>
      <c r="N73" s="593" t="str">
        <f t="shared" si="36"/>
        <v>N/A</v>
      </c>
      <c r="O73" s="593" t="str">
        <f t="shared" si="37"/>
        <v>N/A</v>
      </c>
      <c r="P73" s="593" t="str">
        <f t="shared" si="39"/>
        <v>N/A</v>
      </c>
      <c r="Q73" s="593" t="str">
        <f t="shared" si="40"/>
        <v>N/A</v>
      </c>
      <c r="R73" s="593" t="str">
        <f t="shared" si="41"/>
        <v>N/A</v>
      </c>
      <c r="S73" s="593" t="str">
        <f t="shared" si="42"/>
        <v>N/A</v>
      </c>
      <c r="T73" s="593" t="str">
        <f t="shared" si="43"/>
        <v>N/A</v>
      </c>
      <c r="U73" s="593">
        <f t="shared" si="44"/>
        <v>0</v>
      </c>
      <c r="V73" s="593">
        <f t="shared" si="45"/>
        <v>1</v>
      </c>
      <c r="W73" s="593" t="str">
        <f t="shared" si="46"/>
        <v>-</v>
      </c>
      <c r="Y73" s="593" t="str">
        <f t="shared" si="38"/>
        <v>Not suitable</v>
      </c>
      <c r="Z73" s="602" t="str">
        <f t="shared" si="47"/>
        <v>Y</v>
      </c>
      <c r="AA73" s="593"/>
      <c r="AB73" s="593"/>
    </row>
    <row r="74" spans="1:28" ht="13.2">
      <c r="A74" s="588"/>
      <c r="C74" s="598"/>
      <c r="D74" s="598"/>
      <c r="E74" s="598"/>
      <c r="F74" s="593"/>
      <c r="G74" s="593"/>
      <c r="H74" s="593"/>
      <c r="I74" s="593"/>
      <c r="J74" s="593"/>
      <c r="K74" s="593" t="str">
        <f t="shared" si="33"/>
        <v>N/A</v>
      </c>
      <c r="L74" s="593" t="str">
        <f t="shared" si="34"/>
        <v>N/A</v>
      </c>
      <c r="M74" s="593" t="str">
        <f t="shared" si="35"/>
        <v>N/A</v>
      </c>
      <c r="N74" s="593" t="str">
        <f t="shared" si="36"/>
        <v>N/A</v>
      </c>
      <c r="O74" s="593" t="str">
        <f t="shared" si="37"/>
        <v>N/A</v>
      </c>
      <c r="P74" s="593" t="str">
        <f t="shared" si="39"/>
        <v>N/A</v>
      </c>
      <c r="Q74" s="593" t="str">
        <f t="shared" si="40"/>
        <v>N/A</v>
      </c>
      <c r="R74" s="593" t="str">
        <f t="shared" si="41"/>
        <v>N/A</v>
      </c>
      <c r="S74" s="593" t="str">
        <f t="shared" si="42"/>
        <v>N/A</v>
      </c>
      <c r="T74" s="593" t="str">
        <f t="shared" si="43"/>
        <v>N/A</v>
      </c>
      <c r="U74" s="593">
        <f t="shared" si="44"/>
        <v>0</v>
      </c>
      <c r="V74" s="593">
        <f t="shared" si="45"/>
        <v>1</v>
      </c>
      <c r="W74" s="593" t="str">
        <f t="shared" si="46"/>
        <v>-</v>
      </c>
      <c r="Y74" s="593" t="str">
        <f t="shared" si="38"/>
        <v>Not suitable</v>
      </c>
      <c r="Z74" s="602" t="str">
        <f t="shared" si="47"/>
        <v>Y</v>
      </c>
      <c r="AA74" s="593"/>
      <c r="AB74" s="593"/>
    </row>
    <row r="75" spans="1:28" ht="13.2">
      <c r="A75" s="588"/>
      <c r="C75" s="598"/>
      <c r="D75" s="598"/>
      <c r="E75" s="598"/>
      <c r="F75" s="593"/>
      <c r="G75" s="593"/>
      <c r="H75" s="593"/>
      <c r="I75" s="593"/>
      <c r="J75" s="593"/>
      <c r="K75" s="593" t="str">
        <f t="shared" si="33"/>
        <v>N/A</v>
      </c>
      <c r="L75" s="593" t="str">
        <f t="shared" si="34"/>
        <v>N/A</v>
      </c>
      <c r="M75" s="593" t="str">
        <f t="shared" si="35"/>
        <v>N/A</v>
      </c>
      <c r="N75" s="593" t="str">
        <f t="shared" si="36"/>
        <v>N/A</v>
      </c>
      <c r="O75" s="593" t="str">
        <f t="shared" si="37"/>
        <v>N/A</v>
      </c>
      <c r="P75" s="593" t="str">
        <f t="shared" si="39"/>
        <v>N/A</v>
      </c>
      <c r="Q75" s="593" t="str">
        <f t="shared" si="40"/>
        <v>N/A</v>
      </c>
      <c r="R75" s="593" t="str">
        <f t="shared" si="41"/>
        <v>N/A</v>
      </c>
      <c r="S75" s="593" t="str">
        <f t="shared" si="42"/>
        <v>N/A</v>
      </c>
      <c r="T75" s="593" t="str">
        <f t="shared" si="43"/>
        <v>N/A</v>
      </c>
      <c r="U75" s="593">
        <f t="shared" si="44"/>
        <v>0</v>
      </c>
      <c r="V75" s="593">
        <f t="shared" si="45"/>
        <v>1</v>
      </c>
      <c r="W75" s="593" t="str">
        <f t="shared" si="46"/>
        <v>-</v>
      </c>
      <c r="Y75" s="593" t="str">
        <f t="shared" si="38"/>
        <v>Not suitable</v>
      </c>
      <c r="Z75" s="602" t="str">
        <f t="shared" si="47"/>
        <v>Y</v>
      </c>
      <c r="AA75" s="593"/>
      <c r="AB75" s="593"/>
    </row>
    <row r="76" spans="1:28" ht="13.2">
      <c r="A76" s="588"/>
      <c r="C76" s="598"/>
      <c r="D76" s="598"/>
      <c r="E76" s="598"/>
      <c r="F76" s="593"/>
      <c r="G76" s="593"/>
      <c r="H76" s="593"/>
      <c r="I76" s="593"/>
      <c r="J76" s="593"/>
      <c r="K76" s="593" t="str">
        <f t="shared" si="33"/>
        <v>N/A</v>
      </c>
      <c r="L76" s="593" t="str">
        <f t="shared" si="34"/>
        <v>N/A</v>
      </c>
      <c r="M76" s="593" t="str">
        <f t="shared" si="35"/>
        <v>N/A</v>
      </c>
      <c r="N76" s="593" t="str">
        <f t="shared" si="36"/>
        <v>N/A</v>
      </c>
      <c r="O76" s="593" t="str">
        <f t="shared" si="37"/>
        <v>N/A</v>
      </c>
      <c r="P76" s="593" t="str">
        <f t="shared" si="39"/>
        <v>N/A</v>
      </c>
      <c r="Q76" s="593" t="str">
        <f t="shared" si="40"/>
        <v>N/A</v>
      </c>
      <c r="R76" s="593" t="str">
        <f t="shared" si="41"/>
        <v>N/A</v>
      </c>
      <c r="S76" s="593" t="str">
        <f t="shared" si="42"/>
        <v>N/A</v>
      </c>
      <c r="T76" s="593" t="str">
        <f t="shared" si="43"/>
        <v>N/A</v>
      </c>
      <c r="U76" s="593">
        <f t="shared" si="44"/>
        <v>0</v>
      </c>
      <c r="V76" s="593">
        <f t="shared" si="45"/>
        <v>1</v>
      </c>
      <c r="W76" s="593" t="str">
        <f t="shared" si="46"/>
        <v>-</v>
      </c>
      <c r="Y76" s="593" t="str">
        <f t="shared" si="38"/>
        <v>Not suitable</v>
      </c>
      <c r="Z76" s="602" t="str">
        <f t="shared" si="47"/>
        <v>Y</v>
      </c>
      <c r="AA76" s="593"/>
      <c r="AB76" s="593"/>
    </row>
    <row r="77" spans="1:28" ht="13.2">
      <c r="A77" s="588"/>
      <c r="C77" s="598"/>
      <c r="D77" s="598"/>
      <c r="E77" s="598"/>
      <c r="F77" s="593"/>
      <c r="G77" s="593"/>
      <c r="H77" s="593"/>
      <c r="I77" s="593"/>
      <c r="J77" s="593"/>
      <c r="K77" s="593" t="str">
        <f t="shared" si="33"/>
        <v>N/A</v>
      </c>
      <c r="L77" s="593" t="str">
        <f t="shared" si="34"/>
        <v>N/A</v>
      </c>
      <c r="M77" s="593" t="str">
        <f t="shared" si="35"/>
        <v>N/A</v>
      </c>
      <c r="N77" s="593" t="str">
        <f t="shared" si="36"/>
        <v>N/A</v>
      </c>
      <c r="O77" s="593" t="str">
        <f t="shared" si="37"/>
        <v>N/A</v>
      </c>
      <c r="P77" s="593" t="str">
        <f t="shared" si="39"/>
        <v>N/A</v>
      </c>
      <c r="Q77" s="593" t="str">
        <f t="shared" si="40"/>
        <v>N/A</v>
      </c>
      <c r="R77" s="593" t="str">
        <f t="shared" si="41"/>
        <v>N/A</v>
      </c>
      <c r="S77" s="593" t="str">
        <f t="shared" si="42"/>
        <v>N/A</v>
      </c>
      <c r="T77" s="593" t="str">
        <f t="shared" si="43"/>
        <v>N/A</v>
      </c>
      <c r="U77" s="593">
        <f t="shared" si="44"/>
        <v>0</v>
      </c>
      <c r="V77" s="593">
        <f t="shared" si="45"/>
        <v>1</v>
      </c>
      <c r="W77" s="593" t="str">
        <f t="shared" si="46"/>
        <v>-</v>
      </c>
      <c r="Y77" s="593" t="str">
        <f t="shared" si="38"/>
        <v>Not suitable</v>
      </c>
      <c r="Z77" s="602" t="str">
        <f t="shared" si="47"/>
        <v>Y</v>
      </c>
      <c r="AA77" s="593"/>
      <c r="AB77" s="593"/>
    </row>
    <row r="78" spans="1:28" ht="13.2">
      <c r="A78" s="588"/>
      <c r="C78" s="598"/>
      <c r="D78" s="598"/>
      <c r="E78" s="598"/>
      <c r="F78" s="593"/>
      <c r="G78" s="593"/>
      <c r="H78" s="593"/>
      <c r="I78" s="593"/>
      <c r="J78" s="593"/>
      <c r="K78" s="593" t="str">
        <f t="shared" si="33"/>
        <v>N/A</v>
      </c>
      <c r="L78" s="593" t="str">
        <f t="shared" si="34"/>
        <v>N/A</v>
      </c>
      <c r="M78" s="593" t="str">
        <f t="shared" si="35"/>
        <v>N/A</v>
      </c>
      <c r="N78" s="593" t="str">
        <f t="shared" si="36"/>
        <v>N/A</v>
      </c>
      <c r="O78" s="593" t="str">
        <f t="shared" si="37"/>
        <v>N/A</v>
      </c>
      <c r="P78" s="593" t="str">
        <f t="shared" si="39"/>
        <v>N/A</v>
      </c>
      <c r="Q78" s="593" t="str">
        <f t="shared" si="40"/>
        <v>N/A</v>
      </c>
      <c r="R78" s="593" t="str">
        <f t="shared" si="41"/>
        <v>N/A</v>
      </c>
      <c r="S78" s="593" t="str">
        <f t="shared" si="42"/>
        <v>N/A</v>
      </c>
      <c r="T78" s="593" t="str">
        <f t="shared" si="43"/>
        <v>N/A</v>
      </c>
      <c r="U78" s="593">
        <f t="shared" si="44"/>
        <v>0</v>
      </c>
      <c r="V78" s="593">
        <f t="shared" si="45"/>
        <v>1</v>
      </c>
      <c r="W78" s="593" t="str">
        <f t="shared" si="46"/>
        <v>-</v>
      </c>
      <c r="Y78" s="593" t="str">
        <f t="shared" si="38"/>
        <v>Not suitable</v>
      </c>
      <c r="Z78" s="602" t="str">
        <f t="shared" si="47"/>
        <v>Y</v>
      </c>
      <c r="AA78" s="593"/>
      <c r="AB78" s="593"/>
    </row>
    <row r="79" spans="1:28" ht="13.2">
      <c r="A79" s="588"/>
      <c r="C79" s="598"/>
      <c r="D79" s="598"/>
      <c r="E79" s="598"/>
      <c r="F79" s="593"/>
      <c r="G79" s="593"/>
      <c r="H79" s="593"/>
      <c r="I79" s="593"/>
      <c r="J79" s="593"/>
      <c r="K79" s="593" t="str">
        <f t="shared" si="33"/>
        <v>N/A</v>
      </c>
      <c r="L79" s="593" t="str">
        <f t="shared" si="34"/>
        <v>N/A</v>
      </c>
      <c r="M79" s="593" t="str">
        <f t="shared" si="35"/>
        <v>N/A</v>
      </c>
      <c r="N79" s="593" t="str">
        <f t="shared" si="36"/>
        <v>N/A</v>
      </c>
      <c r="O79" s="593" t="str">
        <f t="shared" si="37"/>
        <v>N/A</v>
      </c>
      <c r="P79" s="593" t="str">
        <f t="shared" si="39"/>
        <v>N/A</v>
      </c>
      <c r="Q79" s="593" t="str">
        <f t="shared" si="40"/>
        <v>N/A</v>
      </c>
      <c r="R79" s="593" t="str">
        <f t="shared" si="41"/>
        <v>N/A</v>
      </c>
      <c r="S79" s="593" t="str">
        <f t="shared" si="42"/>
        <v>N/A</v>
      </c>
      <c r="T79" s="593" t="str">
        <f t="shared" si="43"/>
        <v>N/A</v>
      </c>
      <c r="U79" s="593">
        <f t="shared" si="44"/>
        <v>0</v>
      </c>
      <c r="V79" s="593">
        <f t="shared" si="45"/>
        <v>1</v>
      </c>
      <c r="W79" s="593" t="str">
        <f t="shared" si="46"/>
        <v>-</v>
      </c>
      <c r="Y79" s="593" t="str">
        <f t="shared" si="38"/>
        <v>Not suitable</v>
      </c>
      <c r="Z79" s="602" t="str">
        <f t="shared" si="47"/>
        <v>Y</v>
      </c>
      <c r="AA79" s="593"/>
      <c r="AB79" s="593"/>
    </row>
    <row r="80" spans="1:28" ht="13.2">
      <c r="A80" s="588"/>
      <c r="C80" s="598"/>
      <c r="D80" s="598"/>
      <c r="E80" s="598"/>
      <c r="F80" s="593"/>
      <c r="G80" s="593"/>
      <c r="H80" s="593"/>
      <c r="I80" s="593"/>
      <c r="J80" s="593"/>
      <c r="K80" s="593" t="str">
        <f t="shared" si="33"/>
        <v>N/A</v>
      </c>
      <c r="L80" s="593" t="str">
        <f t="shared" si="34"/>
        <v>N/A</v>
      </c>
      <c r="M80" s="593" t="str">
        <f t="shared" si="35"/>
        <v>N/A</v>
      </c>
      <c r="N80" s="593" t="str">
        <f t="shared" si="36"/>
        <v>N/A</v>
      </c>
      <c r="O80" s="593" t="str">
        <f t="shared" si="37"/>
        <v>N/A</v>
      </c>
      <c r="P80" s="593" t="str">
        <f t="shared" si="39"/>
        <v>N/A</v>
      </c>
      <c r="Q80" s="593" t="str">
        <f t="shared" si="40"/>
        <v>N/A</v>
      </c>
      <c r="R80" s="593" t="str">
        <f t="shared" si="41"/>
        <v>N/A</v>
      </c>
      <c r="S80" s="593" t="str">
        <f t="shared" si="42"/>
        <v>N/A</v>
      </c>
      <c r="T80" s="593" t="str">
        <f t="shared" si="43"/>
        <v>N/A</v>
      </c>
      <c r="U80" s="593">
        <f t="shared" si="44"/>
        <v>0</v>
      </c>
      <c r="V80" s="593">
        <f t="shared" si="45"/>
        <v>1</v>
      </c>
      <c r="W80" s="593" t="str">
        <f t="shared" si="46"/>
        <v>-</v>
      </c>
      <c r="Y80" s="593" t="str">
        <f t="shared" si="38"/>
        <v>Not suitable</v>
      </c>
      <c r="Z80" s="602" t="str">
        <f t="shared" si="47"/>
        <v>Y</v>
      </c>
      <c r="AA80" s="593"/>
      <c r="AB80" s="593"/>
    </row>
    <row r="81" spans="1:28" ht="13.2">
      <c r="A81" s="588"/>
      <c r="C81" s="598"/>
      <c r="D81" s="598"/>
      <c r="E81" s="598"/>
      <c r="F81" s="593"/>
      <c r="G81" s="593"/>
      <c r="H81" s="593"/>
      <c r="I81" s="593"/>
      <c r="J81" s="593"/>
      <c r="K81" s="593" t="str">
        <f t="shared" si="33"/>
        <v>N/A</v>
      </c>
      <c r="L81" s="593" t="str">
        <f t="shared" si="34"/>
        <v>N/A</v>
      </c>
      <c r="M81" s="593" t="str">
        <f t="shared" si="35"/>
        <v>N/A</v>
      </c>
      <c r="N81" s="593" t="str">
        <f t="shared" si="36"/>
        <v>N/A</v>
      </c>
      <c r="O81" s="593" t="str">
        <f t="shared" si="37"/>
        <v>N/A</v>
      </c>
      <c r="P81" s="593" t="str">
        <f t="shared" si="39"/>
        <v>N/A</v>
      </c>
      <c r="Q81" s="593" t="str">
        <f t="shared" si="40"/>
        <v>N/A</v>
      </c>
      <c r="R81" s="593" t="str">
        <f t="shared" si="41"/>
        <v>N/A</v>
      </c>
      <c r="S81" s="593" t="str">
        <f t="shared" si="42"/>
        <v>N/A</v>
      </c>
      <c r="T81" s="593" t="str">
        <f t="shared" si="43"/>
        <v>N/A</v>
      </c>
      <c r="U81" s="593">
        <f t="shared" si="44"/>
        <v>0</v>
      </c>
      <c r="V81" s="593">
        <f t="shared" si="45"/>
        <v>1</v>
      </c>
      <c r="W81" s="593" t="str">
        <f t="shared" si="46"/>
        <v>-</v>
      </c>
      <c r="Y81" s="593" t="str">
        <f t="shared" si="38"/>
        <v>Not suitable</v>
      </c>
      <c r="Z81" s="602" t="str">
        <f t="shared" si="47"/>
        <v>Y</v>
      </c>
      <c r="AA81" s="593"/>
      <c r="AB81" s="593"/>
    </row>
    <row r="82" spans="1:28" ht="13.2">
      <c r="A82" s="588"/>
      <c r="C82" s="598"/>
      <c r="D82" s="598"/>
      <c r="E82" s="598"/>
      <c r="F82" s="593"/>
      <c r="G82" s="593"/>
      <c r="H82" s="593"/>
      <c r="I82" s="593"/>
      <c r="J82" s="593"/>
      <c r="K82" s="593" t="str">
        <f t="shared" si="33"/>
        <v>N/A</v>
      </c>
      <c r="L82" s="593" t="str">
        <f t="shared" si="34"/>
        <v>N/A</v>
      </c>
      <c r="M82" s="593" t="str">
        <f t="shared" si="35"/>
        <v>N/A</v>
      </c>
      <c r="N82" s="593" t="str">
        <f t="shared" si="36"/>
        <v>N/A</v>
      </c>
      <c r="O82" s="593" t="str">
        <f t="shared" si="37"/>
        <v>N/A</v>
      </c>
      <c r="P82" s="593" t="str">
        <f t="shared" si="39"/>
        <v>N/A</v>
      </c>
      <c r="Q82" s="593" t="str">
        <f t="shared" si="40"/>
        <v>N/A</v>
      </c>
      <c r="R82" s="593" t="str">
        <f t="shared" si="41"/>
        <v>N/A</v>
      </c>
      <c r="S82" s="593" t="str">
        <f t="shared" si="42"/>
        <v>N/A</v>
      </c>
      <c r="T82" s="593" t="str">
        <f t="shared" si="43"/>
        <v>N/A</v>
      </c>
      <c r="U82" s="593">
        <f t="shared" si="44"/>
        <v>0</v>
      </c>
      <c r="V82" s="593">
        <f t="shared" si="45"/>
        <v>1</v>
      </c>
      <c r="W82" s="593" t="str">
        <f t="shared" si="46"/>
        <v>-</v>
      </c>
      <c r="Y82" s="593" t="str">
        <f t="shared" si="38"/>
        <v>Not suitable</v>
      </c>
      <c r="Z82" s="602" t="str">
        <f t="shared" si="47"/>
        <v>Y</v>
      </c>
      <c r="AA82" s="593"/>
      <c r="AB82" s="593"/>
    </row>
    <row r="83" spans="1:28" ht="13.2">
      <c r="A83" s="588"/>
      <c r="C83" s="598"/>
      <c r="D83" s="598"/>
      <c r="E83" s="598"/>
      <c r="F83" s="593"/>
      <c r="G83" s="593"/>
      <c r="H83" s="593"/>
      <c r="I83" s="593"/>
      <c r="J83" s="593"/>
      <c r="K83" s="593" t="str">
        <f t="shared" si="33"/>
        <v>N/A</v>
      </c>
      <c r="L83" s="593" t="str">
        <f t="shared" si="34"/>
        <v>N/A</v>
      </c>
      <c r="M83" s="593" t="str">
        <f t="shared" si="35"/>
        <v>N/A</v>
      </c>
      <c r="N83" s="593" t="str">
        <f t="shared" si="36"/>
        <v>N/A</v>
      </c>
      <c r="O83" s="593" t="str">
        <f t="shared" si="37"/>
        <v>N/A</v>
      </c>
      <c r="P83" s="593" t="str">
        <f t="shared" si="39"/>
        <v>N/A</v>
      </c>
      <c r="Q83" s="593" t="str">
        <f t="shared" si="40"/>
        <v>N/A</v>
      </c>
      <c r="R83" s="593" t="str">
        <f t="shared" si="41"/>
        <v>N/A</v>
      </c>
      <c r="S83" s="593" t="str">
        <f t="shared" si="42"/>
        <v>N/A</v>
      </c>
      <c r="T83" s="593" t="str">
        <f t="shared" si="43"/>
        <v>N/A</v>
      </c>
      <c r="U83" s="593">
        <f t="shared" si="44"/>
        <v>0</v>
      </c>
      <c r="V83" s="593">
        <f t="shared" si="45"/>
        <v>1</v>
      </c>
      <c r="W83" s="593" t="str">
        <f t="shared" si="46"/>
        <v>-</v>
      </c>
      <c r="Y83" s="593" t="str">
        <f t="shared" si="38"/>
        <v>Not suitable</v>
      </c>
      <c r="Z83" s="602" t="str">
        <f t="shared" si="47"/>
        <v>Y</v>
      </c>
      <c r="AA83" s="593"/>
      <c r="AB83" s="593"/>
    </row>
    <row r="84" spans="1:28" ht="13.2">
      <c r="A84" s="588"/>
      <c r="C84" s="598"/>
      <c r="D84" s="598"/>
      <c r="E84" s="598"/>
      <c r="F84" s="593"/>
      <c r="G84" s="593"/>
      <c r="H84" s="593"/>
      <c r="I84" s="593"/>
      <c r="J84" s="593"/>
      <c r="K84" s="593" t="str">
        <f t="shared" si="33"/>
        <v>N/A</v>
      </c>
      <c r="L84" s="593" t="str">
        <f t="shared" si="34"/>
        <v>N/A</v>
      </c>
      <c r="M84" s="593" t="str">
        <f t="shared" si="35"/>
        <v>N/A</v>
      </c>
      <c r="N84" s="593" t="str">
        <f t="shared" si="36"/>
        <v>N/A</v>
      </c>
      <c r="O84" s="593" t="str">
        <f t="shared" si="37"/>
        <v>N/A</v>
      </c>
      <c r="P84" s="593" t="str">
        <f t="shared" si="39"/>
        <v>N/A</v>
      </c>
      <c r="Q84" s="593" t="str">
        <f t="shared" si="40"/>
        <v>N/A</v>
      </c>
      <c r="R84" s="593" t="str">
        <f t="shared" si="41"/>
        <v>N/A</v>
      </c>
      <c r="S84" s="593" t="str">
        <f t="shared" si="42"/>
        <v>N/A</v>
      </c>
      <c r="T84" s="593" t="str">
        <f t="shared" si="43"/>
        <v>N/A</v>
      </c>
      <c r="U84" s="593">
        <f t="shared" si="44"/>
        <v>0</v>
      </c>
      <c r="V84" s="593">
        <f t="shared" si="45"/>
        <v>1</v>
      </c>
      <c r="W84" s="593" t="str">
        <f t="shared" si="46"/>
        <v>-</v>
      </c>
      <c r="Y84" s="593" t="str">
        <f t="shared" si="38"/>
        <v>Not suitable</v>
      </c>
      <c r="Z84" s="602" t="str">
        <f t="shared" si="47"/>
        <v>Y</v>
      </c>
      <c r="AA84" s="593"/>
      <c r="AB84" s="593"/>
    </row>
    <row r="85" spans="1:28" ht="13.2">
      <c r="A85" s="588"/>
      <c r="C85" s="598"/>
      <c r="D85" s="598"/>
      <c r="E85" s="598"/>
      <c r="F85" s="593"/>
      <c r="G85" s="593"/>
      <c r="H85" s="593"/>
      <c r="I85" s="593"/>
      <c r="J85" s="593"/>
      <c r="K85" s="593" t="str">
        <f t="shared" si="33"/>
        <v>N/A</v>
      </c>
      <c r="L85" s="593" t="str">
        <f t="shared" si="34"/>
        <v>N/A</v>
      </c>
      <c r="M85" s="593" t="str">
        <f t="shared" si="35"/>
        <v>N/A</v>
      </c>
      <c r="N85" s="593" t="str">
        <f t="shared" si="36"/>
        <v>N/A</v>
      </c>
      <c r="O85" s="593" t="str">
        <f t="shared" si="37"/>
        <v>N/A</v>
      </c>
      <c r="P85" s="593" t="str">
        <f t="shared" si="39"/>
        <v>N/A</v>
      </c>
      <c r="Q85" s="593" t="str">
        <f t="shared" si="40"/>
        <v>N/A</v>
      </c>
      <c r="R85" s="593" t="str">
        <f t="shared" si="41"/>
        <v>N/A</v>
      </c>
      <c r="S85" s="593" t="str">
        <f t="shared" si="42"/>
        <v>N/A</v>
      </c>
      <c r="T85" s="593" t="str">
        <f t="shared" si="43"/>
        <v>N/A</v>
      </c>
      <c r="U85" s="593">
        <f t="shared" si="44"/>
        <v>0</v>
      </c>
      <c r="V85" s="593">
        <f t="shared" si="45"/>
        <v>1</v>
      </c>
      <c r="W85" s="593" t="str">
        <f t="shared" si="46"/>
        <v>-</v>
      </c>
      <c r="Y85" s="593" t="str">
        <f t="shared" si="38"/>
        <v>Not suitable</v>
      </c>
      <c r="Z85" s="602" t="str">
        <f t="shared" si="47"/>
        <v>Y</v>
      </c>
      <c r="AA85" s="593"/>
      <c r="AB85" s="593"/>
    </row>
    <row r="86" spans="1:28" ht="13.2">
      <c r="A86" s="588"/>
      <c r="C86" s="598"/>
      <c r="D86" s="598"/>
      <c r="E86" s="598"/>
      <c r="F86" s="593"/>
      <c r="G86" s="593"/>
      <c r="H86" s="593"/>
      <c r="I86" s="593"/>
      <c r="J86" s="593"/>
      <c r="K86" s="593" t="str">
        <f t="shared" si="33"/>
        <v>N/A</v>
      </c>
      <c r="L86" s="593" t="str">
        <f t="shared" si="34"/>
        <v>N/A</v>
      </c>
      <c r="M86" s="593" t="str">
        <f t="shared" si="35"/>
        <v>N/A</v>
      </c>
      <c r="N86" s="593" t="str">
        <f t="shared" si="36"/>
        <v>N/A</v>
      </c>
      <c r="O86" s="593" t="str">
        <f t="shared" si="37"/>
        <v>N/A</v>
      </c>
      <c r="P86" s="593" t="str">
        <f t="shared" si="39"/>
        <v>N/A</v>
      </c>
      <c r="Q86" s="593" t="str">
        <f t="shared" si="40"/>
        <v>N/A</v>
      </c>
      <c r="R86" s="593" t="str">
        <f t="shared" si="41"/>
        <v>N/A</v>
      </c>
      <c r="S86" s="593" t="str">
        <f t="shared" si="42"/>
        <v>N/A</v>
      </c>
      <c r="T86" s="593" t="str">
        <f t="shared" si="43"/>
        <v>N/A</v>
      </c>
      <c r="U86" s="593">
        <f t="shared" si="44"/>
        <v>0</v>
      </c>
      <c r="V86" s="593">
        <f t="shared" si="45"/>
        <v>1</v>
      </c>
      <c r="W86" s="593" t="str">
        <f t="shared" si="46"/>
        <v>-</v>
      </c>
      <c r="Y86" s="593" t="str">
        <f t="shared" si="38"/>
        <v>Not suitable</v>
      </c>
      <c r="Z86" s="602" t="str">
        <f t="shared" si="47"/>
        <v>Y</v>
      </c>
      <c r="AA86" s="593"/>
      <c r="AB86" s="593"/>
    </row>
    <row r="87" spans="1:28" ht="13.2">
      <c r="A87" s="588"/>
      <c r="C87" s="598"/>
      <c r="D87" s="598"/>
      <c r="E87" s="598"/>
      <c r="F87" s="593"/>
      <c r="G87" s="593"/>
      <c r="H87" s="593"/>
      <c r="I87" s="593"/>
      <c r="J87" s="593"/>
      <c r="K87" s="593" t="str">
        <f t="shared" si="33"/>
        <v>N/A</v>
      </c>
      <c r="L87" s="593" t="str">
        <f t="shared" si="34"/>
        <v>N/A</v>
      </c>
      <c r="M87" s="593" t="str">
        <f t="shared" si="35"/>
        <v>N/A</v>
      </c>
      <c r="N87" s="593" t="str">
        <f t="shared" si="36"/>
        <v>N/A</v>
      </c>
      <c r="O87" s="593" t="str">
        <f t="shared" si="37"/>
        <v>N/A</v>
      </c>
      <c r="P87" s="593" t="str">
        <f t="shared" si="39"/>
        <v>N/A</v>
      </c>
      <c r="Q87" s="593" t="str">
        <f t="shared" si="40"/>
        <v>N/A</v>
      </c>
      <c r="R87" s="593" t="str">
        <f t="shared" si="41"/>
        <v>N/A</v>
      </c>
      <c r="S87" s="593" t="str">
        <f t="shared" si="42"/>
        <v>N/A</v>
      </c>
      <c r="T87" s="593" t="str">
        <f t="shared" si="43"/>
        <v>N/A</v>
      </c>
      <c r="U87" s="593">
        <f t="shared" si="44"/>
        <v>0</v>
      </c>
      <c r="V87" s="593">
        <f t="shared" si="45"/>
        <v>1</v>
      </c>
      <c r="W87" s="593" t="str">
        <f t="shared" si="46"/>
        <v>-</v>
      </c>
      <c r="Y87" s="593" t="str">
        <f t="shared" si="38"/>
        <v>Not suitable</v>
      </c>
      <c r="Z87" s="602" t="str">
        <f t="shared" si="47"/>
        <v>Y</v>
      </c>
      <c r="AA87" s="593"/>
      <c r="AB87" s="593"/>
    </row>
    <row r="88" spans="1:28" ht="13.2">
      <c r="A88" s="588"/>
      <c r="C88" s="598"/>
      <c r="D88" s="598"/>
      <c r="E88" s="598"/>
      <c r="F88" s="593"/>
      <c r="G88" s="593"/>
      <c r="H88" s="593"/>
      <c r="I88" s="593"/>
      <c r="J88" s="593"/>
      <c r="K88" s="593" t="str">
        <f t="shared" si="33"/>
        <v>N/A</v>
      </c>
      <c r="L88" s="593" t="str">
        <f t="shared" si="34"/>
        <v>N/A</v>
      </c>
      <c r="M88" s="593" t="str">
        <f t="shared" si="35"/>
        <v>N/A</v>
      </c>
      <c r="N88" s="593" t="str">
        <f t="shared" si="36"/>
        <v>N/A</v>
      </c>
      <c r="O88" s="593" t="str">
        <f t="shared" si="37"/>
        <v>N/A</v>
      </c>
      <c r="P88" s="593" t="str">
        <f t="shared" si="39"/>
        <v>N/A</v>
      </c>
      <c r="Q88" s="593" t="str">
        <f t="shared" si="40"/>
        <v>N/A</v>
      </c>
      <c r="R88" s="593" t="str">
        <f t="shared" si="41"/>
        <v>N/A</v>
      </c>
      <c r="S88" s="593" t="str">
        <f t="shared" si="42"/>
        <v>N/A</v>
      </c>
      <c r="T88" s="593" t="str">
        <f t="shared" si="43"/>
        <v>N/A</v>
      </c>
      <c r="U88" s="593">
        <f t="shared" si="44"/>
        <v>0</v>
      </c>
      <c r="V88" s="593">
        <f t="shared" si="45"/>
        <v>1</v>
      </c>
      <c r="W88" s="593" t="str">
        <f t="shared" si="46"/>
        <v>-</v>
      </c>
      <c r="Y88" s="593" t="str">
        <f t="shared" si="38"/>
        <v>Not suitable</v>
      </c>
      <c r="Z88" s="602" t="str">
        <f t="shared" si="47"/>
        <v>Y</v>
      </c>
      <c r="AA88" s="593"/>
      <c r="AB88" s="593"/>
    </row>
    <row r="89" spans="1:28" ht="13.2">
      <c r="A89" s="588"/>
      <c r="C89" s="598"/>
      <c r="D89" s="598"/>
      <c r="E89" s="598"/>
      <c r="F89" s="593"/>
      <c r="G89" s="593"/>
      <c r="H89" s="593"/>
      <c r="I89" s="593"/>
      <c r="J89" s="593"/>
      <c r="K89" s="593" t="str">
        <f t="shared" si="33"/>
        <v>N/A</v>
      </c>
      <c r="L89" s="593" t="str">
        <f t="shared" si="34"/>
        <v>N/A</v>
      </c>
      <c r="M89" s="593" t="str">
        <f t="shared" si="35"/>
        <v>N/A</v>
      </c>
      <c r="N89" s="593" t="str">
        <f t="shared" si="36"/>
        <v>N/A</v>
      </c>
      <c r="O89" s="593" t="str">
        <f t="shared" si="37"/>
        <v>N/A</v>
      </c>
      <c r="P89" s="593" t="str">
        <f t="shared" si="39"/>
        <v>N/A</v>
      </c>
      <c r="Q89" s="593" t="str">
        <f t="shared" si="40"/>
        <v>N/A</v>
      </c>
      <c r="R89" s="593" t="str">
        <f t="shared" si="41"/>
        <v>N/A</v>
      </c>
      <c r="S89" s="593" t="str">
        <f t="shared" si="42"/>
        <v>N/A</v>
      </c>
      <c r="T89" s="593" t="str">
        <f t="shared" si="43"/>
        <v>N/A</v>
      </c>
      <c r="U89" s="593">
        <f t="shared" si="44"/>
        <v>0</v>
      </c>
      <c r="V89" s="593">
        <f t="shared" si="45"/>
        <v>1</v>
      </c>
      <c r="W89" s="593" t="str">
        <f t="shared" si="46"/>
        <v>-</v>
      </c>
      <c r="Y89" s="593" t="str">
        <f t="shared" si="38"/>
        <v>Not suitable</v>
      </c>
      <c r="Z89" s="602" t="str">
        <f t="shared" si="47"/>
        <v>Y</v>
      </c>
      <c r="AA89" s="593"/>
      <c r="AB89" s="593"/>
    </row>
    <row r="90" spans="1:28" ht="13.2">
      <c r="A90" s="588"/>
      <c r="C90" s="598"/>
      <c r="D90" s="598"/>
      <c r="E90" s="598"/>
      <c r="F90" s="593"/>
      <c r="G90" s="593"/>
      <c r="H90" s="593"/>
      <c r="I90" s="593"/>
      <c r="J90" s="593"/>
      <c r="K90" s="593" t="str">
        <f t="shared" si="33"/>
        <v>N/A</v>
      </c>
      <c r="L90" s="593" t="str">
        <f t="shared" si="34"/>
        <v>N/A</v>
      </c>
      <c r="M90" s="593" t="str">
        <f t="shared" si="35"/>
        <v>N/A</v>
      </c>
      <c r="N90" s="593" t="str">
        <f t="shared" si="36"/>
        <v>N/A</v>
      </c>
      <c r="O90" s="593" t="str">
        <f t="shared" si="37"/>
        <v>N/A</v>
      </c>
      <c r="P90" s="593" t="str">
        <f t="shared" si="39"/>
        <v>N/A</v>
      </c>
      <c r="Q90" s="593" t="str">
        <f t="shared" si="40"/>
        <v>N/A</v>
      </c>
      <c r="R90" s="593" t="str">
        <f t="shared" si="41"/>
        <v>N/A</v>
      </c>
      <c r="S90" s="593" t="str">
        <f t="shared" si="42"/>
        <v>N/A</v>
      </c>
      <c r="T90" s="593" t="str">
        <f t="shared" si="43"/>
        <v>N/A</v>
      </c>
      <c r="U90" s="593">
        <f t="shared" si="44"/>
        <v>0</v>
      </c>
      <c r="V90" s="593">
        <f t="shared" si="45"/>
        <v>1</v>
      </c>
      <c r="W90" s="593" t="str">
        <f t="shared" si="46"/>
        <v>-</v>
      </c>
      <c r="Y90" s="593" t="str">
        <f t="shared" si="38"/>
        <v>Not suitable</v>
      </c>
      <c r="Z90" s="602" t="str">
        <f t="shared" si="47"/>
        <v>Y</v>
      </c>
      <c r="AA90" s="593"/>
      <c r="AB90" s="593"/>
    </row>
    <row r="91" spans="1:28" ht="13.2">
      <c r="A91" s="588"/>
      <c r="C91" s="598"/>
      <c r="D91" s="598"/>
      <c r="E91" s="598"/>
      <c r="F91" s="593"/>
      <c r="G91" s="593"/>
      <c r="H91" s="593"/>
      <c r="I91" s="593"/>
      <c r="J91" s="593"/>
      <c r="K91" s="593" t="str">
        <f t="shared" si="33"/>
        <v>N/A</v>
      </c>
      <c r="L91" s="593" t="str">
        <f t="shared" si="34"/>
        <v>N/A</v>
      </c>
      <c r="M91" s="593" t="str">
        <f t="shared" si="35"/>
        <v>N/A</v>
      </c>
      <c r="N91" s="593" t="str">
        <f t="shared" si="36"/>
        <v>N/A</v>
      </c>
      <c r="O91" s="593" t="str">
        <f t="shared" si="37"/>
        <v>N/A</v>
      </c>
      <c r="P91" s="593" t="str">
        <f t="shared" si="39"/>
        <v>N/A</v>
      </c>
      <c r="Q91" s="593" t="str">
        <f t="shared" si="40"/>
        <v>N/A</v>
      </c>
      <c r="R91" s="593" t="str">
        <f t="shared" si="41"/>
        <v>N/A</v>
      </c>
      <c r="S91" s="593" t="str">
        <f t="shared" si="42"/>
        <v>N/A</v>
      </c>
      <c r="T91" s="593" t="str">
        <f t="shared" si="43"/>
        <v>N/A</v>
      </c>
      <c r="U91" s="593">
        <f t="shared" si="44"/>
        <v>0</v>
      </c>
      <c r="V91" s="593">
        <f t="shared" si="45"/>
        <v>1</v>
      </c>
      <c r="W91" s="593" t="str">
        <f t="shared" si="46"/>
        <v>-</v>
      </c>
      <c r="Y91" s="593" t="str">
        <f t="shared" si="38"/>
        <v>Not suitable</v>
      </c>
      <c r="Z91" s="602" t="str">
        <f t="shared" si="47"/>
        <v>Y</v>
      </c>
      <c r="AA91" s="593"/>
      <c r="AB91" s="593"/>
    </row>
    <row r="92" spans="1:28" ht="13.2">
      <c r="A92" s="588"/>
      <c r="C92" s="598"/>
      <c r="D92" s="598"/>
      <c r="E92" s="598"/>
      <c r="F92" s="593"/>
      <c r="G92" s="593"/>
      <c r="H92" s="593"/>
      <c r="I92" s="593"/>
      <c r="J92" s="593"/>
      <c r="K92" s="593" t="str">
        <f t="shared" si="33"/>
        <v>N/A</v>
      </c>
      <c r="L92" s="593" t="str">
        <f t="shared" si="34"/>
        <v>N/A</v>
      </c>
      <c r="M92" s="593" t="str">
        <f t="shared" si="35"/>
        <v>N/A</v>
      </c>
      <c r="N92" s="593" t="str">
        <f t="shared" si="36"/>
        <v>N/A</v>
      </c>
      <c r="O92" s="593" t="str">
        <f t="shared" si="37"/>
        <v>N/A</v>
      </c>
      <c r="P92" s="593" t="str">
        <f t="shared" si="39"/>
        <v>N/A</v>
      </c>
      <c r="Q92" s="593" t="str">
        <f t="shared" si="40"/>
        <v>N/A</v>
      </c>
      <c r="R92" s="593" t="str">
        <f t="shared" si="41"/>
        <v>N/A</v>
      </c>
      <c r="S92" s="593" t="str">
        <f t="shared" si="42"/>
        <v>N/A</v>
      </c>
      <c r="T92" s="593" t="str">
        <f t="shared" si="43"/>
        <v>N/A</v>
      </c>
      <c r="U92" s="593">
        <f t="shared" si="44"/>
        <v>0</v>
      </c>
      <c r="V92" s="593">
        <f t="shared" si="45"/>
        <v>1</v>
      </c>
      <c r="W92" s="593" t="str">
        <f t="shared" si="46"/>
        <v>-</v>
      </c>
      <c r="Y92" s="593" t="str">
        <f t="shared" si="38"/>
        <v>Not suitable</v>
      </c>
      <c r="Z92" s="602" t="str">
        <f t="shared" si="47"/>
        <v>Y</v>
      </c>
      <c r="AA92" s="593"/>
      <c r="AB92" s="593"/>
    </row>
    <row r="93" spans="1:28" ht="13.2">
      <c r="A93" s="588"/>
      <c r="C93" s="598"/>
      <c r="D93" s="598"/>
      <c r="E93" s="598"/>
      <c r="F93" s="593"/>
      <c r="G93" s="593"/>
      <c r="H93" s="593"/>
      <c r="I93" s="593"/>
      <c r="J93" s="593"/>
      <c r="K93" s="593" t="str">
        <f t="shared" si="33"/>
        <v>N/A</v>
      </c>
      <c r="L93" s="593" t="str">
        <f t="shared" si="34"/>
        <v>N/A</v>
      </c>
      <c r="M93" s="593" t="str">
        <f t="shared" si="35"/>
        <v>N/A</v>
      </c>
      <c r="N93" s="593" t="str">
        <f t="shared" si="36"/>
        <v>N/A</v>
      </c>
      <c r="O93" s="593" t="str">
        <f t="shared" si="37"/>
        <v>N/A</v>
      </c>
      <c r="P93" s="593" t="str">
        <f t="shared" si="39"/>
        <v>N/A</v>
      </c>
      <c r="Q93" s="593" t="str">
        <f t="shared" si="40"/>
        <v>N/A</v>
      </c>
      <c r="R93" s="593" t="str">
        <f t="shared" si="41"/>
        <v>N/A</v>
      </c>
      <c r="S93" s="593" t="str">
        <f t="shared" si="42"/>
        <v>N/A</v>
      </c>
      <c r="T93" s="593" t="str">
        <f t="shared" si="43"/>
        <v>N/A</v>
      </c>
      <c r="U93" s="593">
        <f t="shared" si="44"/>
        <v>0</v>
      </c>
      <c r="V93" s="593">
        <f t="shared" si="45"/>
        <v>1</v>
      </c>
      <c r="W93" s="593" t="str">
        <f t="shared" si="46"/>
        <v>-</v>
      </c>
      <c r="Y93" s="593" t="str">
        <f t="shared" si="38"/>
        <v>Not suitable</v>
      </c>
      <c r="Z93" s="602" t="str">
        <f t="shared" si="47"/>
        <v>Y</v>
      </c>
      <c r="AA93" s="593"/>
      <c r="AB93" s="593"/>
    </row>
    <row r="94" spans="1:28" ht="13.2">
      <c r="A94" s="588"/>
      <c r="C94" s="598"/>
      <c r="D94" s="598"/>
      <c r="E94" s="598"/>
      <c r="F94" s="593"/>
      <c r="G94" s="593"/>
      <c r="H94" s="593"/>
      <c r="I94" s="593"/>
      <c r="J94" s="593"/>
      <c r="K94" s="593" t="str">
        <f t="shared" si="33"/>
        <v>N/A</v>
      </c>
      <c r="L94" s="593" t="str">
        <f t="shared" si="34"/>
        <v>N/A</v>
      </c>
      <c r="M94" s="593" t="str">
        <f t="shared" si="35"/>
        <v>N/A</v>
      </c>
      <c r="N94" s="593" t="str">
        <f t="shared" si="36"/>
        <v>N/A</v>
      </c>
      <c r="O94" s="593" t="str">
        <f t="shared" si="37"/>
        <v>N/A</v>
      </c>
      <c r="P94" s="593" t="str">
        <f t="shared" si="39"/>
        <v>N/A</v>
      </c>
      <c r="Q94" s="593" t="str">
        <f t="shared" si="40"/>
        <v>N/A</v>
      </c>
      <c r="R94" s="593" t="str">
        <f t="shared" si="41"/>
        <v>N/A</v>
      </c>
      <c r="S94" s="593" t="str">
        <f t="shared" si="42"/>
        <v>N/A</v>
      </c>
      <c r="T94" s="593" t="str">
        <f t="shared" si="43"/>
        <v>N/A</v>
      </c>
      <c r="U94" s="593">
        <f t="shared" si="44"/>
        <v>0</v>
      </c>
      <c r="V94" s="593">
        <f t="shared" si="45"/>
        <v>1</v>
      </c>
      <c r="W94" s="593" t="str">
        <f t="shared" si="46"/>
        <v>-</v>
      </c>
      <c r="Y94" s="593" t="str">
        <f t="shared" si="38"/>
        <v>Not suitable</v>
      </c>
      <c r="Z94" s="602" t="str">
        <f t="shared" si="47"/>
        <v>Y</v>
      </c>
      <c r="AA94" s="593"/>
      <c r="AB94" s="593"/>
    </row>
    <row r="95" spans="1:28" ht="13.2">
      <c r="A95" s="588"/>
      <c r="C95" s="598"/>
      <c r="D95" s="598"/>
      <c r="E95" s="598"/>
      <c r="F95" s="593"/>
      <c r="G95" s="593"/>
      <c r="H95" s="593"/>
      <c r="I95" s="593"/>
      <c r="J95" s="593"/>
      <c r="K95" s="593" t="str">
        <f t="shared" si="33"/>
        <v>N/A</v>
      </c>
      <c r="L95" s="593" t="str">
        <f t="shared" si="34"/>
        <v>N/A</v>
      </c>
      <c r="M95" s="593" t="str">
        <f t="shared" si="35"/>
        <v>N/A</v>
      </c>
      <c r="N95" s="593" t="str">
        <f t="shared" si="36"/>
        <v>N/A</v>
      </c>
      <c r="O95" s="593" t="str">
        <f t="shared" si="37"/>
        <v>N/A</v>
      </c>
      <c r="P95" s="593" t="str">
        <f t="shared" si="39"/>
        <v>N/A</v>
      </c>
      <c r="Q95" s="593" t="str">
        <f t="shared" si="40"/>
        <v>N/A</v>
      </c>
      <c r="R95" s="593" t="str">
        <f t="shared" si="41"/>
        <v>N/A</v>
      </c>
      <c r="S95" s="593" t="str">
        <f t="shared" si="42"/>
        <v>N/A</v>
      </c>
      <c r="T95" s="593" t="str">
        <f t="shared" si="43"/>
        <v>N/A</v>
      </c>
      <c r="U95" s="593">
        <f t="shared" si="44"/>
        <v>0</v>
      </c>
      <c r="V95" s="593">
        <f t="shared" si="45"/>
        <v>1</v>
      </c>
      <c r="W95" s="593" t="str">
        <f t="shared" si="46"/>
        <v>-</v>
      </c>
      <c r="Y95" s="593" t="str">
        <f t="shared" si="38"/>
        <v>Not suitable</v>
      </c>
      <c r="Z95" s="602" t="str">
        <f t="shared" si="47"/>
        <v>Y</v>
      </c>
      <c r="AA95" s="593"/>
      <c r="AB95" s="593"/>
    </row>
    <row r="96" spans="1:28" ht="13.2">
      <c r="A96" s="588"/>
      <c r="C96" s="598"/>
      <c r="D96" s="598"/>
      <c r="E96" s="598"/>
      <c r="F96" s="593"/>
      <c r="G96" s="593"/>
      <c r="H96" s="593"/>
      <c r="I96" s="593"/>
      <c r="J96" s="593"/>
      <c r="K96" s="593" t="str">
        <f t="shared" si="33"/>
        <v>N/A</v>
      </c>
      <c r="L96" s="593" t="str">
        <f t="shared" si="34"/>
        <v>N/A</v>
      </c>
      <c r="M96" s="593" t="str">
        <f t="shared" si="35"/>
        <v>N/A</v>
      </c>
      <c r="N96" s="593" t="str">
        <f t="shared" si="36"/>
        <v>N/A</v>
      </c>
      <c r="O96" s="593" t="str">
        <f t="shared" si="37"/>
        <v>N/A</v>
      </c>
      <c r="P96" s="593" t="str">
        <f t="shared" si="39"/>
        <v>N/A</v>
      </c>
      <c r="Q96" s="593" t="str">
        <f t="shared" si="40"/>
        <v>N/A</v>
      </c>
      <c r="R96" s="593" t="str">
        <f t="shared" si="41"/>
        <v>N/A</v>
      </c>
      <c r="S96" s="593" t="str">
        <f t="shared" si="42"/>
        <v>N/A</v>
      </c>
      <c r="T96" s="593" t="str">
        <f t="shared" si="43"/>
        <v>N/A</v>
      </c>
      <c r="U96" s="593">
        <f t="shared" si="44"/>
        <v>0</v>
      </c>
      <c r="V96" s="593">
        <f t="shared" si="45"/>
        <v>1</v>
      </c>
      <c r="W96" s="593" t="str">
        <f t="shared" si="46"/>
        <v>-</v>
      </c>
      <c r="Y96" s="593" t="str">
        <f t="shared" si="38"/>
        <v>Not suitable</v>
      </c>
      <c r="Z96" s="602" t="str">
        <f t="shared" si="47"/>
        <v>Y</v>
      </c>
      <c r="AA96" s="593"/>
      <c r="AB96" s="593"/>
    </row>
    <row r="97" spans="1:28" ht="13.2">
      <c r="A97" s="588"/>
      <c r="C97" s="598"/>
      <c r="D97" s="598"/>
      <c r="E97" s="598"/>
      <c r="F97" s="593"/>
      <c r="G97" s="593"/>
      <c r="H97" s="593"/>
      <c r="I97" s="593"/>
      <c r="J97" s="593"/>
      <c r="K97" s="593" t="str">
        <f t="shared" si="33"/>
        <v>N/A</v>
      </c>
      <c r="L97" s="593" t="str">
        <f t="shared" si="34"/>
        <v>N/A</v>
      </c>
      <c r="M97" s="593" t="str">
        <f t="shared" si="35"/>
        <v>N/A</v>
      </c>
      <c r="N97" s="593" t="str">
        <f t="shared" si="36"/>
        <v>N/A</v>
      </c>
      <c r="O97" s="593" t="str">
        <f t="shared" si="37"/>
        <v>N/A</v>
      </c>
      <c r="P97" s="593" t="str">
        <f t="shared" si="39"/>
        <v>N/A</v>
      </c>
      <c r="Q97" s="593" t="str">
        <f t="shared" si="40"/>
        <v>N/A</v>
      </c>
      <c r="R97" s="593" t="str">
        <f t="shared" si="41"/>
        <v>N/A</v>
      </c>
      <c r="S97" s="593" t="str">
        <f t="shared" si="42"/>
        <v>N/A</v>
      </c>
      <c r="T97" s="593" t="str">
        <f t="shared" si="43"/>
        <v>N/A</v>
      </c>
      <c r="U97" s="593">
        <f t="shared" si="44"/>
        <v>0</v>
      </c>
      <c r="V97" s="593">
        <f t="shared" si="45"/>
        <v>1</v>
      </c>
      <c r="W97" s="593" t="str">
        <f t="shared" si="46"/>
        <v>-</v>
      </c>
      <c r="Y97" s="593" t="str">
        <f t="shared" si="38"/>
        <v>Not suitable</v>
      </c>
      <c r="Z97" s="602" t="str">
        <f t="shared" si="47"/>
        <v>Y</v>
      </c>
      <c r="AA97" s="593"/>
      <c r="AB97" s="593"/>
    </row>
    <row r="98" spans="1:28" ht="13.2">
      <c r="A98" s="588"/>
      <c r="C98" s="598"/>
      <c r="D98" s="598"/>
      <c r="E98" s="598"/>
      <c r="F98" s="593"/>
      <c r="G98" s="593"/>
      <c r="H98" s="593"/>
      <c r="I98" s="593"/>
      <c r="J98" s="593"/>
      <c r="K98" s="593" t="str">
        <f t="shared" si="33"/>
        <v>N/A</v>
      </c>
      <c r="L98" s="593" t="str">
        <f t="shared" si="34"/>
        <v>N/A</v>
      </c>
      <c r="M98" s="593" t="str">
        <f t="shared" si="35"/>
        <v>N/A</v>
      </c>
      <c r="N98" s="593" t="str">
        <f t="shared" si="36"/>
        <v>N/A</v>
      </c>
      <c r="O98" s="593" t="str">
        <f t="shared" si="37"/>
        <v>N/A</v>
      </c>
      <c r="P98" s="593" t="str">
        <f t="shared" si="39"/>
        <v>N/A</v>
      </c>
      <c r="Q98" s="593" t="str">
        <f t="shared" si="40"/>
        <v>N/A</v>
      </c>
      <c r="R98" s="593" t="str">
        <f t="shared" si="41"/>
        <v>N/A</v>
      </c>
      <c r="S98" s="593" t="str">
        <f t="shared" si="42"/>
        <v>N/A</v>
      </c>
      <c r="T98" s="593" t="str">
        <f t="shared" si="43"/>
        <v>N/A</v>
      </c>
      <c r="U98" s="593">
        <f t="shared" si="44"/>
        <v>0</v>
      </c>
      <c r="V98" s="593">
        <f t="shared" si="45"/>
        <v>1</v>
      </c>
      <c r="W98" s="593" t="str">
        <f t="shared" si="46"/>
        <v>-</v>
      </c>
      <c r="Y98" s="593" t="str">
        <f t="shared" si="38"/>
        <v>Not suitable</v>
      </c>
      <c r="Z98" s="602" t="str">
        <f t="shared" si="47"/>
        <v>Y</v>
      </c>
      <c r="AA98" s="593"/>
      <c r="AB98" s="593"/>
    </row>
    <row r="99" spans="1:28" ht="13.2">
      <c r="A99" s="588"/>
      <c r="C99" s="598"/>
      <c r="D99" s="598"/>
      <c r="E99" s="598"/>
      <c r="F99" s="593"/>
      <c r="G99" s="593"/>
      <c r="H99" s="593"/>
      <c r="I99" s="593"/>
      <c r="J99" s="593"/>
      <c r="K99" s="593" t="str">
        <f t="shared" si="33"/>
        <v>N/A</v>
      </c>
      <c r="L99" s="593" t="str">
        <f t="shared" si="34"/>
        <v>N/A</v>
      </c>
      <c r="M99" s="593" t="str">
        <f t="shared" si="35"/>
        <v>N/A</v>
      </c>
      <c r="N99" s="593" t="str">
        <f t="shared" si="36"/>
        <v>N/A</v>
      </c>
      <c r="O99" s="593" t="str">
        <f t="shared" si="37"/>
        <v>N/A</v>
      </c>
      <c r="P99" s="593" t="str">
        <f t="shared" si="39"/>
        <v>N/A</v>
      </c>
      <c r="Q99" s="593" t="str">
        <f t="shared" si="40"/>
        <v>N/A</v>
      </c>
      <c r="R99" s="593" t="str">
        <f t="shared" si="41"/>
        <v>N/A</v>
      </c>
      <c r="S99" s="593" t="str">
        <f t="shared" si="42"/>
        <v>N/A</v>
      </c>
      <c r="T99" s="593" t="str">
        <f t="shared" si="43"/>
        <v>N/A</v>
      </c>
      <c r="U99" s="593">
        <f t="shared" si="44"/>
        <v>0</v>
      </c>
      <c r="V99" s="593">
        <f t="shared" si="45"/>
        <v>1</v>
      </c>
      <c r="W99" s="593" t="str">
        <f t="shared" si="46"/>
        <v>-</v>
      </c>
      <c r="Y99" s="593" t="str">
        <f t="shared" si="38"/>
        <v>Not suitable</v>
      </c>
      <c r="Z99" s="602" t="str">
        <f t="shared" si="47"/>
        <v>Y</v>
      </c>
      <c r="AA99" s="593"/>
      <c r="AB99" s="593"/>
    </row>
    <row r="100" spans="1:28" ht="13.2">
      <c r="A100" s="611"/>
      <c r="B100" s="610"/>
      <c r="C100" s="607"/>
      <c r="D100" s="604"/>
      <c r="E100" s="606"/>
      <c r="F100" s="606"/>
      <c r="G100" s="606"/>
      <c r="H100" s="606"/>
      <c r="I100" s="606"/>
      <c r="J100" s="606"/>
      <c r="K100" s="606" t="str">
        <f t="shared" si="33"/>
        <v>N/A</v>
      </c>
      <c r="L100" s="606" t="str">
        <f t="shared" si="34"/>
        <v>N/A</v>
      </c>
      <c r="M100" s="606" t="str">
        <f t="shared" si="35"/>
        <v>N/A</v>
      </c>
      <c r="N100" s="606" t="str">
        <f t="shared" si="36"/>
        <v>N/A</v>
      </c>
      <c r="O100" s="606" t="str">
        <f t="shared" si="37"/>
        <v>N/A</v>
      </c>
      <c r="P100" s="606" t="str">
        <f t="shared" si="39"/>
        <v>N/A</v>
      </c>
      <c r="Q100" s="606" t="str">
        <f t="shared" si="40"/>
        <v>N/A</v>
      </c>
      <c r="R100" s="606" t="str">
        <f t="shared" si="41"/>
        <v>N/A</v>
      </c>
      <c r="S100" s="606" t="str">
        <f t="shared" si="42"/>
        <v>N/A</v>
      </c>
      <c r="T100" s="606" t="str">
        <f t="shared" si="43"/>
        <v>N/A</v>
      </c>
      <c r="U100" s="606">
        <f t="shared" ref="U100" si="48">SUM(P100:T100)</f>
        <v>0</v>
      </c>
      <c r="V100" s="606">
        <f t="shared" ref="V100" si="49">_xlfn.RANK.EQ(U100,$U$4:$U$61,1)</f>
        <v>1</v>
      </c>
      <c r="W100" s="606" t="str">
        <f t="shared" si="46"/>
        <v>-</v>
      </c>
      <c r="Y100" s="606" t="str">
        <f t="shared" si="38"/>
        <v>Not suitable</v>
      </c>
      <c r="Z100" s="607" t="str">
        <f t="shared" si="47"/>
        <v>Y</v>
      </c>
      <c r="AA100" s="606"/>
      <c r="AB100" s="606"/>
    </row>
  </sheetData>
  <mergeCells count="20">
    <mergeCell ref="AE14:AI14"/>
    <mergeCell ref="AJ14:AL14"/>
    <mergeCell ref="AM14:AN14"/>
    <mergeCell ref="AE13:AI13"/>
    <mergeCell ref="AJ13:AL13"/>
    <mergeCell ref="AM13:AN13"/>
    <mergeCell ref="AD1:AD12"/>
    <mergeCell ref="AE1:AI1"/>
    <mergeCell ref="AJ1:AL1"/>
    <mergeCell ref="AM1:AN1"/>
    <mergeCell ref="AE10:AI10"/>
    <mergeCell ref="AJ10:AN10"/>
    <mergeCell ref="AH11:AI11"/>
    <mergeCell ref="AH12:AI12"/>
    <mergeCell ref="AE9:AI9"/>
    <mergeCell ref="F1:J1"/>
    <mergeCell ref="K1:O1"/>
    <mergeCell ref="P1:T1"/>
    <mergeCell ref="U1:W1"/>
    <mergeCell ref="Y1:AB1"/>
  </mergeCells>
  <conditionalFormatting sqref="AJ14:AN14">
    <cfRule type="cellIs" dxfId="35" priority="1" operator="lessThan">
      <formula>0</formula>
    </cfRule>
    <cfRule type="cellIs" dxfId="34" priority="2" operator="greaterThan">
      <formula>0</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B90"/>
  <sheetViews>
    <sheetView showGridLines="0" topLeftCell="A7" zoomScale="80" zoomScaleNormal="80" workbookViewId="0">
      <selection activeCell="G35" sqref="G35"/>
    </sheetView>
  </sheetViews>
  <sheetFormatPr defaultColWidth="11.44140625" defaultRowHeight="13.2"/>
  <cols>
    <col min="1" max="1" width="1.109375" style="67" customWidth="1"/>
    <col min="2" max="2" width="59.44140625" style="67" customWidth="1"/>
    <col min="3" max="4" width="12.88671875" style="67" customWidth="1"/>
    <col min="5" max="5" width="11.44140625" style="67" bestFit="1" customWidth="1"/>
    <col min="6" max="6" width="11" style="67" customWidth="1"/>
    <col min="7" max="7" width="10.44140625" style="67" customWidth="1"/>
    <col min="8" max="8" width="20.33203125" style="454" customWidth="1"/>
    <col min="9" max="9" width="22.44140625" style="454" customWidth="1"/>
    <col min="10" max="10" width="64.109375" style="67" customWidth="1"/>
    <col min="11" max="11" width="34.6640625" style="67" bestFit="1" customWidth="1"/>
    <col min="12" max="12" width="21.33203125" style="67" customWidth="1"/>
    <col min="13" max="13" width="19.88671875" style="67" customWidth="1"/>
    <col min="14" max="14" width="20.88671875" style="67" bestFit="1" customWidth="1"/>
    <col min="15" max="15" width="19.88671875" style="67" bestFit="1" customWidth="1"/>
    <col min="16" max="16" width="19.88671875" style="67" customWidth="1"/>
    <col min="17" max="17" width="22.33203125" style="67" bestFit="1" customWidth="1"/>
    <col min="18" max="18" width="11.44140625" style="67" customWidth="1"/>
    <col min="19" max="19" width="10.44140625" style="67" customWidth="1"/>
    <col min="20" max="20" width="12.33203125" style="67" bestFit="1" customWidth="1"/>
    <col min="21" max="21" width="15.44140625" style="67" customWidth="1"/>
    <col min="22" max="22" width="18.109375" style="67" bestFit="1" customWidth="1"/>
    <col min="23" max="23" width="18.33203125" style="67" bestFit="1" customWidth="1"/>
    <col min="24" max="24" width="17.33203125" style="67" bestFit="1" customWidth="1"/>
    <col min="25" max="30" width="11.44140625" style="67"/>
    <col min="31" max="31" width="13" style="67" bestFit="1" customWidth="1"/>
    <col min="32" max="16384" width="11.44140625" style="67"/>
  </cols>
  <sheetData>
    <row r="1" spans="1:28">
      <c r="B1" s="191" t="s">
        <v>362</v>
      </c>
      <c r="C1" s="71"/>
      <c r="D1" s="71"/>
      <c r="E1" s="71"/>
      <c r="F1" s="71"/>
      <c r="G1" s="71"/>
      <c r="H1" s="449"/>
      <c r="I1" s="449"/>
      <c r="J1" s="71"/>
      <c r="T1" s="78" t="s">
        <v>363</v>
      </c>
    </row>
    <row r="2" spans="1:28" ht="13.8" thickBot="1">
      <c r="B2" s="74" t="s">
        <v>364</v>
      </c>
      <c r="C2" s="192" t="s">
        <v>365</v>
      </c>
      <c r="D2" s="71"/>
      <c r="E2" s="71"/>
      <c r="F2" s="71"/>
      <c r="G2" s="71"/>
      <c r="H2" s="449"/>
      <c r="I2" s="449"/>
      <c r="J2" s="71"/>
      <c r="T2" s="78" t="s">
        <v>366</v>
      </c>
    </row>
    <row r="3" spans="1:28" ht="21.6" thickBot="1">
      <c r="B3" s="1837" t="s">
        <v>367</v>
      </c>
      <c r="C3" s="1837"/>
      <c r="D3" s="1837"/>
      <c r="E3" s="1837"/>
      <c r="F3" s="1837"/>
      <c r="G3" s="1837"/>
      <c r="H3" s="1837"/>
      <c r="I3" s="1837"/>
      <c r="J3" s="1837"/>
      <c r="K3" s="1838" t="s">
        <v>368</v>
      </c>
      <c r="L3" s="1838"/>
      <c r="M3" s="1838"/>
      <c r="N3" s="1838"/>
      <c r="O3" s="1838"/>
      <c r="P3" s="1838"/>
      <c r="Q3" s="1838"/>
    </row>
    <row r="4" spans="1:28" ht="31.8" thickBot="1">
      <c r="B4" s="182" t="s">
        <v>369</v>
      </c>
      <c r="C4" s="213" t="s">
        <v>370</v>
      </c>
      <c r="D4" s="213" t="s">
        <v>371</v>
      </c>
      <c r="E4" s="213" t="s">
        <v>372</v>
      </c>
      <c r="F4" s="213" t="s">
        <v>373</v>
      </c>
      <c r="G4" s="213" t="s">
        <v>374</v>
      </c>
      <c r="H4" s="183" t="s">
        <v>375</v>
      </c>
      <c r="I4" s="183" t="s">
        <v>376</v>
      </c>
      <c r="J4" s="184" t="s">
        <v>377</v>
      </c>
      <c r="K4" s="182" t="s">
        <v>369</v>
      </c>
      <c r="L4" s="216" t="e" vm="1">
        <f>Peers!C6</f>
        <v>#VALUE!</v>
      </c>
      <c r="M4" s="216" t="e" vm="3">
        <f>Peers!D6</f>
        <v>#VALUE!</v>
      </c>
      <c r="N4" s="216" t="e" vm="5">
        <f>Peers!E6</f>
        <v>#VALUE!</v>
      </c>
      <c r="O4" s="216" t="e" vm="7">
        <f>Peers!F6</f>
        <v>#VALUE!</v>
      </c>
      <c r="P4" s="216" t="e">
        <f>Peers!#REF!</f>
        <v>#REF!</v>
      </c>
      <c r="Q4" s="216" t="e">
        <f>Peers!#REF!</f>
        <v>#REF!</v>
      </c>
      <c r="R4" s="558" t="s">
        <v>239</v>
      </c>
    </row>
    <row r="5" spans="1:28" ht="13.8">
      <c r="B5" s="193" t="s">
        <v>378</v>
      </c>
      <c r="C5" s="194"/>
      <c r="D5" s="195"/>
      <c r="E5" s="195"/>
      <c r="F5" s="195"/>
      <c r="G5" s="195"/>
      <c r="H5" s="450"/>
      <c r="I5" s="450"/>
      <c r="J5" s="196"/>
      <c r="K5" s="193" t="s">
        <v>379</v>
      </c>
      <c r="L5" s="195"/>
      <c r="M5" s="195"/>
      <c r="N5" s="195"/>
      <c r="O5" s="195"/>
      <c r="P5" s="196"/>
      <c r="Q5" s="196"/>
      <c r="R5" s="196"/>
    </row>
    <row r="6" spans="1:28" ht="171.6">
      <c r="A6" s="67">
        <v>1</v>
      </c>
      <c r="B6" s="187" t="s">
        <v>380</v>
      </c>
      <c r="C6" s="185" t="str">
        <f>VLOOKUP($B$2,'Sector Impact'!$K$4:$AA$16,A6+1,FALSE)</f>
        <v>Medium</v>
      </c>
      <c r="D6" s="185" t="s">
        <v>363</v>
      </c>
      <c r="E6" s="185" t="s">
        <v>381</v>
      </c>
      <c r="F6" s="197" t="s">
        <v>363</v>
      </c>
      <c r="G6" s="276"/>
      <c r="H6" s="186" t="s">
        <v>382</v>
      </c>
      <c r="I6" s="186" t="s">
        <v>383</v>
      </c>
      <c r="J6" s="186"/>
      <c r="K6" s="187" t="s">
        <v>384</v>
      </c>
      <c r="L6" s="430">
        <f>L12/L$11</f>
        <v>2.6546341463414636</v>
      </c>
      <c r="M6" s="430">
        <f t="shared" ref="M6:O6" si="0">M12/M$11</f>
        <v>6.4955322338830586</v>
      </c>
      <c r="N6" s="430">
        <f t="shared" si="0"/>
        <v>54.009111617312072</v>
      </c>
      <c r="O6" s="430">
        <f t="shared" si="0"/>
        <v>8.299797414049932</v>
      </c>
      <c r="P6" s="430" t="e">
        <f t="shared" ref="P6:Q9" si="1">P12/P$11</f>
        <v>#DIV/0!</v>
      </c>
      <c r="Q6" s="430" t="e">
        <f t="shared" si="1"/>
        <v>#DIV/0!</v>
      </c>
      <c r="R6" s="503" t="str">
        <f t="shared" ref="R6:R9" si="2">IFERROR(AVERAGE(L6:Q6),"")</f>
        <v/>
      </c>
      <c r="X6" s="1234" t="s">
        <v>385</v>
      </c>
      <c r="Y6" s="1234" t="s">
        <v>386</v>
      </c>
      <c r="Z6" s="1234" t="s">
        <v>387</v>
      </c>
      <c r="AA6" s="1234" t="s">
        <v>388</v>
      </c>
      <c r="AB6" s="1234" t="s">
        <v>389</v>
      </c>
    </row>
    <row r="7" spans="1:28" s="71" customFormat="1" ht="66">
      <c r="A7" s="71">
        <v>2</v>
      </c>
      <c r="B7" s="187" t="s">
        <v>390</v>
      </c>
      <c r="C7" s="185" t="str">
        <f>VLOOKUP($B$2,'Sector Impact'!$K$4:$AA$16,A7+1,FALSE)</f>
        <v>Low</v>
      </c>
      <c r="D7" s="185"/>
      <c r="E7" s="185"/>
      <c r="F7" s="197"/>
      <c r="G7" s="276"/>
      <c r="H7" s="186" t="s">
        <v>391</v>
      </c>
      <c r="I7" s="186" t="s">
        <v>392</v>
      </c>
      <c r="J7" s="186"/>
      <c r="K7" s="187" t="s">
        <v>393</v>
      </c>
      <c r="L7" s="430">
        <f t="shared" ref="L7:O9" si="3">L13/L$11</f>
        <v>4.5731707317073171</v>
      </c>
      <c r="M7" s="430">
        <f t="shared" si="3"/>
        <v>21.583268365817091</v>
      </c>
      <c r="N7" s="430">
        <f t="shared" si="3"/>
        <v>766.00860541635029</v>
      </c>
      <c r="O7" s="430">
        <f t="shared" si="3"/>
        <v>87.175117678603343</v>
      </c>
      <c r="P7" s="430" t="e">
        <f t="shared" si="1"/>
        <v>#DIV/0!</v>
      </c>
      <c r="Q7" s="430" t="e">
        <f t="shared" si="1"/>
        <v>#DIV/0!</v>
      </c>
      <c r="R7" s="504" t="str">
        <f t="shared" si="2"/>
        <v/>
      </c>
      <c r="X7" s="1235">
        <v>435600</v>
      </c>
      <c r="Y7" s="1235">
        <v>457200</v>
      </c>
      <c r="Z7" s="1235">
        <v>446400</v>
      </c>
      <c r="AA7" s="1235">
        <v>388800</v>
      </c>
      <c r="AB7" s="1235">
        <v>748800</v>
      </c>
    </row>
    <row r="8" spans="1:28" ht="198">
      <c r="A8" s="67">
        <v>3</v>
      </c>
      <c r="B8" s="187" t="s">
        <v>394</v>
      </c>
      <c r="C8" s="185" t="str">
        <f>VLOOKUP($B$2,'Sector Impact'!$K$4:$AA$16,A8+1,FALSE)</f>
        <v>High</v>
      </c>
      <c r="D8" s="185" t="s">
        <v>363</v>
      </c>
      <c r="E8" s="185" t="s">
        <v>381</v>
      </c>
      <c r="F8" s="197" t="s">
        <v>363</v>
      </c>
      <c r="G8" s="273"/>
      <c r="H8" s="186" t="s">
        <v>395</v>
      </c>
      <c r="I8" s="186" t="s">
        <v>396</v>
      </c>
      <c r="J8" s="186"/>
      <c r="K8" s="187" t="s">
        <v>397</v>
      </c>
      <c r="L8" s="430">
        <f t="shared" si="3"/>
        <v>23.707317073170731</v>
      </c>
      <c r="M8" s="430">
        <f t="shared" si="3"/>
        <v>70.359220389805103</v>
      </c>
      <c r="N8" s="430">
        <f t="shared" si="3"/>
        <v>530.24550746646423</v>
      </c>
      <c r="O8" s="430">
        <f t="shared" si="3"/>
        <v>97.975630101888811</v>
      </c>
      <c r="P8" s="430" t="e">
        <f t="shared" si="1"/>
        <v>#DIV/0!</v>
      </c>
      <c r="Q8" s="430" t="e">
        <f t="shared" si="1"/>
        <v>#DIV/0!</v>
      </c>
      <c r="R8" s="504" t="str">
        <f>IFERROR(AVERAGE(L8:Q8),"")</f>
        <v/>
      </c>
      <c r="X8" s="1235">
        <v>192000</v>
      </c>
      <c r="Y8" s="1235">
        <v>175000</v>
      </c>
      <c r="Z8" s="1235">
        <v>151000</v>
      </c>
      <c r="AA8" s="1235">
        <v>75000</v>
      </c>
      <c r="AB8" s="1235">
        <v>183000</v>
      </c>
    </row>
    <row r="9" spans="1:28" ht="39.6">
      <c r="A9" s="67">
        <v>4</v>
      </c>
      <c r="B9" s="187" t="s">
        <v>398</v>
      </c>
      <c r="C9" s="185" t="str">
        <f>VLOOKUP($B$2,'Sector Impact'!$K$4:$AA$16,A9+1,FALSE)</f>
        <v>Low</v>
      </c>
      <c r="D9" s="185"/>
      <c r="E9" s="185"/>
      <c r="F9" s="197"/>
      <c r="G9" s="273"/>
      <c r="H9" s="186" t="s">
        <v>399</v>
      </c>
      <c r="I9" s="186"/>
      <c r="J9" s="188"/>
      <c r="K9" s="187" t="s">
        <v>400</v>
      </c>
      <c r="L9" s="430">
        <f t="shared" si="3"/>
        <v>2.7804878048780488E-2</v>
      </c>
      <c r="M9" s="430">
        <f t="shared" si="3"/>
        <v>0.16659670164917542</v>
      </c>
      <c r="N9" s="430">
        <f t="shared" si="3"/>
        <v>4.3470007593014426</v>
      </c>
      <c r="O9" s="430">
        <f t="shared" si="3"/>
        <v>0.10305070607162009</v>
      </c>
      <c r="P9" s="430" t="e">
        <f t="shared" si="1"/>
        <v>#DIV/0!</v>
      </c>
      <c r="Q9" s="430" t="e">
        <f t="shared" si="1"/>
        <v>#DIV/0!</v>
      </c>
      <c r="R9" s="504" t="str">
        <f t="shared" si="2"/>
        <v/>
      </c>
      <c r="X9" s="1235">
        <v>3207</v>
      </c>
      <c r="Y9" s="1235">
        <v>3358</v>
      </c>
      <c r="Z9" s="1235">
        <v>2335</v>
      </c>
      <c r="AA9" s="1235">
        <v>2892</v>
      </c>
      <c r="AB9" s="1235">
        <v>8145</v>
      </c>
    </row>
    <row r="10" spans="1:28" ht="13.8">
      <c r="A10" s="67">
        <v>5</v>
      </c>
      <c r="B10" s="187" t="s">
        <v>401</v>
      </c>
      <c r="C10" s="185" t="str">
        <f>VLOOKUP($B$2,'Sector Impact'!$K$4:$AA$16,A10+1,FALSE)</f>
        <v>Low</v>
      </c>
      <c r="D10" s="185"/>
      <c r="E10" s="185"/>
      <c r="F10" s="197"/>
      <c r="G10" s="273"/>
      <c r="H10" s="186"/>
      <c r="I10" s="186"/>
      <c r="J10" s="188"/>
      <c r="K10" s="193" t="s">
        <v>402</v>
      </c>
      <c r="L10" s="195"/>
      <c r="M10" s="195"/>
      <c r="N10" s="195"/>
      <c r="O10" s="195"/>
      <c r="P10" s="195"/>
      <c r="Q10" s="196"/>
      <c r="S10"/>
      <c r="X10" s="1235">
        <v>643</v>
      </c>
      <c r="Y10" s="1235">
        <v>697</v>
      </c>
      <c r="Z10" s="1235">
        <v>491</v>
      </c>
      <c r="AA10" s="1235">
        <v>456</v>
      </c>
      <c r="AB10" s="1235">
        <v>840</v>
      </c>
    </row>
    <row r="11" spans="1:28" ht="13.8">
      <c r="B11" s="193" t="s">
        <v>403</v>
      </c>
      <c r="C11" s="190"/>
      <c r="D11" s="190"/>
      <c r="E11" s="199"/>
      <c r="F11" s="199"/>
      <c r="G11" s="200"/>
      <c r="H11" s="451"/>
      <c r="I11" s="451"/>
      <c r="J11" s="201"/>
      <c r="K11" s="187" t="s">
        <v>404</v>
      </c>
      <c r="L11" s="1271">
        <v>16400</v>
      </c>
      <c r="M11" s="1271">
        <v>16675</v>
      </c>
      <c r="N11" s="1272">
        <v>79020</v>
      </c>
      <c r="O11" s="1272">
        <v>33566</v>
      </c>
      <c r="P11" s="431"/>
      <c r="Q11" s="431"/>
      <c r="S11"/>
    </row>
    <row r="12" spans="1:28" ht="92.4">
      <c r="A12" s="67">
        <v>6</v>
      </c>
      <c r="B12" s="187" t="s">
        <v>405</v>
      </c>
      <c r="C12" s="185" t="str">
        <f>VLOOKUP($B$2,'Sector Impact'!$K$4:$AA$16,A12+1,FALSE)</f>
        <v>Low</v>
      </c>
      <c r="D12" s="185"/>
      <c r="E12" s="185"/>
      <c r="F12" s="197"/>
      <c r="G12" s="278"/>
      <c r="H12" s="1236" t="s">
        <v>406</v>
      </c>
      <c r="I12" s="186"/>
      <c r="J12" s="202"/>
      <c r="K12" s="187" t="s">
        <v>407</v>
      </c>
      <c r="L12" s="1273">
        <v>43536</v>
      </c>
      <c r="M12" s="1461">
        <v>108313</v>
      </c>
      <c r="N12" s="1462">
        <v>4267800</v>
      </c>
      <c r="O12" s="1463">
        <v>278591</v>
      </c>
      <c r="P12" s="1233"/>
      <c r="Q12" s="215"/>
      <c r="S12"/>
    </row>
    <row r="13" spans="1:28" ht="14.4">
      <c r="A13" s="67">
        <v>7</v>
      </c>
      <c r="B13" s="187" t="s">
        <v>408</v>
      </c>
      <c r="C13" s="185" t="str">
        <f>VLOOKUP($B$2,'Sector Impact'!$K$4:$AA$16,A13+1,FALSE)</f>
        <v>Low</v>
      </c>
      <c r="D13" s="185"/>
      <c r="E13" s="185"/>
      <c r="F13" s="203"/>
      <c r="G13" s="279"/>
      <c r="H13" s="186" t="s">
        <v>409</v>
      </c>
      <c r="I13" s="186" t="s">
        <v>409</v>
      </c>
      <c r="J13" s="204"/>
      <c r="K13" s="187" t="s">
        <v>410</v>
      </c>
      <c r="L13" s="1461">
        <v>75000</v>
      </c>
      <c r="M13" s="1273">
        <v>359901</v>
      </c>
      <c r="N13" s="1274">
        <v>60530000</v>
      </c>
      <c r="O13" s="1274">
        <v>2926120</v>
      </c>
      <c r="P13" s="215"/>
      <c r="Q13" s="215"/>
      <c r="S13"/>
    </row>
    <row r="14" spans="1:28" ht="14.4">
      <c r="A14" s="67">
        <v>8</v>
      </c>
      <c r="B14" s="205" t="s">
        <v>411</v>
      </c>
      <c r="C14" s="185" t="str">
        <f>VLOOKUP($B$2,'Sector Impact'!$K$4:$AA$16,A14+1,FALSE)</f>
        <v>Low</v>
      </c>
      <c r="D14" s="185"/>
      <c r="E14" s="185"/>
      <c r="F14" s="197"/>
      <c r="G14" s="463"/>
      <c r="H14" s="186" t="s">
        <v>409</v>
      </c>
      <c r="I14" s="186" t="s">
        <v>409</v>
      </c>
      <c r="J14" s="204"/>
      <c r="K14" s="187" t="s">
        <v>412</v>
      </c>
      <c r="L14" s="1273">
        <v>388800</v>
      </c>
      <c r="M14" s="1273">
        <v>1173240</v>
      </c>
      <c r="N14" s="1461">
        <v>41900000</v>
      </c>
      <c r="O14" s="1275">
        <v>3288650</v>
      </c>
      <c r="P14" s="215"/>
      <c r="Q14" s="215"/>
      <c r="S14"/>
    </row>
    <row r="15" spans="1:28">
      <c r="A15" s="67">
        <v>9</v>
      </c>
      <c r="B15" s="205" t="s">
        <v>413</v>
      </c>
      <c r="C15" s="185" t="str">
        <f>VLOOKUP($B$2,'Sector Impact'!$K$4:$AA$16,A15+1,FALSE)</f>
        <v>Low</v>
      </c>
      <c r="D15" s="185"/>
      <c r="E15" s="185"/>
      <c r="F15" s="197" t="s">
        <v>363</v>
      </c>
      <c r="G15" s="198"/>
      <c r="H15" s="452"/>
      <c r="I15" s="452"/>
      <c r="J15" s="204"/>
      <c r="K15" s="187" t="s">
        <v>414</v>
      </c>
      <c r="L15" s="1276">
        <v>456</v>
      </c>
      <c r="M15" s="1273">
        <v>2778</v>
      </c>
      <c r="N15" s="1275">
        <v>343500</v>
      </c>
      <c r="O15" s="1275">
        <v>3459</v>
      </c>
      <c r="P15" s="215"/>
      <c r="Q15" s="215"/>
      <c r="S15"/>
    </row>
    <row r="16" spans="1:28" ht="42" customHeight="1">
      <c r="A16" s="67">
        <v>10</v>
      </c>
      <c r="B16" s="187" t="s">
        <v>415</v>
      </c>
      <c r="C16" s="185" t="str">
        <f>VLOOKUP($B$2,'Sector Impact'!$K$4:$AA$16,A16+1,FALSE)</f>
        <v>High</v>
      </c>
      <c r="D16" s="185" t="s">
        <v>363</v>
      </c>
      <c r="E16" s="185" t="s">
        <v>416</v>
      </c>
      <c r="F16" s="197" t="s">
        <v>363</v>
      </c>
      <c r="G16" s="1237"/>
      <c r="H16" s="186" t="s">
        <v>417</v>
      </c>
      <c r="I16" s="453"/>
      <c r="J16" s="204"/>
      <c r="K16" s="193" t="s">
        <v>418</v>
      </c>
      <c r="L16" s="195"/>
      <c r="M16" s="195"/>
      <c r="N16" s="195"/>
      <c r="O16" s="195"/>
      <c r="P16" s="196"/>
      <c r="Q16" s="196"/>
      <c r="S16"/>
    </row>
    <row r="17" spans="1:17">
      <c r="A17" s="67">
        <v>11</v>
      </c>
      <c r="B17" s="187" t="s">
        <v>419</v>
      </c>
      <c r="C17" s="185" t="str">
        <f>VLOOKUP($B$2,'Sector Impact'!$K$4:$AA$16,A17+1,FALSE)</f>
        <v>Low</v>
      </c>
      <c r="D17" s="206"/>
      <c r="E17" s="206"/>
      <c r="F17" s="206"/>
      <c r="G17" s="273"/>
      <c r="H17" s="186" t="s">
        <v>409</v>
      </c>
      <c r="I17" s="186" t="s">
        <v>409</v>
      </c>
      <c r="J17" s="204"/>
      <c r="K17" s="187" t="s">
        <v>420</v>
      </c>
      <c r="L17" s="1277" t="s">
        <v>421</v>
      </c>
      <c r="M17" s="1278" t="s">
        <v>422</v>
      </c>
      <c r="N17" s="1278" t="s">
        <v>423</v>
      </c>
      <c r="O17" s="1278" t="s">
        <v>424</v>
      </c>
      <c r="P17" s="214"/>
      <c r="Q17" s="214"/>
    </row>
    <row r="18" spans="1:17">
      <c r="A18" s="67">
        <v>12</v>
      </c>
      <c r="B18" s="187" t="s">
        <v>425</v>
      </c>
      <c r="C18" s="185" t="str">
        <f>VLOOKUP($B$2,'Sector Impact'!$K$4:$AA$16,A18+1,FALSE)</f>
        <v>Low</v>
      </c>
      <c r="D18" s="185"/>
      <c r="E18" s="185"/>
      <c r="F18" s="197"/>
      <c r="G18" s="198"/>
      <c r="H18" s="452"/>
      <c r="I18" s="452"/>
      <c r="J18" s="207"/>
      <c r="K18" s="187" t="s">
        <v>426</v>
      </c>
      <c r="L18" s="1279" t="s">
        <v>427</v>
      </c>
      <c r="M18" s="1278" t="s">
        <v>428</v>
      </c>
      <c r="N18" s="1278" t="s">
        <v>429</v>
      </c>
      <c r="O18" s="1278" t="s">
        <v>430</v>
      </c>
      <c r="P18" s="214"/>
      <c r="Q18" s="214"/>
    </row>
    <row r="19" spans="1:17" ht="171.6">
      <c r="A19" s="67">
        <v>13</v>
      </c>
      <c r="B19" s="187" t="s">
        <v>431</v>
      </c>
      <c r="C19" s="185" t="str">
        <f>VLOOKUP($B$2,'Sector Impact'!$K$4:$AA$16,A19+1,FALSE)</f>
        <v>Low</v>
      </c>
      <c r="D19" s="185"/>
      <c r="E19" s="185"/>
      <c r="F19" s="197"/>
      <c r="G19" s="277"/>
      <c r="H19" s="186"/>
      <c r="I19" s="453" t="s">
        <v>432</v>
      </c>
      <c r="J19" s="204"/>
      <c r="K19" s="187" t="s">
        <v>433</v>
      </c>
      <c r="L19" s="1152" t="s">
        <v>434</v>
      </c>
      <c r="M19" s="1278" t="s">
        <v>435</v>
      </c>
      <c r="N19" s="1278" t="s">
        <v>434</v>
      </c>
      <c r="O19" s="1278" t="s">
        <v>434</v>
      </c>
      <c r="P19" s="215"/>
      <c r="Q19" s="215"/>
    </row>
    <row r="20" spans="1:17">
      <c r="A20" s="67">
        <v>14</v>
      </c>
      <c r="B20" s="187" t="s">
        <v>436</v>
      </c>
      <c r="C20" s="185" t="str">
        <f>VLOOKUP($B$2,'Sector Impact'!$K$4:$AA$16,A20+1,FALSE)</f>
        <v>Low</v>
      </c>
      <c r="D20" s="185"/>
      <c r="E20" s="185"/>
      <c r="F20" s="197"/>
      <c r="G20" s="198"/>
      <c r="H20" s="452"/>
      <c r="I20" s="452"/>
      <c r="J20" s="204"/>
      <c r="K20" s="187" t="s">
        <v>437</v>
      </c>
      <c r="L20" s="1277" t="s">
        <v>438</v>
      </c>
      <c r="M20" s="1277" t="s">
        <v>438</v>
      </c>
      <c r="N20" s="1278" t="s">
        <v>439</v>
      </c>
      <c r="O20" s="1278" t="s">
        <v>438</v>
      </c>
      <c r="P20" s="214"/>
      <c r="Q20" s="214"/>
    </row>
    <row r="21" spans="1:17">
      <c r="A21" s="67">
        <v>15</v>
      </c>
      <c r="B21" s="187" t="s">
        <v>440</v>
      </c>
      <c r="C21" s="185" t="str">
        <f>VLOOKUP($B$2,'Sector Impact'!$K$4:$AA$16,A21+1,FALSE)</f>
        <v>Medium</v>
      </c>
      <c r="D21" s="185" t="s">
        <v>366</v>
      </c>
      <c r="E21" s="185" t="s">
        <v>381</v>
      </c>
      <c r="F21" s="197" t="s">
        <v>366</v>
      </c>
      <c r="G21" s="273"/>
      <c r="H21" s="186" t="s">
        <v>409</v>
      </c>
      <c r="I21" s="453" t="s">
        <v>409</v>
      </c>
      <c r="J21" s="204"/>
    </row>
    <row r="22" spans="1:17" ht="26.4">
      <c r="A22" s="67">
        <v>16</v>
      </c>
      <c r="B22" s="187" t="s">
        <v>441</v>
      </c>
      <c r="C22" s="189" t="str">
        <f>VLOOKUP($B$2,'Sector Impact'!$K$4:$AA$16,A22+1,FALSE)</f>
        <v>Very High</v>
      </c>
      <c r="D22" s="185" t="s">
        <v>366</v>
      </c>
      <c r="E22" s="185" t="s">
        <v>381</v>
      </c>
      <c r="F22" s="197" t="s">
        <v>366</v>
      </c>
      <c r="G22" s="273"/>
      <c r="H22" s="186" t="s">
        <v>409</v>
      </c>
      <c r="I22" s="453" t="s">
        <v>409</v>
      </c>
      <c r="J22" s="204" t="s">
        <v>442</v>
      </c>
    </row>
    <row r="23" spans="1:17" ht="13.8">
      <c r="B23" s="193" t="s">
        <v>443</v>
      </c>
      <c r="C23" s="208"/>
      <c r="D23" s="190"/>
      <c r="E23" s="199"/>
      <c r="F23" s="199"/>
      <c r="G23" s="200"/>
      <c r="H23" s="451"/>
      <c r="I23" s="451"/>
      <c r="J23" s="201"/>
      <c r="K23" s="1840" t="s">
        <v>444</v>
      </c>
      <c r="L23" s="1841"/>
      <c r="M23" s="1842"/>
    </row>
    <row r="24" spans="1:17" ht="39.6">
      <c r="A24" s="67">
        <v>17</v>
      </c>
      <c r="B24" s="187" t="s">
        <v>445</v>
      </c>
      <c r="C24" s="209"/>
      <c r="D24" s="210"/>
      <c r="E24" s="203" t="s">
        <v>446</v>
      </c>
      <c r="F24" s="203" t="s">
        <v>366</v>
      </c>
      <c r="G24" s="1238" t="s">
        <v>447</v>
      </c>
      <c r="H24" s="186"/>
      <c r="I24" s="453"/>
      <c r="J24" s="1236" t="s">
        <v>448</v>
      </c>
      <c r="K24" s="236" t="s">
        <v>449</v>
      </c>
      <c r="L24" s="68" t="s">
        <v>450</v>
      </c>
      <c r="M24" s="69" t="s">
        <v>451</v>
      </c>
      <c r="O24" s="533" t="s">
        <v>242</v>
      </c>
    </row>
    <row r="25" spans="1:17" ht="15.75" customHeight="1">
      <c r="A25" s="67">
        <v>18</v>
      </c>
      <c r="B25" s="187" t="s">
        <v>452</v>
      </c>
      <c r="C25" s="209"/>
      <c r="D25" s="210"/>
      <c r="E25" s="203"/>
      <c r="F25" s="203" t="s">
        <v>366</v>
      </c>
      <c r="G25" s="1239" t="s">
        <v>447</v>
      </c>
      <c r="H25" s="1236" t="s">
        <v>409</v>
      </c>
      <c r="I25" s="1242" t="s">
        <v>409</v>
      </c>
      <c r="J25" s="1243" t="s">
        <v>447</v>
      </c>
      <c r="K25" s="176" t="s">
        <v>453</v>
      </c>
      <c r="L25" s="177" t="s">
        <v>416</v>
      </c>
      <c r="M25" s="1843" t="s">
        <v>454</v>
      </c>
      <c r="O25" s="534"/>
    </row>
    <row r="26" spans="1:17" ht="15.75" customHeight="1">
      <c r="A26" s="67">
        <v>19</v>
      </c>
      <c r="B26" s="187" t="s">
        <v>455</v>
      </c>
      <c r="C26" s="209"/>
      <c r="D26" s="210"/>
      <c r="E26" s="203" t="s">
        <v>416</v>
      </c>
      <c r="F26" s="203" t="s">
        <v>366</v>
      </c>
      <c r="G26" s="1246" t="s">
        <v>447</v>
      </c>
      <c r="H26" s="1243" t="s">
        <v>409</v>
      </c>
      <c r="I26" s="1244" t="s">
        <v>409</v>
      </c>
      <c r="J26" s="1245" t="s">
        <v>456</v>
      </c>
      <c r="K26" s="176" t="s">
        <v>457</v>
      </c>
      <c r="L26" s="177" t="s">
        <v>381</v>
      </c>
      <c r="M26" s="1844"/>
      <c r="O26" s="535"/>
    </row>
    <row r="27" spans="1:17">
      <c r="A27" s="67">
        <v>20</v>
      </c>
      <c r="B27" s="187" t="s">
        <v>458</v>
      </c>
      <c r="C27" s="209"/>
      <c r="D27" s="210"/>
      <c r="E27" s="203" t="s">
        <v>416</v>
      </c>
      <c r="F27" s="203" t="s">
        <v>366</v>
      </c>
      <c r="G27" s="1240" t="s">
        <v>447</v>
      </c>
      <c r="H27" s="1243" t="s">
        <v>409</v>
      </c>
      <c r="I27" s="1244" t="s">
        <v>409</v>
      </c>
      <c r="J27" s="1245" t="s">
        <v>447</v>
      </c>
      <c r="K27" s="178" t="s">
        <v>459</v>
      </c>
      <c r="L27" s="179" t="s">
        <v>457</v>
      </c>
      <c r="M27" s="1844"/>
      <c r="O27" s="536"/>
    </row>
    <row r="28" spans="1:17" ht="39.6">
      <c r="A28" s="67">
        <v>21</v>
      </c>
      <c r="B28" s="187" t="s">
        <v>460</v>
      </c>
      <c r="C28" s="209"/>
      <c r="D28" s="210"/>
      <c r="E28" s="203" t="s">
        <v>446</v>
      </c>
      <c r="F28" s="203" t="s">
        <v>366</v>
      </c>
      <c r="G28" s="1241" t="s">
        <v>447</v>
      </c>
      <c r="H28" s="1243" t="s">
        <v>409</v>
      </c>
      <c r="I28" s="1244" t="s">
        <v>409</v>
      </c>
      <c r="J28" s="1243" t="s">
        <v>461</v>
      </c>
      <c r="K28" s="180" t="s">
        <v>462</v>
      </c>
      <c r="L28" s="181" t="s">
        <v>446</v>
      </c>
      <c r="M28" s="1845"/>
    </row>
    <row r="29" spans="1:17">
      <c r="A29" s="67">
        <v>22</v>
      </c>
      <c r="B29" s="187" t="s">
        <v>463</v>
      </c>
      <c r="C29" s="209"/>
      <c r="D29" s="210"/>
      <c r="E29" s="203" t="s">
        <v>457</v>
      </c>
      <c r="F29" s="203" t="s">
        <v>366</v>
      </c>
      <c r="G29" s="1240" t="s">
        <v>447</v>
      </c>
      <c r="H29" s="1243" t="s">
        <v>409</v>
      </c>
      <c r="I29" s="1244" t="s">
        <v>409</v>
      </c>
      <c r="J29" s="1243" t="s">
        <v>464</v>
      </c>
    </row>
    <row r="30" spans="1:17" ht="26.25" customHeight="1">
      <c r="A30" s="67">
        <v>23</v>
      </c>
      <c r="B30" s="187" t="s">
        <v>465</v>
      </c>
      <c r="C30" s="209"/>
      <c r="D30" s="210"/>
      <c r="E30" s="203" t="s">
        <v>446</v>
      </c>
      <c r="F30" s="203" t="s">
        <v>366</v>
      </c>
      <c r="G30" s="1241" t="s">
        <v>447</v>
      </c>
      <c r="H30" s="1243" t="s">
        <v>409</v>
      </c>
      <c r="I30" s="1244" t="s">
        <v>409</v>
      </c>
      <c r="J30" s="1245" t="s">
        <v>466</v>
      </c>
    </row>
    <row r="31" spans="1:17" ht="20.25" customHeight="1">
      <c r="A31" s="67">
        <v>24</v>
      </c>
      <c r="B31" s="211" t="s">
        <v>467</v>
      </c>
      <c r="C31" s="209"/>
      <c r="D31" s="210"/>
      <c r="E31" s="203" t="s">
        <v>416</v>
      </c>
      <c r="F31" s="203" t="s">
        <v>366</v>
      </c>
      <c r="G31" s="1240" t="s">
        <v>447</v>
      </c>
      <c r="H31" s="1243" t="s">
        <v>409</v>
      </c>
      <c r="I31" s="1244" t="s">
        <v>409</v>
      </c>
      <c r="J31" s="1243"/>
      <c r="L31" s="528"/>
    </row>
    <row r="32" spans="1:17" ht="13.5" customHeight="1">
      <c r="A32" s="67">
        <v>25</v>
      </c>
      <c r="B32" s="187" t="s">
        <v>468</v>
      </c>
      <c r="C32" s="209"/>
      <c r="D32" s="203" t="s">
        <v>363</v>
      </c>
      <c r="E32" s="203" t="s">
        <v>457</v>
      </c>
      <c r="F32" s="203" t="s">
        <v>366</v>
      </c>
      <c r="G32" s="273"/>
      <c r="H32" s="1243" t="s">
        <v>409</v>
      </c>
      <c r="I32" s="1244" t="s">
        <v>409</v>
      </c>
      <c r="J32" s="1243" t="s">
        <v>469</v>
      </c>
      <c r="L32" s="529"/>
    </row>
    <row r="33" spans="1:14" ht="13.5" customHeight="1">
      <c r="A33" s="67">
        <v>26</v>
      </c>
      <c r="B33" s="187" t="s">
        <v>470</v>
      </c>
      <c r="C33" s="209"/>
      <c r="D33" s="203" t="s">
        <v>366</v>
      </c>
      <c r="E33" s="203" t="s">
        <v>446</v>
      </c>
      <c r="F33" s="203" t="s">
        <v>366</v>
      </c>
      <c r="G33" s="276"/>
      <c r="H33" s="1243" t="s">
        <v>409</v>
      </c>
      <c r="I33" s="1244" t="s">
        <v>409</v>
      </c>
      <c r="J33" s="1243" t="s">
        <v>447</v>
      </c>
      <c r="L33" s="274"/>
      <c r="N33" s="274"/>
    </row>
    <row r="34" spans="1:14" ht="13.5" customHeight="1">
      <c r="A34" s="67">
        <v>27</v>
      </c>
      <c r="B34" s="187" t="s">
        <v>471</v>
      </c>
      <c r="C34" s="209"/>
      <c r="D34" s="212" t="s">
        <v>363</v>
      </c>
      <c r="E34" s="203" t="s">
        <v>381</v>
      </c>
      <c r="F34" s="203" t="s">
        <v>363</v>
      </c>
      <c r="G34" s="277"/>
      <c r="H34" s="1243" t="s">
        <v>409</v>
      </c>
      <c r="I34" s="1244" t="s">
        <v>409</v>
      </c>
      <c r="J34" s="1243" t="s">
        <v>447</v>
      </c>
      <c r="L34" s="275"/>
      <c r="N34" s="275"/>
    </row>
    <row r="54" spans="14:19">
      <c r="N54" s="1839"/>
      <c r="O54" s="1839"/>
      <c r="P54" s="1839"/>
      <c r="Q54" s="1839"/>
      <c r="R54" s="1839"/>
      <c r="S54" s="1839"/>
    </row>
    <row r="66" spans="14:19">
      <c r="N66" s="1836"/>
      <c r="O66" s="1836"/>
      <c r="P66" s="1836"/>
      <c r="Q66" s="1836"/>
      <c r="R66" s="1836"/>
      <c r="S66" s="1836"/>
    </row>
    <row r="67" spans="14:19">
      <c r="N67" s="456"/>
      <c r="O67" s="456"/>
      <c r="P67" s="456"/>
      <c r="Q67" s="456"/>
      <c r="R67" s="456"/>
      <c r="S67" s="456"/>
    </row>
    <row r="68" spans="14:19">
      <c r="N68" s="456"/>
      <c r="O68" s="456"/>
      <c r="P68" s="456"/>
      <c r="Q68" s="456"/>
      <c r="R68" s="456"/>
      <c r="S68" s="456"/>
    </row>
    <row r="69" spans="14:19">
      <c r="N69" s="456"/>
      <c r="O69" s="456"/>
      <c r="P69" s="456"/>
      <c r="Q69" s="456"/>
      <c r="R69" s="456"/>
      <c r="S69" s="456"/>
    </row>
    <row r="70" spans="14:19">
      <c r="N70" s="456"/>
      <c r="O70" s="456"/>
      <c r="P70" s="456"/>
      <c r="Q70" s="456"/>
      <c r="R70" s="456"/>
      <c r="S70" s="456"/>
    </row>
    <row r="71" spans="14:19">
      <c r="N71" s="456"/>
      <c r="O71" s="456"/>
      <c r="P71" s="456"/>
      <c r="Q71" s="456"/>
      <c r="R71" s="456"/>
      <c r="S71" s="456"/>
    </row>
    <row r="72" spans="14:19">
      <c r="N72" s="456"/>
      <c r="O72" s="456"/>
      <c r="P72" s="456"/>
      <c r="Q72" s="456"/>
      <c r="R72" s="456"/>
      <c r="S72" s="456"/>
    </row>
    <row r="73" spans="14:19">
      <c r="N73" s="456"/>
      <c r="O73" s="456"/>
      <c r="P73" s="456"/>
      <c r="Q73" s="456"/>
      <c r="R73" s="456"/>
      <c r="S73" s="456"/>
    </row>
    <row r="74" spans="14:19">
      <c r="N74" s="457"/>
      <c r="O74" s="456"/>
      <c r="P74" s="456"/>
      <c r="Q74" s="456"/>
      <c r="R74" s="456"/>
      <c r="S74" s="456"/>
    </row>
    <row r="75" spans="14:19">
      <c r="N75" s="457"/>
      <c r="O75" s="456"/>
      <c r="P75" s="456"/>
      <c r="Q75" s="456"/>
      <c r="R75" s="456"/>
      <c r="S75" s="456"/>
    </row>
    <row r="76" spans="14:19">
      <c r="N76" s="457"/>
      <c r="O76" s="456"/>
      <c r="P76" s="456"/>
      <c r="Q76" s="456"/>
      <c r="R76" s="456"/>
      <c r="S76" s="456"/>
    </row>
    <row r="77" spans="14:19">
      <c r="N77" s="456"/>
      <c r="O77" s="456"/>
      <c r="P77" s="456"/>
      <c r="Q77" s="456"/>
      <c r="R77" s="456"/>
      <c r="S77" s="456"/>
    </row>
    <row r="78" spans="14:19">
      <c r="N78" s="1836"/>
      <c r="O78" s="1836"/>
      <c r="P78" s="1836"/>
      <c r="Q78" s="1836"/>
      <c r="R78" s="1836"/>
      <c r="S78" s="1836"/>
    </row>
    <row r="90" spans="14:19">
      <c r="N90" s="1836"/>
      <c r="O90" s="1836"/>
      <c r="P90" s="1836"/>
      <c r="Q90" s="1836"/>
      <c r="R90" s="1836"/>
      <c r="S90" s="1836"/>
    </row>
  </sheetData>
  <mergeCells count="8">
    <mergeCell ref="N90:S90"/>
    <mergeCell ref="B3:J3"/>
    <mergeCell ref="K3:Q3"/>
    <mergeCell ref="N54:S54"/>
    <mergeCell ref="N66:S66"/>
    <mergeCell ref="N78:S78"/>
    <mergeCell ref="K23:M23"/>
    <mergeCell ref="M25:M28"/>
  </mergeCells>
  <conditionalFormatting sqref="C10:G10">
    <cfRule type="expression" dxfId="33" priority="19">
      <formula>$C$10="Low"</formula>
    </cfRule>
  </conditionalFormatting>
  <conditionalFormatting sqref="D6:F6 H6:J6">
    <cfRule type="expression" dxfId="32" priority="36">
      <formula>$C$6="Low"</formula>
    </cfRule>
  </conditionalFormatting>
  <conditionalFormatting sqref="D7:G7 J7">
    <cfRule type="expression" dxfId="31" priority="35">
      <formula>$C$7="Low"</formula>
    </cfRule>
  </conditionalFormatting>
  <conditionalFormatting sqref="D8:G8 J8">
    <cfRule type="expression" dxfId="30" priority="34">
      <formula>$C$8="Low"</formula>
    </cfRule>
  </conditionalFormatting>
  <conditionalFormatting sqref="D9:G9 J9:J10">
    <cfRule type="expression" dxfId="29" priority="33">
      <formula>$C$9="Low"</formula>
    </cfRule>
  </conditionalFormatting>
  <conditionalFormatting sqref="D12:G12 J12">
    <cfRule type="expression" dxfId="28" priority="31">
      <formula>$C$12="Low"</formula>
    </cfRule>
  </conditionalFormatting>
  <conditionalFormatting sqref="D13:G13 J13">
    <cfRule type="expression" dxfId="27" priority="30">
      <formula>$C$13="Low"</formula>
    </cfRule>
  </conditionalFormatting>
  <conditionalFormatting sqref="D14:G14 J14">
    <cfRule type="expression" dxfId="26" priority="29">
      <formula>$C$14="Low"</formula>
    </cfRule>
  </conditionalFormatting>
  <conditionalFormatting sqref="D16:G16 I16:J16">
    <cfRule type="expression" dxfId="25" priority="27">
      <formula>$C$16="Low"</formula>
    </cfRule>
  </conditionalFormatting>
  <conditionalFormatting sqref="D17:G17 J17">
    <cfRule type="expression" dxfId="24" priority="26">
      <formula>$C$17="Low"</formula>
    </cfRule>
  </conditionalFormatting>
  <conditionalFormatting sqref="D19:G19 J20">
    <cfRule type="expression" dxfId="23" priority="24">
      <formula>$C$19="Low"</formula>
    </cfRule>
  </conditionalFormatting>
  <conditionalFormatting sqref="D21:G21 J21:J22">
    <cfRule type="expression" dxfId="22" priority="22">
      <formula>$C$21="Low"</formula>
    </cfRule>
  </conditionalFormatting>
  <conditionalFormatting sqref="D22:G22">
    <cfRule type="expression" dxfId="21" priority="21">
      <formula>$C$22="Low"</formula>
    </cfRule>
  </conditionalFormatting>
  <conditionalFormatting sqref="D15:J15">
    <cfRule type="expression" dxfId="20" priority="28">
      <formula>$C$15="Low"</formula>
    </cfRule>
  </conditionalFormatting>
  <conditionalFormatting sqref="D18:J18">
    <cfRule type="expression" dxfId="19" priority="25">
      <formula>$C$18="Low"</formula>
    </cfRule>
  </conditionalFormatting>
  <conditionalFormatting sqref="D20:J20">
    <cfRule type="expression" dxfId="18" priority="23">
      <formula>$C$20="Low"</formula>
    </cfRule>
  </conditionalFormatting>
  <conditionalFormatting sqref="G6">
    <cfRule type="expression" dxfId="17" priority="17">
      <formula>$C$7="Low"</formula>
    </cfRule>
  </conditionalFormatting>
  <conditionalFormatting sqref="H16">
    <cfRule type="expression" dxfId="16" priority="6">
      <formula>$C$6="Low"</formula>
    </cfRule>
  </conditionalFormatting>
  <conditionalFormatting sqref="H19">
    <cfRule type="expression" dxfId="15" priority="5">
      <formula>$C$6="Low"</formula>
    </cfRule>
  </conditionalFormatting>
  <conditionalFormatting sqref="H21:H22">
    <cfRule type="expression" dxfId="14" priority="4">
      <formula>$C$6="Low"</formula>
    </cfRule>
  </conditionalFormatting>
  <conditionalFormatting sqref="H24">
    <cfRule type="expression" dxfId="13" priority="3">
      <formula>$C$6="Low"</formula>
    </cfRule>
  </conditionalFormatting>
  <conditionalFormatting sqref="H7:I10">
    <cfRule type="expression" dxfId="12" priority="14">
      <formula>$C$6="Low"</formula>
    </cfRule>
  </conditionalFormatting>
  <conditionalFormatting sqref="H17:I17">
    <cfRule type="expression" dxfId="11" priority="1">
      <formula>$C$6="Low"</formula>
    </cfRule>
  </conditionalFormatting>
  <conditionalFormatting sqref="I12:I13 H13:I14">
    <cfRule type="expression" dxfId="10" priority="7">
      <formula>$C$6="Low"</formula>
    </cfRule>
  </conditionalFormatting>
  <conditionalFormatting sqref="I19">
    <cfRule type="expression" dxfId="9" priority="10">
      <formula>$C$16="Low"</formula>
    </cfRule>
  </conditionalFormatting>
  <conditionalFormatting sqref="I21:I22">
    <cfRule type="expression" dxfId="8" priority="9">
      <formula>$C$16="Low"</formula>
    </cfRule>
  </conditionalFormatting>
  <conditionalFormatting sqref="I24">
    <cfRule type="expression" dxfId="7" priority="8">
      <formula>$C$16="Low"</formula>
    </cfRule>
  </conditionalFormatting>
  <conditionalFormatting sqref="J19">
    <cfRule type="expression" dxfId="6" priority="2">
      <formula>$C$17="Low"</formula>
    </cfRule>
  </conditionalFormatting>
  <dataValidations count="3">
    <dataValidation type="list" allowBlank="1" showInputMessage="1" showErrorMessage="1" sqref="D6:D22 D32:D34 F24:F34 F6:F10 F12:F22 C11"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AA73B-8505-414D-A08E-FC90F5E049BD}">
  <dimension ref="A1:W19"/>
  <sheetViews>
    <sheetView showGridLines="0" workbookViewId="0">
      <selection activeCell="B4" sqref="B4"/>
    </sheetView>
  </sheetViews>
  <sheetFormatPr defaultRowHeight="13.2"/>
  <cols>
    <col min="2" max="2" width="28" customWidth="1"/>
    <col min="3" max="3" width="14.6640625" customWidth="1"/>
    <col min="4" max="4" width="16.6640625" customWidth="1"/>
    <col min="5" max="5" width="12.44140625" customWidth="1"/>
    <col min="6" max="6" width="11.5546875" customWidth="1"/>
    <col min="7" max="7" width="13.44140625" customWidth="1"/>
    <col min="8" max="9" width="17" customWidth="1"/>
    <col min="10" max="10" width="13.33203125" customWidth="1"/>
    <col min="12" max="12" width="33.33203125" bestFit="1" customWidth="1"/>
    <col min="15" max="15" width="11.109375" customWidth="1"/>
    <col min="16" max="16" width="11" bestFit="1" customWidth="1"/>
    <col min="17" max="18" width="11.5546875" bestFit="1" customWidth="1"/>
    <col min="19" max="19" width="13.33203125" bestFit="1" customWidth="1"/>
    <col min="20" max="21" width="11.5546875" bestFit="1" customWidth="1"/>
    <col min="22" max="22" width="14.88671875" customWidth="1"/>
    <col min="23" max="23" width="15.33203125" customWidth="1"/>
  </cols>
  <sheetData>
    <row r="1" spans="1:23">
      <c r="L1" s="1464" t="s">
        <v>472</v>
      </c>
    </row>
    <row r="2" spans="1:23" ht="12.75" customHeight="1">
      <c r="A2" s="1465"/>
      <c r="B2" s="1465"/>
      <c r="C2" s="1465"/>
      <c r="D2" s="1465"/>
      <c r="L2" s="1010" t="s">
        <v>473</v>
      </c>
      <c r="M2" s="1010"/>
      <c r="N2" s="1010"/>
      <c r="O2" s="1010"/>
      <c r="P2" s="1846" t="s">
        <v>312</v>
      </c>
      <c r="Q2" s="1847"/>
      <c r="R2" s="1846" t="s">
        <v>474</v>
      </c>
      <c r="S2" s="1847"/>
      <c r="T2" s="1846" t="s">
        <v>319</v>
      </c>
      <c r="U2" s="1847"/>
      <c r="V2" s="1846" t="s">
        <v>306</v>
      </c>
      <c r="W2" s="1847"/>
    </row>
    <row r="3" spans="1:23" ht="15.6">
      <c r="A3" s="1465"/>
      <c r="B3" s="1465"/>
      <c r="C3" s="1465"/>
      <c r="D3" s="1465"/>
      <c r="L3" s="1010"/>
      <c r="M3" s="1010"/>
      <c r="N3" s="1010"/>
      <c r="O3" s="1010"/>
      <c r="P3" s="1133">
        <v>2022</v>
      </c>
      <c r="Q3" s="1133">
        <v>2023</v>
      </c>
      <c r="R3" s="1133">
        <v>2022</v>
      </c>
      <c r="S3" s="1133">
        <v>2023</v>
      </c>
      <c r="T3" s="1133">
        <v>2022</v>
      </c>
      <c r="U3" s="1133">
        <v>2023</v>
      </c>
      <c r="V3" s="1133">
        <v>2022</v>
      </c>
      <c r="W3" s="1133">
        <v>2023</v>
      </c>
    </row>
    <row r="4" spans="1:23" ht="15.6">
      <c r="L4" s="1010" t="s">
        <v>475</v>
      </c>
      <c r="M4" s="1010"/>
      <c r="N4" s="1010"/>
      <c r="O4" s="1010"/>
      <c r="P4" s="1134">
        <v>45657</v>
      </c>
      <c r="Q4" s="1134">
        <v>45657</v>
      </c>
      <c r="R4" s="1134">
        <v>45322</v>
      </c>
      <c r="S4" s="1134">
        <v>45322</v>
      </c>
      <c r="T4" s="1134">
        <v>45565</v>
      </c>
      <c r="U4" s="1134">
        <v>45565</v>
      </c>
      <c r="V4" s="1134">
        <v>45565</v>
      </c>
      <c r="W4" s="1134">
        <v>45565</v>
      </c>
    </row>
    <row r="5" spans="1:23" ht="12.75" customHeight="1">
      <c r="B5" s="1848" t="s">
        <v>476</v>
      </c>
      <c r="C5" s="1850" t="s">
        <v>312</v>
      </c>
      <c r="D5" s="1850"/>
      <c r="E5" s="1850" t="s">
        <v>474</v>
      </c>
      <c r="F5" s="1850"/>
      <c r="G5" s="1850" t="s">
        <v>319</v>
      </c>
      <c r="H5" s="1850"/>
      <c r="I5" s="1850" t="s">
        <v>306</v>
      </c>
      <c r="J5" s="1850"/>
      <c r="L5" s="1010"/>
      <c r="M5" s="1010"/>
      <c r="N5" s="1010"/>
      <c r="O5" s="1010"/>
      <c r="P5" s="1135"/>
      <c r="Q5" s="1135"/>
      <c r="R5" s="1135"/>
      <c r="S5" s="1135"/>
      <c r="T5" s="1135"/>
      <c r="U5" s="1135"/>
      <c r="V5" s="1135"/>
      <c r="W5" s="1135"/>
    </row>
    <row r="6" spans="1:23" ht="12.75" customHeight="1">
      <c r="A6" s="1010"/>
      <c r="B6" s="1849"/>
      <c r="C6" s="1466">
        <v>2022</v>
      </c>
      <c r="D6" s="1466">
        <v>2023</v>
      </c>
      <c r="E6" s="1466">
        <v>2022</v>
      </c>
      <c r="F6" s="1466">
        <v>2023</v>
      </c>
      <c r="G6" s="1466">
        <v>2022</v>
      </c>
      <c r="H6" s="1466">
        <v>2023</v>
      </c>
      <c r="I6" s="1466">
        <v>2022</v>
      </c>
      <c r="J6" s="1466">
        <v>2023</v>
      </c>
      <c r="L6" s="1010" t="s">
        <v>477</v>
      </c>
      <c r="M6" s="1010"/>
      <c r="N6" s="1010"/>
      <c r="O6" s="1010"/>
      <c r="P6" s="1133">
        <v>28.56</v>
      </c>
      <c r="Q6" s="1133">
        <v>48.31</v>
      </c>
      <c r="R6" s="1133">
        <v>221.62</v>
      </c>
      <c r="S6" s="1133">
        <v>700.96</v>
      </c>
      <c r="T6" s="1133">
        <v>116.42</v>
      </c>
      <c r="U6" s="1133">
        <v>110.53</v>
      </c>
      <c r="V6" s="1133">
        <v>85.91</v>
      </c>
      <c r="W6" s="1133">
        <v>170.94</v>
      </c>
    </row>
    <row r="7" spans="1:23" ht="15.6">
      <c r="A7" s="1010"/>
      <c r="B7" s="1123" t="s">
        <v>478</v>
      </c>
      <c r="C7" s="1131">
        <v>15433</v>
      </c>
      <c r="D7" s="1132">
        <v>11471</v>
      </c>
      <c r="E7" s="1132">
        <v>5641</v>
      </c>
      <c r="F7" s="1132">
        <v>28090</v>
      </c>
      <c r="G7" s="1132">
        <v>9096</v>
      </c>
      <c r="H7" s="1132">
        <v>11299</v>
      </c>
      <c r="I7" s="1132">
        <v>3565</v>
      </c>
      <c r="J7" s="1132">
        <v>1667</v>
      </c>
      <c r="L7" s="1010" t="s">
        <v>479</v>
      </c>
      <c r="M7" s="1010"/>
      <c r="N7" s="1010"/>
      <c r="O7" s="1010"/>
      <c r="P7" s="1467">
        <v>4456</v>
      </c>
      <c r="Q7" s="1467">
        <v>4579</v>
      </c>
      <c r="R7" s="1467">
        <v>2860</v>
      </c>
      <c r="S7" s="1467">
        <v>2887</v>
      </c>
      <c r="T7" s="1467">
        <v>1186</v>
      </c>
      <c r="U7" s="1467">
        <v>1220</v>
      </c>
      <c r="V7" s="1467">
        <v>1611388.2169999999</v>
      </c>
      <c r="W7" s="1467">
        <v>1615786.841</v>
      </c>
    </row>
    <row r="8" spans="1:23" ht="15.6">
      <c r="A8" s="1010"/>
      <c r="B8" s="1123" t="s">
        <v>480</v>
      </c>
      <c r="C8" s="1131">
        <v>25050</v>
      </c>
      <c r="D8" s="1132">
        <v>25750</v>
      </c>
      <c r="E8" s="1132">
        <v>1833</v>
      </c>
      <c r="F8" s="1132">
        <v>1069</v>
      </c>
      <c r="G8" s="1132">
        <v>2262</v>
      </c>
      <c r="H8" s="1132">
        <v>1450</v>
      </c>
      <c r="I8" s="1132">
        <v>-450</v>
      </c>
      <c r="J8" s="1132">
        <v>-546</v>
      </c>
      <c r="L8" s="1010"/>
      <c r="M8" s="1011" t="s">
        <v>481</v>
      </c>
      <c r="N8" s="1010"/>
      <c r="O8" s="1010"/>
      <c r="P8" s="1136">
        <v>4137</v>
      </c>
      <c r="Q8" s="1136">
        <v>4228</v>
      </c>
      <c r="R8" s="1136">
        <v>2470</v>
      </c>
      <c r="S8" s="1136">
        <v>2500</v>
      </c>
      <c r="T8" s="1136">
        <v>1121</v>
      </c>
      <c r="U8" s="1136">
        <v>1113</v>
      </c>
      <c r="V8" s="1136"/>
      <c r="W8" s="1136"/>
    </row>
    <row r="9" spans="1:23" ht="15.6">
      <c r="A9" s="1010"/>
      <c r="B9" s="1125" t="s">
        <v>482</v>
      </c>
      <c r="C9" s="1129">
        <v>159989</v>
      </c>
      <c r="D9" s="1130">
        <v>267785</v>
      </c>
      <c r="E9" s="1130">
        <v>642475</v>
      </c>
      <c r="F9" s="1130">
        <v>2027448</v>
      </c>
      <c r="G9" s="1130">
        <v>150783</v>
      </c>
      <c r="H9" s="1130">
        <v>141795</v>
      </c>
      <c r="I9" s="1130">
        <v>138432.68072246999</v>
      </c>
      <c r="J9" s="1130">
        <v>276200.63060054003</v>
      </c>
      <c r="L9" s="1010"/>
      <c r="M9" s="1011" t="s">
        <v>483</v>
      </c>
      <c r="N9" s="1010"/>
      <c r="O9" s="1010"/>
      <c r="P9" s="1137">
        <v>119</v>
      </c>
      <c r="Q9" s="1137">
        <v>194</v>
      </c>
      <c r="R9" s="1137">
        <v>160</v>
      </c>
      <c r="S9" s="1137">
        <v>160</v>
      </c>
      <c r="T9" s="1137">
        <v>43</v>
      </c>
      <c r="U9" s="1137">
        <v>88</v>
      </c>
      <c r="V9" s="1137"/>
      <c r="W9" s="1137"/>
    </row>
    <row r="10" spans="1:23" ht="15.6">
      <c r="A10" s="1010"/>
      <c r="B10" s="1124" t="s">
        <v>484</v>
      </c>
      <c r="C10" s="1127">
        <v>-9617</v>
      </c>
      <c r="D10" s="1128">
        <v>-14279</v>
      </c>
      <c r="E10" s="1128">
        <v>3808</v>
      </c>
      <c r="F10" s="1128">
        <v>27021</v>
      </c>
      <c r="G10" s="1128">
        <v>6834</v>
      </c>
      <c r="H10" s="1128">
        <v>9849</v>
      </c>
      <c r="I10" s="1128">
        <f>I7+I8</f>
        <v>3115</v>
      </c>
      <c r="J10" s="1128">
        <f>J7+J8</f>
        <v>1121</v>
      </c>
      <c r="L10" s="1010"/>
      <c r="M10" s="1011" t="s">
        <v>485</v>
      </c>
      <c r="N10" s="1010"/>
      <c r="O10" s="1010"/>
      <c r="P10" s="1137">
        <v>200</v>
      </c>
      <c r="Q10" s="1137">
        <v>157</v>
      </c>
      <c r="R10" s="1137">
        <v>230</v>
      </c>
      <c r="S10" s="1137">
        <v>227</v>
      </c>
      <c r="T10" s="1137">
        <v>22</v>
      </c>
      <c r="U10" s="1137">
        <v>19</v>
      </c>
      <c r="V10" s="1137"/>
      <c r="W10" s="1137"/>
    </row>
    <row r="11" spans="1:23" ht="15.6">
      <c r="A11" s="1010"/>
      <c r="B11" s="1124" t="s">
        <v>486</v>
      </c>
      <c r="C11" s="1126">
        <v>-16.64</v>
      </c>
      <c r="D11" s="1126">
        <v>-18.75</v>
      </c>
      <c r="E11" s="1126">
        <v>168.72</v>
      </c>
      <c r="F11" s="1126">
        <v>75.03</v>
      </c>
      <c r="G11" s="1126">
        <v>22.06</v>
      </c>
      <c r="H11" s="1126">
        <v>14.4</v>
      </c>
      <c r="I11" s="1226">
        <f>I9/I10</f>
        <v>44.440667968690207</v>
      </c>
      <c r="J11" s="1226">
        <f>J9/J10</f>
        <v>246.38771686042821</v>
      </c>
      <c r="L11" s="1120" t="s">
        <v>487</v>
      </c>
      <c r="M11" s="1010"/>
      <c r="N11" s="1010"/>
      <c r="O11" s="1010"/>
      <c r="P11" s="1468">
        <v>127263.36</v>
      </c>
      <c r="Q11" s="1468">
        <v>221211.49</v>
      </c>
      <c r="R11" s="1468">
        <v>633833.19999999995</v>
      </c>
      <c r="S11" s="1468">
        <v>2023671.52</v>
      </c>
      <c r="T11" s="1468">
        <v>138074.12</v>
      </c>
      <c r="U11" s="1468">
        <v>134846.6</v>
      </c>
      <c r="V11" s="1468">
        <f>V7*V6</f>
        <v>138434361.72246999</v>
      </c>
      <c r="W11" s="1467">
        <f>W6*W7</f>
        <v>276202602.60053998</v>
      </c>
    </row>
    <row r="12" spans="1:23" ht="15.6">
      <c r="A12" s="1011"/>
      <c r="B12" s="1124" t="s">
        <v>488</v>
      </c>
      <c r="C12" s="1126"/>
      <c r="D12" s="1226">
        <f>D11/(D10/C10-1)</f>
        <v>-38.678410553410544</v>
      </c>
      <c r="E12" s="1126"/>
      <c r="F12" s="1227">
        <f>F11/(F10/E10-1)</f>
        <v>12.308372032912592</v>
      </c>
      <c r="G12" s="1126"/>
      <c r="H12" s="1226">
        <f>H11/(H10/G10-1)</f>
        <v>32.64</v>
      </c>
      <c r="I12" s="1226"/>
      <c r="J12" s="1228">
        <f>J11/(J10/I10-1)</f>
        <v>-384.90357974936501</v>
      </c>
      <c r="L12" s="1010" t="s">
        <v>489</v>
      </c>
      <c r="M12" s="1010"/>
      <c r="N12" s="1010"/>
      <c r="O12" s="1010"/>
      <c r="P12" s="1467">
        <v>42007</v>
      </c>
      <c r="Q12" s="1467">
        <v>49278</v>
      </c>
      <c r="R12" s="1467">
        <v>12031</v>
      </c>
      <c r="S12" s="1467">
        <v>11056</v>
      </c>
      <c r="T12" s="1467">
        <v>15482</v>
      </c>
      <c r="U12" s="1467">
        <v>15398</v>
      </c>
      <c r="V12" s="1467">
        <v>2252</v>
      </c>
      <c r="W12" s="1467">
        <v>2863</v>
      </c>
    </row>
    <row r="13" spans="1:23" ht="15.6">
      <c r="A13" s="1011"/>
      <c r="B13" s="1011"/>
      <c r="C13" s="1122"/>
      <c r="D13" s="1122"/>
      <c r="E13" s="1122"/>
      <c r="F13" s="1122"/>
      <c r="G13" s="1122"/>
      <c r="H13" s="1122"/>
      <c r="I13" s="1122"/>
      <c r="L13" s="1010" t="s">
        <v>490</v>
      </c>
      <c r="M13" s="1010"/>
      <c r="N13" s="1010"/>
      <c r="O13" s="1010"/>
      <c r="P13" s="1467">
        <v>1863</v>
      </c>
      <c r="Q13" s="1467">
        <v>4375</v>
      </c>
      <c r="R13" s="1133">
        <v>0</v>
      </c>
      <c r="S13" s="1133">
        <v>0</v>
      </c>
      <c r="T13" s="1133">
        <v>0</v>
      </c>
      <c r="U13" s="1133">
        <v>0</v>
      </c>
      <c r="V13" s="1133">
        <v>0</v>
      </c>
      <c r="W13" s="1133">
        <v>0</v>
      </c>
    </row>
    <row r="14" spans="1:23" ht="15.6">
      <c r="A14" s="1010"/>
      <c r="B14" s="1010"/>
      <c r="C14" s="1121"/>
      <c r="D14" s="1121"/>
      <c r="E14" s="1121"/>
      <c r="F14" s="1121"/>
      <c r="G14" s="1121"/>
      <c r="H14" s="1121"/>
      <c r="I14" s="1121"/>
      <c r="L14" s="1010" t="s">
        <v>491</v>
      </c>
      <c r="M14" s="1010"/>
      <c r="N14" s="1010"/>
      <c r="O14" s="1010"/>
      <c r="P14" s="1467">
        <v>11144</v>
      </c>
      <c r="Q14" s="1467">
        <v>7079</v>
      </c>
      <c r="R14" s="1467">
        <v>3389</v>
      </c>
      <c r="S14" s="1467">
        <v>7280</v>
      </c>
      <c r="T14" s="1467">
        <v>2773</v>
      </c>
      <c r="U14" s="1467">
        <v>8450</v>
      </c>
      <c r="V14" s="1467">
        <v>3933</v>
      </c>
      <c r="W14" s="1467">
        <v>4835</v>
      </c>
    </row>
    <row r="15" spans="1:23" ht="15.6">
      <c r="A15" s="1010"/>
      <c r="L15" s="1120" t="s">
        <v>492</v>
      </c>
      <c r="M15" s="1010"/>
      <c r="N15" s="1010"/>
      <c r="O15" s="1010"/>
      <c r="P15" s="1468">
        <v>159989.35999999999</v>
      </c>
      <c r="Q15" s="1468">
        <v>267785.49</v>
      </c>
      <c r="R15" s="1468">
        <v>642475.19999999995</v>
      </c>
      <c r="S15" s="1468">
        <v>2027447.52</v>
      </c>
      <c r="T15" s="1468">
        <v>150783.12</v>
      </c>
      <c r="U15" s="1468">
        <v>141794.6</v>
      </c>
      <c r="V15" s="1468">
        <f>V11+V12-V14</f>
        <v>138432680.72246999</v>
      </c>
      <c r="W15" s="1468">
        <f>W11+W12-W14</f>
        <v>276200630.60053998</v>
      </c>
    </row>
    <row r="16" spans="1:23" ht="15.6">
      <c r="A16" s="1010"/>
      <c r="B16" s="1010"/>
      <c r="C16" s="1121"/>
      <c r="D16" s="1121"/>
      <c r="E16" s="1121"/>
      <c r="F16" s="1121"/>
      <c r="G16" s="1121"/>
      <c r="H16" s="1121"/>
      <c r="I16" s="1121"/>
    </row>
    <row r="17" spans="1:21" ht="15.6">
      <c r="A17" s="1010"/>
      <c r="B17" s="1010"/>
      <c r="C17" s="1121"/>
      <c r="D17" s="1121"/>
      <c r="E17" s="1121"/>
      <c r="F17" s="1121"/>
      <c r="G17" s="1121"/>
      <c r="H17" s="1121"/>
      <c r="I17" s="1121"/>
      <c r="L17" s="1010"/>
      <c r="M17" s="1010"/>
      <c r="N17" s="1010"/>
      <c r="O17" s="1010"/>
      <c r="P17" s="1010"/>
      <c r="Q17" s="1010"/>
      <c r="R17" s="1010"/>
      <c r="S17" s="1010"/>
      <c r="T17" s="1010"/>
      <c r="U17" s="1010"/>
    </row>
    <row r="18" spans="1:21" ht="15.6">
      <c r="A18" s="1010"/>
      <c r="B18" s="1010"/>
      <c r="C18" s="1121"/>
      <c r="D18" s="1121"/>
      <c r="E18" s="1121"/>
      <c r="F18" s="1121"/>
      <c r="G18" s="1121"/>
      <c r="H18" s="1121"/>
      <c r="I18" s="1121"/>
    </row>
    <row r="19" spans="1:21" ht="15.6">
      <c r="A19" s="1010"/>
      <c r="B19" s="1010"/>
      <c r="C19" s="1121"/>
      <c r="D19" s="1121"/>
      <c r="E19" s="1121"/>
      <c r="F19" s="1121"/>
      <c r="H19" s="1121"/>
      <c r="I19" s="1121"/>
    </row>
  </sheetData>
  <mergeCells count="9">
    <mergeCell ref="V2:W2"/>
    <mergeCell ref="R2:S2"/>
    <mergeCell ref="T2:U2"/>
    <mergeCell ref="B5:B6"/>
    <mergeCell ref="C5:D5"/>
    <mergeCell ref="E5:F5"/>
    <mergeCell ref="G5:H5"/>
    <mergeCell ref="P2:Q2"/>
    <mergeCell ref="I5:J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B1:BI606"/>
  <sheetViews>
    <sheetView showGridLines="0" topLeftCell="A100" zoomScale="95" zoomScaleNormal="100" workbookViewId="0">
      <selection activeCell="J84" sqref="J84"/>
    </sheetView>
  </sheetViews>
  <sheetFormatPr defaultColWidth="9.109375" defaultRowHeight="12.75" customHeight="1"/>
  <cols>
    <col min="2" max="2" width="42" customWidth="1"/>
    <col min="3" max="3" width="21.6640625" customWidth="1"/>
    <col min="4" max="4" width="12.6640625" customWidth="1"/>
    <col min="5" max="5" width="28.5546875" customWidth="1"/>
    <col min="6" max="6" width="25.6640625" customWidth="1"/>
    <col min="7" max="7" width="23.5546875" customWidth="1"/>
    <col min="8" max="8" width="19.88671875" customWidth="1"/>
    <col min="9" max="9" width="22" customWidth="1"/>
    <col min="10" max="10" width="37.44140625" customWidth="1"/>
    <col min="11" max="11" width="23" customWidth="1"/>
    <col min="12" max="12" width="31.33203125" customWidth="1"/>
    <col min="13" max="13" width="20.6640625" customWidth="1"/>
    <col min="14" max="14" width="27.5546875" customWidth="1"/>
    <col min="15" max="15" width="20.88671875" customWidth="1"/>
    <col min="16" max="16" width="19.33203125" customWidth="1"/>
    <col min="17" max="17" width="23.33203125" customWidth="1"/>
    <col min="18" max="18" width="16.5546875" customWidth="1"/>
    <col min="19" max="19" width="18.44140625" bestFit="1" customWidth="1"/>
    <col min="20" max="20" width="18.109375" bestFit="1" customWidth="1"/>
    <col min="21" max="21" width="22.5546875" customWidth="1"/>
    <col min="22" max="22" width="12.33203125" bestFit="1" customWidth="1"/>
    <col min="23" max="23" width="23" customWidth="1"/>
    <col min="24" max="24" width="21.44140625" customWidth="1"/>
    <col min="25" max="34" width="12.33203125" bestFit="1" customWidth="1"/>
  </cols>
  <sheetData>
    <row r="1" spans="2:24" s="541" customFormat="1" ht="12.75" customHeight="1"/>
    <row r="2" spans="2:24" s="540" customFormat="1" ht="15" customHeight="1">
      <c r="B2" s="538" t="s">
        <v>493</v>
      </c>
      <c r="C2" s="539"/>
      <c r="D2" s="537"/>
      <c r="E2" s="537"/>
      <c r="F2" s="537"/>
      <c r="G2" s="537"/>
      <c r="H2" s="537"/>
      <c r="I2" s="537"/>
      <c r="J2" s="537"/>
      <c r="K2" s="537"/>
      <c r="L2" s="537"/>
      <c r="M2" s="537"/>
      <c r="N2" s="537"/>
      <c r="O2" s="537"/>
      <c r="P2" s="537"/>
      <c r="Q2" s="537"/>
      <c r="R2" s="537"/>
      <c r="S2" s="537"/>
      <c r="T2" s="537"/>
      <c r="U2" s="537"/>
      <c r="V2" s="537"/>
    </row>
    <row r="3" spans="2:24" s="541" customFormat="1" ht="12.75" customHeight="1">
      <c r="C3" s="542"/>
    </row>
    <row r="4" spans="2:24" s="541" customFormat="1" ht="13.2">
      <c r="B4" s="541" t="s">
        <v>494</v>
      </c>
      <c r="F4" s="543"/>
      <c r="G4" s="544"/>
      <c r="H4" s="544"/>
      <c r="I4" s="544"/>
      <c r="J4" s="544"/>
      <c r="K4" s="544"/>
      <c r="L4" s="544"/>
      <c r="M4" s="544"/>
    </row>
    <row r="5" spans="2:24" s="541" customFormat="1" ht="13.2">
      <c r="B5" s="545"/>
      <c r="G5" s="546"/>
      <c r="H5" s="546"/>
      <c r="I5" s="546"/>
      <c r="J5" s="546"/>
      <c r="K5" s="546"/>
      <c r="L5" s="546"/>
      <c r="M5" s="546"/>
    </row>
    <row r="6" spans="2:24" s="541" customFormat="1" ht="13.2">
      <c r="B6" s="541" t="s">
        <v>495</v>
      </c>
    </row>
    <row r="7" spans="2:24" s="541" customFormat="1" ht="12.75" customHeight="1"/>
    <row r="8" spans="2:24" s="541" customFormat="1" ht="13.2">
      <c r="B8" s="544"/>
      <c r="C8" s="557">
        <v>2023</v>
      </c>
      <c r="D8" s="557">
        <f>C8-1</f>
        <v>2022</v>
      </c>
      <c r="E8" s="557">
        <f t="shared" ref="E8:G8" si="0">D8-1</f>
        <v>2021</v>
      </c>
      <c r="F8" s="557">
        <f t="shared" si="0"/>
        <v>2020</v>
      </c>
      <c r="G8" s="557">
        <f t="shared" si="0"/>
        <v>2019</v>
      </c>
      <c r="H8" s="557">
        <f t="shared" ref="H8" si="1">G8-1</f>
        <v>2018</v>
      </c>
      <c r="I8" s="557">
        <f t="shared" ref="I8" si="2">H8-1</f>
        <v>2017</v>
      </c>
      <c r="J8" s="557">
        <f t="shared" ref="J8" si="3">I8-1</f>
        <v>2016</v>
      </c>
      <c r="K8" s="557">
        <f t="shared" ref="K8:M8" si="4">J8-1</f>
        <v>2015</v>
      </c>
      <c r="L8" s="557">
        <f t="shared" si="4"/>
        <v>2014</v>
      </c>
      <c r="M8" s="557">
        <f t="shared" si="4"/>
        <v>2013</v>
      </c>
      <c r="O8" s="557" t="s">
        <v>496</v>
      </c>
      <c r="P8" s="557" t="s">
        <v>497</v>
      </c>
      <c r="Q8" s="557" t="s">
        <v>498</v>
      </c>
      <c r="S8" s="552" t="s">
        <v>499</v>
      </c>
      <c r="T8" s="552" t="s">
        <v>500</v>
      </c>
    </row>
    <row r="9" spans="2:24" s="541" customFormat="1" ht="13.2">
      <c r="B9" s="556" t="s">
        <v>501</v>
      </c>
      <c r="C9" s="272">
        <f>(Inputs!B6-Inputs!C6)/Inputs!C6</f>
        <v>-3.9023770179229693E-2</v>
      </c>
      <c r="D9" s="272">
        <f>(Inputs!C6-Inputs!D6)/Inputs!D6</f>
        <v>0.43610806863818913</v>
      </c>
      <c r="E9" s="272">
        <f>(Inputs!D6-Inputs!E6)/Inputs!E6</f>
        <v>0.68329406944586701</v>
      </c>
      <c r="F9" s="272">
        <f>(Inputs!E6-Inputs!F6)/Inputs!F6</f>
        <v>0.45045312732134896</v>
      </c>
      <c r="G9" s="272">
        <f>(Inputs!F6-Inputs!G6)/Inputs!G6</f>
        <v>3.9536679536679539E-2</v>
      </c>
      <c r="H9" s="272">
        <f>(Inputs!G6-Inputs!H6)/Inputs!H6</f>
        <v>0.23262897391966494</v>
      </c>
      <c r="I9" s="272">
        <f>(Inputs!H6-Inputs!I6)/Inputs!I6</f>
        <v>0.22963483146067415</v>
      </c>
      <c r="J9" s="272">
        <f>(Inputs!I6-Inputs!J6)/Inputs!J6</f>
        <v>7.0408418942620898E-2</v>
      </c>
      <c r="K9" s="272">
        <f>(Inputs!J6-Inputs!K6)/Inputs!K6</f>
        <v>-0.2751543770432256</v>
      </c>
      <c r="L9" s="272">
        <f>(Inputs!K6-Inputs!L6)/Inputs!L6</f>
        <v>3.9063974334780149E-2</v>
      </c>
      <c r="M9" s="272">
        <f>(Inputs!L6-Inputs!M6)/Inputs!M6</f>
        <v>-2.268535595721136E-2</v>
      </c>
      <c r="O9" s="546">
        <f>AVERAGE(C9:M9)</f>
        <v>0.167660421856378</v>
      </c>
      <c r="P9" s="547">
        <f>AVERAGE(C9:G9)</f>
        <v>0.31407363495257101</v>
      </c>
      <c r="Q9" s="547">
        <f>AVERAGE(C9:E9)</f>
        <v>0.36012612263494215</v>
      </c>
      <c r="S9" s="553"/>
      <c r="T9" s="553"/>
    </row>
    <row r="10" spans="2:24" s="541" customFormat="1" ht="12.75" customHeight="1">
      <c r="B10" s="556" t="s">
        <v>121</v>
      </c>
      <c r="C10" s="272">
        <f>Inputs!B8/Inputs!B6</f>
        <v>1.7680776014109348E-2</v>
      </c>
      <c r="D10" s="272">
        <f>Inputs!C8/Inputs!C6</f>
        <v>5.3557052667259859E-2</v>
      </c>
      <c r="E10" s="272">
        <f>Inputs!D8/Inputs!D6</f>
        <v>0.22155287817938421</v>
      </c>
      <c r="F10" s="272">
        <f>Inputs!E8/Inputs!E6</f>
        <v>0.13469220526477518</v>
      </c>
      <c r="G10" s="272">
        <f>Inputs!F8/Inputs!F6</f>
        <v>6.7597682365176048E-2</v>
      </c>
      <c r="H10" s="272">
        <f>Inputs!G8/Inputs!G6</f>
        <v>6.7799227799227799E-2</v>
      </c>
      <c r="I10" s="272">
        <f>Inputs!H8/Inputs!H6</f>
        <v>2.1892252046449647E-2</v>
      </c>
      <c r="J10" s="272">
        <f>Inputs!I8/Inputs!I6</f>
        <v>-0.10299625468164794</v>
      </c>
      <c r="K10" s="272">
        <f>Inputs!J8/Inputs!J6</f>
        <v>-0.12052117263843648</v>
      </c>
      <c r="L10" s="272">
        <f>Inputs!K8/Inputs!K6</f>
        <v>-3.9229930984380677E-2</v>
      </c>
      <c r="M10" s="272">
        <f>Inputs!L8/Inputs!L6</f>
        <v>1.9248914889601811E-2</v>
      </c>
      <c r="O10" s="546">
        <f>AVERAGE(C10:M10)</f>
        <v>3.1024875538319882E-2</v>
      </c>
      <c r="P10" s="547">
        <f>AVERAGE(C10:G10)</f>
        <v>9.9016118898140923E-2</v>
      </c>
      <c r="Q10" s="547">
        <f>AVERAGE(C10:E10)</f>
        <v>9.7596902286917808E-2</v>
      </c>
      <c r="S10" s="553"/>
      <c r="T10" s="553"/>
      <c r="V10" s="541" t="s">
        <v>502</v>
      </c>
    </row>
    <row r="11" spans="2:24" s="541" customFormat="1" ht="12.75" customHeight="1"/>
    <row r="12" spans="2:24" s="541" customFormat="1" ht="12.75" customHeight="1"/>
    <row r="13" spans="2:24" s="540" customFormat="1" ht="21">
      <c r="B13" s="1451" t="s">
        <v>503</v>
      </c>
      <c r="C13" s="539"/>
      <c r="D13" s="537"/>
      <c r="E13" s="537"/>
      <c r="F13" s="537"/>
      <c r="G13" s="537"/>
      <c r="H13" s="537"/>
      <c r="I13" s="537"/>
      <c r="J13" s="537"/>
      <c r="K13" s="537"/>
      <c r="L13" s="537"/>
      <c r="M13" s="537"/>
      <c r="N13" s="537"/>
      <c r="O13" s="537"/>
      <c r="P13" s="537"/>
      <c r="Q13" s="537"/>
      <c r="R13" s="537"/>
      <c r="S13" s="537"/>
      <c r="T13" s="537"/>
      <c r="U13" s="537"/>
      <c r="V13" s="537"/>
    </row>
    <row r="14" spans="2:24" s="541" customFormat="1" ht="13.8" hidden="1">
      <c r="B14" s="555"/>
      <c r="C14" s="555"/>
      <c r="D14" s="554"/>
      <c r="E14" s="554"/>
      <c r="F14" s="554"/>
      <c r="G14" s="554"/>
      <c r="H14" s="554"/>
      <c r="I14" s="554"/>
      <c r="J14" s="554"/>
      <c r="K14" s="554"/>
      <c r="L14" s="554"/>
      <c r="M14" s="554"/>
      <c r="N14" s="554"/>
      <c r="O14" s="554"/>
      <c r="P14" s="554"/>
      <c r="Q14" s="554"/>
      <c r="R14" s="554"/>
      <c r="S14" s="554"/>
      <c r="T14" s="554"/>
      <c r="U14" s="554"/>
      <c r="V14" s="554"/>
    </row>
    <row r="15" spans="2:24" s="541" customFormat="1" ht="13.2" hidden="1">
      <c r="B15"/>
      <c r="C15"/>
      <c r="D15"/>
      <c r="E15"/>
      <c r="F15"/>
      <c r="G15"/>
      <c r="H15"/>
      <c r="I15"/>
      <c r="J15"/>
      <c r="K15"/>
      <c r="L15"/>
      <c r="M15"/>
      <c r="N15"/>
      <c r="O15"/>
      <c r="P15"/>
      <c r="Q15"/>
      <c r="R15"/>
      <c r="S15"/>
      <c r="T15"/>
      <c r="U15"/>
      <c r="V15"/>
      <c r="W15"/>
      <c r="X15"/>
    </row>
    <row r="16" spans="2:24" s="541" customFormat="1" ht="13.2" hidden="1">
      <c r="B16"/>
      <c r="C16"/>
      <c r="D16"/>
      <c r="E16"/>
      <c r="F16"/>
      <c r="G16"/>
      <c r="H16"/>
      <c r="I16"/>
      <c r="J16"/>
      <c r="K16"/>
      <c r="L16"/>
      <c r="M16"/>
      <c r="N16"/>
      <c r="O16"/>
      <c r="P16"/>
      <c r="Q16"/>
      <c r="R16"/>
      <c r="S16"/>
      <c r="T16"/>
      <c r="U16"/>
      <c r="V16"/>
      <c r="W16"/>
      <c r="X16"/>
    </row>
    <row r="17" spans="2:24" s="541" customFormat="1" ht="13.2" hidden="1">
      <c r="B17"/>
      <c r="C17"/>
      <c r="D17"/>
      <c r="E17"/>
      <c r="F17"/>
      <c r="G17"/>
      <c r="H17"/>
      <c r="I17"/>
      <c r="J17"/>
      <c r="K17"/>
      <c r="L17"/>
      <c r="M17"/>
      <c r="N17"/>
      <c r="O17"/>
      <c r="P17"/>
      <c r="Q17"/>
      <c r="R17"/>
      <c r="S17"/>
      <c r="T17"/>
      <c r="U17"/>
      <c r="V17"/>
      <c r="W17"/>
      <c r="X17"/>
    </row>
    <row r="18" spans="2:24" s="541" customFormat="1" ht="13.2" hidden="1">
      <c r="B18"/>
      <c r="C18"/>
      <c r="D18"/>
      <c r="E18"/>
      <c r="F18"/>
      <c r="G18"/>
      <c r="H18"/>
      <c r="I18"/>
      <c r="J18"/>
      <c r="K18"/>
      <c r="L18"/>
      <c r="M18"/>
      <c r="N18"/>
      <c r="O18"/>
      <c r="P18"/>
      <c r="Q18"/>
      <c r="R18"/>
      <c r="S18"/>
      <c r="T18"/>
      <c r="U18"/>
      <c r="V18"/>
      <c r="W18"/>
      <c r="X18"/>
    </row>
    <row r="19" spans="2:24" s="541" customFormat="1" ht="13.2" hidden="1">
      <c r="B19"/>
      <c r="C19"/>
      <c r="D19"/>
      <c r="E19"/>
      <c r="F19"/>
      <c r="G19"/>
      <c r="H19"/>
      <c r="I19"/>
      <c r="J19"/>
      <c r="K19"/>
      <c r="L19"/>
      <c r="M19"/>
      <c r="N19"/>
      <c r="O19"/>
      <c r="P19"/>
      <c r="Q19"/>
      <c r="R19"/>
      <c r="S19"/>
      <c r="T19"/>
      <c r="U19"/>
      <c r="V19"/>
      <c r="W19"/>
      <c r="X19"/>
    </row>
    <row r="20" spans="2:24" s="541" customFormat="1" ht="12.75" hidden="1" customHeight="1">
      <c r="B20"/>
      <c r="C20"/>
      <c r="D20"/>
      <c r="E20"/>
      <c r="F20"/>
      <c r="G20"/>
      <c r="H20"/>
      <c r="I20"/>
      <c r="J20"/>
      <c r="K20"/>
      <c r="L20"/>
      <c r="M20"/>
      <c r="N20"/>
      <c r="O20"/>
      <c r="P20"/>
      <c r="Q20"/>
      <c r="R20"/>
      <c r="S20"/>
      <c r="T20"/>
      <c r="U20"/>
      <c r="V20"/>
      <c r="W20"/>
      <c r="X20"/>
    </row>
    <row r="21" spans="2:24" s="541" customFormat="1" ht="13.2" hidden="1">
      <c r="B21"/>
      <c r="C21"/>
      <c r="D21"/>
      <c r="E21"/>
      <c r="F21"/>
      <c r="G21"/>
      <c r="H21"/>
      <c r="I21"/>
      <c r="J21"/>
      <c r="K21"/>
      <c r="L21"/>
      <c r="M21"/>
      <c r="N21"/>
      <c r="O21"/>
      <c r="P21"/>
      <c r="Q21"/>
      <c r="R21"/>
      <c r="S21"/>
      <c r="T21"/>
      <c r="U21"/>
      <c r="V21"/>
      <c r="W21"/>
      <c r="X21"/>
    </row>
    <row r="22" spans="2:24" s="541" customFormat="1" ht="13.2" hidden="1">
      <c r="B22"/>
      <c r="C22"/>
      <c r="D22"/>
      <c r="E22"/>
      <c r="F22"/>
      <c r="G22"/>
      <c r="H22"/>
      <c r="I22"/>
      <c r="J22"/>
      <c r="K22"/>
      <c r="L22"/>
      <c r="M22"/>
      <c r="N22"/>
      <c r="O22"/>
      <c r="P22"/>
      <c r="Q22"/>
      <c r="R22"/>
      <c r="S22"/>
      <c r="T22"/>
      <c r="U22"/>
      <c r="V22"/>
      <c r="W22"/>
      <c r="X22"/>
    </row>
    <row r="23" spans="2:24" s="541" customFormat="1" ht="13.2" hidden="1">
      <c r="B23"/>
      <c r="C23"/>
      <c r="D23"/>
      <c r="E23"/>
      <c r="F23"/>
      <c r="G23"/>
      <c r="H23"/>
      <c r="I23"/>
      <c r="J23"/>
      <c r="K23"/>
      <c r="L23"/>
      <c r="M23"/>
      <c r="N23"/>
      <c r="O23"/>
      <c r="P23"/>
      <c r="Q23"/>
      <c r="R23"/>
      <c r="S23"/>
      <c r="T23"/>
      <c r="U23"/>
      <c r="V23"/>
      <c r="W23"/>
      <c r="X23"/>
    </row>
    <row r="24" spans="2:24" s="541" customFormat="1" ht="13.2" hidden="1">
      <c r="B24"/>
      <c r="C24"/>
      <c r="D24"/>
      <c r="E24"/>
      <c r="F24"/>
      <c r="G24"/>
      <c r="H24"/>
      <c r="I24"/>
      <c r="J24"/>
      <c r="K24"/>
      <c r="L24"/>
      <c r="M24"/>
      <c r="N24"/>
      <c r="O24"/>
      <c r="P24"/>
      <c r="Q24"/>
      <c r="R24"/>
      <c r="S24"/>
      <c r="T24"/>
      <c r="U24"/>
      <c r="V24"/>
      <c r="W24"/>
      <c r="X24"/>
    </row>
    <row r="25" spans="2:24" s="541" customFormat="1" ht="13.2" hidden="1">
      <c r="B25"/>
      <c r="C25"/>
      <c r="D25"/>
      <c r="E25"/>
      <c r="F25"/>
      <c r="G25"/>
      <c r="H25"/>
      <c r="I25"/>
      <c r="J25"/>
      <c r="K25"/>
      <c r="L25"/>
      <c r="M25"/>
      <c r="N25"/>
      <c r="O25"/>
      <c r="P25"/>
      <c r="Q25"/>
      <c r="R25"/>
      <c r="S25"/>
      <c r="T25"/>
      <c r="U25"/>
      <c r="V25"/>
      <c r="W25"/>
      <c r="X25"/>
    </row>
    <row r="26" spans="2:24" s="541" customFormat="1" ht="12.75" hidden="1" customHeight="1">
      <c r="B26"/>
      <c r="C26"/>
      <c r="D26"/>
      <c r="E26"/>
      <c r="F26"/>
      <c r="G26"/>
      <c r="H26"/>
      <c r="I26"/>
      <c r="J26"/>
      <c r="K26"/>
      <c r="L26"/>
      <c r="M26"/>
      <c r="N26"/>
      <c r="O26"/>
      <c r="P26"/>
      <c r="Q26"/>
      <c r="R26"/>
      <c r="S26"/>
      <c r="T26"/>
      <c r="U26"/>
      <c r="V26"/>
      <c r="W26"/>
      <c r="X26"/>
    </row>
    <row r="27" spans="2:24" s="541" customFormat="1" ht="13.2" hidden="1">
      <c r="B27"/>
      <c r="C27"/>
      <c r="D27"/>
      <c r="E27"/>
      <c r="F27"/>
      <c r="G27"/>
      <c r="H27"/>
      <c r="I27"/>
      <c r="J27"/>
      <c r="K27"/>
      <c r="L27"/>
      <c r="M27"/>
      <c r="N27"/>
      <c r="O27"/>
      <c r="P27"/>
      <c r="Q27"/>
      <c r="R27"/>
      <c r="S27"/>
      <c r="T27"/>
      <c r="U27"/>
      <c r="V27"/>
      <c r="W27"/>
      <c r="X27"/>
    </row>
    <row r="28" spans="2:24" s="541" customFormat="1" ht="13.2" hidden="1">
      <c r="B28"/>
      <c r="C28"/>
      <c r="D28"/>
      <c r="E28"/>
      <c r="F28"/>
      <c r="G28"/>
      <c r="H28"/>
      <c r="I28"/>
      <c r="J28"/>
      <c r="K28"/>
      <c r="L28"/>
      <c r="M28"/>
      <c r="N28"/>
      <c r="O28"/>
      <c r="P28"/>
      <c r="Q28"/>
      <c r="R28"/>
      <c r="S28"/>
      <c r="T28"/>
      <c r="U28"/>
      <c r="V28"/>
      <c r="W28"/>
      <c r="X28"/>
    </row>
    <row r="29" spans="2:24" s="541" customFormat="1" ht="13.2" hidden="1">
      <c r="B29"/>
      <c r="C29"/>
      <c r="D29"/>
      <c r="E29"/>
      <c r="F29"/>
      <c r="G29"/>
      <c r="H29"/>
      <c r="I29"/>
      <c r="J29"/>
      <c r="K29"/>
      <c r="L29"/>
      <c r="M29"/>
      <c r="N29"/>
      <c r="O29"/>
      <c r="P29"/>
      <c r="Q29"/>
      <c r="R29"/>
      <c r="S29"/>
      <c r="T29"/>
      <c r="U29"/>
      <c r="V29"/>
      <c r="W29"/>
      <c r="X29"/>
    </row>
    <row r="30" spans="2:24" s="541" customFormat="1" ht="13.2" hidden="1">
      <c r="B30"/>
      <c r="C30"/>
      <c r="D30"/>
      <c r="E30"/>
      <c r="F30"/>
      <c r="G30"/>
      <c r="H30"/>
      <c r="I30"/>
      <c r="J30"/>
      <c r="K30"/>
      <c r="L30"/>
      <c r="M30"/>
      <c r="N30"/>
      <c r="O30"/>
      <c r="P30"/>
      <c r="Q30"/>
      <c r="R30"/>
      <c r="S30"/>
      <c r="T30"/>
      <c r="U30"/>
      <c r="V30"/>
      <c r="W30"/>
      <c r="X30"/>
    </row>
    <row r="31" spans="2:24" s="541" customFormat="1" ht="13.2" hidden="1">
      <c r="B31"/>
      <c r="C31"/>
      <c r="D31"/>
      <c r="E31"/>
      <c r="F31"/>
      <c r="G31"/>
      <c r="H31"/>
      <c r="I31"/>
      <c r="J31"/>
      <c r="K31"/>
      <c r="L31"/>
      <c r="M31"/>
      <c r="N31"/>
      <c r="O31"/>
      <c r="P31"/>
      <c r="Q31"/>
      <c r="R31"/>
      <c r="S31"/>
      <c r="T31"/>
      <c r="U31"/>
      <c r="V31"/>
      <c r="W31"/>
      <c r="X31"/>
    </row>
    <row r="32" spans="2:24" s="541" customFormat="1" ht="12.75" hidden="1" customHeight="1"/>
    <row r="33" spans="2:61" s="541" customFormat="1" ht="12.75" hidden="1" customHeight="1"/>
    <row r="34" spans="2:61" s="541" customFormat="1" ht="12.75" customHeight="1"/>
    <row r="35" spans="2:61" s="540" customFormat="1" ht="15.6">
      <c r="B35" s="940" t="s">
        <v>504</v>
      </c>
    </row>
    <row r="37" spans="2:61" s="941" customFormat="1" ht="12.75" customHeight="1">
      <c r="B37" s="974" t="s">
        <v>505</v>
      </c>
    </row>
    <row r="39" spans="2:61" ht="12.75" customHeight="1">
      <c r="J39" t="s">
        <v>506</v>
      </c>
    </row>
    <row r="41" spans="2:61" ht="12.75" customHeight="1">
      <c r="B41" s="541"/>
      <c r="C41" s="541"/>
      <c r="D41" t="s">
        <v>507</v>
      </c>
      <c r="G41" s="541"/>
    </row>
    <row r="42" spans="2:61" ht="12.75" customHeight="1">
      <c r="E42">
        <v>2021</v>
      </c>
      <c r="F42">
        <v>2022</v>
      </c>
      <c r="G42" s="924">
        <v>2023</v>
      </c>
      <c r="R42" t="s">
        <v>508</v>
      </c>
      <c r="BI42" t="s">
        <v>509</v>
      </c>
    </row>
    <row r="43" spans="2:61" ht="12.75" customHeight="1">
      <c r="D43" t="s">
        <v>510</v>
      </c>
      <c r="E43" s="541">
        <v>11046</v>
      </c>
      <c r="F43">
        <v>15068</v>
      </c>
      <c r="G43" s="924">
        <v>47405</v>
      </c>
      <c r="I43" t="s">
        <v>511</v>
      </c>
      <c r="J43" t="s">
        <v>512</v>
      </c>
    </row>
    <row r="44" spans="2:61" ht="12.75" customHeight="1">
      <c r="D44" t="s">
        <v>58</v>
      </c>
      <c r="E44">
        <v>4598</v>
      </c>
      <c r="F44">
        <v>5083</v>
      </c>
      <c r="G44" s="924">
        <v>32016</v>
      </c>
    </row>
    <row r="45" spans="2:61" ht="12.75" customHeight="1">
      <c r="D45" t="s">
        <v>513</v>
      </c>
      <c r="E45" s="917">
        <f>E44/E43</f>
        <v>0.41625927937715013</v>
      </c>
      <c r="F45" s="917">
        <f t="shared" ref="F45" si="5">F44/F43</f>
        <v>0.33733740376957794</v>
      </c>
      <c r="G45" s="925">
        <f>G44/G43</f>
        <v>0.67537179622402699</v>
      </c>
    </row>
    <row r="46" spans="2:61" ht="12.75" customHeight="1">
      <c r="J46" t="s">
        <v>514</v>
      </c>
    </row>
    <row r="48" spans="2:61" ht="12.75" customHeight="1">
      <c r="J48" t="s">
        <v>515</v>
      </c>
    </row>
    <row r="49" spans="4:19" ht="12.75" customHeight="1">
      <c r="J49" t="s">
        <v>516</v>
      </c>
    </row>
    <row r="51" spans="4:19" ht="12.75" customHeight="1">
      <c r="D51" t="s">
        <v>517</v>
      </c>
      <c r="J51" t="s">
        <v>518</v>
      </c>
    </row>
    <row r="52" spans="4:19" ht="12.75" customHeight="1">
      <c r="D52" t="s">
        <v>519</v>
      </c>
      <c r="J52" s="541" t="s">
        <v>520</v>
      </c>
    </row>
    <row r="53" spans="4:19" ht="12.75" customHeight="1">
      <c r="J53" s="1469" t="s">
        <v>521</v>
      </c>
    </row>
    <row r="54" spans="4:19" ht="12.75" customHeight="1">
      <c r="D54" t="s">
        <v>522</v>
      </c>
      <c r="J54" t="s">
        <v>523</v>
      </c>
    </row>
    <row r="55" spans="4:19" ht="12.75" customHeight="1">
      <c r="D55" t="s">
        <v>524</v>
      </c>
      <c r="J55" t="s">
        <v>525</v>
      </c>
    </row>
    <row r="56" spans="4:19" ht="12.75" customHeight="1">
      <c r="D56" t="s">
        <v>526</v>
      </c>
      <c r="H56" s="541"/>
      <c r="J56" s="541"/>
    </row>
    <row r="57" spans="4:19" ht="12.75" customHeight="1">
      <c r="J57" s="541"/>
    </row>
    <row r="58" spans="4:19" ht="12.75" customHeight="1">
      <c r="J58" t="s">
        <v>527</v>
      </c>
    </row>
    <row r="59" spans="4:19" ht="12.75" customHeight="1">
      <c r="D59" t="s">
        <v>528</v>
      </c>
      <c r="E59">
        <v>500000</v>
      </c>
      <c r="J59" t="s">
        <v>529</v>
      </c>
    </row>
    <row r="60" spans="4:19" ht="12.75" customHeight="1">
      <c r="D60" t="s">
        <v>530</v>
      </c>
      <c r="E60">
        <v>14500000000</v>
      </c>
      <c r="J60" s="541"/>
    </row>
    <row r="61" spans="4:19" ht="12.75" customHeight="1">
      <c r="D61" t="s">
        <v>510</v>
      </c>
      <c r="E61">
        <f>E60/E59</f>
        <v>29000</v>
      </c>
      <c r="H61" s="541"/>
      <c r="I61" s="541"/>
    </row>
    <row r="62" spans="4:19" ht="12.75" customHeight="1">
      <c r="D62" t="s">
        <v>531</v>
      </c>
      <c r="H62" s="541"/>
      <c r="I62" s="541"/>
      <c r="J62" s="914" t="s">
        <v>532</v>
      </c>
      <c r="K62" s="912" t="s">
        <v>533</v>
      </c>
      <c r="L62" s="876"/>
      <c r="M62" s="876"/>
      <c r="N62" s="876"/>
      <c r="O62" s="876"/>
      <c r="P62" s="876"/>
      <c r="Q62" s="876"/>
      <c r="R62" s="876"/>
      <c r="S62" s="877"/>
    </row>
    <row r="63" spans="4:19" ht="12.75" customHeight="1">
      <c r="H63" s="541"/>
      <c r="I63" s="541"/>
      <c r="J63" s="915" t="s">
        <v>534</v>
      </c>
      <c r="K63" s="913" t="s">
        <v>535</v>
      </c>
      <c r="L63" s="880"/>
      <c r="M63" s="880"/>
      <c r="N63" s="880"/>
      <c r="O63" s="880"/>
      <c r="P63" s="880"/>
      <c r="Q63" s="880"/>
      <c r="R63" s="880"/>
      <c r="S63" s="881"/>
    </row>
    <row r="64" spans="4:19" ht="12.75" customHeight="1">
      <c r="D64" t="s">
        <v>536</v>
      </c>
      <c r="H64" s="541"/>
      <c r="I64" s="541"/>
      <c r="J64" s="916" t="s">
        <v>537</v>
      </c>
      <c r="K64" s="862" t="s">
        <v>538</v>
      </c>
      <c r="L64" s="878"/>
      <c r="M64" s="878"/>
      <c r="N64" s="878"/>
      <c r="O64" s="878"/>
      <c r="P64" s="878"/>
      <c r="Q64" s="878"/>
      <c r="R64" s="878"/>
      <c r="S64" s="879"/>
    </row>
    <row r="65" spans="2:28" ht="12.75" customHeight="1">
      <c r="D65" t="s">
        <v>539</v>
      </c>
    </row>
    <row r="66" spans="2:28" ht="12.75" customHeight="1">
      <c r="D66" t="s">
        <v>540</v>
      </c>
      <c r="J66" t="s">
        <v>541</v>
      </c>
    </row>
    <row r="67" spans="2:28" ht="12.75" customHeight="1">
      <c r="D67" s="541"/>
      <c r="H67" s="541"/>
      <c r="J67" t="s">
        <v>542</v>
      </c>
    </row>
    <row r="68" spans="2:28" ht="12.75" customHeight="1">
      <c r="B68" t="s">
        <v>543</v>
      </c>
      <c r="D68" s="541"/>
      <c r="H68" s="541"/>
      <c r="J68" t="s">
        <v>544</v>
      </c>
    </row>
    <row r="69" spans="2:28" ht="12.75" customHeight="1">
      <c r="B69" t="s">
        <v>545</v>
      </c>
      <c r="D69" s="541"/>
      <c r="E69" s="541"/>
      <c r="H69" s="541"/>
      <c r="J69" t="s">
        <v>546</v>
      </c>
    </row>
    <row r="70" spans="2:28" ht="12.75" customHeight="1">
      <c r="D70" s="541"/>
      <c r="E70" s="541"/>
      <c r="J70" t="s">
        <v>547</v>
      </c>
    </row>
    <row r="71" spans="2:28" ht="12.75" customHeight="1">
      <c r="B71" t="s">
        <v>548</v>
      </c>
      <c r="D71" s="541"/>
      <c r="E71" s="541"/>
      <c r="J71" t="s">
        <v>549</v>
      </c>
    </row>
    <row r="72" spans="2:28" ht="12.75" customHeight="1">
      <c r="B72" t="s">
        <v>550</v>
      </c>
      <c r="D72" s="541"/>
      <c r="F72" s="541"/>
      <c r="J72" t="s">
        <v>551</v>
      </c>
    </row>
    <row r="73" spans="2:28" ht="12.75" customHeight="1">
      <c r="D73" s="541"/>
      <c r="F73" s="541"/>
    </row>
    <row r="74" spans="2:28" s="971" customFormat="1" ht="12.75" customHeight="1">
      <c r="B74" s="1470" t="s">
        <v>552</v>
      </c>
      <c r="D74" s="972"/>
      <c r="F74" s="972"/>
    </row>
    <row r="75" spans="2:28" ht="12.75" customHeight="1">
      <c r="B75" s="541"/>
      <c r="D75" s="541"/>
    </row>
    <row r="76" spans="2:28" ht="12.75" customHeight="1">
      <c r="B76" t="s">
        <v>553</v>
      </c>
      <c r="D76" t="s">
        <v>554</v>
      </c>
      <c r="AB76" s="541"/>
    </row>
    <row r="77" spans="2:28" ht="12.75" customHeight="1">
      <c r="D77" t="s">
        <v>555</v>
      </c>
    </row>
    <row r="78" spans="2:28" ht="12.75" customHeight="1">
      <c r="D78" t="s">
        <v>556</v>
      </c>
    </row>
    <row r="79" spans="2:28" ht="13.2"/>
    <row r="80" spans="2:28" ht="13.2">
      <c r="B80" s="1864" t="s">
        <v>557</v>
      </c>
      <c r="C80" s="1865"/>
      <c r="D80" s="1865"/>
      <c r="E80" s="1865"/>
      <c r="F80" s="1865"/>
      <c r="G80" s="1866"/>
    </row>
    <row r="81" spans="2:19" ht="12.75" customHeight="1">
      <c r="B81" s="1867" t="s">
        <v>558</v>
      </c>
      <c r="C81" s="1868"/>
      <c r="D81" s="1868"/>
      <c r="E81" s="1869" t="s">
        <v>559</v>
      </c>
      <c r="F81" s="1870"/>
      <c r="G81" s="1871"/>
      <c r="R81" s="541"/>
      <c r="S81" s="541"/>
    </row>
    <row r="82" spans="2:19" ht="12.75" customHeight="1">
      <c r="B82" s="890" t="s">
        <v>119</v>
      </c>
      <c r="C82" s="857" t="s">
        <v>560</v>
      </c>
      <c r="D82" s="856" t="s">
        <v>561</v>
      </c>
      <c r="E82" s="1471" t="s">
        <v>562</v>
      </c>
      <c r="F82" s="1472" t="s">
        <v>563</v>
      </c>
      <c r="G82" s="1471" t="s">
        <v>561</v>
      </c>
      <c r="R82" s="541"/>
      <c r="S82" s="541"/>
    </row>
    <row r="83" spans="2:19" ht="12.75" customHeight="1">
      <c r="B83" s="861">
        <v>2023</v>
      </c>
      <c r="C83" s="891">
        <v>45</v>
      </c>
      <c r="D83" s="892"/>
      <c r="E83" s="898"/>
      <c r="G83" s="900"/>
    </row>
    <row r="84" spans="2:19" ht="12.75" customHeight="1">
      <c r="B84" s="861">
        <v>2024</v>
      </c>
      <c r="C84" s="896">
        <f>C83*(1+D84)</f>
        <v>76.71058319280273</v>
      </c>
      <c r="D84" s="892">
        <f>(C87/C83)^(1/4)-1</f>
        <v>0.70467962650672744</v>
      </c>
      <c r="E84" s="898">
        <v>6</v>
      </c>
      <c r="F84" s="917">
        <f>E84/C84</f>
        <v>7.8216065505847199E-2</v>
      </c>
      <c r="G84" s="900"/>
    </row>
    <row r="85" spans="2:19" ht="12.75" customHeight="1">
      <c r="B85" s="861">
        <v>2025</v>
      </c>
      <c r="C85" s="896">
        <f t="shared" ref="C85:C86" si="6">C84*(1+D85)</f>
        <v>130.76696830622021</v>
      </c>
      <c r="D85" s="892">
        <v>0.70467962650672744</v>
      </c>
      <c r="E85" s="898">
        <f>E84*2</f>
        <v>12</v>
      </c>
      <c r="F85" s="917">
        <f>E85/C85</f>
        <v>9.1766293548224701E-2</v>
      </c>
      <c r="G85" s="900"/>
    </row>
    <row r="86" spans="2:19" ht="12.75" customHeight="1">
      <c r="B86" s="861">
        <v>2026</v>
      </c>
      <c r="C86" s="896">
        <f t="shared" si="6"/>
        <v>222.91578669166452</v>
      </c>
      <c r="D86" s="892">
        <v>0.70467962650672744</v>
      </c>
      <c r="E86" s="898">
        <f>E85*2</f>
        <v>24</v>
      </c>
      <c r="F86" s="917">
        <f>E86/C86</f>
        <v>0.10766397641095121</v>
      </c>
      <c r="G86" s="900"/>
    </row>
    <row r="87" spans="2:19" ht="12.75" customHeight="1">
      <c r="B87" s="893">
        <v>2027</v>
      </c>
      <c r="C87" s="894">
        <v>380</v>
      </c>
      <c r="D87" s="895">
        <v>0.70467962650672744</v>
      </c>
      <c r="E87" s="899">
        <f>E86*1.8</f>
        <v>43.2</v>
      </c>
      <c r="F87" s="957">
        <f>E87/C87</f>
        <v>0.11368421052631579</v>
      </c>
      <c r="G87" s="901">
        <f>(E87/E84)^(1/3)-1</f>
        <v>0.93097876921125944</v>
      </c>
      <c r="K87" s="541"/>
    </row>
    <row r="88" spans="2:19" ht="12.75" customHeight="1">
      <c r="K88" s="541"/>
    </row>
    <row r="89" spans="2:19" ht="12.75" customHeight="1">
      <c r="B89" t="s">
        <v>564</v>
      </c>
    </row>
    <row r="90" spans="2:19" ht="12.75" customHeight="1">
      <c r="B90" t="s">
        <v>565</v>
      </c>
    </row>
    <row r="91" spans="2:19" ht="12.75" customHeight="1">
      <c r="N91" t="s">
        <v>566</v>
      </c>
    </row>
    <row r="93" spans="2:19" ht="12.75" customHeight="1">
      <c r="D93" s="1473">
        <v>2021</v>
      </c>
      <c r="E93" s="1474">
        <v>2022</v>
      </c>
      <c r="F93" s="1473">
        <v>2023</v>
      </c>
      <c r="G93" s="937">
        <v>2024</v>
      </c>
      <c r="H93" s="938">
        <v>2025</v>
      </c>
      <c r="I93" s="1474">
        <v>2026</v>
      </c>
      <c r="J93" s="1473">
        <v>2027</v>
      </c>
    </row>
    <row r="94" spans="2:19" ht="12.75" customHeight="1">
      <c r="B94" s="1475"/>
      <c r="C94" s="1476" t="s">
        <v>510</v>
      </c>
      <c r="D94" s="900">
        <v>3694</v>
      </c>
      <c r="E94">
        <v>6043</v>
      </c>
      <c r="F94" s="900">
        <v>6496</v>
      </c>
      <c r="G94" s="947">
        <f>F94*0.8</f>
        <v>5196.8</v>
      </c>
      <c r="H94" s="948">
        <f>G94*0.8</f>
        <v>4157.4400000000005</v>
      </c>
      <c r="I94" s="947">
        <f>H94*0.75</f>
        <v>3118.0800000000004</v>
      </c>
      <c r="J94" s="948">
        <f>I94*0.7</f>
        <v>2182.6559999999999</v>
      </c>
    </row>
    <row r="95" spans="2:19" ht="12.75" customHeight="1">
      <c r="B95" s="1477" t="s">
        <v>567</v>
      </c>
      <c r="C95" s="11" t="s">
        <v>58</v>
      </c>
      <c r="D95" s="900">
        <v>991</v>
      </c>
      <c r="E95">
        <v>1081</v>
      </c>
      <c r="F95" s="900">
        <v>1267</v>
      </c>
      <c r="G95" s="947">
        <f>G94*G96</f>
        <v>1299.2</v>
      </c>
      <c r="H95" s="948">
        <f>H94*H96</f>
        <v>1164.0832000000003</v>
      </c>
      <c r="I95" s="947">
        <f>I94*I96</f>
        <v>935.42400000000009</v>
      </c>
      <c r="J95" s="948">
        <f>J94*J96</f>
        <v>742.10304000000008</v>
      </c>
    </row>
    <row r="96" spans="2:19" ht="12.75" customHeight="1">
      <c r="B96" s="1478" t="s">
        <v>568</v>
      </c>
      <c r="C96" s="11" t="s">
        <v>513</v>
      </c>
      <c r="D96" s="929">
        <f>D95/F94</f>
        <v>0.15255541871921183</v>
      </c>
      <c r="E96" s="917">
        <f>E95/E94</f>
        <v>0.17888465993711733</v>
      </c>
      <c r="F96" s="929">
        <f>F95/D94</f>
        <v>0.34298863021115322</v>
      </c>
      <c r="G96" s="949">
        <v>0.25</v>
      </c>
      <c r="H96" s="950">
        <v>0.28000000000000003</v>
      </c>
      <c r="I96" s="154">
        <v>0.3</v>
      </c>
      <c r="J96" s="936">
        <v>0.34</v>
      </c>
    </row>
    <row r="97" spans="2:32" ht="12.75" customHeight="1">
      <c r="B97" s="1479"/>
      <c r="C97" s="1472" t="s">
        <v>222</v>
      </c>
      <c r="D97" s="930"/>
      <c r="F97" s="929">
        <f>AVERAGE(D96:F96)</f>
        <v>0.22480956962249413</v>
      </c>
      <c r="H97" s="900"/>
      <c r="J97" s="900"/>
    </row>
    <row r="98" spans="2:32" ht="12.75" customHeight="1">
      <c r="E98" s="1872" t="s">
        <v>206</v>
      </c>
      <c r="F98" s="918" t="s">
        <v>569</v>
      </c>
      <c r="G98" s="951">
        <v>6000</v>
      </c>
      <c r="H98" s="935">
        <v>12000</v>
      </c>
      <c r="I98" s="876">
        <v>24000</v>
      </c>
      <c r="J98" s="935">
        <v>43000</v>
      </c>
    </row>
    <row r="99" spans="2:32" ht="12.75" customHeight="1">
      <c r="E99" s="1873"/>
      <c r="F99" s="931" t="s">
        <v>58</v>
      </c>
      <c r="G99">
        <f>G98*G100</f>
        <v>2400</v>
      </c>
      <c r="H99" s="900">
        <f>H98*H100</f>
        <v>4800</v>
      </c>
      <c r="I99">
        <f>I98*I100</f>
        <v>9600</v>
      </c>
      <c r="J99" s="900">
        <f>J98*J100</f>
        <v>19350</v>
      </c>
    </row>
    <row r="100" spans="2:32" ht="12.75" customHeight="1">
      <c r="E100" s="1874"/>
      <c r="F100" s="932" t="s">
        <v>339</v>
      </c>
      <c r="G100" s="897">
        <v>0.4</v>
      </c>
      <c r="H100" s="901">
        <v>0.4</v>
      </c>
      <c r="I100" s="897">
        <v>0.4</v>
      </c>
      <c r="J100" s="901">
        <v>0.45</v>
      </c>
      <c r="K100" s="1480" t="s">
        <v>570</v>
      </c>
      <c r="L100" s="1480" t="s">
        <v>571</v>
      </c>
      <c r="M100" s="1480" t="s">
        <v>572</v>
      </c>
      <c r="N100" s="1480">
        <v>2031</v>
      </c>
      <c r="O100" s="1480">
        <v>2032</v>
      </c>
      <c r="P100" s="1480">
        <v>2033</v>
      </c>
      <c r="Q100" s="1480">
        <v>2034</v>
      </c>
      <c r="R100" s="1480">
        <v>2035</v>
      </c>
      <c r="S100" s="1480">
        <v>2036</v>
      </c>
      <c r="T100" s="1480">
        <v>2037</v>
      </c>
      <c r="U100" s="1480">
        <v>2038</v>
      </c>
      <c r="V100" s="1480">
        <v>2039</v>
      </c>
      <c r="W100" s="1480">
        <v>2040</v>
      </c>
      <c r="X100" s="1480">
        <v>2041</v>
      </c>
      <c r="Y100" s="1480">
        <v>2042</v>
      </c>
      <c r="Z100" s="1480">
        <v>2043</v>
      </c>
      <c r="AA100" s="1480">
        <v>2044</v>
      </c>
      <c r="AB100" s="1480">
        <v>2045</v>
      </c>
      <c r="AC100" s="1480">
        <v>2046</v>
      </c>
      <c r="AD100" s="1480">
        <v>2047</v>
      </c>
      <c r="AE100" s="1480">
        <v>2048</v>
      </c>
      <c r="AF100" s="1480">
        <v>2049</v>
      </c>
    </row>
    <row r="101" spans="2:32" ht="12.75" customHeight="1">
      <c r="C101" s="939"/>
      <c r="E101" s="1872" t="s">
        <v>573</v>
      </c>
      <c r="F101" s="931" t="s">
        <v>510</v>
      </c>
      <c r="G101" s="947">
        <f>G98+G94</f>
        <v>11196.8</v>
      </c>
      <c r="H101" s="948">
        <f>H98+H94</f>
        <v>16157.44</v>
      </c>
      <c r="I101" s="947">
        <f>I98+I94</f>
        <v>27118.080000000002</v>
      </c>
      <c r="J101" s="948">
        <f>J98+J94</f>
        <v>45182.656000000003</v>
      </c>
      <c r="K101" s="955">
        <f>J101*(1+K102)</f>
        <v>67773.983999999997</v>
      </c>
      <c r="L101" s="955">
        <f t="shared" ref="L101:AF101" si="7">K101*(1+L102)</f>
        <v>94883.57759999999</v>
      </c>
      <c r="M101" s="955">
        <f t="shared" si="7"/>
        <v>128092.82975999999</v>
      </c>
      <c r="N101" s="955">
        <f t="shared" si="7"/>
        <v>172925.32017600001</v>
      </c>
      <c r="O101" s="955">
        <f t="shared" si="7"/>
        <v>233449.18223760003</v>
      </c>
      <c r="P101" s="955">
        <f t="shared" si="7"/>
        <v>303483.93690888007</v>
      </c>
      <c r="Q101" s="955">
        <f t="shared" si="7"/>
        <v>394529.11798154411</v>
      </c>
      <c r="R101" s="955">
        <f t="shared" si="7"/>
        <v>473434.94157785294</v>
      </c>
      <c r="S101" s="955">
        <f t="shared" si="7"/>
        <v>568121.92989342345</v>
      </c>
      <c r="T101" s="955">
        <f t="shared" si="7"/>
        <v>681746.3158721081</v>
      </c>
      <c r="U101" s="955">
        <f t="shared" si="7"/>
        <v>818095.57904652972</v>
      </c>
      <c r="V101" s="955">
        <f t="shared" si="7"/>
        <v>981714.69485583564</v>
      </c>
      <c r="W101" s="955">
        <f t="shared" si="7"/>
        <v>1128971.8990842109</v>
      </c>
      <c r="X101" s="955">
        <f t="shared" si="7"/>
        <v>1241869.088992632</v>
      </c>
      <c r="Y101" s="955">
        <f t="shared" si="7"/>
        <v>1366055.9978918952</v>
      </c>
      <c r="Z101" s="955">
        <f t="shared" si="7"/>
        <v>1502661.5976810849</v>
      </c>
      <c r="AA101" s="955">
        <f t="shared" si="7"/>
        <v>1652927.7574491934</v>
      </c>
      <c r="AB101" s="955">
        <f t="shared" si="7"/>
        <v>1818220.5331941128</v>
      </c>
      <c r="AC101" s="955">
        <f t="shared" si="7"/>
        <v>2000042.5865135242</v>
      </c>
      <c r="AD101" s="955">
        <f t="shared" si="7"/>
        <v>2200046.8451648769</v>
      </c>
      <c r="AE101" s="955">
        <f t="shared" si="7"/>
        <v>2420051.529681365</v>
      </c>
      <c r="AF101" s="955">
        <f t="shared" si="7"/>
        <v>2662056.6826495016</v>
      </c>
    </row>
    <row r="102" spans="2:32" ht="12.75" customHeight="1">
      <c r="C102" s="939"/>
      <c r="E102" s="1873"/>
      <c r="F102" s="931" t="s">
        <v>179</v>
      </c>
      <c r="G102" s="949">
        <f>G101/F94-1</f>
        <v>0.72364532019704431</v>
      </c>
      <c r="H102" s="950">
        <f>H101/G101-1</f>
        <v>0.44304086881966298</v>
      </c>
      <c r="I102" s="949">
        <f>I101/H101-1</f>
        <v>0.67836488948744367</v>
      </c>
      <c r="J102" s="950">
        <f>J101/I101-1</f>
        <v>0.66614509581799308</v>
      </c>
      <c r="K102" s="950">
        <v>0.5</v>
      </c>
      <c r="L102" s="950">
        <v>0.4</v>
      </c>
      <c r="M102" s="950">
        <v>0.35</v>
      </c>
      <c r="N102" s="950">
        <v>0.35</v>
      </c>
      <c r="O102" s="950">
        <v>0.35</v>
      </c>
      <c r="P102" s="950">
        <v>0.3</v>
      </c>
      <c r="Q102" s="950">
        <v>0.3</v>
      </c>
      <c r="R102" s="950">
        <v>0.2</v>
      </c>
      <c r="S102" s="950">
        <v>0.2</v>
      </c>
      <c r="T102" s="950">
        <v>0.2</v>
      </c>
      <c r="U102" s="950">
        <v>0.2</v>
      </c>
      <c r="V102" s="950">
        <v>0.2</v>
      </c>
      <c r="W102" s="950">
        <v>0.15</v>
      </c>
      <c r="X102" s="950">
        <v>0.1</v>
      </c>
      <c r="Y102" s="950">
        <v>0.1</v>
      </c>
      <c r="Z102" s="950">
        <v>0.1</v>
      </c>
      <c r="AA102" s="950">
        <v>0.1</v>
      </c>
      <c r="AB102" s="950">
        <v>0.1</v>
      </c>
      <c r="AC102" s="950">
        <v>0.1</v>
      </c>
      <c r="AD102" s="950">
        <v>0.1</v>
      </c>
      <c r="AE102" s="950">
        <v>0.1</v>
      </c>
      <c r="AF102" s="950">
        <v>0.1</v>
      </c>
    </row>
    <row r="103" spans="2:32" ht="12.75" customHeight="1">
      <c r="C103" s="939"/>
      <c r="E103" s="1873"/>
      <c r="F103" s="931" t="s">
        <v>58</v>
      </c>
      <c r="G103" s="923">
        <f>G99+G95</f>
        <v>3699.2</v>
      </c>
      <c r="H103" s="898">
        <f>H99+H95</f>
        <v>5964.0832</v>
      </c>
      <c r="I103" s="923">
        <f>I99+I95</f>
        <v>10535.424000000001</v>
      </c>
      <c r="J103" s="898">
        <f>J99+J95</f>
        <v>20092.103040000002</v>
      </c>
      <c r="K103" s="948">
        <f>K101*K104</f>
        <v>33886.991999999998</v>
      </c>
      <c r="L103" s="948">
        <f t="shared" ref="L103:AF103" si="8">L101*L104</f>
        <v>47441.788799999995</v>
      </c>
      <c r="M103" s="948">
        <f t="shared" si="8"/>
        <v>64046.414879999997</v>
      </c>
      <c r="N103" s="948">
        <f t="shared" si="8"/>
        <v>86462.660088000004</v>
      </c>
      <c r="O103" s="948">
        <f t="shared" si="8"/>
        <v>116724.59111880002</v>
      </c>
      <c r="P103" s="948">
        <f t="shared" si="8"/>
        <v>151741.96845444004</v>
      </c>
      <c r="Q103" s="948">
        <f t="shared" si="8"/>
        <v>197264.55899077206</v>
      </c>
      <c r="R103" s="948">
        <f t="shared" si="8"/>
        <v>236717.47078892647</v>
      </c>
      <c r="S103" s="948">
        <f t="shared" si="8"/>
        <v>284060.96494671173</v>
      </c>
      <c r="T103" s="948">
        <f t="shared" si="8"/>
        <v>340873.15793605405</v>
      </c>
      <c r="U103" s="948">
        <f t="shared" si="8"/>
        <v>409047.78952326486</v>
      </c>
      <c r="V103" s="948">
        <f t="shared" si="8"/>
        <v>490857.34742791782</v>
      </c>
      <c r="W103" s="948">
        <f t="shared" si="8"/>
        <v>564485.94954210543</v>
      </c>
      <c r="X103" s="948">
        <f t="shared" si="8"/>
        <v>620934.544496316</v>
      </c>
      <c r="Y103" s="948">
        <f t="shared" si="8"/>
        <v>683027.99894594762</v>
      </c>
      <c r="Z103" s="948">
        <f t="shared" si="8"/>
        <v>751330.79884054244</v>
      </c>
      <c r="AA103" s="948">
        <f t="shared" si="8"/>
        <v>826463.8787245967</v>
      </c>
      <c r="AB103" s="948">
        <f t="shared" si="8"/>
        <v>909110.26659705641</v>
      </c>
      <c r="AC103" s="948">
        <f t="shared" si="8"/>
        <v>1000021.2932567621</v>
      </c>
      <c r="AD103" s="948">
        <f t="shared" si="8"/>
        <v>1100023.4225824384</v>
      </c>
      <c r="AE103" s="948">
        <f t="shared" si="8"/>
        <v>1210025.7648406825</v>
      </c>
      <c r="AF103" s="948">
        <f t="shared" si="8"/>
        <v>1331028.3413247508</v>
      </c>
    </row>
    <row r="104" spans="2:32" ht="12.75" customHeight="1">
      <c r="B104" s="939"/>
      <c r="C104" s="939"/>
      <c r="E104" s="1874"/>
      <c r="F104" s="932" t="s">
        <v>513</v>
      </c>
      <c r="G104" s="897">
        <f>G103/G101</f>
        <v>0.33038010860245787</v>
      </c>
      <c r="H104" s="901">
        <f>H103/H101</f>
        <v>0.36912302939079455</v>
      </c>
      <c r="I104" s="897">
        <f>I103/I101</f>
        <v>0.38850184083828943</v>
      </c>
      <c r="J104" s="901">
        <f>J103/J101</f>
        <v>0.44468618754948802</v>
      </c>
      <c r="K104" s="901">
        <v>0.5</v>
      </c>
      <c r="L104" s="901">
        <v>0.5</v>
      </c>
      <c r="M104" s="901">
        <v>0.5</v>
      </c>
      <c r="N104" s="901">
        <v>0.5</v>
      </c>
      <c r="O104" s="901">
        <v>0.5</v>
      </c>
      <c r="P104" s="901">
        <v>0.5</v>
      </c>
      <c r="Q104" s="901">
        <v>0.5</v>
      </c>
      <c r="R104" s="901">
        <v>0.5</v>
      </c>
      <c r="S104" s="901">
        <v>0.5</v>
      </c>
      <c r="T104" s="901">
        <v>0.5</v>
      </c>
      <c r="U104" s="901">
        <v>0.5</v>
      </c>
      <c r="V104" s="901">
        <v>0.5</v>
      </c>
      <c r="W104" s="901">
        <v>0.5</v>
      </c>
      <c r="X104" s="901">
        <v>0.5</v>
      </c>
      <c r="Y104" s="901">
        <v>0.5</v>
      </c>
      <c r="Z104" s="901">
        <v>0.5</v>
      </c>
      <c r="AA104" s="901">
        <v>0.5</v>
      </c>
      <c r="AB104" s="901">
        <v>0.5</v>
      </c>
      <c r="AC104" s="901">
        <v>0.5</v>
      </c>
      <c r="AD104" s="901">
        <v>0.5</v>
      </c>
      <c r="AE104" s="901">
        <v>0.5</v>
      </c>
      <c r="AF104" s="901">
        <v>0.5</v>
      </c>
    </row>
    <row r="106" spans="2:32" ht="12.75" customHeight="1">
      <c r="D106" s="1481">
        <v>2021</v>
      </c>
      <c r="E106" s="1482">
        <v>2022</v>
      </c>
      <c r="F106" s="1481">
        <v>2023</v>
      </c>
      <c r="G106" s="961" t="s">
        <v>574</v>
      </c>
      <c r="H106" s="960" t="s">
        <v>575</v>
      </c>
      <c r="I106" s="1483" t="s">
        <v>576</v>
      </c>
      <c r="J106" s="1480" t="s">
        <v>577</v>
      </c>
      <c r="K106" s="1480" t="s">
        <v>570</v>
      </c>
      <c r="L106" s="1480" t="s">
        <v>571</v>
      </c>
      <c r="M106" s="1480" t="s">
        <v>572</v>
      </c>
      <c r="N106" s="1480">
        <v>2031</v>
      </c>
      <c r="O106" s="1480">
        <v>2032</v>
      </c>
      <c r="P106" s="1480">
        <v>2033</v>
      </c>
      <c r="Q106" s="1480">
        <v>2034</v>
      </c>
      <c r="R106" s="1480">
        <v>2035</v>
      </c>
      <c r="S106" s="1480">
        <v>2036</v>
      </c>
      <c r="T106" s="1480">
        <v>2037</v>
      </c>
      <c r="U106" s="1480">
        <v>2038</v>
      </c>
      <c r="V106" s="1480">
        <v>2039</v>
      </c>
      <c r="W106" s="1480">
        <v>2040</v>
      </c>
      <c r="X106" s="1480">
        <v>2041</v>
      </c>
      <c r="Y106" s="1480">
        <v>2042</v>
      </c>
      <c r="Z106" s="1480">
        <v>2043</v>
      </c>
      <c r="AA106" s="1480">
        <v>2044</v>
      </c>
      <c r="AB106" s="1480">
        <v>2045</v>
      </c>
      <c r="AC106" s="1480">
        <v>2046</v>
      </c>
      <c r="AD106" s="1480">
        <v>2047</v>
      </c>
      <c r="AE106" s="1480">
        <v>2048</v>
      </c>
      <c r="AF106" s="1480">
        <v>2049</v>
      </c>
    </row>
    <row r="107" spans="2:32" ht="12.75" customHeight="1">
      <c r="B107" s="1872" t="s">
        <v>578</v>
      </c>
      <c r="C107" s="1484" t="s">
        <v>510</v>
      </c>
      <c r="D107" s="935">
        <v>6887</v>
      </c>
      <c r="E107" s="876">
        <v>6201</v>
      </c>
      <c r="F107" s="935">
        <v>4651</v>
      </c>
      <c r="G107" s="955">
        <f t="shared" ref="G107" si="9">F107*(1+G108)</f>
        <v>5116.1000000000004</v>
      </c>
      <c r="H107" s="955">
        <f>G107*(1+H108)</f>
        <v>6395.125</v>
      </c>
      <c r="I107" s="955">
        <f t="shared" ref="I107:AF107" si="10">H107*(1+I108)</f>
        <v>9208.98</v>
      </c>
      <c r="J107" s="955">
        <f t="shared" si="10"/>
        <v>13260.931199999999</v>
      </c>
      <c r="K107" s="955">
        <f t="shared" si="10"/>
        <v>17239.21056</v>
      </c>
      <c r="L107" s="955">
        <f t="shared" si="10"/>
        <v>20687.052671999998</v>
      </c>
      <c r="M107" s="955">
        <f t="shared" si="10"/>
        <v>24824.463206399996</v>
      </c>
      <c r="N107" s="955">
        <f t="shared" si="10"/>
        <v>29789.355847679995</v>
      </c>
      <c r="O107" s="955">
        <f t="shared" si="10"/>
        <v>35747.227017215992</v>
      </c>
      <c r="P107" s="955">
        <f t="shared" si="10"/>
        <v>42896.67242065919</v>
      </c>
      <c r="Q107" s="955">
        <f t="shared" si="10"/>
        <v>51476.006904791029</v>
      </c>
      <c r="R107" s="955">
        <f t="shared" si="10"/>
        <v>59197.407940509678</v>
      </c>
      <c r="S107" s="955">
        <f t="shared" si="10"/>
        <v>68077.01913158613</v>
      </c>
      <c r="T107" s="955">
        <f t="shared" si="10"/>
        <v>78288.57200132405</v>
      </c>
      <c r="U107" s="955">
        <f t="shared" si="10"/>
        <v>90031.857801522652</v>
      </c>
      <c r="V107" s="955">
        <f t="shared" si="10"/>
        <v>103536.63647175104</v>
      </c>
      <c r="W107" s="955">
        <f t="shared" si="10"/>
        <v>119067.13194251369</v>
      </c>
      <c r="X107" s="955">
        <f t="shared" si="10"/>
        <v>130973.84513676507</v>
      </c>
      <c r="Y107" s="955">
        <f t="shared" si="10"/>
        <v>144071.22965044159</v>
      </c>
      <c r="Z107" s="955">
        <f t="shared" si="10"/>
        <v>158478.35261548575</v>
      </c>
      <c r="AA107" s="955">
        <f t="shared" si="10"/>
        <v>174326.18787703433</v>
      </c>
      <c r="AB107" s="955">
        <f t="shared" si="10"/>
        <v>188272.28290719708</v>
      </c>
      <c r="AC107" s="955">
        <f t="shared" si="10"/>
        <v>203334.06553977286</v>
      </c>
      <c r="AD107" s="955">
        <f t="shared" si="10"/>
        <v>219600.79078295469</v>
      </c>
      <c r="AE107" s="955">
        <f t="shared" si="10"/>
        <v>237168.85404559108</v>
      </c>
      <c r="AF107" s="955">
        <f t="shared" si="10"/>
        <v>251398.98528832657</v>
      </c>
    </row>
    <row r="108" spans="2:32" ht="12.75" customHeight="1">
      <c r="B108" s="1873"/>
      <c r="C108" s="1485" t="s">
        <v>179</v>
      </c>
      <c r="D108" s="900"/>
      <c r="E108" s="154">
        <f>E107/D107-1</f>
        <v>-9.9607957020473314E-2</v>
      </c>
      <c r="F108" s="936">
        <f t="shared" ref="F108" si="11">F107/E107-1</f>
        <v>-0.24995968392194812</v>
      </c>
      <c r="G108" s="949">
        <v>0.10000000000000009</v>
      </c>
      <c r="H108" s="950">
        <v>0.25</v>
      </c>
      <c r="I108" s="949">
        <v>0.43999999999999995</v>
      </c>
      <c r="J108" s="950">
        <v>0.43999999999999995</v>
      </c>
      <c r="K108" s="950">
        <v>0.3</v>
      </c>
      <c r="L108" s="950">
        <v>0.2</v>
      </c>
      <c r="M108" s="950">
        <v>0.2</v>
      </c>
      <c r="N108" s="950">
        <v>0.2</v>
      </c>
      <c r="O108" s="950">
        <v>0.2</v>
      </c>
      <c r="P108" s="950">
        <v>0.2</v>
      </c>
      <c r="Q108" s="950">
        <v>0.2</v>
      </c>
      <c r="R108" s="950">
        <v>0.15</v>
      </c>
      <c r="S108" s="950">
        <v>0.15</v>
      </c>
      <c r="T108" s="950">
        <v>0.15</v>
      </c>
      <c r="U108" s="950">
        <v>0.15</v>
      </c>
      <c r="V108" s="950">
        <v>0.15</v>
      </c>
      <c r="W108" s="950">
        <v>0.15</v>
      </c>
      <c r="X108" s="950">
        <v>0.1</v>
      </c>
      <c r="Y108" s="950">
        <v>0.1</v>
      </c>
      <c r="Z108" s="950">
        <v>0.1</v>
      </c>
      <c r="AA108" s="950">
        <v>0.1</v>
      </c>
      <c r="AB108" s="950">
        <v>0.08</v>
      </c>
      <c r="AC108" s="950">
        <v>0.08</v>
      </c>
      <c r="AD108" s="950">
        <v>0.08</v>
      </c>
      <c r="AE108" s="950">
        <v>0.08</v>
      </c>
      <c r="AF108" s="950">
        <v>0.06</v>
      </c>
    </row>
    <row r="109" spans="2:32" ht="12.75" customHeight="1">
      <c r="B109" s="1873"/>
      <c r="C109" s="1485" t="s">
        <v>58</v>
      </c>
      <c r="D109" s="900">
        <v>2088</v>
      </c>
      <c r="E109">
        <v>1190</v>
      </c>
      <c r="F109" s="900">
        <v>-46</v>
      </c>
      <c r="G109" s="947">
        <f>G107*G110</f>
        <v>511.61000000000007</v>
      </c>
      <c r="H109" s="948">
        <f>H107*H110</f>
        <v>959.26874999999995</v>
      </c>
      <c r="I109" s="947">
        <f>I107*I110</f>
        <v>3683.5920000000001</v>
      </c>
      <c r="J109" s="948">
        <f>J107*J110</f>
        <v>5304.37248</v>
      </c>
      <c r="K109" s="948">
        <f>K107*K110</f>
        <v>7757.6447520000002</v>
      </c>
      <c r="L109" s="948">
        <f t="shared" ref="L109:AF109" si="12">L107*L110</f>
        <v>9309.1737023999995</v>
      </c>
      <c r="M109" s="948">
        <f t="shared" si="12"/>
        <v>11171.008442879998</v>
      </c>
      <c r="N109" s="948">
        <f t="shared" si="12"/>
        <v>13405.210131455999</v>
      </c>
      <c r="O109" s="948">
        <f t="shared" si="12"/>
        <v>16086.252157747196</v>
      </c>
      <c r="P109" s="948">
        <f t="shared" si="12"/>
        <v>19303.502589296637</v>
      </c>
      <c r="Q109" s="948">
        <f t="shared" si="12"/>
        <v>25738.003452395515</v>
      </c>
      <c r="R109" s="948">
        <f t="shared" si="12"/>
        <v>26638.833573229356</v>
      </c>
      <c r="S109" s="948">
        <f t="shared" si="12"/>
        <v>30634.658609213759</v>
      </c>
      <c r="T109" s="948">
        <f t="shared" si="12"/>
        <v>35229.857400595822</v>
      </c>
      <c r="U109" s="948">
        <f t="shared" si="12"/>
        <v>40514.336010685198</v>
      </c>
      <c r="V109" s="948">
        <f t="shared" si="12"/>
        <v>46591.486412287974</v>
      </c>
      <c r="W109" s="948">
        <f t="shared" si="12"/>
        <v>53580.209374131162</v>
      </c>
      <c r="X109" s="948">
        <f t="shared" si="12"/>
        <v>58938.230311544285</v>
      </c>
      <c r="Y109" s="948">
        <f t="shared" si="12"/>
        <v>64832.053342698717</v>
      </c>
      <c r="Z109" s="948">
        <f t="shared" si="12"/>
        <v>71315.258676968588</v>
      </c>
      <c r="AA109" s="948">
        <f t="shared" si="12"/>
        <v>78446.784544665454</v>
      </c>
      <c r="AB109" s="948">
        <f t="shared" si="12"/>
        <v>84722.527308238685</v>
      </c>
      <c r="AC109" s="948">
        <f t="shared" si="12"/>
        <v>91500.329492897785</v>
      </c>
      <c r="AD109" s="948">
        <f t="shared" si="12"/>
        <v>98820.355852329609</v>
      </c>
      <c r="AE109" s="948">
        <f t="shared" si="12"/>
        <v>106725.98432051599</v>
      </c>
      <c r="AF109" s="948">
        <f t="shared" si="12"/>
        <v>113129.54337974696</v>
      </c>
    </row>
    <row r="110" spans="2:32" ht="12.75" customHeight="1">
      <c r="B110" s="1874"/>
      <c r="C110" s="1486" t="s">
        <v>513</v>
      </c>
      <c r="D110" s="956">
        <f>D109/F107</f>
        <v>0.44893571274994626</v>
      </c>
      <c r="E110" s="957">
        <f>E109/E107</f>
        <v>0.19190453152717304</v>
      </c>
      <c r="F110" s="956">
        <f>F109/D107</f>
        <v>-6.6792507623057934E-3</v>
      </c>
      <c r="G110" s="958">
        <v>0.1</v>
      </c>
      <c r="H110" s="959">
        <v>0.15</v>
      </c>
      <c r="I110" s="897">
        <v>0.4</v>
      </c>
      <c r="J110" s="901">
        <v>0.4</v>
      </c>
      <c r="K110" s="901">
        <v>0.45</v>
      </c>
      <c r="L110" s="901">
        <v>0.45</v>
      </c>
      <c r="M110" s="901">
        <v>0.45</v>
      </c>
      <c r="N110" s="901">
        <v>0.45</v>
      </c>
      <c r="O110" s="901">
        <v>0.45</v>
      </c>
      <c r="P110" s="901">
        <v>0.45</v>
      </c>
      <c r="Q110" s="901">
        <v>0.5</v>
      </c>
      <c r="R110" s="901">
        <v>0.45</v>
      </c>
      <c r="S110" s="901">
        <v>0.45</v>
      </c>
      <c r="T110" s="901">
        <v>0.45</v>
      </c>
      <c r="U110" s="901">
        <v>0.45</v>
      </c>
      <c r="V110" s="901">
        <v>0.45</v>
      </c>
      <c r="W110" s="901">
        <v>0.45</v>
      </c>
      <c r="X110" s="901">
        <v>0.45</v>
      </c>
      <c r="Y110" s="901">
        <v>0.45</v>
      </c>
      <c r="Z110" s="901">
        <v>0.45</v>
      </c>
      <c r="AA110" s="901">
        <v>0.45</v>
      </c>
      <c r="AB110" s="901">
        <v>0.45</v>
      </c>
      <c r="AC110" s="901">
        <v>0.45</v>
      </c>
      <c r="AD110" s="901">
        <v>0.45</v>
      </c>
      <c r="AE110" s="901">
        <v>0.45</v>
      </c>
      <c r="AF110" s="901">
        <v>0.45</v>
      </c>
    </row>
    <row r="112" spans="2:32" ht="12.75" customHeight="1">
      <c r="D112" s="1481">
        <v>2021</v>
      </c>
      <c r="E112" s="1482">
        <v>2022</v>
      </c>
      <c r="F112" s="1481">
        <v>2023</v>
      </c>
      <c r="G112" s="961" t="s">
        <v>574</v>
      </c>
      <c r="H112" s="960" t="s">
        <v>575</v>
      </c>
      <c r="I112" s="1483" t="s">
        <v>576</v>
      </c>
      <c r="J112" s="1480" t="s">
        <v>577</v>
      </c>
      <c r="K112" s="1480" t="s">
        <v>570</v>
      </c>
      <c r="L112" s="1480" t="s">
        <v>571</v>
      </c>
      <c r="M112" s="1480" t="s">
        <v>572</v>
      </c>
      <c r="N112" s="1480">
        <v>2031</v>
      </c>
      <c r="O112" s="1480">
        <v>2032</v>
      </c>
      <c r="P112" s="1480">
        <v>2033</v>
      </c>
      <c r="Q112" s="1480">
        <v>2034</v>
      </c>
      <c r="R112" s="1480">
        <v>2035</v>
      </c>
      <c r="S112" s="1480">
        <v>2036</v>
      </c>
      <c r="T112" s="1480">
        <v>2037</v>
      </c>
      <c r="U112" s="1480">
        <v>2038</v>
      </c>
      <c r="V112" s="1480">
        <v>2039</v>
      </c>
      <c r="W112" s="1480">
        <v>2040</v>
      </c>
      <c r="X112" s="1480">
        <v>2041</v>
      </c>
      <c r="Y112" s="1480">
        <v>2042</v>
      </c>
      <c r="Z112" s="1480">
        <v>2043</v>
      </c>
      <c r="AA112" s="1480">
        <v>2044</v>
      </c>
      <c r="AB112" s="1480">
        <v>2045</v>
      </c>
      <c r="AC112" s="1480">
        <v>2046</v>
      </c>
      <c r="AD112" s="1480">
        <v>2047</v>
      </c>
      <c r="AE112" s="1480">
        <v>2048</v>
      </c>
      <c r="AF112" s="1480">
        <v>2049</v>
      </c>
    </row>
    <row r="113" spans="2:32" ht="12.75" customHeight="1">
      <c r="B113" s="1487"/>
      <c r="C113" s="1484" t="s">
        <v>510</v>
      </c>
      <c r="D113" s="935">
        <v>3694</v>
      </c>
      <c r="E113" s="876">
        <v>6043</v>
      </c>
      <c r="F113" s="935">
        <v>6496</v>
      </c>
      <c r="G113" s="954">
        <f>F113*(1+G114)</f>
        <v>5846.4000000000005</v>
      </c>
      <c r="H113" s="955">
        <f t="shared" ref="H113" si="13">G113*(1+H114)</f>
        <v>7308.0000000000009</v>
      </c>
      <c r="I113" s="954">
        <f t="shared" ref="I113" si="14">H113*(1+I114)</f>
        <v>9135.0000000000018</v>
      </c>
      <c r="J113" s="955">
        <f t="shared" ref="J113" si="15">I113*(1+J114)</f>
        <v>10962.000000000002</v>
      </c>
      <c r="K113" s="955">
        <f t="shared" ref="K113" si="16">J113*(1+K114)</f>
        <v>15346.800000000001</v>
      </c>
      <c r="L113" s="955">
        <f t="shared" ref="L113" si="17">K113*(1+L114)</f>
        <v>18416.16</v>
      </c>
      <c r="M113" s="955">
        <f t="shared" ref="M113" si="18">L113*(1+M114)</f>
        <v>19336.968000000001</v>
      </c>
      <c r="N113" s="955">
        <f t="shared" ref="N113" si="19">M113*(1+N114)</f>
        <v>20303.816400000003</v>
      </c>
      <c r="O113" s="955">
        <f t="shared" ref="O113" si="20">N113*(1+O114)</f>
        <v>21319.007220000003</v>
      </c>
      <c r="P113" s="955">
        <f t="shared" ref="P113" si="21">O113*(1+P114)</f>
        <v>23450.907942000005</v>
      </c>
      <c r="Q113" s="955">
        <f t="shared" ref="Q113" si="22">P113*(1+Q114)</f>
        <v>25795.998736200007</v>
      </c>
      <c r="R113" s="955">
        <f t="shared" ref="R113" si="23">Q113*(1+R114)</f>
        <v>28375.598609820008</v>
      </c>
      <c r="S113" s="955">
        <f t="shared" ref="S113" si="24">R113*(1+S114)</f>
        <v>31213.158470802013</v>
      </c>
      <c r="T113" s="955">
        <f t="shared" ref="T113" si="25">S113*(1+T114)</f>
        <v>34334.474317882217</v>
      </c>
      <c r="U113" s="955">
        <f t="shared" ref="U113" si="26">T113*(1+U114)</f>
        <v>37767.921749670444</v>
      </c>
      <c r="V113" s="955">
        <f t="shared" ref="V113" si="27">U113*(1+V114)</f>
        <v>41544.713924637494</v>
      </c>
      <c r="W113" s="955">
        <f t="shared" ref="W113" si="28">V113*(1+W114)</f>
        <v>45699.185317101248</v>
      </c>
      <c r="X113" s="955">
        <f t="shared" ref="X113" si="29">W113*(1+X114)</f>
        <v>50269.103848811377</v>
      </c>
      <c r="Y113" s="955">
        <f t="shared" ref="Y113" si="30">X113*(1+Y114)</f>
        <v>55296.01423369252</v>
      </c>
      <c r="Z113" s="955">
        <f t="shared" ref="Z113" si="31">Y113*(1+Z114)</f>
        <v>60825.615657061775</v>
      </c>
      <c r="AA113" s="955">
        <f t="shared" ref="AA113" si="32">Z113*(1+AA114)</f>
        <v>66908.177222767961</v>
      </c>
      <c r="AB113" s="955">
        <f t="shared" ref="AB113" si="33">AA113*(1+AB114)</f>
        <v>73598.99494504476</v>
      </c>
      <c r="AC113" s="955">
        <f t="shared" ref="AC113" si="34">AB113*(1+AC114)</f>
        <v>80958.894439549244</v>
      </c>
      <c r="AD113" s="955">
        <f t="shared" ref="AD113" si="35">AC113*(1+AD114)</f>
        <v>89054.783883504177</v>
      </c>
      <c r="AE113" s="955">
        <f t="shared" ref="AE113" si="36">AD113*(1+AE114)</f>
        <v>97960.262271854604</v>
      </c>
      <c r="AF113" s="955">
        <f t="shared" ref="AF113" si="37">AE113*(1+AF114)</f>
        <v>107756.28849904008</v>
      </c>
    </row>
    <row r="114" spans="2:32" ht="12.75" customHeight="1">
      <c r="B114" s="1488"/>
      <c r="C114" s="1485" t="s">
        <v>179</v>
      </c>
      <c r="D114" s="900"/>
      <c r="E114" s="154">
        <f>E113/D113-1</f>
        <v>0.63589604764482943</v>
      </c>
      <c r="F114" s="936">
        <f t="shared" ref="F114" si="38">F113/E113-1</f>
        <v>7.4962766837663342E-2</v>
      </c>
      <c r="G114" s="949">
        <v>-0.1</v>
      </c>
      <c r="H114" s="950">
        <v>0.25</v>
      </c>
      <c r="I114" s="949">
        <v>0.25</v>
      </c>
      <c r="J114" s="950">
        <v>0.2</v>
      </c>
      <c r="K114" s="950">
        <v>0.4</v>
      </c>
      <c r="L114" s="950">
        <v>0.2</v>
      </c>
      <c r="M114" s="950">
        <v>0.05</v>
      </c>
      <c r="N114" s="950">
        <v>0.05</v>
      </c>
      <c r="O114" s="950">
        <v>0.05</v>
      </c>
      <c r="P114" s="950">
        <v>0.1</v>
      </c>
      <c r="Q114" s="950">
        <v>0.1</v>
      </c>
      <c r="R114" s="950">
        <v>0.1</v>
      </c>
      <c r="S114" s="950">
        <v>0.1</v>
      </c>
      <c r="T114" s="950">
        <v>0.1</v>
      </c>
      <c r="U114" s="950">
        <v>0.1</v>
      </c>
      <c r="V114" s="950">
        <v>0.1</v>
      </c>
      <c r="W114" s="950">
        <v>0.1</v>
      </c>
      <c r="X114" s="950">
        <v>0.1</v>
      </c>
      <c r="Y114" s="950">
        <v>0.1</v>
      </c>
      <c r="Z114" s="950">
        <v>0.1</v>
      </c>
      <c r="AA114" s="950">
        <v>0.1</v>
      </c>
      <c r="AB114" s="950">
        <v>0.1</v>
      </c>
      <c r="AC114" s="950">
        <v>0.1</v>
      </c>
      <c r="AD114" s="950">
        <v>0.1</v>
      </c>
      <c r="AE114" s="950">
        <v>0.1</v>
      </c>
      <c r="AF114" s="950">
        <v>0.1</v>
      </c>
    </row>
    <row r="115" spans="2:32" ht="12.75" customHeight="1">
      <c r="B115" s="1488" t="s">
        <v>193</v>
      </c>
      <c r="C115" s="1485" t="s">
        <v>58</v>
      </c>
      <c r="D115" s="900">
        <v>971</v>
      </c>
      <c r="E115">
        <v>953</v>
      </c>
      <c r="F115" s="900">
        <v>934</v>
      </c>
      <c r="G115" s="947">
        <f>G113*G116</f>
        <v>1461.6000000000001</v>
      </c>
      <c r="H115" s="948">
        <f>H113*H116</f>
        <v>2046.2400000000005</v>
      </c>
      <c r="I115" s="947">
        <f>I113*I116</f>
        <v>2740.5000000000005</v>
      </c>
      <c r="J115" s="948">
        <f>J113*J116</f>
        <v>3288.6000000000004</v>
      </c>
      <c r="K115" s="948">
        <f>K113*K116</f>
        <v>4604.04</v>
      </c>
      <c r="L115" s="948">
        <f t="shared" ref="L115:AF115" si="39">L113*L116</f>
        <v>5524.848</v>
      </c>
      <c r="M115" s="948">
        <f t="shared" si="39"/>
        <v>6767.9387999999999</v>
      </c>
      <c r="N115" s="948">
        <f t="shared" si="39"/>
        <v>7106.3357400000004</v>
      </c>
      <c r="O115" s="948">
        <f t="shared" si="39"/>
        <v>8527.6028880000013</v>
      </c>
      <c r="P115" s="948">
        <f t="shared" si="39"/>
        <v>9380.3631768000032</v>
      </c>
      <c r="Q115" s="948">
        <f t="shared" si="39"/>
        <v>11608.199431290002</v>
      </c>
      <c r="R115" s="948">
        <f t="shared" si="39"/>
        <v>12769.019374419004</v>
      </c>
      <c r="S115" s="948">
        <f t="shared" si="39"/>
        <v>14045.921311860906</v>
      </c>
      <c r="T115" s="948">
        <f t="shared" si="39"/>
        <v>15450.513443046999</v>
      </c>
      <c r="U115" s="948">
        <f t="shared" si="39"/>
        <v>16995.564787351701</v>
      </c>
      <c r="V115" s="948">
        <f t="shared" si="39"/>
        <v>18695.121266086873</v>
      </c>
      <c r="W115" s="948">
        <f t="shared" si="39"/>
        <v>18279.674126840499</v>
      </c>
      <c r="X115" s="948">
        <f t="shared" si="39"/>
        <v>20107.641539524553</v>
      </c>
      <c r="Y115" s="948">
        <f t="shared" si="39"/>
        <v>22118.405693477009</v>
      </c>
      <c r="Z115" s="948">
        <f t="shared" si="39"/>
        <v>24330.246262824712</v>
      </c>
      <c r="AA115" s="948">
        <f t="shared" si="39"/>
        <v>26763.270889107185</v>
      </c>
      <c r="AB115" s="948">
        <f t="shared" si="39"/>
        <v>29439.597978017904</v>
      </c>
      <c r="AC115" s="948">
        <f t="shared" si="39"/>
        <v>32383.5577758197</v>
      </c>
      <c r="AD115" s="948">
        <f t="shared" si="39"/>
        <v>35621.913553401675</v>
      </c>
      <c r="AE115" s="948">
        <f t="shared" si="39"/>
        <v>39184.104908741843</v>
      </c>
      <c r="AF115" s="948">
        <f t="shared" si="39"/>
        <v>43102.515399616037</v>
      </c>
    </row>
    <row r="116" spans="2:32" ht="12.75" customHeight="1">
      <c r="B116" s="1489"/>
      <c r="C116" s="1486" t="s">
        <v>513</v>
      </c>
      <c r="D116" s="956">
        <f>D115/F113</f>
        <v>0.14947660098522167</v>
      </c>
      <c r="E116" s="957">
        <f>E115/E113</f>
        <v>0.15770312758563626</v>
      </c>
      <c r="F116" s="956">
        <f>F115/D113</f>
        <v>0.25284244721169463</v>
      </c>
      <c r="G116" s="958">
        <v>0.25</v>
      </c>
      <c r="H116" s="959">
        <v>0.28000000000000003</v>
      </c>
      <c r="I116" s="897">
        <v>0.3</v>
      </c>
      <c r="J116" s="901">
        <v>0.3</v>
      </c>
      <c r="K116" s="901">
        <v>0.3</v>
      </c>
      <c r="L116" s="901">
        <v>0.3</v>
      </c>
      <c r="M116" s="901">
        <v>0.35</v>
      </c>
      <c r="N116" s="901">
        <v>0.35</v>
      </c>
      <c r="O116" s="901">
        <v>0.4</v>
      </c>
      <c r="P116" s="901">
        <v>0.4</v>
      </c>
      <c r="Q116" s="901">
        <v>0.45</v>
      </c>
      <c r="R116" s="901">
        <v>0.45</v>
      </c>
      <c r="S116" s="901">
        <v>0.45</v>
      </c>
      <c r="T116" s="901">
        <v>0.45</v>
      </c>
      <c r="U116" s="901">
        <v>0.45</v>
      </c>
      <c r="V116" s="901">
        <v>0.45</v>
      </c>
      <c r="W116" s="901">
        <v>0.4</v>
      </c>
      <c r="X116" s="901">
        <v>0.4</v>
      </c>
      <c r="Y116" s="901">
        <v>0.4</v>
      </c>
      <c r="Z116" s="901">
        <v>0.4</v>
      </c>
      <c r="AA116" s="901">
        <v>0.4</v>
      </c>
      <c r="AB116" s="901">
        <v>0.4</v>
      </c>
      <c r="AC116" s="901">
        <v>0.4</v>
      </c>
      <c r="AD116" s="901">
        <v>0.4</v>
      </c>
      <c r="AE116" s="901">
        <v>0.4</v>
      </c>
      <c r="AF116" s="901">
        <v>0.4</v>
      </c>
    </row>
    <row r="119" spans="2:32" ht="12.75" customHeight="1">
      <c r="D119" s="1481">
        <v>2021</v>
      </c>
      <c r="E119" s="1482">
        <v>2022</v>
      </c>
      <c r="F119" s="1481">
        <v>2023</v>
      </c>
      <c r="G119" s="961" t="s">
        <v>574</v>
      </c>
      <c r="H119" s="960" t="s">
        <v>575</v>
      </c>
      <c r="I119" s="1483" t="s">
        <v>576</v>
      </c>
      <c r="J119" s="1480" t="s">
        <v>577</v>
      </c>
      <c r="K119" s="1480" t="s">
        <v>570</v>
      </c>
      <c r="L119" s="1480" t="s">
        <v>571</v>
      </c>
      <c r="M119" s="1480" t="s">
        <v>572</v>
      </c>
      <c r="N119" s="1480">
        <v>2031</v>
      </c>
      <c r="O119" s="1480">
        <v>2032</v>
      </c>
      <c r="P119" s="1480">
        <v>2033</v>
      </c>
      <c r="Q119" s="1480">
        <v>2034</v>
      </c>
      <c r="R119" s="1480">
        <v>2035</v>
      </c>
      <c r="S119" s="1480">
        <v>2036</v>
      </c>
      <c r="T119" s="1480">
        <v>2037</v>
      </c>
      <c r="U119" s="1480">
        <v>2038</v>
      </c>
      <c r="V119" s="1480">
        <v>2039</v>
      </c>
      <c r="W119" s="1480">
        <v>2040</v>
      </c>
      <c r="X119" s="1480">
        <v>2041</v>
      </c>
      <c r="Y119" s="1480">
        <v>2042</v>
      </c>
      <c r="Z119" s="1480">
        <v>2043</v>
      </c>
      <c r="AA119" s="1480">
        <v>2044</v>
      </c>
      <c r="AB119" s="1480">
        <v>2045</v>
      </c>
      <c r="AC119" s="1480">
        <v>2046</v>
      </c>
      <c r="AD119" s="1480">
        <v>2047</v>
      </c>
      <c r="AE119" s="1480">
        <v>2048</v>
      </c>
      <c r="AF119" s="1480">
        <v>2049</v>
      </c>
    </row>
    <row r="120" spans="2:32" ht="12.75" customHeight="1">
      <c r="B120" s="1487"/>
      <c r="C120" s="1484" t="s">
        <v>510</v>
      </c>
      <c r="D120" s="935">
        <v>246</v>
      </c>
      <c r="E120" s="876">
        <v>4552</v>
      </c>
      <c r="F120" s="935">
        <v>5321</v>
      </c>
      <c r="G120" s="954">
        <f>F120*1.17</f>
        <v>6225.57</v>
      </c>
      <c r="H120" s="955">
        <f t="shared" ref="H120" si="40">G120*1.17</f>
        <v>7283.9168999999993</v>
      </c>
      <c r="I120" s="954">
        <f t="shared" ref="I120" si="41">H120*1.17</f>
        <v>8522.1827729999986</v>
      </c>
      <c r="J120" s="955">
        <f t="shared" ref="J120" si="42">I120*1.17</f>
        <v>9970.9538444099981</v>
      </c>
      <c r="K120" s="955">
        <f>J120*(1+K121)</f>
        <v>11965.144613291997</v>
      </c>
      <c r="L120" s="955">
        <f t="shared" ref="L120" si="43">K120*(1+L121)</f>
        <v>14358.173535950396</v>
      </c>
      <c r="M120" s="955">
        <f t="shared" ref="M120" si="44">L120*(1+M121)</f>
        <v>17229.808243140476</v>
      </c>
      <c r="N120" s="955">
        <f t="shared" ref="N120" si="45">M120*(1+N121)</f>
        <v>20675.76989176857</v>
      </c>
      <c r="O120" s="955">
        <f t="shared" ref="O120" si="46">N120*(1+O121)</f>
        <v>24810.923870122282</v>
      </c>
      <c r="P120" s="955">
        <f t="shared" ref="P120" si="47">O120*(1+P121)</f>
        <v>29773.108644146738</v>
      </c>
      <c r="Q120" s="955">
        <f t="shared" ref="Q120" si="48">P120*(1+Q121)</f>
        <v>35727.730372976082</v>
      </c>
      <c r="R120" s="955">
        <f t="shared" ref="R120" si="49">Q120*(1+R121)</f>
        <v>41086.889928922494</v>
      </c>
      <c r="S120" s="955">
        <f t="shared" ref="S120" si="50">R120*(1+S121)</f>
        <v>47249.923418260863</v>
      </c>
      <c r="T120" s="955">
        <f t="shared" ref="T120" si="51">S120*(1+T121)</f>
        <v>54337.411930999988</v>
      </c>
      <c r="U120" s="955">
        <f t="shared" ref="U120" si="52">T120*(1+U121)</f>
        <v>62488.023720649981</v>
      </c>
      <c r="V120" s="955">
        <f t="shared" ref="V120" si="53">U120*(1+V121)</f>
        <v>71861.227278747465</v>
      </c>
      <c r="W120" s="955">
        <f t="shared" ref="W120" si="54">V120*(1+W121)</f>
        <v>82640.411370559581</v>
      </c>
      <c r="X120" s="955">
        <f t="shared" ref="X120" si="55">W120*(1+X121)</f>
        <v>95036.473076143506</v>
      </c>
      <c r="Y120" s="955">
        <f t="shared" ref="Y120" si="56">X120*(1+Y121)</f>
        <v>109291.94403756503</v>
      </c>
      <c r="Z120" s="955">
        <f t="shared" ref="Z120" si="57">Y120*(1+Z121)</f>
        <v>125685.73564319978</v>
      </c>
      <c r="AA120" s="955">
        <f t="shared" ref="AA120" si="58">Z120*(1+AA121)</f>
        <v>144538.59598967974</v>
      </c>
      <c r="AB120" s="955">
        <f t="shared" ref="AB120" si="59">AA120*(1+AB121)</f>
        <v>166219.38538813169</v>
      </c>
      <c r="AC120" s="955">
        <f t="shared" ref="AC120" si="60">AB120*(1+AC121)</f>
        <v>191152.29319635144</v>
      </c>
      <c r="AD120" s="955">
        <f t="shared" ref="AD120" si="61">AC120*(1+AD121)</f>
        <v>219825.13717580415</v>
      </c>
      <c r="AE120" s="955">
        <f t="shared" ref="AE120" si="62">AD120*(1+AE121)</f>
        <v>252798.90775217474</v>
      </c>
      <c r="AF120" s="955">
        <f t="shared" ref="AF120" si="63">AE120*(1+AF121)</f>
        <v>278078.79852739221</v>
      </c>
    </row>
    <row r="121" spans="2:32" ht="12.75" customHeight="1">
      <c r="B121" s="1488"/>
      <c r="C121" s="1485" t="s">
        <v>179</v>
      </c>
      <c r="D121" s="900"/>
      <c r="E121" s="154">
        <f>E120/D120-1</f>
        <v>17.504065040650406</v>
      </c>
      <c r="F121" s="936">
        <f t="shared" ref="F121" si="64">F120/E120-1</f>
        <v>0.16893673110720564</v>
      </c>
      <c r="G121" s="949">
        <f t="shared" ref="G121" si="65">G120/F120-1</f>
        <v>0.16999999999999993</v>
      </c>
      <c r="H121" s="950">
        <f t="shared" ref="H121" si="66">H120/G120-1</f>
        <v>0.16999999999999993</v>
      </c>
      <c r="I121" s="949">
        <f t="shared" ref="I121" si="67">I120/H120-1</f>
        <v>0.16999999999999993</v>
      </c>
      <c r="J121" s="950">
        <f t="shared" ref="J121" si="68">J120/I120-1</f>
        <v>0.16999999999999993</v>
      </c>
      <c r="K121" s="950">
        <v>0.2</v>
      </c>
      <c r="L121" s="950">
        <v>0.2</v>
      </c>
      <c r="M121" s="950">
        <v>0.2</v>
      </c>
      <c r="N121" s="950">
        <v>0.2</v>
      </c>
      <c r="O121" s="950">
        <v>0.2</v>
      </c>
      <c r="P121" s="950">
        <v>0.2</v>
      </c>
      <c r="Q121" s="950">
        <v>0.2</v>
      </c>
      <c r="R121" s="950">
        <v>0.15</v>
      </c>
      <c r="S121" s="950">
        <v>0.15</v>
      </c>
      <c r="T121" s="950">
        <v>0.15</v>
      </c>
      <c r="U121" s="950">
        <v>0.15</v>
      </c>
      <c r="V121" s="950">
        <v>0.15</v>
      </c>
      <c r="W121" s="950">
        <v>0.15</v>
      </c>
      <c r="X121" s="950">
        <v>0.15</v>
      </c>
      <c r="Y121" s="950">
        <v>0.15</v>
      </c>
      <c r="Z121" s="950">
        <v>0.15</v>
      </c>
      <c r="AA121" s="950">
        <v>0.15</v>
      </c>
      <c r="AB121" s="950">
        <v>0.15</v>
      </c>
      <c r="AC121" s="950">
        <v>0.15</v>
      </c>
      <c r="AD121" s="950">
        <v>0.15</v>
      </c>
      <c r="AE121" s="950">
        <v>0.15</v>
      </c>
      <c r="AF121" s="950">
        <v>0.1</v>
      </c>
    </row>
    <row r="122" spans="2:32" ht="12.75" customHeight="1">
      <c r="B122" s="1488" t="s">
        <v>194</v>
      </c>
      <c r="C122" s="1485" t="s">
        <v>58</v>
      </c>
      <c r="D122" s="900">
        <v>44</v>
      </c>
      <c r="E122">
        <v>2254</v>
      </c>
      <c r="F122" s="900">
        <v>2628</v>
      </c>
      <c r="G122" s="947">
        <f>G120*G123</f>
        <v>3112.7849999999999</v>
      </c>
      <c r="H122" s="948">
        <f>H120*H123</f>
        <v>3641.9584499999996</v>
      </c>
      <c r="I122" s="947">
        <f>I120*I123</f>
        <v>4261.0913864999993</v>
      </c>
      <c r="J122" s="948">
        <f>J120*J123</f>
        <v>4985.476922204999</v>
      </c>
      <c r="K122" s="948">
        <f>K120*K123</f>
        <v>5982.5723066459987</v>
      </c>
      <c r="L122" s="948">
        <f t="shared" ref="L122:AF122" si="69">L120*L123</f>
        <v>7179.0867679751982</v>
      </c>
      <c r="M122" s="948">
        <f t="shared" si="69"/>
        <v>8614.9041215702382</v>
      </c>
      <c r="N122" s="948">
        <f t="shared" si="69"/>
        <v>10337.884945884285</v>
      </c>
      <c r="O122" s="948">
        <f t="shared" si="69"/>
        <v>12405.461935061141</v>
      </c>
      <c r="P122" s="948">
        <f t="shared" si="69"/>
        <v>16375.209754280708</v>
      </c>
      <c r="Q122" s="948">
        <f t="shared" si="69"/>
        <v>19650.251705136849</v>
      </c>
      <c r="R122" s="948">
        <f t="shared" si="69"/>
        <v>22597.789460907374</v>
      </c>
      <c r="S122" s="948">
        <f t="shared" si="69"/>
        <v>25987.457880043476</v>
      </c>
      <c r="T122" s="948">
        <f t="shared" si="69"/>
        <v>29885.576562049995</v>
      </c>
      <c r="U122" s="948">
        <f t="shared" si="69"/>
        <v>34368.413046357491</v>
      </c>
      <c r="V122" s="948">
        <f t="shared" si="69"/>
        <v>39523.675003311109</v>
      </c>
      <c r="W122" s="948">
        <f t="shared" si="69"/>
        <v>45452.22625380777</v>
      </c>
      <c r="X122" s="948">
        <f t="shared" si="69"/>
        <v>47518.236538071753</v>
      </c>
      <c r="Y122" s="948">
        <f t="shared" si="69"/>
        <v>54645.972018782515</v>
      </c>
      <c r="Z122" s="948">
        <f t="shared" si="69"/>
        <v>62842.867821599888</v>
      </c>
      <c r="AA122" s="948">
        <f t="shared" si="69"/>
        <v>72269.297994839872</v>
      </c>
      <c r="AB122" s="948">
        <f t="shared" si="69"/>
        <v>83109.692694065845</v>
      </c>
      <c r="AC122" s="948">
        <f t="shared" si="69"/>
        <v>86018.531938358152</v>
      </c>
      <c r="AD122" s="948">
        <f t="shared" si="69"/>
        <v>98921.311729111869</v>
      </c>
      <c r="AE122" s="948">
        <f t="shared" si="69"/>
        <v>113759.50848847863</v>
      </c>
      <c r="AF122" s="948">
        <f t="shared" si="69"/>
        <v>125135.45933732649</v>
      </c>
    </row>
    <row r="123" spans="2:32" ht="12.75" customHeight="1">
      <c r="B123" s="1489"/>
      <c r="C123" s="1486" t="s">
        <v>513</v>
      </c>
      <c r="D123" s="956">
        <f t="shared" ref="D123:E123" si="70">D122/D120</f>
        <v>0.17886178861788618</v>
      </c>
      <c r="E123" s="956">
        <f t="shared" si="70"/>
        <v>0.49516695957820739</v>
      </c>
      <c r="F123" s="956">
        <f>F122/F120</f>
        <v>0.49389212554031198</v>
      </c>
      <c r="G123" s="958">
        <v>0.5</v>
      </c>
      <c r="H123" s="959">
        <v>0.5</v>
      </c>
      <c r="I123" s="897">
        <v>0.5</v>
      </c>
      <c r="J123" s="901">
        <v>0.5</v>
      </c>
      <c r="K123" s="901">
        <v>0.5</v>
      </c>
      <c r="L123" s="901">
        <v>0.5</v>
      </c>
      <c r="M123" s="901">
        <v>0.5</v>
      </c>
      <c r="N123" s="901">
        <v>0.5</v>
      </c>
      <c r="O123" s="901">
        <v>0.5</v>
      </c>
      <c r="P123" s="901">
        <v>0.55000000000000004</v>
      </c>
      <c r="Q123" s="901">
        <v>0.55000000000000004</v>
      </c>
      <c r="R123" s="901">
        <v>0.55000000000000004</v>
      </c>
      <c r="S123" s="901">
        <v>0.55000000000000004</v>
      </c>
      <c r="T123" s="901">
        <v>0.55000000000000004</v>
      </c>
      <c r="U123" s="901">
        <v>0.55000000000000004</v>
      </c>
      <c r="V123" s="901">
        <v>0.55000000000000004</v>
      </c>
      <c r="W123" s="901">
        <v>0.55000000000000004</v>
      </c>
      <c r="X123" s="901">
        <v>0.5</v>
      </c>
      <c r="Y123" s="901">
        <v>0.5</v>
      </c>
      <c r="Z123" s="901">
        <v>0.5</v>
      </c>
      <c r="AA123" s="901">
        <v>0.5</v>
      </c>
      <c r="AB123" s="901">
        <v>0.5</v>
      </c>
      <c r="AC123" s="901">
        <v>0.45</v>
      </c>
      <c r="AD123" s="901">
        <v>0.45</v>
      </c>
      <c r="AE123" s="901">
        <v>0.45</v>
      </c>
      <c r="AF123" s="901">
        <v>0.45</v>
      </c>
    </row>
    <row r="126" spans="2:32" ht="12.75" customHeight="1">
      <c r="D126" s="1481">
        <v>2021</v>
      </c>
      <c r="E126" s="1482">
        <v>2022</v>
      </c>
      <c r="F126" s="1481">
        <v>2023</v>
      </c>
      <c r="G126" s="961" t="s">
        <v>574</v>
      </c>
      <c r="H126" s="960" t="s">
        <v>575</v>
      </c>
      <c r="I126" s="1483" t="s">
        <v>576</v>
      </c>
      <c r="J126" s="1480" t="s">
        <v>577</v>
      </c>
      <c r="K126" s="1480" t="s">
        <v>570</v>
      </c>
      <c r="L126" s="1480" t="s">
        <v>571</v>
      </c>
      <c r="M126" s="1480" t="s">
        <v>572</v>
      </c>
      <c r="N126" s="1480">
        <v>2031</v>
      </c>
      <c r="O126" s="1480">
        <v>2032</v>
      </c>
      <c r="P126" s="1480">
        <v>2033</v>
      </c>
      <c r="Q126" s="1480">
        <v>2034</v>
      </c>
      <c r="R126" s="1480">
        <v>2035</v>
      </c>
      <c r="S126" s="1480">
        <v>2036</v>
      </c>
      <c r="T126" s="1480">
        <v>2037</v>
      </c>
      <c r="U126" s="1480">
        <v>2038</v>
      </c>
      <c r="V126" s="1480">
        <v>2039</v>
      </c>
      <c r="W126" s="1480">
        <v>2040</v>
      </c>
      <c r="X126" s="1480">
        <v>2041</v>
      </c>
      <c r="Y126" s="1480">
        <v>2042</v>
      </c>
      <c r="Z126" s="1480">
        <v>2043</v>
      </c>
      <c r="AA126" s="1480">
        <v>2044</v>
      </c>
      <c r="AB126" s="1480">
        <v>2045</v>
      </c>
      <c r="AC126" s="1480">
        <v>2046</v>
      </c>
      <c r="AD126" s="1480">
        <v>2047</v>
      </c>
      <c r="AE126" s="1480">
        <v>2048</v>
      </c>
      <c r="AF126" s="1480">
        <v>2049</v>
      </c>
    </row>
    <row r="127" spans="2:32" ht="12.75" customHeight="1">
      <c r="B127" s="1875" t="s">
        <v>579</v>
      </c>
      <c r="C127" s="1484" t="s">
        <v>510</v>
      </c>
      <c r="D127" s="912">
        <f>D120+D113+D107+D94</f>
        <v>14521</v>
      </c>
      <c r="E127" s="912">
        <f t="shared" ref="E127:F127" si="71">E120+E113+E107+E94</f>
        <v>22839</v>
      </c>
      <c r="F127" s="912">
        <f t="shared" si="71"/>
        <v>22964</v>
      </c>
      <c r="G127" s="964">
        <f>G120+G113+G107+G101</f>
        <v>28384.87</v>
      </c>
      <c r="H127" s="964">
        <f t="shared" ref="H127:J127" si="72">H120+H113+H107+H101</f>
        <v>37144.481899999999</v>
      </c>
      <c r="I127" s="964">
        <f t="shared" si="72"/>
        <v>53984.242773000005</v>
      </c>
      <c r="J127" s="966">
        <f t="shared" si="72"/>
        <v>79376.541044409998</v>
      </c>
      <c r="K127" s="955">
        <f t="shared" ref="K127:AF127" si="73">K120+K113+K107+K101</f>
        <v>112325.139173292</v>
      </c>
      <c r="L127" s="955">
        <f t="shared" si="73"/>
        <v>148344.96380795038</v>
      </c>
      <c r="M127" s="955">
        <f t="shared" si="73"/>
        <v>189484.06920954047</v>
      </c>
      <c r="N127" s="955">
        <f t="shared" si="73"/>
        <v>243694.26231544858</v>
      </c>
      <c r="O127" s="955">
        <f t="shared" si="73"/>
        <v>315326.34034493833</v>
      </c>
      <c r="P127" s="955">
        <f t="shared" si="73"/>
        <v>399604.62591568602</v>
      </c>
      <c r="Q127" s="955">
        <f t="shared" si="73"/>
        <v>507528.85399551119</v>
      </c>
      <c r="R127" s="955">
        <f t="shared" si="73"/>
        <v>602094.83805710508</v>
      </c>
      <c r="S127" s="955">
        <f t="shared" si="73"/>
        <v>714662.03091407241</v>
      </c>
      <c r="T127" s="955">
        <f t="shared" si="73"/>
        <v>848706.77412231429</v>
      </c>
      <c r="U127" s="955">
        <f t="shared" si="73"/>
        <v>1008383.3823183728</v>
      </c>
      <c r="V127" s="955">
        <f t="shared" si="73"/>
        <v>1198657.2725309716</v>
      </c>
      <c r="W127" s="955">
        <f t="shared" si="73"/>
        <v>1376378.6277143853</v>
      </c>
      <c r="X127" s="955">
        <f t="shared" si="73"/>
        <v>1518148.5110543519</v>
      </c>
      <c r="Y127" s="955">
        <f t="shared" si="73"/>
        <v>1674715.1858135944</v>
      </c>
      <c r="Z127" s="955">
        <f t="shared" si="73"/>
        <v>1847651.3015968322</v>
      </c>
      <c r="AA127" s="955">
        <f t="shared" si="73"/>
        <v>2038700.7185386755</v>
      </c>
      <c r="AB127" s="955">
        <f t="shared" si="73"/>
        <v>2246311.1964344862</v>
      </c>
      <c r="AC127" s="955">
        <f t="shared" si="73"/>
        <v>2475487.839689198</v>
      </c>
      <c r="AD127" s="955">
        <f t="shared" si="73"/>
        <v>2728527.55700714</v>
      </c>
      <c r="AE127" s="955">
        <f t="shared" si="73"/>
        <v>3007979.5537509853</v>
      </c>
      <c r="AF127" s="955">
        <f t="shared" si="73"/>
        <v>3299290.7549642604</v>
      </c>
    </row>
    <row r="128" spans="2:32" ht="12.75" customHeight="1">
      <c r="B128" s="1876"/>
      <c r="C128" s="1485" t="s">
        <v>179</v>
      </c>
      <c r="D128" s="963"/>
      <c r="E128" s="968">
        <f>E127/D127-1</f>
        <v>0.57282556297775633</v>
      </c>
      <c r="F128" s="968">
        <f>F127/E127-1</f>
        <v>5.4730942685756734E-3</v>
      </c>
      <c r="G128" s="968">
        <f t="shared" ref="G128" si="74">G127/F127-1</f>
        <v>0.23605948441038138</v>
      </c>
      <c r="H128" s="968">
        <f t="shared" ref="H128" si="75">H127/G127-1</f>
        <v>0.30860144506562825</v>
      </c>
      <c r="I128" s="968">
        <f t="shared" ref="I128" si="76">I127/H127-1</f>
        <v>0.45335834588663371</v>
      </c>
      <c r="J128" s="969">
        <f>J127/I127-1</f>
        <v>0.47036499850859892</v>
      </c>
      <c r="K128" s="1005">
        <f t="shared" ref="K128:AF128" si="77">K127/J127-1</f>
        <v>0.41509238995999787</v>
      </c>
      <c r="L128" s="1005">
        <f t="shared" si="77"/>
        <v>0.32067464950199631</v>
      </c>
      <c r="M128" s="1005">
        <f t="shared" si="77"/>
        <v>0.27732053954220781</v>
      </c>
      <c r="N128" s="1005">
        <f t="shared" si="77"/>
        <v>0.28609367179021206</v>
      </c>
      <c r="O128" s="1005">
        <f t="shared" si="77"/>
        <v>0.29394240696880281</v>
      </c>
      <c r="P128" s="1005">
        <f t="shared" si="77"/>
        <v>0.26727321757692324</v>
      </c>
      <c r="Q128" s="1005">
        <f t="shared" si="77"/>
        <v>0.27007752433425658</v>
      </c>
      <c r="R128" s="1005">
        <f t="shared" si="77"/>
        <v>0.18632632079363565</v>
      </c>
      <c r="S128" s="1005">
        <f t="shared" si="77"/>
        <v>0.1869592392125623</v>
      </c>
      <c r="T128" s="1005">
        <f t="shared" si="77"/>
        <v>0.18756382375148006</v>
      </c>
      <c r="U128" s="1005">
        <f t="shared" si="77"/>
        <v>0.18814107895060372</v>
      </c>
      <c r="V128" s="1005">
        <f t="shared" si="77"/>
        <v>0.18869201292780158</v>
      </c>
      <c r="W128" s="1005">
        <f t="shared" si="77"/>
        <v>0.14826703116575946</v>
      </c>
      <c r="X128" s="1005">
        <f t="shared" si="77"/>
        <v>0.10300209585162601</v>
      </c>
      <c r="Y128" s="1005">
        <f t="shared" si="77"/>
        <v>0.10313001239286335</v>
      </c>
      <c r="Z128" s="1005">
        <f t="shared" si="77"/>
        <v>0.10326300092587015</v>
      </c>
      <c r="AA128" s="1005">
        <f t="shared" si="77"/>
        <v>0.10340122986232791</v>
      </c>
      <c r="AB128" s="1005">
        <f t="shared" si="77"/>
        <v>0.10183470089941604</v>
      </c>
      <c r="AC128" s="1005">
        <f t="shared" si="77"/>
        <v>0.1020235502625273</v>
      </c>
      <c r="AD128" s="1005">
        <f t="shared" si="77"/>
        <v>0.1022181217217013</v>
      </c>
      <c r="AE128" s="1005">
        <f t="shared" si="77"/>
        <v>0.10241860890361321</v>
      </c>
      <c r="AF128" s="1005">
        <f t="shared" si="77"/>
        <v>9.6846137418057365E-2</v>
      </c>
    </row>
    <row r="129" spans="2:32" ht="12.75" customHeight="1">
      <c r="B129" s="1876"/>
      <c r="C129" s="1485" t="s">
        <v>580</v>
      </c>
      <c r="D129" s="963">
        <v>4094</v>
      </c>
      <c r="E129" s="963">
        <f>E109+E95+E115+E122</f>
        <v>5478</v>
      </c>
      <c r="F129" s="963">
        <f t="shared" ref="F129" si="78">F109+F95+F115+F122</f>
        <v>4783</v>
      </c>
      <c r="G129" s="965">
        <f>G122+G115+G109+G103</f>
        <v>8785.1949999999997</v>
      </c>
      <c r="H129" s="965">
        <f t="shared" ref="H129:I129" si="79">H122+H115+H109+H103</f>
        <v>12611.5504</v>
      </c>
      <c r="I129" s="965">
        <f t="shared" si="79"/>
        <v>21220.6073865</v>
      </c>
      <c r="J129" s="898">
        <f>J122+J115+J109+J103</f>
        <v>33670.552442205</v>
      </c>
      <c r="K129" s="948">
        <f t="shared" ref="K129:AF129" si="80">K122+K115+K109+K103</f>
        <v>52231.249058645997</v>
      </c>
      <c r="L129" s="948">
        <f t="shared" si="80"/>
        <v>69454.897270375193</v>
      </c>
      <c r="M129" s="948">
        <f t="shared" si="80"/>
        <v>90600.266244450235</v>
      </c>
      <c r="N129" s="948">
        <f t="shared" si="80"/>
        <v>117312.09090534029</v>
      </c>
      <c r="O129" s="948">
        <f t="shared" si="80"/>
        <v>153743.90809960835</v>
      </c>
      <c r="P129" s="948">
        <f t="shared" si="80"/>
        <v>196801.04397481738</v>
      </c>
      <c r="Q129" s="948">
        <f t="shared" si="80"/>
        <v>254261.01357959444</v>
      </c>
      <c r="R129" s="948">
        <f t="shared" si="80"/>
        <v>298723.11319748219</v>
      </c>
      <c r="S129" s="948">
        <f t="shared" si="80"/>
        <v>354729.00274782989</v>
      </c>
      <c r="T129" s="948">
        <f t="shared" si="80"/>
        <v>421439.10534174688</v>
      </c>
      <c r="U129" s="948">
        <f t="shared" si="80"/>
        <v>500926.10336765926</v>
      </c>
      <c r="V129" s="948">
        <f t="shared" si="80"/>
        <v>595667.63010960375</v>
      </c>
      <c r="W129" s="948">
        <f t="shared" si="80"/>
        <v>681798.05929688481</v>
      </c>
      <c r="X129" s="948">
        <f t="shared" si="80"/>
        <v>747498.65288545657</v>
      </c>
      <c r="Y129" s="948">
        <f t="shared" si="80"/>
        <v>824624.43000090588</v>
      </c>
      <c r="Z129" s="948">
        <f t="shared" si="80"/>
        <v>909819.17160193564</v>
      </c>
      <c r="AA129" s="948">
        <f t="shared" si="80"/>
        <v>1003943.2321532092</v>
      </c>
      <c r="AB129" s="948">
        <f t="shared" si="80"/>
        <v>1106382.0845773788</v>
      </c>
      <c r="AC129" s="948">
        <f t="shared" si="80"/>
        <v>1209923.7124638378</v>
      </c>
      <c r="AD129" s="948">
        <f t="shared" si="80"/>
        <v>1333387.0037172816</v>
      </c>
      <c r="AE129" s="948">
        <f t="shared" si="80"/>
        <v>1469695.3625584189</v>
      </c>
      <c r="AF129" s="948">
        <f t="shared" si="80"/>
        <v>1612395.8594414403</v>
      </c>
    </row>
    <row r="130" spans="2:32" ht="12.75" customHeight="1">
      <c r="B130" s="1876"/>
      <c r="C130" s="1485" t="s">
        <v>581</v>
      </c>
      <c r="D130" s="963">
        <v>-409</v>
      </c>
      <c r="E130" s="963">
        <v>-4979</v>
      </c>
      <c r="F130" s="963">
        <v>-4419</v>
      </c>
      <c r="G130" s="965">
        <f>G127*(-0.13-0.05-0.005)</f>
        <v>-5251.2009499999995</v>
      </c>
      <c r="H130" s="965">
        <f t="shared" ref="H130:J130" si="81">H127*(-0.13-0.05-0.005)</f>
        <v>-6871.7291514999997</v>
      </c>
      <c r="I130" s="965">
        <f t="shared" si="81"/>
        <v>-9987.084913005001</v>
      </c>
      <c r="J130" s="965">
        <f t="shared" si="81"/>
        <v>-14684.660093215849</v>
      </c>
      <c r="K130" s="948">
        <f>K127*(-0.12-0.06-0.005)</f>
        <v>-20780.150747059019</v>
      </c>
      <c r="L130" s="948">
        <f t="shared" ref="L130:M130" si="82">L127*(-0.12-0.06-0.005)</f>
        <v>-27443.81830447082</v>
      </c>
      <c r="M130" s="948">
        <f t="shared" si="82"/>
        <v>-35054.552803764986</v>
      </c>
      <c r="N130" s="948">
        <f>N127*(-0.035-0.06-0.12)</f>
        <v>-52394.26639782144</v>
      </c>
      <c r="O130" s="948">
        <f t="shared" ref="O130:Q130" si="83">O127*(-0.035-0.06-0.12)</f>
        <v>-67795.163174161746</v>
      </c>
      <c r="P130" s="948">
        <f t="shared" si="83"/>
        <v>-85914.994571872492</v>
      </c>
      <c r="Q130" s="948">
        <f t="shared" si="83"/>
        <v>-109118.7036090349</v>
      </c>
      <c r="R130" s="948">
        <f>R127*(-0.12-0.04-0.035)</f>
        <v>-117408.4934211355</v>
      </c>
      <c r="S130" s="948">
        <f t="shared" ref="S130:AF130" si="84">S127*(-0.12-0.04-0.035)</f>
        <v>-139359.09602824412</v>
      </c>
      <c r="T130" s="948">
        <f t="shared" si="84"/>
        <v>-165497.8209538513</v>
      </c>
      <c r="U130" s="948">
        <f t="shared" si="84"/>
        <v>-196634.75955208272</v>
      </c>
      <c r="V130" s="948">
        <f t="shared" si="84"/>
        <v>-233738.16814353946</v>
      </c>
      <c r="W130" s="948">
        <f t="shared" si="84"/>
        <v>-268393.83240430511</v>
      </c>
      <c r="X130" s="948">
        <f t="shared" si="84"/>
        <v>-296038.95965559862</v>
      </c>
      <c r="Y130" s="948">
        <f t="shared" si="84"/>
        <v>-326569.46123365092</v>
      </c>
      <c r="Z130" s="948">
        <f t="shared" si="84"/>
        <v>-360292.00381138228</v>
      </c>
      <c r="AA130" s="948">
        <f t="shared" si="84"/>
        <v>-397546.64011504175</v>
      </c>
      <c r="AB130" s="948">
        <f t="shared" si="84"/>
        <v>-438030.68330472481</v>
      </c>
      <c r="AC130" s="948">
        <f t="shared" si="84"/>
        <v>-482720.12873939361</v>
      </c>
      <c r="AD130" s="948">
        <f t="shared" si="84"/>
        <v>-532062.87361639237</v>
      </c>
      <c r="AE130" s="948">
        <f t="shared" si="84"/>
        <v>-586556.01298144215</v>
      </c>
      <c r="AF130" s="948">
        <f t="shared" si="84"/>
        <v>-643361.69721803081</v>
      </c>
    </row>
    <row r="131" spans="2:32" ht="12.75" customHeight="1">
      <c r="B131" s="1876"/>
      <c r="C131" s="1490" t="s">
        <v>58</v>
      </c>
      <c r="D131" s="1081">
        <f>D129+D130</f>
        <v>3685</v>
      </c>
      <c r="E131" s="1081">
        <f t="shared" ref="E131:AF131" si="85">E129+E130</f>
        <v>499</v>
      </c>
      <c r="F131" s="1081">
        <f t="shared" si="85"/>
        <v>364</v>
      </c>
      <c r="G131" s="1080">
        <f t="shared" si="85"/>
        <v>3533.9940500000002</v>
      </c>
      <c r="H131" s="1080">
        <f t="shared" si="85"/>
        <v>5739.8212485000004</v>
      </c>
      <c r="I131" s="1080">
        <f t="shared" si="85"/>
        <v>11233.522473494999</v>
      </c>
      <c r="J131" s="1095">
        <f t="shared" si="85"/>
        <v>18985.892348989153</v>
      </c>
      <c r="K131" s="1096">
        <f t="shared" si="85"/>
        <v>31451.098311586979</v>
      </c>
      <c r="L131" s="1096">
        <f t="shared" si="85"/>
        <v>42011.078965904373</v>
      </c>
      <c r="M131" s="1096">
        <f t="shared" si="85"/>
        <v>55545.713440685249</v>
      </c>
      <c r="N131" s="1096">
        <f t="shared" si="85"/>
        <v>64917.824507518846</v>
      </c>
      <c r="O131" s="1096">
        <f t="shared" si="85"/>
        <v>85948.744925446605</v>
      </c>
      <c r="P131" s="1096">
        <f t="shared" si="85"/>
        <v>110886.04940294489</v>
      </c>
      <c r="Q131" s="1096">
        <f t="shared" si="85"/>
        <v>145142.30997055955</v>
      </c>
      <c r="R131" s="1096">
        <f t="shared" si="85"/>
        <v>181314.61977634669</v>
      </c>
      <c r="S131" s="1096">
        <f t="shared" si="85"/>
        <v>215369.90671958576</v>
      </c>
      <c r="T131" s="1096">
        <f t="shared" si="85"/>
        <v>255941.28438789558</v>
      </c>
      <c r="U131" s="1096">
        <f t="shared" si="85"/>
        <v>304291.34381557652</v>
      </c>
      <c r="V131" s="1096">
        <f t="shared" si="85"/>
        <v>361929.46196606429</v>
      </c>
      <c r="W131" s="1096">
        <f t="shared" si="85"/>
        <v>413404.2268925797</v>
      </c>
      <c r="X131" s="1096">
        <f t="shared" si="85"/>
        <v>451459.69322985795</v>
      </c>
      <c r="Y131" s="1096">
        <f t="shared" si="85"/>
        <v>498054.96876725496</v>
      </c>
      <c r="Z131" s="1096">
        <f t="shared" si="85"/>
        <v>549527.1677905533</v>
      </c>
      <c r="AA131" s="1096">
        <f t="shared" si="85"/>
        <v>606396.59203816741</v>
      </c>
      <c r="AB131" s="1096">
        <f t="shared" si="85"/>
        <v>668351.40127265407</v>
      </c>
      <c r="AC131" s="1096">
        <f t="shared" si="85"/>
        <v>727203.58372444427</v>
      </c>
      <c r="AD131" s="1096">
        <f t="shared" si="85"/>
        <v>801324.13010088925</v>
      </c>
      <c r="AE131" s="1096">
        <f t="shared" si="85"/>
        <v>883139.34957697673</v>
      </c>
      <c r="AF131" s="1096">
        <f t="shared" si="85"/>
        <v>969034.16222340951</v>
      </c>
    </row>
    <row r="132" spans="2:32" ht="12.75" customHeight="1">
      <c r="B132" s="1876"/>
      <c r="C132" s="1490" t="s">
        <v>582</v>
      </c>
      <c r="D132" s="1097">
        <f>D131/D127</f>
        <v>0.25377040148750085</v>
      </c>
      <c r="E132" s="1097">
        <f t="shared" ref="E132:AF132" si="86">E131/E127</f>
        <v>2.1848592320154122E-2</v>
      </c>
      <c r="F132" s="1097">
        <f t="shared" si="86"/>
        <v>1.5850897056261977E-2</v>
      </c>
      <c r="G132" s="1097">
        <f t="shared" si="86"/>
        <v>0.1245027386068705</v>
      </c>
      <c r="H132" s="1097">
        <f t="shared" si="86"/>
        <v>0.1545268894570313</v>
      </c>
      <c r="I132" s="1097">
        <f t="shared" si="86"/>
        <v>0.20808891440287827</v>
      </c>
      <c r="J132" s="996">
        <f t="shared" si="86"/>
        <v>0.23918770078891227</v>
      </c>
      <c r="K132" s="1098">
        <f t="shared" si="86"/>
        <v>0.28000052831508293</v>
      </c>
      <c r="L132" s="1098">
        <f t="shared" si="86"/>
        <v>0.28319855212808265</v>
      </c>
      <c r="M132" s="1098">
        <f t="shared" si="86"/>
        <v>0.29314186502539252</v>
      </c>
      <c r="N132" s="1098">
        <f t="shared" si="86"/>
        <v>0.26639045125931754</v>
      </c>
      <c r="O132" s="1098">
        <f t="shared" si="86"/>
        <v>0.27257077487223713</v>
      </c>
      <c r="P132" s="1098">
        <f t="shared" si="86"/>
        <v>0.27748940380470249</v>
      </c>
      <c r="Q132" s="1098">
        <f t="shared" si="86"/>
        <v>0.28597844009838946</v>
      </c>
      <c r="R132" s="1098">
        <f t="shared" si="86"/>
        <v>0.30113963501402763</v>
      </c>
      <c r="S132" s="1098">
        <f t="shared" si="86"/>
        <v>0.30135910039060243</v>
      </c>
      <c r="T132" s="1098">
        <f t="shared" si="86"/>
        <v>0.30156620895665165</v>
      </c>
      <c r="U132" s="1098">
        <f t="shared" si="86"/>
        <v>0.30176156127839066</v>
      </c>
      <c r="V132" s="1098">
        <f t="shared" si="86"/>
        <v>0.30194574400891777</v>
      </c>
      <c r="W132" s="1098">
        <f t="shared" si="86"/>
        <v>0.30035647064578364</v>
      </c>
      <c r="X132" s="1098">
        <f t="shared" si="86"/>
        <v>0.29737518427384935</v>
      </c>
      <c r="Y132" s="1098">
        <f t="shared" si="86"/>
        <v>0.29739681886582675</v>
      </c>
      <c r="Z132" s="1098">
        <f t="shared" si="86"/>
        <v>0.29741930596732435</v>
      </c>
      <c r="AA132" s="1098">
        <f t="shared" si="86"/>
        <v>0.29744267342625341</v>
      </c>
      <c r="AB132" s="1098">
        <f t="shared" si="86"/>
        <v>0.2975328629147696</v>
      </c>
      <c r="AC132" s="1098">
        <f t="shared" si="86"/>
        <v>0.29376172731098771</v>
      </c>
      <c r="AD132" s="1098">
        <f t="shared" si="86"/>
        <v>0.29368372257887088</v>
      </c>
      <c r="AE132" s="1098">
        <f t="shared" si="86"/>
        <v>0.29359885391364837</v>
      </c>
      <c r="AF132" s="1098">
        <f t="shared" si="86"/>
        <v>0.29370984074845702</v>
      </c>
    </row>
    <row r="133" spans="2:32" ht="12.75" customHeight="1">
      <c r="B133" s="1877"/>
      <c r="C133" s="1486" t="s">
        <v>583</v>
      </c>
      <c r="D133" s="967">
        <f t="shared" ref="D133:J133" si="87">D129/D127</f>
        <v>0.28193650575029267</v>
      </c>
      <c r="E133" s="967">
        <f t="shared" si="87"/>
        <v>0.23985288322606069</v>
      </c>
      <c r="F133" s="967">
        <f t="shared" si="87"/>
        <v>0.20828252917610171</v>
      </c>
      <c r="G133" s="944">
        <f t="shared" si="87"/>
        <v>0.3095027386068705</v>
      </c>
      <c r="H133" s="944">
        <f t="shared" si="87"/>
        <v>0.3395268894570313</v>
      </c>
      <c r="I133" s="944">
        <f t="shared" si="87"/>
        <v>0.3930889144028783</v>
      </c>
      <c r="J133" s="959">
        <f t="shared" si="87"/>
        <v>0.42418770078891227</v>
      </c>
      <c r="K133" s="901">
        <f t="shared" ref="K133:AF133" si="88">K129/K127</f>
        <v>0.46500052831508293</v>
      </c>
      <c r="L133" s="901">
        <f t="shared" si="88"/>
        <v>0.4681985521280827</v>
      </c>
      <c r="M133" s="901">
        <f t="shared" si="88"/>
        <v>0.47814186502539252</v>
      </c>
      <c r="N133" s="901">
        <f t="shared" si="88"/>
        <v>0.48139045125931751</v>
      </c>
      <c r="O133" s="901">
        <f t="shared" si="88"/>
        <v>0.4875707748722371</v>
      </c>
      <c r="P133" s="901">
        <f t="shared" si="88"/>
        <v>0.49248940380470252</v>
      </c>
      <c r="Q133" s="901">
        <f t="shared" si="88"/>
        <v>0.50097844009838943</v>
      </c>
      <c r="R133" s="901">
        <f t="shared" si="88"/>
        <v>0.49613963501402764</v>
      </c>
      <c r="S133" s="901">
        <f t="shared" si="88"/>
        <v>0.49635910039060244</v>
      </c>
      <c r="T133" s="901">
        <f t="shared" si="88"/>
        <v>0.49656620895665166</v>
      </c>
      <c r="U133" s="901">
        <f t="shared" si="88"/>
        <v>0.49676156127839072</v>
      </c>
      <c r="V133" s="901">
        <f t="shared" si="88"/>
        <v>0.49694574400891772</v>
      </c>
      <c r="W133" s="901">
        <f t="shared" si="88"/>
        <v>0.49535647064578359</v>
      </c>
      <c r="X133" s="901">
        <f t="shared" si="88"/>
        <v>0.49237518427384935</v>
      </c>
      <c r="Y133" s="901">
        <f t="shared" si="88"/>
        <v>0.49239681886582681</v>
      </c>
      <c r="Z133" s="901">
        <f t="shared" si="88"/>
        <v>0.49241930596732436</v>
      </c>
      <c r="AA133" s="901">
        <f t="shared" si="88"/>
        <v>0.49244267342625342</v>
      </c>
      <c r="AB133" s="901">
        <f t="shared" si="88"/>
        <v>0.49253286291476955</v>
      </c>
      <c r="AC133" s="901">
        <f t="shared" si="88"/>
        <v>0.48876172731098771</v>
      </c>
      <c r="AD133" s="901">
        <f t="shared" si="88"/>
        <v>0.48868372257887094</v>
      </c>
      <c r="AE133" s="901">
        <f t="shared" si="88"/>
        <v>0.48859885391364838</v>
      </c>
      <c r="AF133" s="901">
        <f t="shared" si="88"/>
        <v>0.48870984074845703</v>
      </c>
    </row>
    <row r="136" spans="2:32" s="25" customFormat="1" ht="12.75" customHeight="1">
      <c r="B136" s="1491" t="s">
        <v>584</v>
      </c>
    </row>
    <row r="138" spans="2:32" ht="12.75" customHeight="1">
      <c r="B138" t="s">
        <v>585</v>
      </c>
    </row>
    <row r="140" spans="2:32" ht="12.75" customHeight="1">
      <c r="B140" t="s">
        <v>586</v>
      </c>
    </row>
    <row r="142" spans="2:32" ht="12.75" customHeight="1">
      <c r="M142" s="1492" t="s">
        <v>217</v>
      </c>
      <c r="N142" s="1493" t="s">
        <v>587</v>
      </c>
    </row>
    <row r="143" spans="2:32" ht="12.75" customHeight="1">
      <c r="L143" s="1875" t="s">
        <v>588</v>
      </c>
      <c r="M143" s="348" t="s">
        <v>589</v>
      </c>
      <c r="N143" s="1851" t="s">
        <v>590</v>
      </c>
    </row>
    <row r="144" spans="2:32" ht="12.75" customHeight="1">
      <c r="L144" s="1877"/>
      <c r="M144" s="894" t="s">
        <v>591</v>
      </c>
      <c r="N144" s="1852"/>
    </row>
    <row r="145" spans="2:15" ht="12.75" customHeight="1">
      <c r="B145" s="1861" t="s">
        <v>592</v>
      </c>
      <c r="C145" s="1862"/>
      <c r="D145" s="1862"/>
      <c r="E145" s="1862"/>
      <c r="F145" s="1862"/>
      <c r="G145" s="1862"/>
      <c r="H145" s="1862"/>
      <c r="I145" s="1863"/>
    </row>
    <row r="146" spans="2:15" ht="12.75" customHeight="1">
      <c r="B146" s="1858" t="s">
        <v>593</v>
      </c>
      <c r="C146" s="1859"/>
      <c r="D146" s="1859"/>
      <c r="E146" s="1859"/>
      <c r="F146" s="1859"/>
      <c r="G146" s="1859"/>
      <c r="H146" s="1859"/>
      <c r="I146" s="1860"/>
    </row>
    <row r="147" spans="2:15" ht="12.75" customHeight="1">
      <c r="B147" s="1856" t="s">
        <v>594</v>
      </c>
      <c r="C147" s="1857"/>
      <c r="D147" s="970"/>
      <c r="E147" s="1497" t="s">
        <v>595</v>
      </c>
      <c r="F147" s="1498"/>
      <c r="G147" s="1497" t="s">
        <v>559</v>
      </c>
      <c r="H147" s="1499"/>
      <c r="I147" s="1498"/>
      <c r="M147" s="154">
        <v>0.13</v>
      </c>
      <c r="N147" s="154">
        <v>0.12</v>
      </c>
    </row>
    <row r="148" spans="2:15" ht="12.75" customHeight="1">
      <c r="B148" s="1500" t="s">
        <v>119</v>
      </c>
      <c r="C148" s="1501" t="s">
        <v>596</v>
      </c>
      <c r="D148" s="1090" t="s">
        <v>561</v>
      </c>
      <c r="E148" s="1502" t="s">
        <v>597</v>
      </c>
      <c r="F148" s="1503" t="s">
        <v>561</v>
      </c>
      <c r="G148" s="1503" t="s">
        <v>562</v>
      </c>
      <c r="H148" s="1503" t="s">
        <v>563</v>
      </c>
      <c r="I148" s="1500" t="s">
        <v>561</v>
      </c>
    </row>
    <row r="149" spans="2:15" ht="12.75" customHeight="1">
      <c r="B149" s="886">
        <v>2023</v>
      </c>
      <c r="C149" s="348">
        <f t="shared" ref="C149:C152" si="89">C150/(1+D149)</f>
        <v>117.14560000000002</v>
      </c>
      <c r="D149" s="886"/>
      <c r="E149" s="906">
        <v>45</v>
      </c>
      <c r="F149" s="858"/>
      <c r="G149" s="861"/>
      <c r="H149" s="861"/>
      <c r="I149" s="907"/>
    </row>
    <row r="150" spans="2:15" ht="12.75" customHeight="1">
      <c r="B150" s="886">
        <v>2024</v>
      </c>
      <c r="C150" s="348">
        <f t="shared" si="89"/>
        <v>117.14560000000002</v>
      </c>
      <c r="D150" s="888">
        <v>0.25</v>
      </c>
      <c r="E150" s="908">
        <f>E149*(1+F150)</f>
        <v>56.707071335441732</v>
      </c>
      <c r="F150" s="860">
        <f>(E154/E149)^(1/5)-1</f>
        <v>0.260157140787594</v>
      </c>
      <c r="G150" s="1108">
        <v>4</v>
      </c>
      <c r="H150" s="860">
        <f>G150/E149</f>
        <v>8.8888888888888892E-2</v>
      </c>
      <c r="I150" s="886"/>
      <c r="M150" s="1063" t="s">
        <v>217</v>
      </c>
      <c r="N150" s="1090" t="s">
        <v>554</v>
      </c>
      <c r="O150" s="1504" t="s">
        <v>598</v>
      </c>
    </row>
    <row r="151" spans="2:15" ht="12.75" customHeight="1">
      <c r="B151" s="886">
        <v>2025</v>
      </c>
      <c r="C151" s="348">
        <f t="shared" si="89"/>
        <v>146.43200000000002</v>
      </c>
      <c r="D151" s="888">
        <v>0.25</v>
      </c>
      <c r="E151" s="908">
        <f t="shared" ref="E151:E153" si="90">E150*(1+F151)</f>
        <v>71.459820876508388</v>
      </c>
      <c r="F151" s="860">
        <v>0.260157140787594</v>
      </c>
      <c r="G151" s="909">
        <v>7</v>
      </c>
      <c r="H151" s="860">
        <f>G151/E150</f>
        <v>0.12344139514087414</v>
      </c>
      <c r="I151" s="886"/>
      <c r="L151" s="1505" t="s">
        <v>599</v>
      </c>
      <c r="M151" s="1009">
        <v>-0.05</v>
      </c>
      <c r="N151" s="1077">
        <v>-0.06</v>
      </c>
      <c r="O151" s="1077">
        <v>-0.04</v>
      </c>
    </row>
    <row r="152" spans="2:15" ht="12.75" customHeight="1">
      <c r="B152" s="886">
        <v>2026</v>
      </c>
      <c r="C152" s="348">
        <f t="shared" si="89"/>
        <v>183.04000000000002</v>
      </c>
      <c r="D152" s="888">
        <v>0.25</v>
      </c>
      <c r="E152" s="908">
        <f t="shared" si="90"/>
        <v>90.050603556934433</v>
      </c>
      <c r="F152" s="860">
        <v>0.260157140787594</v>
      </c>
      <c r="G152" s="909">
        <f>G151*1.5</f>
        <v>10.5</v>
      </c>
      <c r="H152" s="860">
        <f>G152/E151</f>
        <v>0.1469357167595666</v>
      </c>
      <c r="I152" s="886"/>
    </row>
    <row r="153" spans="2:15" ht="12.75" customHeight="1">
      <c r="B153" s="886">
        <v>2027</v>
      </c>
      <c r="C153" s="348">
        <f>C154/(1+D153)</f>
        <v>228.8</v>
      </c>
      <c r="D153" s="888">
        <v>0.25</v>
      </c>
      <c r="E153" s="908">
        <f t="shared" si="90"/>
        <v>113.47791110450363</v>
      </c>
      <c r="F153" s="860">
        <v>0.260157140787594</v>
      </c>
      <c r="G153" s="909">
        <f>G152*1.4</f>
        <v>14.7</v>
      </c>
      <c r="H153" s="860">
        <f>G153/E152</f>
        <v>0.16324154885542699</v>
      </c>
      <c r="I153" s="886"/>
    </row>
    <row r="154" spans="2:15" ht="12.75" customHeight="1">
      <c r="B154" s="887">
        <v>2028</v>
      </c>
      <c r="C154" s="885">
        <v>286</v>
      </c>
      <c r="D154" s="889">
        <v>0.25</v>
      </c>
      <c r="E154" s="910">
        <f>C154*0.5</f>
        <v>143</v>
      </c>
      <c r="F154" s="905">
        <v>0.260157140787594</v>
      </c>
      <c r="G154" s="911">
        <f>G153*1.4</f>
        <v>20.58</v>
      </c>
      <c r="H154" s="905">
        <f>G154/E153</f>
        <v>0.18135688082103965</v>
      </c>
      <c r="I154" s="889">
        <f>(G154/G151)^(1/3)-1</f>
        <v>0.43256975133133846</v>
      </c>
    </row>
    <row r="156" spans="2:15" ht="12.75" customHeight="1">
      <c r="B156" s="1469" t="s">
        <v>600</v>
      </c>
      <c r="L156" s="1506" t="s">
        <v>601</v>
      </c>
      <c r="M156" s="1026">
        <v>-5.0000000000000001E-3</v>
      </c>
    </row>
    <row r="157" spans="2:15" ht="12.75" customHeight="1">
      <c r="B157" t="s">
        <v>602</v>
      </c>
    </row>
    <row r="158" spans="2:15" ht="12.75" customHeight="1">
      <c r="B158" t="s">
        <v>603</v>
      </c>
    </row>
    <row r="162" spans="2:32" ht="12.75" customHeight="1" thickBot="1"/>
    <row r="163" spans="2:32" ht="12.75" customHeight="1" thickBot="1">
      <c r="D163" s="1473">
        <v>2021</v>
      </c>
      <c r="E163" s="1474">
        <v>2022</v>
      </c>
      <c r="F163" s="1473">
        <v>2023</v>
      </c>
      <c r="G163" s="937">
        <v>2024</v>
      </c>
      <c r="H163" s="938">
        <v>2025</v>
      </c>
      <c r="I163" s="1474">
        <v>2026</v>
      </c>
      <c r="J163" s="1473">
        <v>2027</v>
      </c>
    </row>
    <row r="164" spans="2:32" ht="12.75" customHeight="1">
      <c r="B164" s="1507"/>
      <c r="C164" s="1476" t="s">
        <v>510</v>
      </c>
      <c r="D164" s="900">
        <v>3694</v>
      </c>
      <c r="E164">
        <v>6043</v>
      </c>
      <c r="F164" s="900">
        <v>6496</v>
      </c>
      <c r="G164" s="947">
        <f>F164*0.85</f>
        <v>5521.5999999999995</v>
      </c>
      <c r="H164" s="948">
        <f>G164*0.85</f>
        <v>4693.3599999999997</v>
      </c>
      <c r="I164" s="947">
        <f>H164*0.8</f>
        <v>3754.6880000000001</v>
      </c>
      <c r="J164" s="948">
        <f>I164*0.8</f>
        <v>3003.7504000000004</v>
      </c>
    </row>
    <row r="165" spans="2:32" ht="12.75" customHeight="1">
      <c r="B165" s="1508" t="s">
        <v>567</v>
      </c>
      <c r="C165" s="11" t="s">
        <v>58</v>
      </c>
      <c r="D165" s="900">
        <v>991</v>
      </c>
      <c r="E165">
        <v>1081</v>
      </c>
      <c r="F165" s="900">
        <v>1267</v>
      </c>
      <c r="G165" s="947">
        <f>G164*G166</f>
        <v>1380.3999999999999</v>
      </c>
      <c r="H165" s="948">
        <f>H164*H166</f>
        <v>1314.1408000000001</v>
      </c>
      <c r="I165" s="947">
        <f>I164*I166</f>
        <v>1126.4064000000001</v>
      </c>
      <c r="J165" s="948">
        <f>J164*J166</f>
        <v>1021.2751360000002</v>
      </c>
    </row>
    <row r="166" spans="2:32" ht="12.75" customHeight="1">
      <c r="B166" s="1509" t="s">
        <v>568</v>
      </c>
      <c r="C166" s="11" t="s">
        <v>513</v>
      </c>
      <c r="D166" s="929">
        <f>D165/F164</f>
        <v>0.15255541871921183</v>
      </c>
      <c r="E166" s="917">
        <f>E165/E164</f>
        <v>0.17888465993711733</v>
      </c>
      <c r="F166" s="929">
        <f>F165/D164</f>
        <v>0.34298863021115322</v>
      </c>
      <c r="G166" s="949">
        <v>0.25</v>
      </c>
      <c r="H166" s="950">
        <v>0.28000000000000003</v>
      </c>
      <c r="I166" s="154">
        <v>0.3</v>
      </c>
      <c r="J166" s="936">
        <v>0.34</v>
      </c>
    </row>
    <row r="167" spans="2:32" ht="12.75" customHeight="1">
      <c r="B167" s="1510"/>
      <c r="C167" s="1472" t="s">
        <v>222</v>
      </c>
      <c r="D167" s="930"/>
      <c r="F167" s="929">
        <f>AVERAGE(D166:F166)</f>
        <v>0.22480956962249413</v>
      </c>
      <c r="H167" s="900"/>
      <c r="J167" s="900"/>
    </row>
    <row r="168" spans="2:32" ht="12.75" customHeight="1">
      <c r="E168" s="1853" t="s">
        <v>206</v>
      </c>
      <c r="F168" s="918" t="s">
        <v>569</v>
      </c>
      <c r="G168" s="951">
        <v>4000</v>
      </c>
      <c r="H168" s="935">
        <f>G151*1000</f>
        <v>7000</v>
      </c>
      <c r="I168" s="876">
        <v>11000</v>
      </c>
      <c r="J168" s="935">
        <v>15000</v>
      </c>
    </row>
    <row r="169" spans="2:32" ht="12.75" customHeight="1">
      <c r="E169" s="1854"/>
      <c r="F169" s="931" t="s">
        <v>58</v>
      </c>
      <c r="G169">
        <f>G168*G170</f>
        <v>1600</v>
      </c>
      <c r="H169" s="900">
        <f>H168*H170</f>
        <v>2800</v>
      </c>
      <c r="I169">
        <f>I168*I170</f>
        <v>4400</v>
      </c>
      <c r="J169" s="900">
        <f>J168*J170</f>
        <v>6750</v>
      </c>
    </row>
    <row r="170" spans="2:32" ht="12.75" customHeight="1">
      <c r="E170" s="1855"/>
      <c r="F170" s="932" t="s">
        <v>339</v>
      </c>
      <c r="G170" s="897">
        <v>0.4</v>
      </c>
      <c r="H170" s="901">
        <v>0.4</v>
      </c>
      <c r="I170" s="897">
        <v>0.4</v>
      </c>
      <c r="J170" s="901">
        <v>0.45</v>
      </c>
      <c r="K170" s="1480" t="s">
        <v>570</v>
      </c>
      <c r="L170" s="1480" t="s">
        <v>571</v>
      </c>
      <c r="M170" s="1480" t="s">
        <v>572</v>
      </c>
      <c r="N170" s="1480">
        <v>2031</v>
      </c>
      <c r="O170" s="1480">
        <v>2032</v>
      </c>
      <c r="P170" s="1480">
        <v>2033</v>
      </c>
      <c r="Q170" s="1480">
        <v>2034</v>
      </c>
      <c r="R170" s="1480">
        <v>2035</v>
      </c>
      <c r="S170" s="1480">
        <v>2036</v>
      </c>
      <c r="T170" s="1480">
        <v>2037</v>
      </c>
      <c r="U170" s="1480">
        <v>2038</v>
      </c>
      <c r="V170" s="1480">
        <v>2039</v>
      </c>
      <c r="W170" s="1480">
        <v>2040</v>
      </c>
      <c r="X170" s="1480">
        <v>2041</v>
      </c>
      <c r="Y170" s="1480">
        <v>2042</v>
      </c>
      <c r="Z170" s="1480">
        <v>2043</v>
      </c>
      <c r="AA170" s="1480">
        <v>2044</v>
      </c>
      <c r="AB170" s="1480">
        <v>2045</v>
      </c>
      <c r="AC170" s="1480">
        <v>2046</v>
      </c>
      <c r="AD170" s="1480">
        <v>2047</v>
      </c>
      <c r="AE170" s="1480">
        <v>2048</v>
      </c>
      <c r="AF170" s="1480">
        <v>2049</v>
      </c>
    </row>
    <row r="171" spans="2:32" ht="12.75" customHeight="1">
      <c r="C171" s="939"/>
      <c r="E171" s="1853" t="s">
        <v>573</v>
      </c>
      <c r="F171" s="931" t="s">
        <v>510</v>
      </c>
      <c r="G171" s="947">
        <f>G168+G164</f>
        <v>9521.5999999999985</v>
      </c>
      <c r="H171" s="948">
        <f>H168+H164</f>
        <v>11693.36</v>
      </c>
      <c r="I171" s="947">
        <f>I168+I164</f>
        <v>14754.688</v>
      </c>
      <c r="J171" s="948">
        <f>J168+J164</f>
        <v>18003.750400000001</v>
      </c>
      <c r="K171" s="955">
        <f>J171*(1+K172)</f>
        <v>22504.688000000002</v>
      </c>
      <c r="L171" s="955">
        <f t="shared" ref="L171:AF171" si="91">K171*(1+L172)</f>
        <v>28130.86</v>
      </c>
      <c r="M171" s="955">
        <f t="shared" si="91"/>
        <v>35163.574999999997</v>
      </c>
      <c r="N171" s="955">
        <f t="shared" si="91"/>
        <v>43954.46875</v>
      </c>
      <c r="O171" s="955">
        <f t="shared" si="91"/>
        <v>54943.0859375</v>
      </c>
      <c r="P171" s="955">
        <f t="shared" si="91"/>
        <v>68678.857421875</v>
      </c>
      <c r="Q171" s="955">
        <f t="shared" si="91"/>
        <v>85848.57177734375</v>
      </c>
      <c r="R171" s="955">
        <f t="shared" si="91"/>
        <v>103018.2861328125</v>
      </c>
      <c r="S171" s="955">
        <f t="shared" si="91"/>
        <v>123621.943359375</v>
      </c>
      <c r="T171" s="955">
        <f t="shared" si="91"/>
        <v>142165.23486328125</v>
      </c>
      <c r="U171" s="955">
        <f t="shared" si="91"/>
        <v>156381.75834960939</v>
      </c>
      <c r="V171" s="955">
        <f t="shared" si="91"/>
        <v>172019.93418457033</v>
      </c>
      <c r="W171" s="955">
        <f t="shared" si="91"/>
        <v>189221.92760302738</v>
      </c>
      <c r="X171" s="955">
        <f t="shared" si="91"/>
        <v>208144.12036333012</v>
      </c>
      <c r="Y171" s="955">
        <f t="shared" si="91"/>
        <v>228958.53239966315</v>
      </c>
      <c r="Z171" s="955">
        <f t="shared" si="91"/>
        <v>251854.38563962947</v>
      </c>
      <c r="AA171" s="955">
        <f t="shared" si="91"/>
        <v>277039.82420359243</v>
      </c>
      <c r="AB171" s="955">
        <f t="shared" si="91"/>
        <v>304743.80662395171</v>
      </c>
      <c r="AC171" s="955">
        <f t="shared" si="91"/>
        <v>335218.18728634692</v>
      </c>
      <c r="AD171" s="955">
        <f t="shared" si="91"/>
        <v>368740.00601498166</v>
      </c>
      <c r="AE171" s="955">
        <f t="shared" si="91"/>
        <v>405614.00661647983</v>
      </c>
      <c r="AF171" s="955">
        <f t="shared" si="91"/>
        <v>446175.40727812785</v>
      </c>
    </row>
    <row r="172" spans="2:32" ht="12.75" customHeight="1">
      <c r="C172" s="939"/>
      <c r="E172" s="1854"/>
      <c r="F172" s="931" t="s">
        <v>179</v>
      </c>
      <c r="G172" s="949">
        <f>G171/F164-1</f>
        <v>0.46576354679802923</v>
      </c>
      <c r="H172" s="950">
        <f>H171/G171-1</f>
        <v>0.22808771635019354</v>
      </c>
      <c r="I172" s="949">
        <f>I171/H171-1</f>
        <v>0.26180054321426849</v>
      </c>
      <c r="J172" s="950">
        <f>J171/I171-1</f>
        <v>0.22020542894570183</v>
      </c>
      <c r="K172" s="950">
        <v>0.25</v>
      </c>
      <c r="L172" s="950">
        <v>0.25</v>
      </c>
      <c r="M172" s="950">
        <v>0.25</v>
      </c>
      <c r="N172" s="950">
        <v>0.25</v>
      </c>
      <c r="O172" s="950">
        <v>0.25</v>
      </c>
      <c r="P172" s="950">
        <v>0.25</v>
      </c>
      <c r="Q172" s="950">
        <v>0.25</v>
      </c>
      <c r="R172" s="950">
        <v>0.2</v>
      </c>
      <c r="S172" s="950">
        <v>0.2</v>
      </c>
      <c r="T172" s="950">
        <v>0.15</v>
      </c>
      <c r="U172" s="950">
        <v>0.1</v>
      </c>
      <c r="V172" s="950">
        <v>0.1</v>
      </c>
      <c r="W172" s="950">
        <v>0.1</v>
      </c>
      <c r="X172" s="950">
        <v>0.1</v>
      </c>
      <c r="Y172" s="950">
        <v>0.1</v>
      </c>
      <c r="Z172" s="950">
        <v>0.1</v>
      </c>
      <c r="AA172" s="950">
        <v>0.1</v>
      </c>
      <c r="AB172" s="950">
        <v>0.1</v>
      </c>
      <c r="AC172" s="950">
        <v>0.1</v>
      </c>
      <c r="AD172" s="950">
        <v>0.1</v>
      </c>
      <c r="AE172" s="950">
        <v>0.1</v>
      </c>
      <c r="AF172" s="950">
        <v>0.1</v>
      </c>
    </row>
    <row r="173" spans="2:32" ht="12.75" customHeight="1">
      <c r="C173" s="939"/>
      <c r="E173" s="1854"/>
      <c r="F173" s="931" t="s">
        <v>58</v>
      </c>
      <c r="G173" s="923">
        <f>G169+G165</f>
        <v>2980.3999999999996</v>
      </c>
      <c r="H173" s="898">
        <f>H169+H165</f>
        <v>4114.1408000000001</v>
      </c>
      <c r="I173" s="923">
        <f>I169+I165</f>
        <v>5526.4063999999998</v>
      </c>
      <c r="J173" s="898">
        <f>J169+J165</f>
        <v>7771.2751360000002</v>
      </c>
      <c r="K173" s="948">
        <f>K171*K174</f>
        <v>10127.109600000002</v>
      </c>
      <c r="L173" s="948">
        <f t="shared" ref="L173:AF173" si="92">L171*L174</f>
        <v>11252.344000000001</v>
      </c>
      <c r="M173" s="948">
        <f t="shared" si="92"/>
        <v>14065.43</v>
      </c>
      <c r="N173" s="948">
        <f t="shared" si="92"/>
        <v>17581.787500000002</v>
      </c>
      <c r="O173" s="948">
        <f t="shared" si="92"/>
        <v>21977.234375</v>
      </c>
      <c r="P173" s="948">
        <f t="shared" si="92"/>
        <v>27471.54296875</v>
      </c>
      <c r="Q173" s="948">
        <f t="shared" si="92"/>
        <v>30047.000122070309</v>
      </c>
      <c r="R173" s="948">
        <f t="shared" si="92"/>
        <v>36056.400146484375</v>
      </c>
      <c r="S173" s="948">
        <f t="shared" si="92"/>
        <v>43267.68017578125</v>
      </c>
      <c r="T173" s="948">
        <f t="shared" si="92"/>
        <v>49757.832202148435</v>
      </c>
      <c r="U173" s="948">
        <f t="shared" si="92"/>
        <v>54733.615422363284</v>
      </c>
      <c r="V173" s="948">
        <f t="shared" si="92"/>
        <v>60206.976964599613</v>
      </c>
      <c r="W173" s="948">
        <f t="shared" si="92"/>
        <v>66227.674661059573</v>
      </c>
      <c r="X173" s="948">
        <f t="shared" si="92"/>
        <v>72850.44212716553</v>
      </c>
      <c r="Y173" s="948">
        <f t="shared" si="92"/>
        <v>80135.486339882103</v>
      </c>
      <c r="Z173" s="948">
        <f t="shared" si="92"/>
        <v>88149.034973870308</v>
      </c>
      <c r="AA173" s="948">
        <f t="shared" si="92"/>
        <v>96963.938471257352</v>
      </c>
      <c r="AB173" s="948">
        <f t="shared" si="92"/>
        <v>106660.33231838309</v>
      </c>
      <c r="AC173" s="948">
        <f t="shared" si="92"/>
        <v>117326.36555022141</v>
      </c>
      <c r="AD173" s="948">
        <f t="shared" si="92"/>
        <v>129059.00210524358</v>
      </c>
      <c r="AE173" s="948">
        <f t="shared" si="92"/>
        <v>141964.90231576792</v>
      </c>
      <c r="AF173" s="948">
        <f t="shared" si="92"/>
        <v>156161.39254734473</v>
      </c>
    </row>
    <row r="174" spans="2:32" ht="12.75" customHeight="1">
      <c r="B174" s="939"/>
      <c r="C174" s="939"/>
      <c r="E174" s="1855"/>
      <c r="F174" s="932" t="s">
        <v>513</v>
      </c>
      <c r="G174" s="897">
        <f>G173/G171</f>
        <v>0.31301461939169889</v>
      </c>
      <c r="H174" s="901">
        <f>H173/H171</f>
        <v>0.3518356400555529</v>
      </c>
      <c r="I174" s="897">
        <f>I173/I171</f>
        <v>0.3745525761032697</v>
      </c>
      <c r="J174" s="901">
        <f>J173/J171</f>
        <v>0.43164757138601523</v>
      </c>
      <c r="K174" s="901">
        <v>0.45</v>
      </c>
      <c r="L174" s="901">
        <v>0.4</v>
      </c>
      <c r="M174" s="901">
        <v>0.4</v>
      </c>
      <c r="N174" s="901">
        <v>0.4</v>
      </c>
      <c r="O174" s="901">
        <v>0.4</v>
      </c>
      <c r="P174" s="901">
        <v>0.4</v>
      </c>
      <c r="Q174" s="901">
        <v>0.35</v>
      </c>
      <c r="R174" s="901">
        <v>0.35</v>
      </c>
      <c r="S174" s="901">
        <v>0.35</v>
      </c>
      <c r="T174" s="901">
        <v>0.35</v>
      </c>
      <c r="U174" s="901">
        <v>0.35</v>
      </c>
      <c r="V174" s="901">
        <v>0.35</v>
      </c>
      <c r="W174" s="901">
        <v>0.35</v>
      </c>
      <c r="X174" s="901">
        <v>0.35</v>
      </c>
      <c r="Y174" s="901">
        <v>0.35</v>
      </c>
      <c r="Z174" s="901">
        <v>0.35</v>
      </c>
      <c r="AA174" s="901">
        <v>0.35</v>
      </c>
      <c r="AB174" s="901">
        <v>0.35</v>
      </c>
      <c r="AC174" s="901">
        <v>0.35</v>
      </c>
      <c r="AD174" s="901">
        <v>0.35</v>
      </c>
      <c r="AE174" s="901">
        <v>0.35</v>
      </c>
      <c r="AF174" s="901">
        <v>0.35</v>
      </c>
    </row>
    <row r="178" spans="2:32" ht="12.75" customHeight="1">
      <c r="D178" s="1481">
        <v>2021</v>
      </c>
      <c r="E178" s="1482">
        <v>2022</v>
      </c>
      <c r="F178" s="1481">
        <v>2023</v>
      </c>
      <c r="G178" s="961" t="s">
        <v>574</v>
      </c>
      <c r="H178" s="960" t="s">
        <v>575</v>
      </c>
      <c r="I178" s="1483" t="s">
        <v>576</v>
      </c>
      <c r="J178" s="1480" t="s">
        <v>577</v>
      </c>
      <c r="K178" s="1480" t="s">
        <v>570</v>
      </c>
      <c r="L178" s="1480" t="s">
        <v>571</v>
      </c>
      <c r="M178" s="1480" t="s">
        <v>572</v>
      </c>
      <c r="N178" s="1480">
        <v>2031</v>
      </c>
      <c r="O178" s="1480">
        <v>2032</v>
      </c>
      <c r="P178" s="1480">
        <v>2033</v>
      </c>
      <c r="Q178" s="1480">
        <v>2034</v>
      </c>
      <c r="R178" s="1480">
        <v>2035</v>
      </c>
      <c r="S178" s="1480">
        <v>2036</v>
      </c>
      <c r="T178" s="1480">
        <v>2037</v>
      </c>
      <c r="U178" s="1480">
        <v>2038</v>
      </c>
      <c r="V178" s="1480">
        <v>2039</v>
      </c>
      <c r="W178" s="1480">
        <v>2040</v>
      </c>
      <c r="X178" s="1480">
        <v>2041</v>
      </c>
      <c r="Y178" s="1480">
        <v>2042</v>
      </c>
      <c r="Z178" s="1480">
        <v>2043</v>
      </c>
      <c r="AA178" s="1480">
        <v>2044</v>
      </c>
      <c r="AB178" s="1480">
        <v>2045</v>
      </c>
      <c r="AC178" s="1480">
        <v>2046</v>
      </c>
      <c r="AD178" s="1480">
        <v>2047</v>
      </c>
      <c r="AE178" s="1480">
        <v>2048</v>
      </c>
      <c r="AF178" s="1480">
        <v>2049</v>
      </c>
    </row>
    <row r="179" spans="2:32" ht="12.75" customHeight="1">
      <c r="B179" s="1881" t="s">
        <v>578</v>
      </c>
      <c r="C179" s="1484" t="s">
        <v>510</v>
      </c>
      <c r="D179" s="935">
        <v>6887</v>
      </c>
      <c r="E179" s="876">
        <v>6201</v>
      </c>
      <c r="F179" s="935">
        <v>4651</v>
      </c>
      <c r="G179" s="955">
        <f t="shared" ref="G179" si="93">F179*(1+G180)</f>
        <v>5116.1000000000004</v>
      </c>
      <c r="H179" s="955">
        <f>G179*(1+H180)</f>
        <v>6395.125</v>
      </c>
      <c r="I179" s="955">
        <f t="shared" ref="I179" si="94">H179*(1+I180)</f>
        <v>8313.6625000000004</v>
      </c>
      <c r="J179" s="955">
        <f t="shared" ref="J179" si="95">I179*(1+J180)</f>
        <v>10807.761250000001</v>
      </c>
      <c r="K179" s="955">
        <f t="shared" ref="K179" si="96">J179*(1+K180)</f>
        <v>13509.701562500002</v>
      </c>
      <c r="L179" s="955">
        <f t="shared" ref="L179" si="97">K179*(1+L180)</f>
        <v>16211.641875000001</v>
      </c>
      <c r="M179" s="955">
        <f t="shared" ref="M179" si="98">L179*(1+M180)</f>
        <v>19453.970250000002</v>
      </c>
      <c r="N179" s="955">
        <f t="shared" ref="N179" si="99">M179*(1+N180)</f>
        <v>23344.764300000003</v>
      </c>
      <c r="O179" s="955">
        <f t="shared" ref="O179" si="100">N179*(1+O180)</f>
        <v>28013.717160000004</v>
      </c>
      <c r="P179" s="955">
        <f t="shared" ref="P179" si="101">O179*(1+P180)</f>
        <v>33616.460592000003</v>
      </c>
      <c r="Q179" s="955">
        <f t="shared" ref="Q179" si="102">P179*(1+Q180)</f>
        <v>38658.9296808</v>
      </c>
      <c r="R179" s="955">
        <f t="shared" ref="R179" si="103">Q179*(1+R180)</f>
        <v>44457.769132919995</v>
      </c>
      <c r="S179" s="955">
        <f t="shared" ref="S179" si="104">R179*(1+S180)</f>
        <v>51126.434502857992</v>
      </c>
      <c r="T179" s="955">
        <f t="shared" ref="T179" si="105">S179*(1+T180)</f>
        <v>58795.399678286689</v>
      </c>
      <c r="U179" s="955">
        <f t="shared" ref="U179" si="106">T179*(1+U180)</f>
        <v>67614.709630029683</v>
      </c>
      <c r="V179" s="955">
        <f t="shared" ref="V179" si="107">U179*(1+V180)</f>
        <v>77756.916074534136</v>
      </c>
      <c r="W179" s="955">
        <f t="shared" ref="W179" si="108">V179*(1+W180)</f>
        <v>89420.453485714243</v>
      </c>
      <c r="X179" s="955">
        <f t="shared" ref="X179" si="109">W179*(1+X180)</f>
        <v>98362.498834285681</v>
      </c>
      <c r="Y179" s="955">
        <f t="shared" ref="Y179" si="110">X179*(1+Y180)</f>
        <v>108198.74871771426</v>
      </c>
      <c r="Z179" s="955">
        <f t="shared" ref="Z179" si="111">Y179*(1+Z180)</f>
        <v>119018.62358948569</v>
      </c>
      <c r="AA179" s="955">
        <f t="shared" ref="AA179" si="112">Z179*(1+AA180)</f>
        <v>130920.48594843427</v>
      </c>
      <c r="AB179" s="955">
        <f t="shared" ref="AB179" si="113">AA179*(1+AB180)</f>
        <v>141394.12482430902</v>
      </c>
      <c r="AC179" s="955">
        <f t="shared" ref="AC179" si="114">AB179*(1+AC180)</f>
        <v>152705.65481025376</v>
      </c>
      <c r="AD179" s="955">
        <f t="shared" ref="AD179" si="115">AC179*(1+AD180)</f>
        <v>164922.10719507409</v>
      </c>
      <c r="AE179" s="955">
        <f t="shared" ref="AE179" si="116">AD179*(1+AE180)</f>
        <v>178115.87577068002</v>
      </c>
      <c r="AF179" s="955">
        <f t="shared" ref="AF179" si="117">AE179*(1+AF180)</f>
        <v>188802.82831692084</v>
      </c>
    </row>
    <row r="180" spans="2:32" ht="12.75" customHeight="1">
      <c r="B180" s="1882"/>
      <c r="C180" s="1485" t="s">
        <v>179</v>
      </c>
      <c r="D180" s="900"/>
      <c r="E180" s="154">
        <f>E179/D179-1</f>
        <v>-9.9607957020473314E-2</v>
      </c>
      <c r="F180" s="936">
        <f t="shared" ref="F180" si="118">F179/E179-1</f>
        <v>-0.24995968392194812</v>
      </c>
      <c r="G180" s="949">
        <v>0.10000000000000009</v>
      </c>
      <c r="H180" s="950">
        <v>0.25</v>
      </c>
      <c r="I180" s="949">
        <v>0.3</v>
      </c>
      <c r="J180" s="950">
        <v>0.3</v>
      </c>
      <c r="K180" s="950">
        <v>0.25</v>
      </c>
      <c r="L180" s="950">
        <v>0.2</v>
      </c>
      <c r="M180" s="950">
        <v>0.2</v>
      </c>
      <c r="N180" s="950">
        <v>0.2</v>
      </c>
      <c r="O180" s="950">
        <v>0.2</v>
      </c>
      <c r="P180" s="950">
        <v>0.2</v>
      </c>
      <c r="Q180" s="950">
        <v>0.15</v>
      </c>
      <c r="R180" s="950">
        <v>0.15</v>
      </c>
      <c r="S180" s="950">
        <v>0.15</v>
      </c>
      <c r="T180" s="950">
        <v>0.15</v>
      </c>
      <c r="U180" s="950">
        <v>0.15</v>
      </c>
      <c r="V180" s="950">
        <v>0.15</v>
      </c>
      <c r="W180" s="950">
        <v>0.15</v>
      </c>
      <c r="X180" s="950">
        <v>0.1</v>
      </c>
      <c r="Y180" s="950">
        <v>0.1</v>
      </c>
      <c r="Z180" s="950">
        <v>0.1</v>
      </c>
      <c r="AA180" s="950">
        <v>0.1</v>
      </c>
      <c r="AB180" s="950">
        <v>0.08</v>
      </c>
      <c r="AC180" s="950">
        <v>0.08</v>
      </c>
      <c r="AD180" s="950">
        <v>0.08</v>
      </c>
      <c r="AE180" s="950">
        <v>0.08</v>
      </c>
      <c r="AF180" s="950">
        <v>0.06</v>
      </c>
    </row>
    <row r="181" spans="2:32" ht="12.75" customHeight="1">
      <c r="B181" s="1882"/>
      <c r="C181" s="1485" t="s">
        <v>58</v>
      </c>
      <c r="D181" s="900">
        <v>2088</v>
      </c>
      <c r="E181">
        <v>1190</v>
      </c>
      <c r="F181" s="900">
        <v>-46</v>
      </c>
      <c r="G181" s="947">
        <f>G179*G182</f>
        <v>511.61000000000007</v>
      </c>
      <c r="H181" s="948">
        <f>H179*H182</f>
        <v>959.26874999999995</v>
      </c>
      <c r="I181" s="947">
        <f>I179*I182</f>
        <v>3325.4650000000001</v>
      </c>
      <c r="J181" s="948">
        <f>J179*J182</f>
        <v>4863.4925625000005</v>
      </c>
      <c r="K181" s="948">
        <f>K179*K182</f>
        <v>6079.3657031250013</v>
      </c>
      <c r="L181" s="948">
        <f t="shared" ref="L181:AF181" si="119">L179*L182</f>
        <v>6484.656750000001</v>
      </c>
      <c r="M181" s="948">
        <f t="shared" si="119"/>
        <v>7781.5881000000008</v>
      </c>
      <c r="N181" s="948">
        <f t="shared" si="119"/>
        <v>9337.9057200000007</v>
      </c>
      <c r="O181" s="948">
        <f t="shared" si="119"/>
        <v>11205.486864000002</v>
      </c>
      <c r="P181" s="948">
        <f t="shared" si="119"/>
        <v>15127.407266400001</v>
      </c>
      <c r="Q181" s="948">
        <f t="shared" si="119"/>
        <v>19329.4648404</v>
      </c>
      <c r="R181" s="948">
        <f t="shared" si="119"/>
        <v>20005.996109813997</v>
      </c>
      <c r="S181" s="948">
        <f t="shared" si="119"/>
        <v>23006.895526286098</v>
      </c>
      <c r="T181" s="948">
        <f t="shared" si="119"/>
        <v>26457.929855229009</v>
      </c>
      <c r="U181" s="948">
        <f t="shared" si="119"/>
        <v>30426.619333513358</v>
      </c>
      <c r="V181" s="948">
        <f t="shared" si="119"/>
        <v>34990.612233540363</v>
      </c>
      <c r="W181" s="948">
        <f t="shared" si="119"/>
        <v>40239.204068571409</v>
      </c>
      <c r="X181" s="948">
        <f t="shared" si="119"/>
        <v>44263.124475428558</v>
      </c>
      <c r="Y181" s="948">
        <f t="shared" si="119"/>
        <v>48689.436922971421</v>
      </c>
      <c r="Z181" s="948">
        <f t="shared" si="119"/>
        <v>53558.380615268565</v>
      </c>
      <c r="AA181" s="948">
        <f t="shared" si="119"/>
        <v>58914.218676795426</v>
      </c>
      <c r="AB181" s="948">
        <f t="shared" si="119"/>
        <v>63627.356170939063</v>
      </c>
      <c r="AC181" s="948">
        <f t="shared" si="119"/>
        <v>68717.544664614194</v>
      </c>
      <c r="AD181" s="948">
        <f t="shared" si="119"/>
        <v>74214.948237783348</v>
      </c>
      <c r="AE181" s="948">
        <f t="shared" si="119"/>
        <v>80152.14409680602</v>
      </c>
      <c r="AF181" s="948">
        <f t="shared" si="119"/>
        <v>84961.272742614383</v>
      </c>
    </row>
    <row r="182" spans="2:32" ht="12.75" customHeight="1">
      <c r="B182" s="1883"/>
      <c r="C182" s="1486" t="s">
        <v>513</v>
      </c>
      <c r="D182" s="956">
        <f>D181/F179</f>
        <v>0.44893571274994626</v>
      </c>
      <c r="E182" s="957">
        <f>E181/E179</f>
        <v>0.19190453152717304</v>
      </c>
      <c r="F182" s="956">
        <f>F181/D179</f>
        <v>-6.6792507623057934E-3</v>
      </c>
      <c r="G182" s="958">
        <v>0.1</v>
      </c>
      <c r="H182" s="959">
        <v>0.15</v>
      </c>
      <c r="I182" s="897">
        <v>0.4</v>
      </c>
      <c r="J182" s="901">
        <v>0.45</v>
      </c>
      <c r="K182" s="901">
        <v>0.45</v>
      </c>
      <c r="L182" s="901">
        <v>0.4</v>
      </c>
      <c r="M182" s="901">
        <v>0.4</v>
      </c>
      <c r="N182" s="901">
        <v>0.4</v>
      </c>
      <c r="O182" s="901">
        <v>0.4</v>
      </c>
      <c r="P182" s="901">
        <v>0.45</v>
      </c>
      <c r="Q182" s="901">
        <v>0.5</v>
      </c>
      <c r="R182" s="901">
        <v>0.45</v>
      </c>
      <c r="S182" s="901">
        <v>0.45</v>
      </c>
      <c r="T182" s="901">
        <v>0.45</v>
      </c>
      <c r="U182" s="901">
        <v>0.45</v>
      </c>
      <c r="V182" s="901">
        <v>0.45</v>
      </c>
      <c r="W182" s="901">
        <v>0.45</v>
      </c>
      <c r="X182" s="901">
        <v>0.45</v>
      </c>
      <c r="Y182" s="901">
        <v>0.45</v>
      </c>
      <c r="Z182" s="901">
        <v>0.45</v>
      </c>
      <c r="AA182" s="901">
        <v>0.45</v>
      </c>
      <c r="AB182" s="901">
        <v>0.45</v>
      </c>
      <c r="AC182" s="901">
        <v>0.45</v>
      </c>
      <c r="AD182" s="901">
        <v>0.45</v>
      </c>
      <c r="AE182" s="901">
        <v>0.45</v>
      </c>
      <c r="AF182" s="901">
        <v>0.45</v>
      </c>
    </row>
    <row r="183" spans="2:32" ht="12.75" customHeight="1">
      <c r="G183" s="962" t="s">
        <v>604</v>
      </c>
    </row>
    <row r="184" spans="2:32" ht="12.75" customHeight="1">
      <c r="D184" s="1481">
        <v>2021</v>
      </c>
      <c r="E184" s="1482">
        <v>2022</v>
      </c>
      <c r="F184" s="1481">
        <v>2023</v>
      </c>
      <c r="G184" s="961" t="s">
        <v>574</v>
      </c>
      <c r="H184" s="960" t="s">
        <v>575</v>
      </c>
      <c r="I184" s="1483" t="s">
        <v>576</v>
      </c>
      <c r="J184" s="1480" t="s">
        <v>577</v>
      </c>
      <c r="K184" s="1480" t="s">
        <v>570</v>
      </c>
      <c r="L184" s="1480" t="s">
        <v>571</v>
      </c>
      <c r="M184" s="1480" t="s">
        <v>572</v>
      </c>
      <c r="N184" s="1480">
        <v>2031</v>
      </c>
      <c r="O184" s="1480">
        <v>2032</v>
      </c>
      <c r="P184" s="1480">
        <v>2033</v>
      </c>
      <c r="Q184" s="1480">
        <v>2034</v>
      </c>
      <c r="R184" s="1480">
        <v>2035</v>
      </c>
      <c r="S184" s="1480">
        <v>2036</v>
      </c>
      <c r="T184" s="1480">
        <v>2037</v>
      </c>
      <c r="U184" s="1480">
        <v>2038</v>
      </c>
      <c r="V184" s="1480">
        <v>2039</v>
      </c>
      <c r="W184" s="1480">
        <v>2040</v>
      </c>
      <c r="X184" s="1480">
        <v>2041</v>
      </c>
      <c r="Y184" s="1480">
        <v>2042</v>
      </c>
      <c r="Z184" s="1480">
        <v>2043</v>
      </c>
      <c r="AA184" s="1480">
        <v>2044</v>
      </c>
      <c r="AB184" s="1480">
        <v>2045</v>
      </c>
      <c r="AC184" s="1480">
        <v>2046</v>
      </c>
      <c r="AD184" s="1480">
        <v>2047</v>
      </c>
      <c r="AE184" s="1480">
        <v>2048</v>
      </c>
      <c r="AF184" s="1480">
        <v>2049</v>
      </c>
    </row>
    <row r="185" spans="2:32" ht="12.75" customHeight="1">
      <c r="B185" s="1487"/>
      <c r="C185" s="1484" t="s">
        <v>510</v>
      </c>
      <c r="D185" s="935">
        <v>3694</v>
      </c>
      <c r="E185" s="876">
        <v>6043</v>
      </c>
      <c r="F185" s="935">
        <v>6496</v>
      </c>
      <c r="G185" s="954">
        <f>F185*(1+G186)</f>
        <v>5846.4000000000005</v>
      </c>
      <c r="H185" s="955">
        <f t="shared" ref="H185" si="120">G185*(1+H186)</f>
        <v>7308.0000000000009</v>
      </c>
      <c r="I185" s="954">
        <f t="shared" ref="I185" si="121">H185*(1+I186)</f>
        <v>9135.0000000000018</v>
      </c>
      <c r="J185" s="955">
        <f t="shared" ref="J185" si="122">I185*(1+J186)</f>
        <v>10962.000000000002</v>
      </c>
      <c r="K185" s="955">
        <f t="shared" ref="K185" si="123">J185*(1+K186)</f>
        <v>15346.800000000001</v>
      </c>
      <c r="L185" s="955">
        <f t="shared" ref="L185" si="124">K185*(1+L186)</f>
        <v>18416.16</v>
      </c>
      <c r="M185" s="955">
        <f t="shared" ref="M185" si="125">L185*(1+M186)</f>
        <v>19336.968000000001</v>
      </c>
      <c r="N185" s="955">
        <f t="shared" ref="N185" si="126">M185*(1+N186)</f>
        <v>20303.816400000003</v>
      </c>
      <c r="O185" s="955">
        <f t="shared" ref="O185" si="127">N185*(1+O186)</f>
        <v>21319.007220000003</v>
      </c>
      <c r="P185" s="955">
        <f t="shared" ref="P185" si="128">O185*(1+P186)</f>
        <v>23450.907942000005</v>
      </c>
      <c r="Q185" s="955">
        <f t="shared" ref="Q185" si="129">P185*(1+Q186)</f>
        <v>25795.998736200007</v>
      </c>
      <c r="R185" s="955">
        <f t="shared" ref="R185" si="130">Q185*(1+R186)</f>
        <v>28375.598609820008</v>
      </c>
      <c r="S185" s="955">
        <f t="shared" ref="S185" si="131">R185*(1+S186)</f>
        <v>31213.158470802013</v>
      </c>
      <c r="T185" s="955">
        <f t="shared" ref="T185" si="132">S185*(1+T186)</f>
        <v>34334.474317882217</v>
      </c>
      <c r="U185" s="955">
        <f t="shared" ref="U185" si="133">T185*(1+U186)</f>
        <v>37767.921749670444</v>
      </c>
      <c r="V185" s="955">
        <f t="shared" ref="V185" si="134">U185*(1+V186)</f>
        <v>41544.713924637494</v>
      </c>
      <c r="W185" s="955">
        <f t="shared" ref="W185" si="135">V185*(1+W186)</f>
        <v>45699.185317101248</v>
      </c>
      <c r="X185" s="955">
        <f t="shared" ref="X185" si="136">W185*(1+X186)</f>
        <v>50269.103848811377</v>
      </c>
      <c r="Y185" s="955">
        <f t="shared" ref="Y185" si="137">X185*(1+Y186)</f>
        <v>55296.01423369252</v>
      </c>
      <c r="Z185" s="955">
        <f t="shared" ref="Z185" si="138">Y185*(1+Z186)</f>
        <v>60825.615657061775</v>
      </c>
      <c r="AA185" s="955">
        <f t="shared" ref="AA185" si="139">Z185*(1+AA186)</f>
        <v>66908.177222767961</v>
      </c>
      <c r="AB185" s="955">
        <f t="shared" ref="AB185" si="140">AA185*(1+AB186)</f>
        <v>73598.99494504476</v>
      </c>
      <c r="AC185" s="955">
        <f t="shared" ref="AC185" si="141">AB185*(1+AC186)</f>
        <v>80958.894439549244</v>
      </c>
      <c r="AD185" s="955">
        <f t="shared" ref="AD185" si="142">AC185*(1+AD186)</f>
        <v>89054.783883504177</v>
      </c>
      <c r="AE185" s="955">
        <f t="shared" ref="AE185" si="143">AD185*(1+AE186)</f>
        <v>97960.262271854604</v>
      </c>
      <c r="AF185" s="955">
        <f t="shared" ref="AF185" si="144">AE185*(1+AF186)</f>
        <v>107756.28849904008</v>
      </c>
    </row>
    <row r="186" spans="2:32" ht="12.75" customHeight="1">
      <c r="B186" s="1488"/>
      <c r="C186" s="1485" t="s">
        <v>179</v>
      </c>
      <c r="D186" s="900"/>
      <c r="E186" s="154">
        <f>E185/D185-1</f>
        <v>0.63589604764482943</v>
      </c>
      <c r="F186" s="936">
        <f t="shared" ref="F186" si="145">F185/E185-1</f>
        <v>7.4962766837663342E-2</v>
      </c>
      <c r="G186" s="949">
        <v>-0.1</v>
      </c>
      <c r="H186" s="950">
        <v>0.25</v>
      </c>
      <c r="I186" s="949">
        <v>0.25</v>
      </c>
      <c r="J186" s="950">
        <v>0.2</v>
      </c>
      <c r="K186" s="950">
        <v>0.4</v>
      </c>
      <c r="L186" s="950">
        <v>0.2</v>
      </c>
      <c r="M186" s="950">
        <v>0.05</v>
      </c>
      <c r="N186" s="950">
        <v>0.05</v>
      </c>
      <c r="O186" s="950">
        <v>0.05</v>
      </c>
      <c r="P186" s="950">
        <v>0.1</v>
      </c>
      <c r="Q186" s="950">
        <v>0.1</v>
      </c>
      <c r="R186" s="950">
        <v>0.1</v>
      </c>
      <c r="S186" s="950">
        <v>0.1</v>
      </c>
      <c r="T186" s="950">
        <v>0.1</v>
      </c>
      <c r="U186" s="950">
        <v>0.1</v>
      </c>
      <c r="V186" s="950">
        <v>0.1</v>
      </c>
      <c r="W186" s="950">
        <v>0.1</v>
      </c>
      <c r="X186" s="950">
        <v>0.1</v>
      </c>
      <c r="Y186" s="950">
        <v>0.1</v>
      </c>
      <c r="Z186" s="950">
        <v>0.1</v>
      </c>
      <c r="AA186" s="950">
        <v>0.1</v>
      </c>
      <c r="AB186" s="950">
        <v>0.1</v>
      </c>
      <c r="AC186" s="950">
        <v>0.1</v>
      </c>
      <c r="AD186" s="950">
        <v>0.1</v>
      </c>
      <c r="AE186" s="950">
        <v>0.1</v>
      </c>
      <c r="AF186" s="950">
        <v>0.1</v>
      </c>
    </row>
    <row r="187" spans="2:32" s="91" customFormat="1" ht="12.75" customHeight="1">
      <c r="B187" s="1488" t="s">
        <v>193</v>
      </c>
      <c r="C187" s="1485" t="s">
        <v>58</v>
      </c>
      <c r="D187" s="900">
        <v>971</v>
      </c>
      <c r="E187">
        <v>953</v>
      </c>
      <c r="F187" s="900">
        <v>934</v>
      </c>
      <c r="G187" s="947">
        <f>G185*G188</f>
        <v>1461.6000000000001</v>
      </c>
      <c r="H187" s="948">
        <f>H185*H188</f>
        <v>2046.2400000000005</v>
      </c>
      <c r="I187" s="947">
        <f>I185*I188</f>
        <v>2740.5000000000005</v>
      </c>
      <c r="J187" s="948">
        <f>J185*J188</f>
        <v>3288.6000000000004</v>
      </c>
      <c r="K187" s="948">
        <f>K185*K188</f>
        <v>4604.04</v>
      </c>
      <c r="L187" s="948">
        <f t="shared" ref="L187:AF187" si="146">L185*L188</f>
        <v>5524.848</v>
      </c>
      <c r="M187" s="948">
        <f t="shared" si="146"/>
        <v>6767.9387999999999</v>
      </c>
      <c r="N187" s="948">
        <f t="shared" si="146"/>
        <v>7106.3357400000004</v>
      </c>
      <c r="O187" s="948">
        <f t="shared" si="146"/>
        <v>8527.6028880000013</v>
      </c>
      <c r="P187" s="948">
        <f t="shared" si="146"/>
        <v>9380.3631768000032</v>
      </c>
      <c r="Q187" s="948">
        <f t="shared" si="146"/>
        <v>11608.199431290002</v>
      </c>
      <c r="R187" s="948">
        <f t="shared" si="146"/>
        <v>12769.019374419004</v>
      </c>
      <c r="S187" s="948">
        <f t="shared" si="146"/>
        <v>14045.921311860906</v>
      </c>
      <c r="T187" s="948">
        <f t="shared" si="146"/>
        <v>15450.513443046999</v>
      </c>
      <c r="U187" s="948">
        <f t="shared" si="146"/>
        <v>16995.564787351701</v>
      </c>
      <c r="V187" s="948">
        <f t="shared" si="146"/>
        <v>18695.121266086873</v>
      </c>
      <c r="W187" s="948">
        <f t="shared" si="146"/>
        <v>18279.674126840499</v>
      </c>
      <c r="X187" s="948">
        <f t="shared" si="146"/>
        <v>20107.641539524553</v>
      </c>
      <c r="Y187" s="948">
        <f t="shared" si="146"/>
        <v>22118.405693477009</v>
      </c>
      <c r="Z187" s="948">
        <f t="shared" si="146"/>
        <v>24330.246262824712</v>
      </c>
      <c r="AA187" s="948">
        <f t="shared" si="146"/>
        <v>26763.270889107185</v>
      </c>
      <c r="AB187" s="948">
        <f t="shared" si="146"/>
        <v>29439.597978017904</v>
      </c>
      <c r="AC187" s="948">
        <f t="shared" si="146"/>
        <v>32383.5577758197</v>
      </c>
      <c r="AD187" s="948">
        <f t="shared" si="146"/>
        <v>35621.913553401675</v>
      </c>
      <c r="AE187" s="948">
        <f t="shared" si="146"/>
        <v>39184.104908741843</v>
      </c>
      <c r="AF187" s="948">
        <f t="shared" si="146"/>
        <v>43102.515399616037</v>
      </c>
    </row>
    <row r="188" spans="2:32" ht="12.75" customHeight="1">
      <c r="B188" s="1489"/>
      <c r="C188" s="1486" t="s">
        <v>513</v>
      </c>
      <c r="D188" s="956">
        <f>D187/F185</f>
        <v>0.14947660098522167</v>
      </c>
      <c r="E188" s="957">
        <f>E187/E185</f>
        <v>0.15770312758563626</v>
      </c>
      <c r="F188" s="956">
        <f>F187/D185</f>
        <v>0.25284244721169463</v>
      </c>
      <c r="G188" s="958">
        <v>0.25</v>
      </c>
      <c r="H188" s="959">
        <v>0.28000000000000003</v>
      </c>
      <c r="I188" s="897">
        <v>0.3</v>
      </c>
      <c r="J188" s="901">
        <v>0.3</v>
      </c>
      <c r="K188" s="901">
        <v>0.3</v>
      </c>
      <c r="L188" s="901">
        <v>0.3</v>
      </c>
      <c r="M188" s="901">
        <v>0.35</v>
      </c>
      <c r="N188" s="901">
        <v>0.35</v>
      </c>
      <c r="O188" s="901">
        <v>0.4</v>
      </c>
      <c r="P188" s="901">
        <v>0.4</v>
      </c>
      <c r="Q188" s="901">
        <v>0.45</v>
      </c>
      <c r="R188" s="901">
        <v>0.45</v>
      </c>
      <c r="S188" s="901">
        <v>0.45</v>
      </c>
      <c r="T188" s="901">
        <v>0.45</v>
      </c>
      <c r="U188" s="901">
        <v>0.45</v>
      </c>
      <c r="V188" s="901">
        <v>0.45</v>
      </c>
      <c r="W188" s="901">
        <v>0.4</v>
      </c>
      <c r="X188" s="901">
        <v>0.4</v>
      </c>
      <c r="Y188" s="901">
        <v>0.4</v>
      </c>
      <c r="Z188" s="901">
        <v>0.4</v>
      </c>
      <c r="AA188" s="901">
        <v>0.4</v>
      </c>
      <c r="AB188" s="901">
        <v>0.4</v>
      </c>
      <c r="AC188" s="901">
        <v>0.4</v>
      </c>
      <c r="AD188" s="901">
        <v>0.4</v>
      </c>
      <c r="AE188" s="901">
        <v>0.4</v>
      </c>
      <c r="AF188" s="901">
        <v>0.4</v>
      </c>
    </row>
    <row r="189" spans="2:32" s="91" customFormat="1" ht="12.75" customHeight="1"/>
    <row r="190" spans="2:32" ht="12.75" customHeight="1">
      <c r="D190" s="1481">
        <v>2021</v>
      </c>
      <c r="E190" s="1482">
        <v>2022</v>
      </c>
      <c r="F190" s="1481">
        <v>2023</v>
      </c>
      <c r="G190" s="961" t="s">
        <v>574</v>
      </c>
      <c r="H190" s="960" t="s">
        <v>575</v>
      </c>
      <c r="I190" s="1483" t="s">
        <v>576</v>
      </c>
      <c r="J190" s="1480" t="s">
        <v>577</v>
      </c>
      <c r="K190" s="1480" t="s">
        <v>570</v>
      </c>
      <c r="L190" s="1480" t="s">
        <v>571</v>
      </c>
      <c r="M190" s="1480" t="s">
        <v>572</v>
      </c>
      <c r="N190" s="1480">
        <v>2031</v>
      </c>
      <c r="O190" s="1480">
        <v>2032</v>
      </c>
      <c r="P190" s="1480">
        <v>2033</v>
      </c>
      <c r="Q190" s="1480">
        <v>2034</v>
      </c>
      <c r="R190" s="1480">
        <v>2035</v>
      </c>
      <c r="S190" s="1480">
        <v>2036</v>
      </c>
      <c r="T190" s="1480">
        <v>2037</v>
      </c>
      <c r="U190" s="1480">
        <v>2038</v>
      </c>
      <c r="V190" s="1480">
        <v>2039</v>
      </c>
      <c r="W190" s="1480">
        <v>2040</v>
      </c>
      <c r="X190" s="1480">
        <v>2041</v>
      </c>
      <c r="Y190" s="1480">
        <v>2042</v>
      </c>
      <c r="Z190" s="1480">
        <v>2043</v>
      </c>
      <c r="AA190" s="1480">
        <v>2044</v>
      </c>
      <c r="AB190" s="1480">
        <v>2045</v>
      </c>
      <c r="AC190" s="1480">
        <v>2046</v>
      </c>
      <c r="AD190" s="1480">
        <v>2047</v>
      </c>
      <c r="AE190" s="1480">
        <v>2048</v>
      </c>
      <c r="AF190" s="1480">
        <v>2049</v>
      </c>
    </row>
    <row r="191" spans="2:32" ht="12.75" customHeight="1">
      <c r="B191" s="1487"/>
      <c r="C191" s="1484" t="s">
        <v>510</v>
      </c>
      <c r="D191" s="935">
        <v>246</v>
      </c>
      <c r="E191" s="876">
        <v>4552</v>
      </c>
      <c r="F191" s="935">
        <v>5321</v>
      </c>
      <c r="G191" s="954">
        <f>F191*1.17</f>
        <v>6225.57</v>
      </c>
      <c r="H191" s="955">
        <f t="shared" ref="H191" si="147">G191*1.17</f>
        <v>7283.9168999999993</v>
      </c>
      <c r="I191" s="954">
        <f t="shared" ref="I191" si="148">H191*1.17</f>
        <v>8522.1827729999986</v>
      </c>
      <c r="J191" s="955">
        <f t="shared" ref="J191" si="149">I191*1.17</f>
        <v>9970.9538444099981</v>
      </c>
      <c r="K191" s="955">
        <f>J191*(1+K192)</f>
        <v>11965.144613291997</v>
      </c>
      <c r="L191" s="955">
        <f t="shared" ref="L191" si="150">K191*(1+L192)</f>
        <v>14358.173535950396</v>
      </c>
      <c r="M191" s="955">
        <f t="shared" ref="M191" si="151">L191*(1+M192)</f>
        <v>17229.808243140476</v>
      </c>
      <c r="N191" s="955">
        <f t="shared" ref="N191" si="152">M191*(1+N192)</f>
        <v>20675.76989176857</v>
      </c>
      <c r="O191" s="955">
        <f t="shared" ref="O191" si="153">N191*(1+O192)</f>
        <v>24810.923870122282</v>
      </c>
      <c r="P191" s="955">
        <f t="shared" ref="P191" si="154">O191*(1+P192)</f>
        <v>29773.108644146738</v>
      </c>
      <c r="Q191" s="955">
        <f t="shared" ref="Q191" si="155">P191*(1+Q192)</f>
        <v>35727.730372976082</v>
      </c>
      <c r="R191" s="955">
        <f t="shared" ref="R191" si="156">Q191*(1+R192)</f>
        <v>41086.889928922494</v>
      </c>
      <c r="S191" s="955">
        <f t="shared" ref="S191" si="157">R191*(1+S192)</f>
        <v>47249.923418260863</v>
      </c>
      <c r="T191" s="955">
        <f t="shared" ref="T191" si="158">S191*(1+T192)</f>
        <v>54337.411930999988</v>
      </c>
      <c r="U191" s="955">
        <f t="shared" ref="U191" si="159">T191*(1+U192)</f>
        <v>62488.023720649981</v>
      </c>
      <c r="V191" s="955">
        <f t="shared" ref="V191" si="160">U191*(1+V192)</f>
        <v>71861.227278747465</v>
      </c>
      <c r="W191" s="955">
        <f t="shared" ref="W191" si="161">V191*(1+W192)</f>
        <v>82640.411370559581</v>
      </c>
      <c r="X191" s="955">
        <f t="shared" ref="X191" si="162">W191*(1+X192)</f>
        <v>95036.473076143506</v>
      </c>
      <c r="Y191" s="955">
        <f t="shared" ref="Y191" si="163">X191*(1+Y192)</f>
        <v>109291.94403756503</v>
      </c>
      <c r="Z191" s="955">
        <f t="shared" ref="Z191" si="164">Y191*(1+Z192)</f>
        <v>125685.73564319978</v>
      </c>
      <c r="AA191" s="955">
        <f t="shared" ref="AA191" si="165">Z191*(1+AA192)</f>
        <v>144538.59598967974</v>
      </c>
      <c r="AB191" s="955">
        <f t="shared" ref="AB191" si="166">AA191*(1+AB192)</f>
        <v>166219.38538813169</v>
      </c>
      <c r="AC191" s="955">
        <f t="shared" ref="AC191" si="167">AB191*(1+AC192)</f>
        <v>191152.29319635144</v>
      </c>
      <c r="AD191" s="955">
        <f t="shared" ref="AD191" si="168">AC191*(1+AD192)</f>
        <v>219825.13717580415</v>
      </c>
      <c r="AE191" s="955">
        <f t="shared" ref="AE191" si="169">AD191*(1+AE192)</f>
        <v>252798.90775217474</v>
      </c>
      <c r="AF191" s="955">
        <f t="shared" ref="AF191" si="170">AE191*(1+AF192)</f>
        <v>278078.79852739221</v>
      </c>
    </row>
    <row r="192" spans="2:32" ht="12.75" customHeight="1">
      <c r="B192" s="1488"/>
      <c r="C192" s="1485" t="s">
        <v>179</v>
      </c>
      <c r="D192" s="900"/>
      <c r="E192" s="154">
        <f>E191/D191-1</f>
        <v>17.504065040650406</v>
      </c>
      <c r="F192" s="936">
        <f t="shared" ref="F192" si="171">F191/E191-1</f>
        <v>0.16893673110720564</v>
      </c>
      <c r="G192" s="949">
        <f t="shared" ref="G192" si="172">G191/F191-1</f>
        <v>0.16999999999999993</v>
      </c>
      <c r="H192" s="950">
        <f t="shared" ref="H192" si="173">H191/G191-1</f>
        <v>0.16999999999999993</v>
      </c>
      <c r="I192" s="949">
        <f t="shared" ref="I192" si="174">I191/H191-1</f>
        <v>0.16999999999999993</v>
      </c>
      <c r="J192" s="950">
        <f t="shared" ref="J192" si="175">J191/I191-1</f>
        <v>0.16999999999999993</v>
      </c>
      <c r="K192" s="950">
        <v>0.2</v>
      </c>
      <c r="L192" s="950">
        <v>0.2</v>
      </c>
      <c r="M192" s="950">
        <v>0.2</v>
      </c>
      <c r="N192" s="950">
        <v>0.2</v>
      </c>
      <c r="O192" s="950">
        <v>0.2</v>
      </c>
      <c r="P192" s="950">
        <v>0.2</v>
      </c>
      <c r="Q192" s="950">
        <v>0.2</v>
      </c>
      <c r="R192" s="950">
        <v>0.15</v>
      </c>
      <c r="S192" s="950">
        <v>0.15</v>
      </c>
      <c r="T192" s="950">
        <v>0.15</v>
      </c>
      <c r="U192" s="950">
        <v>0.15</v>
      </c>
      <c r="V192" s="950">
        <v>0.15</v>
      </c>
      <c r="W192" s="950">
        <v>0.15</v>
      </c>
      <c r="X192" s="950">
        <v>0.15</v>
      </c>
      <c r="Y192" s="950">
        <v>0.15</v>
      </c>
      <c r="Z192" s="950">
        <v>0.15</v>
      </c>
      <c r="AA192" s="950">
        <v>0.15</v>
      </c>
      <c r="AB192" s="950">
        <v>0.15</v>
      </c>
      <c r="AC192" s="950">
        <v>0.15</v>
      </c>
      <c r="AD192" s="950">
        <v>0.15</v>
      </c>
      <c r="AE192" s="950">
        <v>0.15</v>
      </c>
      <c r="AF192" s="950">
        <v>0.1</v>
      </c>
    </row>
    <row r="193" spans="2:32" ht="12.75" customHeight="1">
      <c r="B193" s="1488" t="s">
        <v>194</v>
      </c>
      <c r="C193" s="1485" t="s">
        <v>58</v>
      </c>
      <c r="D193" s="900">
        <v>44</v>
      </c>
      <c r="E193">
        <v>2254</v>
      </c>
      <c r="F193" s="900">
        <v>2628</v>
      </c>
      <c r="G193" s="947">
        <f>G191*G194</f>
        <v>3112.7849999999999</v>
      </c>
      <c r="H193" s="948">
        <f>H191*H194</f>
        <v>3641.9584499999996</v>
      </c>
      <c r="I193" s="947">
        <f>I191*I194</f>
        <v>4261.0913864999993</v>
      </c>
      <c r="J193" s="948">
        <f>J191*J194</f>
        <v>4985.476922204999</v>
      </c>
      <c r="K193" s="948">
        <f>K191*K194</f>
        <v>5982.5723066459987</v>
      </c>
      <c r="L193" s="948">
        <f t="shared" ref="L193:AF193" si="176">L191*L194</f>
        <v>7179.0867679751982</v>
      </c>
      <c r="M193" s="948">
        <f t="shared" si="176"/>
        <v>8614.9041215702382</v>
      </c>
      <c r="N193" s="948">
        <f t="shared" si="176"/>
        <v>10337.884945884285</v>
      </c>
      <c r="O193" s="948">
        <f t="shared" si="176"/>
        <v>12405.461935061141</v>
      </c>
      <c r="P193" s="948">
        <f t="shared" si="176"/>
        <v>16375.209754280708</v>
      </c>
      <c r="Q193" s="948">
        <f t="shared" si="176"/>
        <v>19650.251705136849</v>
      </c>
      <c r="R193" s="948">
        <f t="shared" si="176"/>
        <v>22597.789460907374</v>
      </c>
      <c r="S193" s="948">
        <f t="shared" si="176"/>
        <v>25987.457880043476</v>
      </c>
      <c r="T193" s="948">
        <f t="shared" si="176"/>
        <v>29885.576562049995</v>
      </c>
      <c r="U193" s="948">
        <f t="shared" si="176"/>
        <v>34368.413046357491</v>
      </c>
      <c r="V193" s="948">
        <f t="shared" si="176"/>
        <v>39523.675003311109</v>
      </c>
      <c r="W193" s="948">
        <f t="shared" si="176"/>
        <v>45452.22625380777</v>
      </c>
      <c r="X193" s="948">
        <f t="shared" si="176"/>
        <v>47518.236538071753</v>
      </c>
      <c r="Y193" s="948">
        <f t="shared" si="176"/>
        <v>54645.972018782515</v>
      </c>
      <c r="Z193" s="948">
        <f t="shared" si="176"/>
        <v>62842.867821599888</v>
      </c>
      <c r="AA193" s="948">
        <f t="shared" si="176"/>
        <v>72269.297994839872</v>
      </c>
      <c r="AB193" s="948">
        <f t="shared" si="176"/>
        <v>83109.692694065845</v>
      </c>
      <c r="AC193" s="948">
        <f t="shared" si="176"/>
        <v>86018.531938358152</v>
      </c>
      <c r="AD193" s="948">
        <f t="shared" si="176"/>
        <v>98921.311729111869</v>
      </c>
      <c r="AE193" s="948">
        <f t="shared" si="176"/>
        <v>113759.50848847863</v>
      </c>
      <c r="AF193" s="948">
        <f t="shared" si="176"/>
        <v>125135.45933732649</v>
      </c>
    </row>
    <row r="194" spans="2:32" ht="12.75" customHeight="1">
      <c r="B194" s="1489"/>
      <c r="C194" s="1486" t="s">
        <v>513</v>
      </c>
      <c r="D194" s="956">
        <f t="shared" ref="D194:E194" si="177">D193/D191</f>
        <v>0.17886178861788618</v>
      </c>
      <c r="E194" s="956">
        <f t="shared" si="177"/>
        <v>0.49516695957820739</v>
      </c>
      <c r="F194" s="956">
        <f>F193/F191</f>
        <v>0.49389212554031198</v>
      </c>
      <c r="G194" s="958">
        <v>0.5</v>
      </c>
      <c r="H194" s="959">
        <v>0.5</v>
      </c>
      <c r="I194" s="897">
        <v>0.5</v>
      </c>
      <c r="J194" s="901">
        <v>0.5</v>
      </c>
      <c r="K194" s="901">
        <v>0.5</v>
      </c>
      <c r="L194" s="901">
        <v>0.5</v>
      </c>
      <c r="M194" s="901">
        <v>0.5</v>
      </c>
      <c r="N194" s="901">
        <v>0.5</v>
      </c>
      <c r="O194" s="901">
        <v>0.5</v>
      </c>
      <c r="P194" s="901">
        <v>0.55000000000000004</v>
      </c>
      <c r="Q194" s="901">
        <v>0.55000000000000004</v>
      </c>
      <c r="R194" s="901">
        <v>0.55000000000000004</v>
      </c>
      <c r="S194" s="901">
        <v>0.55000000000000004</v>
      </c>
      <c r="T194" s="901">
        <v>0.55000000000000004</v>
      </c>
      <c r="U194" s="901">
        <v>0.55000000000000004</v>
      </c>
      <c r="V194" s="901">
        <v>0.55000000000000004</v>
      </c>
      <c r="W194" s="901">
        <v>0.55000000000000004</v>
      </c>
      <c r="X194" s="901">
        <v>0.5</v>
      </c>
      <c r="Y194" s="901">
        <v>0.5</v>
      </c>
      <c r="Z194" s="901">
        <v>0.5</v>
      </c>
      <c r="AA194" s="901">
        <v>0.5</v>
      </c>
      <c r="AB194" s="901">
        <v>0.5</v>
      </c>
      <c r="AC194" s="901">
        <v>0.45</v>
      </c>
      <c r="AD194" s="901">
        <v>0.45</v>
      </c>
      <c r="AE194" s="901">
        <v>0.45</v>
      </c>
      <c r="AF194" s="901">
        <v>0.45</v>
      </c>
    </row>
    <row r="197" spans="2:32" ht="12.75" customHeight="1">
      <c r="D197" s="1481">
        <v>2021</v>
      </c>
      <c r="E197" s="1482">
        <v>2022</v>
      </c>
      <c r="F197" s="1481">
        <v>2023</v>
      </c>
      <c r="G197" s="961" t="s">
        <v>574</v>
      </c>
      <c r="H197" s="960" t="s">
        <v>575</v>
      </c>
      <c r="I197" s="1511" t="s">
        <v>576</v>
      </c>
      <c r="J197" s="1511" t="s">
        <v>577</v>
      </c>
      <c r="K197" s="1480" t="s">
        <v>570</v>
      </c>
      <c r="L197" s="1480" t="s">
        <v>571</v>
      </c>
      <c r="M197" s="1480" t="s">
        <v>572</v>
      </c>
      <c r="N197" s="1480">
        <v>2031</v>
      </c>
      <c r="O197" s="1480">
        <v>2032</v>
      </c>
      <c r="P197" s="1480">
        <v>2033</v>
      </c>
      <c r="Q197" s="1480">
        <v>2034</v>
      </c>
      <c r="R197" s="1480">
        <v>2035</v>
      </c>
      <c r="S197" s="1480">
        <v>2036</v>
      </c>
      <c r="T197" s="1480">
        <v>2037</v>
      </c>
      <c r="U197" s="1480">
        <v>2038</v>
      </c>
      <c r="V197" s="1480">
        <v>2039</v>
      </c>
      <c r="W197" s="1480">
        <v>2040</v>
      </c>
      <c r="X197" s="1480">
        <v>2041</v>
      </c>
      <c r="Y197" s="1480">
        <v>2042</v>
      </c>
      <c r="Z197" s="1480">
        <v>2043</v>
      </c>
      <c r="AA197" s="1480">
        <v>2044</v>
      </c>
      <c r="AB197" s="1480">
        <v>2045</v>
      </c>
      <c r="AC197" s="1480">
        <v>2046</v>
      </c>
      <c r="AD197" s="1480">
        <v>2047</v>
      </c>
      <c r="AE197" s="1480">
        <v>2048</v>
      </c>
      <c r="AF197" s="1480">
        <v>2049</v>
      </c>
    </row>
    <row r="198" spans="2:32" ht="12.75" customHeight="1">
      <c r="B198" s="1875" t="s">
        <v>579</v>
      </c>
      <c r="C198" s="1476" t="s">
        <v>510</v>
      </c>
      <c r="D198" s="912">
        <f>D164+D179+D185+D191</f>
        <v>14521</v>
      </c>
      <c r="E198" s="912">
        <f>E164+E179+E185+E191</f>
        <v>22839</v>
      </c>
      <c r="F198" s="912">
        <f>F164+F179+F185+F191</f>
        <v>22964</v>
      </c>
      <c r="G198" s="964">
        <f>G191+G185+G171+G179</f>
        <v>26709.67</v>
      </c>
      <c r="H198" s="964">
        <f>H191+H185+H171+H179</f>
        <v>32680.401900000001</v>
      </c>
      <c r="I198" s="964">
        <f>I191+I185+I171+I179</f>
        <v>40725.533273000001</v>
      </c>
      <c r="J198" s="966">
        <f>J191+J185+J171+J179</f>
        <v>49744.465494410004</v>
      </c>
      <c r="K198" s="955">
        <f t="shared" ref="K198:AF198" si="178">K191+K185+K171+K179</f>
        <v>63326.334175791999</v>
      </c>
      <c r="L198" s="955">
        <f t="shared" si="178"/>
        <v>77116.8354109504</v>
      </c>
      <c r="M198" s="955">
        <f t="shared" si="178"/>
        <v>91184.321493140465</v>
      </c>
      <c r="N198" s="955">
        <f t="shared" si="178"/>
        <v>108278.81934176857</v>
      </c>
      <c r="O198" s="955">
        <f t="shared" si="178"/>
        <v>129086.73418762229</v>
      </c>
      <c r="P198" s="955">
        <f t="shared" si="178"/>
        <v>155519.33460002174</v>
      </c>
      <c r="Q198" s="955">
        <f t="shared" si="178"/>
        <v>186031.23056731984</v>
      </c>
      <c r="R198" s="955">
        <f t="shared" si="178"/>
        <v>216938.54380447499</v>
      </c>
      <c r="S198" s="955">
        <f t="shared" si="178"/>
        <v>253211.45975129589</v>
      </c>
      <c r="T198" s="955">
        <f t="shared" si="178"/>
        <v>289632.52079045016</v>
      </c>
      <c r="U198" s="955">
        <f t="shared" si="178"/>
        <v>324252.41344995948</v>
      </c>
      <c r="V198" s="955">
        <f t="shared" si="178"/>
        <v>363182.7914624894</v>
      </c>
      <c r="W198" s="955">
        <f t="shared" si="178"/>
        <v>406981.97777640249</v>
      </c>
      <c r="X198" s="955">
        <f t="shared" si="178"/>
        <v>451812.19612257066</v>
      </c>
      <c r="Y198" s="955">
        <f t="shared" si="178"/>
        <v>501745.23938863497</v>
      </c>
      <c r="Z198" s="955">
        <f t="shared" si="178"/>
        <v>557384.36052937666</v>
      </c>
      <c r="AA198" s="955">
        <f t="shared" si="178"/>
        <v>619407.08336447435</v>
      </c>
      <c r="AB198" s="955">
        <f t="shared" si="178"/>
        <v>685956.31178143714</v>
      </c>
      <c r="AC198" s="955">
        <f t="shared" si="178"/>
        <v>760035.02973250137</v>
      </c>
      <c r="AD198" s="955">
        <f t="shared" si="178"/>
        <v>842542.03426936409</v>
      </c>
      <c r="AE198" s="955">
        <f t="shared" si="178"/>
        <v>934489.05241118919</v>
      </c>
      <c r="AF198" s="955">
        <f t="shared" si="178"/>
        <v>1020813.322621481</v>
      </c>
    </row>
    <row r="199" spans="2:32" ht="12.75" customHeight="1">
      <c r="B199" s="1876"/>
      <c r="C199" s="11" t="s">
        <v>179</v>
      </c>
      <c r="D199" s="963"/>
      <c r="E199" s="968">
        <f>E198/D198-1</f>
        <v>0.57282556297775633</v>
      </c>
      <c r="F199" s="968">
        <f>F198/E198-1</f>
        <v>5.4730942685756734E-3</v>
      </c>
      <c r="G199" s="968">
        <f t="shared" ref="G199:J199" si="179">G198/F198-1</f>
        <v>0.16311052081518884</v>
      </c>
      <c r="H199" s="968">
        <f t="shared" si="179"/>
        <v>0.22354195690175138</v>
      </c>
      <c r="I199" s="968">
        <f t="shared" si="179"/>
        <v>0.24617602309841846</v>
      </c>
      <c r="J199" s="969">
        <f t="shared" si="179"/>
        <v>0.22145645487199372</v>
      </c>
      <c r="K199" s="950">
        <f t="shared" ref="K199" si="180">K198/J198-1</f>
        <v>0.27303275945156646</v>
      </c>
      <c r="L199" s="950">
        <f t="shared" ref="L199" si="181">L198/K198-1</f>
        <v>0.2177688226335095</v>
      </c>
      <c r="M199" s="950">
        <f t="shared" ref="M199" si="182">M198/L198-1</f>
        <v>0.18241783402061795</v>
      </c>
      <c r="N199" s="950">
        <f t="shared" ref="N199" si="183">N198/M198-1</f>
        <v>0.18747189833412392</v>
      </c>
      <c r="O199" s="950">
        <f t="shared" ref="O199" si="184">O198/N198-1</f>
        <v>0.19216976110698192</v>
      </c>
      <c r="P199" s="950">
        <f t="shared" ref="P199" si="185">P198/O198-1</f>
        <v>0.20476620296227144</v>
      </c>
      <c r="Q199" s="950">
        <f t="shared" ref="Q199" si="186">Q198/P198-1</f>
        <v>0.19619358612722504</v>
      </c>
      <c r="R199" s="950">
        <f t="shared" ref="R199" si="187">R198/Q198-1</f>
        <v>0.16614045471236394</v>
      </c>
      <c r="S199" s="950">
        <f t="shared" ref="S199" si="188">S198/R198-1</f>
        <v>0.16720364814245925</v>
      </c>
      <c r="T199" s="950">
        <f t="shared" ref="T199" si="189">T198/S198-1</f>
        <v>0.14383654308113458</v>
      </c>
      <c r="U199" s="950">
        <f t="shared" ref="U199" si="190">U198/T198-1</f>
        <v>0.11953040551187577</v>
      </c>
      <c r="V199" s="950">
        <f t="shared" ref="V199" si="191">V198/U198-1</f>
        <v>0.12006195296534905</v>
      </c>
      <c r="W199" s="950">
        <f t="shared" ref="W199" si="192">W198/V198-1</f>
        <v>0.1205981873137203</v>
      </c>
      <c r="X199" s="950">
        <f t="shared" ref="X199" si="193">X198/W198-1</f>
        <v>0.11015283426333466</v>
      </c>
      <c r="Y199" s="950">
        <f t="shared" ref="Y199" si="194">Y198/X198-1</f>
        <v>0.11051725405951229</v>
      </c>
      <c r="Z199" s="950">
        <f t="shared" ref="Z199" si="195">Z198/Y198-1</f>
        <v>0.11089117897468581</v>
      </c>
      <c r="AA199" s="950">
        <f t="shared" ref="AA199" si="196">AA198/Z198-1</f>
        <v>0.11127460192135907</v>
      </c>
      <c r="AB199" s="950">
        <f t="shared" ref="AB199" si="197">AB198/AA198-1</f>
        <v>0.10744021210652432</v>
      </c>
      <c r="AC199" s="950">
        <f t="shared" ref="AC199" si="198">AC198/AB198-1</f>
        <v>0.10799334692129436</v>
      </c>
      <c r="AD199" s="950">
        <f t="shared" ref="AD199" si="199">AD198/AC198-1</f>
        <v>0.10855684449952463</v>
      </c>
      <c r="AE199" s="950">
        <f t="shared" ref="AE199" si="200">AE198/AD198-1</f>
        <v>0.10913048180623974</v>
      </c>
      <c r="AF199" s="950">
        <f t="shared" ref="AF199" si="201">AF198/AE198-1</f>
        <v>9.2375903160722972E-2</v>
      </c>
    </row>
    <row r="200" spans="2:32" ht="12.75" customHeight="1">
      <c r="B200" s="1876"/>
      <c r="C200" s="11" t="s">
        <v>580</v>
      </c>
      <c r="D200" s="963">
        <f>D193+D187+D181+D165</f>
        <v>4094</v>
      </c>
      <c r="E200" s="963">
        <f>E193+E187+E181+E165</f>
        <v>5478</v>
      </c>
      <c r="F200" s="963">
        <f>F193+F187+F181+F165</f>
        <v>4783</v>
      </c>
      <c r="G200" s="965">
        <f>G173+G181+G187+G193</f>
        <v>8066.3949999999995</v>
      </c>
      <c r="H200" s="965">
        <f>H173+H181+H187+H193</f>
        <v>10761.608</v>
      </c>
      <c r="I200" s="965">
        <f>I173+I181+I187+I193</f>
        <v>15853.4627865</v>
      </c>
      <c r="J200" s="898">
        <f>J173+J181+J187+J193</f>
        <v>20908.844620705</v>
      </c>
      <c r="K200" s="948">
        <f t="shared" ref="K200:AF200" si="202">K173+K181+K187+K193</f>
        <v>26793.087609771002</v>
      </c>
      <c r="L200" s="948">
        <f t="shared" si="202"/>
        <v>30440.935517975202</v>
      </c>
      <c r="M200" s="948">
        <f t="shared" si="202"/>
        <v>37229.861021570236</v>
      </c>
      <c r="N200" s="948">
        <f t="shared" si="202"/>
        <v>44363.913905884285</v>
      </c>
      <c r="O200" s="948">
        <f t="shared" si="202"/>
        <v>54115.786062061146</v>
      </c>
      <c r="P200" s="948">
        <f t="shared" si="202"/>
        <v>68354.523166230705</v>
      </c>
      <c r="Q200" s="948">
        <f t="shared" si="202"/>
        <v>80634.916098897156</v>
      </c>
      <c r="R200" s="948">
        <f t="shared" si="202"/>
        <v>91429.205091624754</v>
      </c>
      <c r="S200" s="948">
        <f t="shared" si="202"/>
        <v>106307.95489397174</v>
      </c>
      <c r="T200" s="948">
        <f t="shared" si="202"/>
        <v>121551.85206247444</v>
      </c>
      <c r="U200" s="948">
        <f t="shared" si="202"/>
        <v>136524.21258958583</v>
      </c>
      <c r="V200" s="948">
        <f t="shared" si="202"/>
        <v>153416.38546753797</v>
      </c>
      <c r="W200" s="948">
        <f t="shared" si="202"/>
        <v>170198.77911027925</v>
      </c>
      <c r="X200" s="948">
        <f t="shared" si="202"/>
        <v>184739.44468019041</v>
      </c>
      <c r="Y200" s="948">
        <f t="shared" si="202"/>
        <v>205589.30097511306</v>
      </c>
      <c r="Z200" s="948">
        <f t="shared" si="202"/>
        <v>228880.52967356346</v>
      </c>
      <c r="AA200" s="948">
        <f t="shared" si="202"/>
        <v>254910.72603199983</v>
      </c>
      <c r="AB200" s="948">
        <f t="shared" si="202"/>
        <v>282836.97916140588</v>
      </c>
      <c r="AC200" s="948">
        <f t="shared" si="202"/>
        <v>304445.99992901343</v>
      </c>
      <c r="AD200" s="948">
        <f t="shared" si="202"/>
        <v>337817.17562554049</v>
      </c>
      <c r="AE200" s="948">
        <f t="shared" si="202"/>
        <v>375060.65980979439</v>
      </c>
      <c r="AF200" s="948">
        <f t="shared" si="202"/>
        <v>409360.64002690162</v>
      </c>
    </row>
    <row r="201" spans="2:32" ht="12.75" customHeight="1">
      <c r="B201" s="1876"/>
      <c r="C201" s="11" t="s">
        <v>581</v>
      </c>
      <c r="D201" s="963">
        <v>-409</v>
      </c>
      <c r="E201" s="963">
        <v>-4979</v>
      </c>
      <c r="F201" s="963">
        <v>-4419</v>
      </c>
      <c r="G201" s="965">
        <f>G198*(-0.13-0.05-0.005)</f>
        <v>-4941.2889499999992</v>
      </c>
      <c r="H201" s="965">
        <f t="shared" ref="H201:J201" si="203">H198*(-0.13-0.05-0.005)</f>
        <v>-6045.8743514999996</v>
      </c>
      <c r="I201" s="965">
        <f t="shared" si="203"/>
        <v>-7534.2236555050004</v>
      </c>
      <c r="J201" s="965">
        <f t="shared" si="203"/>
        <v>-9202.7261164658503</v>
      </c>
      <c r="K201" s="948">
        <f>K198*(-0.12-0.06-0.005)</f>
        <v>-11715.37182252152</v>
      </c>
      <c r="L201" s="948">
        <f t="shared" ref="L201:M201" si="204">L198*(-0.12-0.06-0.005)</f>
        <v>-14266.614551025823</v>
      </c>
      <c r="M201" s="948">
        <f t="shared" si="204"/>
        <v>-16869.099476230986</v>
      </c>
      <c r="N201" s="948">
        <f>N198*(-0.02-0.06-0.12)</f>
        <v>-21655.763868353715</v>
      </c>
      <c r="O201" s="948">
        <f t="shared" ref="O201:AF201" si="205">O198*(-0.02-0.06-0.12)</f>
        <v>-25817.346837524459</v>
      </c>
      <c r="P201" s="948">
        <f t="shared" si="205"/>
        <v>-31103.866920004351</v>
      </c>
      <c r="Q201" s="948">
        <f t="shared" si="205"/>
        <v>-37206.246113463967</v>
      </c>
      <c r="R201" s="948">
        <f t="shared" si="205"/>
        <v>-43387.708760895002</v>
      </c>
      <c r="S201" s="948">
        <f t="shared" si="205"/>
        <v>-50642.291950259183</v>
      </c>
      <c r="T201" s="948">
        <f t="shared" si="205"/>
        <v>-57926.504158090036</v>
      </c>
      <c r="U201" s="948">
        <f t="shared" si="205"/>
        <v>-64850.482689991899</v>
      </c>
      <c r="V201" s="948">
        <f t="shared" si="205"/>
        <v>-72636.558292497881</v>
      </c>
      <c r="W201" s="948">
        <f t="shared" si="205"/>
        <v>-81396.395555280498</v>
      </c>
      <c r="X201" s="948">
        <f t="shared" si="205"/>
        <v>-90362.439224514135</v>
      </c>
      <c r="Y201" s="948">
        <f t="shared" si="205"/>
        <v>-100349.047877727</v>
      </c>
      <c r="Z201" s="948">
        <f t="shared" si="205"/>
        <v>-111476.87210587534</v>
      </c>
      <c r="AA201" s="948">
        <f t="shared" si="205"/>
        <v>-123881.41667289488</v>
      </c>
      <c r="AB201" s="948">
        <f t="shared" si="205"/>
        <v>-137191.26235628742</v>
      </c>
      <c r="AC201" s="948">
        <f t="shared" si="205"/>
        <v>-152007.00594650029</v>
      </c>
      <c r="AD201" s="948">
        <f t="shared" si="205"/>
        <v>-168508.40685387282</v>
      </c>
      <c r="AE201" s="948">
        <f t="shared" si="205"/>
        <v>-186897.81048223784</v>
      </c>
      <c r="AF201" s="948">
        <f t="shared" si="205"/>
        <v>-204162.66452429621</v>
      </c>
    </row>
    <row r="202" spans="2:32" ht="12.75" customHeight="1">
      <c r="B202" s="1876"/>
      <c r="C202" s="11" t="s">
        <v>58</v>
      </c>
      <c r="D202" s="1081">
        <f>D200+D201</f>
        <v>3685</v>
      </c>
      <c r="E202" s="1081">
        <f t="shared" ref="E202" si="206">E200+E201</f>
        <v>499</v>
      </c>
      <c r="F202" s="1081">
        <f t="shared" ref="F202" si="207">F200+F201</f>
        <v>364</v>
      </c>
      <c r="G202" s="1080">
        <f t="shared" ref="G202" si="208">G200+G201</f>
        <v>3125.1060500000003</v>
      </c>
      <c r="H202" s="1080">
        <f t="shared" ref="H202" si="209">H200+H201</f>
        <v>4715.7336485000005</v>
      </c>
      <c r="I202" s="1080">
        <f t="shared" ref="I202" si="210">I200+I201</f>
        <v>8319.2391309949999</v>
      </c>
      <c r="J202" s="1095">
        <f t="shared" ref="J202" si="211">J200+J201</f>
        <v>11706.11850423915</v>
      </c>
      <c r="K202" s="1096">
        <f t="shared" ref="K202" si="212">K200+K201</f>
        <v>15077.715787249483</v>
      </c>
      <c r="L202" s="1096">
        <f t="shared" ref="L202" si="213">L200+L201</f>
        <v>16174.320966949379</v>
      </c>
      <c r="M202" s="1096">
        <f t="shared" ref="M202" si="214">M200+M201</f>
        <v>20360.76154533925</v>
      </c>
      <c r="N202" s="1096">
        <f t="shared" ref="N202" si="215">N200+N201</f>
        <v>22708.15003753057</v>
      </c>
      <c r="O202" s="1096">
        <f t="shared" ref="O202" si="216">O200+O201</f>
        <v>28298.439224536687</v>
      </c>
      <c r="P202" s="1096">
        <f t="shared" ref="P202" si="217">P200+P201</f>
        <v>37250.656246226354</v>
      </c>
      <c r="Q202" s="1096">
        <f t="shared" ref="Q202" si="218">Q200+Q201</f>
        <v>43428.669985433189</v>
      </c>
      <c r="R202" s="1096">
        <f t="shared" ref="R202" si="219">R200+R201</f>
        <v>48041.496330729751</v>
      </c>
      <c r="S202" s="1096">
        <f t="shared" ref="S202" si="220">S200+S201</f>
        <v>55665.662943712552</v>
      </c>
      <c r="T202" s="1096">
        <f t="shared" ref="T202" si="221">T200+T201</f>
        <v>63625.347904384405</v>
      </c>
      <c r="U202" s="1096">
        <f t="shared" ref="U202" si="222">U200+U201</f>
        <v>71673.729899593935</v>
      </c>
      <c r="V202" s="1096">
        <f t="shared" ref="V202" si="223">V200+V201</f>
        <v>80779.827175040089</v>
      </c>
      <c r="W202" s="1096">
        <f t="shared" ref="W202" si="224">W200+W201</f>
        <v>88802.383554998756</v>
      </c>
      <c r="X202" s="1096">
        <f t="shared" ref="X202" si="225">X200+X201</f>
        <v>94377.005455676277</v>
      </c>
      <c r="Y202" s="1096">
        <f t="shared" ref="Y202" si="226">Y200+Y201</f>
        <v>105240.25309738606</v>
      </c>
      <c r="Z202" s="1096">
        <f t="shared" ref="Z202" si="227">Z200+Z201</f>
        <v>117403.65756768812</v>
      </c>
      <c r="AA202" s="1096">
        <f t="shared" ref="AA202" si="228">AA200+AA201</f>
        <v>131029.30935910495</v>
      </c>
      <c r="AB202" s="1096">
        <f t="shared" ref="AB202" si="229">AB200+AB201</f>
        <v>145645.71680511846</v>
      </c>
      <c r="AC202" s="1096">
        <f t="shared" ref="AC202" si="230">AC200+AC201</f>
        <v>152438.99398251314</v>
      </c>
      <c r="AD202" s="1096">
        <f t="shared" ref="AD202" si="231">AD200+AD201</f>
        <v>169308.76877166767</v>
      </c>
      <c r="AE202" s="1096">
        <f t="shared" ref="AE202" si="232">AE200+AE201</f>
        <v>188162.84932755656</v>
      </c>
      <c r="AF202" s="1096">
        <f t="shared" ref="AF202" si="233">AF200+AF201</f>
        <v>205197.9755026054</v>
      </c>
    </row>
    <row r="203" spans="2:32" ht="12.75" customHeight="1">
      <c r="B203" s="1876"/>
      <c r="C203" s="11" t="s">
        <v>582</v>
      </c>
      <c r="D203" s="1097">
        <f>D202/D198</f>
        <v>0.25377040148750085</v>
      </c>
      <c r="E203" s="1097">
        <f t="shared" ref="E203" si="234">E202/E198</f>
        <v>2.1848592320154122E-2</v>
      </c>
      <c r="F203" s="1097">
        <f t="shared" ref="F203" si="235">F202/F198</f>
        <v>1.5850897056261977E-2</v>
      </c>
      <c r="G203" s="1097">
        <f t="shared" ref="G203" si="236">G202/G198</f>
        <v>0.11700279524232236</v>
      </c>
      <c r="H203" s="1097">
        <f t="shared" ref="H203" si="237">H202/H198</f>
        <v>0.14429852065252602</v>
      </c>
      <c r="I203" s="1097">
        <f t="shared" ref="I203" si="238">I202/I198</f>
        <v>0.20427575681398003</v>
      </c>
      <c r="J203" s="996">
        <f t="shared" ref="J203" si="239">J202/J198</f>
        <v>0.23532504345743982</v>
      </c>
      <c r="K203" s="1098">
        <f t="shared" ref="K203" si="240">K202/K198</f>
        <v>0.23809550929308804</v>
      </c>
      <c r="L203" s="1098">
        <f t="shared" ref="L203" si="241">L202/L198</f>
        <v>0.20973787216186343</v>
      </c>
      <c r="M203" s="1098">
        <f t="shared" ref="M203" si="242">M202/M198</f>
        <v>0.22329235127193364</v>
      </c>
      <c r="N203" s="1098">
        <f t="shared" ref="N203" si="243">N202/N198</f>
        <v>0.20971922464221862</v>
      </c>
      <c r="O203" s="1098">
        <f t="shared" ref="O203" si="244">O202/O198</f>
        <v>0.2192203513600868</v>
      </c>
      <c r="P203" s="1098">
        <f t="shared" ref="P203" si="245">P202/P198</f>
        <v>0.23952427742846802</v>
      </c>
      <c r="Q203" s="1098">
        <f t="shared" ref="Q203" si="246">Q202/Q198</f>
        <v>0.23344827560938747</v>
      </c>
      <c r="R203" s="1098">
        <f t="shared" ref="R203" si="247">R202/R198</f>
        <v>0.22145210107996841</v>
      </c>
      <c r="S203" s="1098">
        <f t="shared" ref="S203" si="248">S202/S198</f>
        <v>0.21983863999831338</v>
      </c>
      <c r="T203" s="1098">
        <f t="shared" ref="T203" si="249">T202/T198</f>
        <v>0.21967611831275502</v>
      </c>
      <c r="U203" s="1098">
        <f t="shared" ref="U203" si="250">U202/U198</f>
        <v>0.22104301132875004</v>
      </c>
      <c r="V203" s="1098">
        <f t="shared" ref="V203" si="251">V202/V198</f>
        <v>0.22242195686020896</v>
      </c>
      <c r="W203" s="1098">
        <f t="shared" ref="W203" si="252">W202/W198</f>
        <v>0.21819733650168444</v>
      </c>
      <c r="X203" s="1098">
        <f t="shared" ref="X203" si="253">X202/X198</f>
        <v>0.20888547557063522</v>
      </c>
      <c r="Y203" s="1098">
        <f t="shared" ref="Y203" si="254">Y202/Y198</f>
        <v>0.20974838391216005</v>
      </c>
      <c r="Z203" s="1098">
        <f t="shared" ref="Z203" si="255">Z202/Z198</f>
        <v>0.21063321090707285</v>
      </c>
      <c r="AA203" s="1098">
        <f t="shared" ref="AA203" si="256">AA202/AA198</f>
        <v>0.2115398949708234</v>
      </c>
      <c r="AB203" s="1098">
        <f t="shared" ref="AB203" si="257">AB202/AB198</f>
        <v>0.21232506254935493</v>
      </c>
      <c r="AC203" s="1098">
        <f t="shared" ref="AC203" si="258">AC202/AC198</f>
        <v>0.20056837911295339</v>
      </c>
      <c r="AD203" s="1098">
        <f t="shared" ref="AD203" si="259">AD202/AD198</f>
        <v>0.20094993707760694</v>
      </c>
      <c r="AE203" s="1098">
        <f t="shared" ref="AE203" si="260">AE202/AE198</f>
        <v>0.2013537224882995</v>
      </c>
      <c r="AF203" s="1098">
        <f t="shared" ref="AF203" si="261">AF202/AF198</f>
        <v>0.20101420206355702</v>
      </c>
    </row>
    <row r="204" spans="2:32" ht="12.75" customHeight="1">
      <c r="B204" s="1877"/>
      <c r="C204" s="1472" t="s">
        <v>583</v>
      </c>
      <c r="D204" s="967">
        <f t="shared" ref="D204:J204" si="262">D200/D198</f>
        <v>0.28193650575029267</v>
      </c>
      <c r="E204" s="967">
        <f t="shared" si="262"/>
        <v>0.23985288322606069</v>
      </c>
      <c r="F204" s="967">
        <f t="shared" si="262"/>
        <v>0.20828252917610171</v>
      </c>
      <c r="G204" s="944">
        <f t="shared" si="262"/>
        <v>0.30200279524232237</v>
      </c>
      <c r="H204" s="944">
        <f t="shared" si="262"/>
        <v>0.32929852065252602</v>
      </c>
      <c r="I204" s="944">
        <f t="shared" si="262"/>
        <v>0.38927575681398002</v>
      </c>
      <c r="J204" s="959">
        <f t="shared" si="262"/>
        <v>0.42032504345743982</v>
      </c>
      <c r="K204" s="901">
        <f t="shared" ref="K204:AF204" si="263">K200/K198</f>
        <v>0.42309550929308803</v>
      </c>
      <c r="L204" s="901">
        <f t="shared" si="263"/>
        <v>0.39473787216186346</v>
      </c>
      <c r="M204" s="901">
        <f t="shared" si="263"/>
        <v>0.40829235127193364</v>
      </c>
      <c r="N204" s="901">
        <f t="shared" si="263"/>
        <v>0.40971922464221866</v>
      </c>
      <c r="O204" s="901">
        <f t="shared" si="263"/>
        <v>0.41922035136008678</v>
      </c>
      <c r="P204" s="901">
        <f t="shared" si="263"/>
        <v>0.43952427742846806</v>
      </c>
      <c r="Q204" s="901">
        <f t="shared" si="263"/>
        <v>0.43344827560938748</v>
      </c>
      <c r="R204" s="901">
        <f t="shared" si="263"/>
        <v>0.42145210107996844</v>
      </c>
      <c r="S204" s="901">
        <f t="shared" si="263"/>
        <v>0.41983863999831339</v>
      </c>
      <c r="T204" s="901">
        <f t="shared" si="263"/>
        <v>0.41967611831275503</v>
      </c>
      <c r="U204" s="901">
        <f t="shared" si="263"/>
        <v>0.42104301132875005</v>
      </c>
      <c r="V204" s="901">
        <f t="shared" si="263"/>
        <v>0.42242195686020895</v>
      </c>
      <c r="W204" s="901">
        <f t="shared" si="263"/>
        <v>0.41819733650168445</v>
      </c>
      <c r="X204" s="901">
        <f t="shared" si="263"/>
        <v>0.4088854755706352</v>
      </c>
      <c r="Y204" s="901">
        <f t="shared" si="263"/>
        <v>0.40974838391216006</v>
      </c>
      <c r="Z204" s="901">
        <f t="shared" si="263"/>
        <v>0.41063321090707283</v>
      </c>
      <c r="AA204" s="901">
        <f t="shared" si="263"/>
        <v>0.41153989497082338</v>
      </c>
      <c r="AB204" s="901">
        <f t="shared" si="263"/>
        <v>0.41232506254935491</v>
      </c>
      <c r="AC204" s="901">
        <f t="shared" si="263"/>
        <v>0.4005683791129534</v>
      </c>
      <c r="AD204" s="901">
        <f t="shared" si="263"/>
        <v>0.40094993707760695</v>
      </c>
      <c r="AE204" s="901">
        <f t="shared" si="263"/>
        <v>0.40135372248829948</v>
      </c>
      <c r="AF204" s="901">
        <f t="shared" si="263"/>
        <v>0.40101420206355703</v>
      </c>
    </row>
    <row r="210" spans="2:32" s="973" customFormat="1" ht="12.75" customHeight="1">
      <c r="B210" s="975" t="s">
        <v>537</v>
      </c>
    </row>
    <row r="213" spans="2:32" ht="12.75" customHeight="1">
      <c r="B213" s="91"/>
      <c r="C213" s="91"/>
      <c r="D213" s="91"/>
      <c r="E213" s="91"/>
      <c r="F213" s="91"/>
      <c r="G213" s="91"/>
      <c r="H213" s="91"/>
      <c r="I213" s="91"/>
      <c r="J213" s="91"/>
      <c r="K213" s="91"/>
      <c r="L213" t="s">
        <v>605</v>
      </c>
      <c r="R213" s="91"/>
      <c r="S213" s="91"/>
      <c r="T213" s="91"/>
      <c r="U213" s="91"/>
      <c r="V213" s="91"/>
      <c r="W213" s="91"/>
      <c r="X213" s="91"/>
      <c r="Y213" s="91"/>
      <c r="Z213" s="91"/>
      <c r="AA213" s="91"/>
      <c r="AB213" s="91"/>
      <c r="AC213" s="91"/>
      <c r="AD213" s="91"/>
      <c r="AE213" s="91"/>
      <c r="AF213" s="91"/>
    </row>
    <row r="214" spans="2:32" ht="12.75" customHeight="1">
      <c r="C214" s="1901" t="s">
        <v>606</v>
      </c>
      <c r="D214" s="1902"/>
      <c r="E214" s="1902"/>
      <c r="F214" s="1902"/>
      <c r="G214" s="1903"/>
    </row>
    <row r="215" spans="2:32" ht="12.75" customHeight="1">
      <c r="C215" s="1896" t="s">
        <v>607</v>
      </c>
      <c r="D215" s="1897"/>
      <c r="E215" s="1898"/>
      <c r="F215" s="1899" t="s">
        <v>559</v>
      </c>
      <c r="G215" s="1900"/>
    </row>
    <row r="216" spans="2:32" ht="12.75" customHeight="1">
      <c r="C216" s="952" t="s">
        <v>119</v>
      </c>
      <c r="D216" s="952" t="s">
        <v>597</v>
      </c>
      <c r="E216" s="952" t="s">
        <v>179</v>
      </c>
      <c r="F216" s="952" t="s">
        <v>608</v>
      </c>
      <c r="G216" s="932" t="s">
        <v>609</v>
      </c>
    </row>
    <row r="217" spans="2:32" ht="12.75" customHeight="1">
      <c r="C217" s="859">
        <v>2023</v>
      </c>
      <c r="D217" s="859">
        <v>45</v>
      </c>
      <c r="E217" s="859"/>
      <c r="F217" s="859"/>
      <c r="G217" s="904"/>
    </row>
    <row r="218" spans="2:32" ht="12.75" customHeight="1">
      <c r="C218" s="859">
        <v>2024</v>
      </c>
      <c r="D218" s="921">
        <f>D217*(1+E218)</f>
        <v>56.25</v>
      </c>
      <c r="E218" s="922">
        <v>0.25</v>
      </c>
      <c r="F218" s="859">
        <v>3.5</v>
      </c>
      <c r="G218" s="919">
        <f>F218/D218</f>
        <v>6.222222222222222E-2</v>
      </c>
    </row>
    <row r="219" spans="2:32" ht="12.75" customHeight="1">
      <c r="C219" s="859">
        <v>2025</v>
      </c>
      <c r="D219" s="921">
        <f>D218*1.3</f>
        <v>73.125</v>
      </c>
      <c r="E219" s="922">
        <v>0.25</v>
      </c>
      <c r="F219" s="920">
        <f>D219*G219</f>
        <v>5.1187500000000004</v>
      </c>
      <c r="G219" s="919">
        <v>7.0000000000000007E-2</v>
      </c>
    </row>
    <row r="220" spans="2:32" ht="12.75" customHeight="1">
      <c r="C220" s="859">
        <v>2026</v>
      </c>
      <c r="D220" s="921">
        <f>D219*1.3</f>
        <v>95.0625</v>
      </c>
      <c r="E220" s="922">
        <v>0.25</v>
      </c>
      <c r="F220" s="920">
        <f t="shared" ref="F220:F221" si="264">D220*G220</f>
        <v>6.6543750000000008</v>
      </c>
      <c r="G220" s="919">
        <v>7.0000000000000007E-2</v>
      </c>
    </row>
    <row r="221" spans="2:32" ht="12.75" customHeight="1" thickBot="1">
      <c r="C221" s="946">
        <v>2027</v>
      </c>
      <c r="D221" s="945">
        <f>D220*1.3</f>
        <v>123.58125</v>
      </c>
      <c r="E221" s="944">
        <v>0.25</v>
      </c>
      <c r="F221" s="943">
        <f t="shared" si="264"/>
        <v>8.6506875000000001</v>
      </c>
      <c r="G221" s="942">
        <v>7.0000000000000007E-2</v>
      </c>
    </row>
    <row r="227" spans="2:32" ht="12.75" customHeight="1">
      <c r="D227" s="1473">
        <v>2021</v>
      </c>
      <c r="E227" s="1474">
        <v>2022</v>
      </c>
      <c r="F227" s="1473">
        <v>2023</v>
      </c>
      <c r="G227" s="937">
        <v>2024</v>
      </c>
      <c r="H227" s="938">
        <v>2025</v>
      </c>
      <c r="I227" s="1474">
        <v>2026</v>
      </c>
      <c r="J227" s="1473">
        <v>2027</v>
      </c>
    </row>
    <row r="228" spans="2:32" ht="12.75" customHeight="1">
      <c r="B228" s="1512"/>
      <c r="C228" s="1476" t="s">
        <v>510</v>
      </c>
      <c r="D228" s="900">
        <v>3694</v>
      </c>
      <c r="E228">
        <v>6043</v>
      </c>
      <c r="F228" s="900">
        <v>6496</v>
      </c>
      <c r="G228" s="926">
        <f>F228*0.85</f>
        <v>5521.5999999999995</v>
      </c>
      <c r="H228" s="933">
        <f>G228*0.85</f>
        <v>4693.3599999999997</v>
      </c>
      <c r="I228" s="926">
        <f>H228*0.85</f>
        <v>3989.3559999999998</v>
      </c>
      <c r="J228" s="933">
        <f>I228*0.85</f>
        <v>3390.9525999999996</v>
      </c>
    </row>
    <row r="229" spans="2:32" ht="12.75" customHeight="1">
      <c r="B229" s="1513" t="s">
        <v>567</v>
      </c>
      <c r="C229" s="11" t="s">
        <v>58</v>
      </c>
      <c r="D229" s="900">
        <v>991</v>
      </c>
      <c r="E229">
        <v>1081</v>
      </c>
      <c r="F229" s="900">
        <v>1267</v>
      </c>
      <c r="G229" s="926">
        <f>G228*G230</f>
        <v>1380.3999999999999</v>
      </c>
      <c r="H229" s="933">
        <f>H228*H230</f>
        <v>1314.1408000000001</v>
      </c>
      <c r="I229" s="926">
        <f>I228*I230</f>
        <v>1196.8067999999998</v>
      </c>
      <c r="J229" s="948">
        <f>J228*J230</f>
        <v>1152.923884</v>
      </c>
    </row>
    <row r="230" spans="2:32" ht="12.75" customHeight="1">
      <c r="B230" s="1514" t="s">
        <v>568</v>
      </c>
      <c r="C230" s="11" t="s">
        <v>513</v>
      </c>
      <c r="D230" s="929">
        <f>D229/F228</f>
        <v>0.15255541871921183</v>
      </c>
      <c r="E230" s="917">
        <f t="shared" ref="E230" si="265">E229/E228</f>
        <v>0.17888465993711733</v>
      </c>
      <c r="F230" s="929">
        <f>F229/D228</f>
        <v>0.34298863021115322</v>
      </c>
      <c r="G230" s="927">
        <v>0.25</v>
      </c>
      <c r="H230" s="934">
        <v>0.28000000000000003</v>
      </c>
      <c r="I230" s="154">
        <v>0.3</v>
      </c>
      <c r="J230" s="936">
        <v>0.34</v>
      </c>
    </row>
    <row r="231" spans="2:32" ht="12.75" customHeight="1">
      <c r="B231" s="1515"/>
      <c r="C231" s="1472" t="s">
        <v>222</v>
      </c>
      <c r="D231" s="930"/>
      <c r="F231" s="929">
        <f>AVERAGE(D230:F230)</f>
        <v>0.22480956962249413</v>
      </c>
      <c r="H231" s="900"/>
      <c r="J231" s="900"/>
    </row>
    <row r="232" spans="2:32" ht="12.75" customHeight="1">
      <c r="E232" s="1516" t="s">
        <v>206</v>
      </c>
      <c r="F232" s="918" t="s">
        <v>569</v>
      </c>
      <c r="G232" s="928">
        <f>F218*1000</f>
        <v>3500</v>
      </c>
      <c r="H232" s="935">
        <f>F219*1000</f>
        <v>5118.75</v>
      </c>
      <c r="I232" s="876">
        <f>F220*1000</f>
        <v>6654.3750000000009</v>
      </c>
      <c r="J232" s="935">
        <f>F221*1000</f>
        <v>8650.6875</v>
      </c>
    </row>
    <row r="233" spans="2:32" ht="12.75" customHeight="1">
      <c r="E233" s="1517"/>
      <c r="F233" s="931" t="s">
        <v>58</v>
      </c>
      <c r="G233">
        <f>G232*G234</f>
        <v>1400</v>
      </c>
      <c r="H233" s="900">
        <f>H232*H234</f>
        <v>2047.5</v>
      </c>
      <c r="I233">
        <f>I232*I234</f>
        <v>2661.7500000000005</v>
      </c>
      <c r="J233" s="900">
        <f>J232*J234</f>
        <v>3892.8093750000003</v>
      </c>
    </row>
    <row r="234" spans="2:32" ht="12.75" customHeight="1">
      <c r="E234" s="1518"/>
      <c r="F234" s="932" t="s">
        <v>339</v>
      </c>
      <c r="G234" s="897">
        <v>0.4</v>
      </c>
      <c r="H234" s="901">
        <v>0.4</v>
      </c>
      <c r="I234" s="897">
        <v>0.4</v>
      </c>
      <c r="J234" s="901">
        <v>0.45</v>
      </c>
      <c r="K234" s="1480" t="s">
        <v>570</v>
      </c>
      <c r="L234" s="1480" t="s">
        <v>571</v>
      </c>
      <c r="M234" s="1480" t="s">
        <v>572</v>
      </c>
      <c r="N234" s="1480">
        <v>2031</v>
      </c>
      <c r="O234" s="1480">
        <v>2032</v>
      </c>
      <c r="P234" s="1480">
        <v>2033</v>
      </c>
      <c r="Q234" s="1480">
        <v>2034</v>
      </c>
      <c r="R234" s="1480">
        <v>2035</v>
      </c>
      <c r="S234" s="1480">
        <v>2036</v>
      </c>
      <c r="T234" s="1480">
        <v>2037</v>
      </c>
      <c r="U234" s="1480">
        <v>2038</v>
      </c>
      <c r="V234" s="1480">
        <v>2039</v>
      </c>
      <c r="W234" s="1480">
        <v>2040</v>
      </c>
      <c r="X234" s="1480">
        <v>2041</v>
      </c>
      <c r="Y234" s="1480">
        <v>2042</v>
      </c>
      <c r="Z234" s="1480">
        <v>2043</v>
      </c>
      <c r="AA234" s="1480">
        <v>2044</v>
      </c>
      <c r="AB234" s="1480">
        <v>2045</v>
      </c>
      <c r="AC234" s="1480">
        <v>2046</v>
      </c>
      <c r="AD234" s="1480">
        <v>2047</v>
      </c>
      <c r="AE234" s="1480">
        <v>2048</v>
      </c>
      <c r="AF234" s="1480">
        <v>2049</v>
      </c>
    </row>
    <row r="235" spans="2:32" ht="12.75" customHeight="1">
      <c r="C235" s="541"/>
      <c r="E235" s="1878" t="s">
        <v>573</v>
      </c>
      <c r="F235" s="931" t="s">
        <v>510</v>
      </c>
      <c r="G235" s="926">
        <f>(G232+G228)</f>
        <v>9021.5999999999985</v>
      </c>
      <c r="H235" s="933">
        <f>H232+H228</f>
        <v>9812.11</v>
      </c>
      <c r="I235" s="926">
        <f>I232+I228</f>
        <v>10643.731</v>
      </c>
      <c r="J235" s="933">
        <f>J232+J228</f>
        <v>12041.640100000001</v>
      </c>
      <c r="K235" s="955">
        <f>J235*(1+K236)</f>
        <v>13847.886114999999</v>
      </c>
      <c r="L235" s="955">
        <f t="shared" ref="L235:AF235" si="266">K235*(1+L236)</f>
        <v>15925.069032249998</v>
      </c>
      <c r="M235" s="955">
        <f t="shared" si="266"/>
        <v>19110.082838699997</v>
      </c>
      <c r="N235" s="955">
        <f t="shared" si="266"/>
        <v>22932.099406439997</v>
      </c>
      <c r="O235" s="955">
        <f t="shared" si="266"/>
        <v>27518.519287727995</v>
      </c>
      <c r="P235" s="955">
        <f t="shared" si="266"/>
        <v>33022.223145273594</v>
      </c>
      <c r="Q235" s="955">
        <f t="shared" si="266"/>
        <v>39626.667774328314</v>
      </c>
      <c r="R235" s="955">
        <f t="shared" si="266"/>
        <v>45570.667940477557</v>
      </c>
      <c r="S235" s="955">
        <f t="shared" si="266"/>
        <v>52406.268131549186</v>
      </c>
      <c r="T235" s="955">
        <f t="shared" si="266"/>
        <v>60267.208351281559</v>
      </c>
      <c r="U235" s="955">
        <f t="shared" si="266"/>
        <v>66293.929186409718</v>
      </c>
      <c r="V235" s="955">
        <f t="shared" si="266"/>
        <v>72923.322105050698</v>
      </c>
      <c r="W235" s="955">
        <f t="shared" si="266"/>
        <v>80215.654315555774</v>
      </c>
      <c r="X235" s="955">
        <f t="shared" si="266"/>
        <v>88237.219747111361</v>
      </c>
      <c r="Y235" s="955">
        <f t="shared" si="266"/>
        <v>97060.941721822499</v>
      </c>
      <c r="Z235" s="955">
        <f t="shared" si="266"/>
        <v>106767.03589400476</v>
      </c>
      <c r="AA235" s="955">
        <f t="shared" si="266"/>
        <v>117443.73948340524</v>
      </c>
      <c r="AB235" s="955">
        <f t="shared" si="266"/>
        <v>129188.11343174578</v>
      </c>
      <c r="AC235" s="955">
        <f t="shared" si="266"/>
        <v>142106.92477492036</v>
      </c>
      <c r="AD235" s="955">
        <f t="shared" si="266"/>
        <v>156317.61725241243</v>
      </c>
      <c r="AE235" s="955">
        <f t="shared" si="266"/>
        <v>171949.37897765369</v>
      </c>
      <c r="AF235" s="955">
        <f t="shared" si="266"/>
        <v>189144.31687541908</v>
      </c>
    </row>
    <row r="236" spans="2:32" ht="12.75" customHeight="1">
      <c r="C236" s="541"/>
      <c r="E236" s="1879"/>
      <c r="F236" s="931" t="s">
        <v>179</v>
      </c>
      <c r="G236" s="927">
        <f>G235/F228-1</f>
        <v>0.38879310344827567</v>
      </c>
      <c r="H236" s="934">
        <f>H235/G235-1</f>
        <v>8.7624146492861765E-2</v>
      </c>
      <c r="I236" s="927">
        <f t="shared" ref="I236:J236" si="267">I235/H235-1</f>
        <v>8.4754553301991109E-2</v>
      </c>
      <c r="J236" s="934">
        <f t="shared" si="267"/>
        <v>0.131336380071988</v>
      </c>
      <c r="K236" s="950">
        <v>0.15</v>
      </c>
      <c r="L236" s="950">
        <v>0.15</v>
      </c>
      <c r="M236" s="950">
        <v>0.2</v>
      </c>
      <c r="N236" s="950">
        <v>0.2</v>
      </c>
      <c r="O236" s="950">
        <v>0.2</v>
      </c>
      <c r="P236" s="950">
        <v>0.2</v>
      </c>
      <c r="Q236" s="950">
        <v>0.2</v>
      </c>
      <c r="R236" s="950">
        <v>0.15</v>
      </c>
      <c r="S236" s="950">
        <v>0.15</v>
      </c>
      <c r="T236" s="950">
        <v>0.15</v>
      </c>
      <c r="U236" s="950">
        <v>0.1</v>
      </c>
      <c r="V236" s="950">
        <v>0.1</v>
      </c>
      <c r="W236" s="950">
        <v>0.1</v>
      </c>
      <c r="X236" s="950">
        <v>0.1</v>
      </c>
      <c r="Y236" s="950">
        <v>0.1</v>
      </c>
      <c r="Z236" s="950">
        <v>0.1</v>
      </c>
      <c r="AA236" s="950">
        <v>0.1</v>
      </c>
      <c r="AB236" s="950">
        <v>0.1</v>
      </c>
      <c r="AC236" s="950">
        <v>0.1</v>
      </c>
      <c r="AD236" s="950">
        <v>0.1</v>
      </c>
      <c r="AE236" s="950">
        <v>0.1</v>
      </c>
      <c r="AF236" s="950">
        <v>0.1</v>
      </c>
    </row>
    <row r="237" spans="2:32" ht="12.75" customHeight="1">
      <c r="C237" s="541"/>
      <c r="E237" s="1879"/>
      <c r="F237" s="931" t="s">
        <v>58</v>
      </c>
      <c r="G237" s="923">
        <f>G233+G229</f>
        <v>2780.3999999999996</v>
      </c>
      <c r="H237" s="898">
        <f>H233+H229</f>
        <v>3361.6408000000001</v>
      </c>
      <c r="I237" s="923">
        <f>I233+I229</f>
        <v>3858.5568000000003</v>
      </c>
      <c r="J237" s="898">
        <f>J233+J229</f>
        <v>5045.7332590000005</v>
      </c>
      <c r="K237" s="948">
        <f>K235*K238</f>
        <v>6231.5487517499996</v>
      </c>
      <c r="L237" s="948">
        <f t="shared" ref="L237:AF237" si="268">L235*L238</f>
        <v>7166.2810645124991</v>
      </c>
      <c r="M237" s="948">
        <f t="shared" si="268"/>
        <v>8599.5372774149982</v>
      </c>
      <c r="N237" s="948">
        <f t="shared" si="268"/>
        <v>10319.444732897999</v>
      </c>
      <c r="O237" s="948">
        <f t="shared" si="268"/>
        <v>12383.333679477599</v>
      </c>
      <c r="P237" s="948">
        <f t="shared" si="268"/>
        <v>14860.000415373117</v>
      </c>
      <c r="Q237" s="948">
        <f t="shared" si="268"/>
        <v>17832.000498447742</v>
      </c>
      <c r="R237" s="948">
        <f t="shared" si="268"/>
        <v>20506.800573214899</v>
      </c>
      <c r="S237" s="948">
        <f t="shared" si="268"/>
        <v>23582.820659197136</v>
      </c>
      <c r="T237" s="948">
        <f t="shared" si="268"/>
        <v>27120.243758076704</v>
      </c>
      <c r="U237" s="948">
        <f t="shared" si="268"/>
        <v>29832.268133884372</v>
      </c>
      <c r="V237" s="948">
        <f t="shared" si="268"/>
        <v>32815.494947272819</v>
      </c>
      <c r="W237" s="948">
        <f t="shared" si="268"/>
        <v>36097.0444420001</v>
      </c>
      <c r="X237" s="948">
        <f t="shared" si="268"/>
        <v>39706.748886200112</v>
      </c>
      <c r="Y237" s="948">
        <f t="shared" si="268"/>
        <v>43677.423774820127</v>
      </c>
      <c r="Z237" s="948">
        <f t="shared" si="268"/>
        <v>48045.166152302139</v>
      </c>
      <c r="AA237" s="948">
        <f t="shared" si="268"/>
        <v>52849.682767532358</v>
      </c>
      <c r="AB237" s="948">
        <f t="shared" si="268"/>
        <v>58134.651044285602</v>
      </c>
      <c r="AC237" s="948">
        <f t="shared" si="268"/>
        <v>63948.116148714165</v>
      </c>
      <c r="AD237" s="948">
        <f t="shared" si="268"/>
        <v>70342.927763585598</v>
      </c>
      <c r="AE237" s="948">
        <f t="shared" si="268"/>
        <v>77377.220539944159</v>
      </c>
      <c r="AF237" s="948">
        <f t="shared" si="268"/>
        <v>85114.942593938584</v>
      </c>
    </row>
    <row r="238" spans="2:32" ht="12.75" customHeight="1">
      <c r="B238" s="541"/>
      <c r="C238" s="541"/>
      <c r="E238" s="1880"/>
      <c r="F238" s="932" t="s">
        <v>513</v>
      </c>
      <c r="G238" s="897">
        <f>G237/G235</f>
        <v>0.3081936685288641</v>
      </c>
      <c r="H238" s="901">
        <f>H237/H235</f>
        <v>0.3426012142138643</v>
      </c>
      <c r="I238" s="897">
        <f>I237/I235</f>
        <v>0.36251919557155293</v>
      </c>
      <c r="J238" s="901">
        <f>J237/J235</f>
        <v>0.41902375565933087</v>
      </c>
      <c r="K238" s="901">
        <v>0.45</v>
      </c>
      <c r="L238" s="901">
        <v>0.45</v>
      </c>
      <c r="M238" s="901">
        <v>0.45</v>
      </c>
      <c r="N238" s="901">
        <v>0.45</v>
      </c>
      <c r="O238" s="901">
        <v>0.45</v>
      </c>
      <c r="P238" s="901">
        <v>0.45</v>
      </c>
      <c r="Q238" s="901">
        <v>0.45</v>
      </c>
      <c r="R238" s="901">
        <v>0.45</v>
      </c>
      <c r="S238" s="901">
        <v>0.45</v>
      </c>
      <c r="T238" s="901">
        <v>0.45</v>
      </c>
      <c r="U238" s="901">
        <v>0.45</v>
      </c>
      <c r="V238" s="901">
        <v>0.45</v>
      </c>
      <c r="W238" s="901">
        <v>0.45</v>
      </c>
      <c r="X238" s="901">
        <v>0.45</v>
      </c>
      <c r="Y238" s="901">
        <v>0.45</v>
      </c>
      <c r="Z238" s="901">
        <v>0.45</v>
      </c>
      <c r="AA238" s="901">
        <v>0.45</v>
      </c>
      <c r="AB238" s="901">
        <v>0.45</v>
      </c>
      <c r="AC238" s="901">
        <v>0.45</v>
      </c>
      <c r="AD238" s="901">
        <v>0.45</v>
      </c>
      <c r="AE238" s="901">
        <v>0.45</v>
      </c>
      <c r="AF238" s="901">
        <v>0.45</v>
      </c>
    </row>
    <row r="243" spans="2:32" ht="12.75" customHeight="1">
      <c r="D243" s="1481">
        <v>2021</v>
      </c>
      <c r="E243" s="1482">
        <v>2022</v>
      </c>
      <c r="F243" s="1481">
        <v>2023</v>
      </c>
      <c r="G243" s="961" t="s">
        <v>574</v>
      </c>
      <c r="H243" s="960" t="s">
        <v>575</v>
      </c>
      <c r="I243" s="1483" t="s">
        <v>576</v>
      </c>
      <c r="J243" s="1480">
        <v>2027</v>
      </c>
      <c r="K243" s="1480" t="s">
        <v>570</v>
      </c>
      <c r="L243" s="1480" t="s">
        <v>571</v>
      </c>
      <c r="M243" s="1480" t="s">
        <v>572</v>
      </c>
      <c r="N243" s="1480">
        <v>2031</v>
      </c>
      <c r="O243" s="1480">
        <v>2032</v>
      </c>
      <c r="P243" s="1480">
        <v>2033</v>
      </c>
      <c r="Q243" s="1480">
        <v>2034</v>
      </c>
      <c r="R243" s="1480">
        <v>2035</v>
      </c>
      <c r="S243" s="1480">
        <v>2036</v>
      </c>
      <c r="T243" s="1480">
        <v>2037</v>
      </c>
      <c r="U243" s="1480">
        <v>2038</v>
      </c>
      <c r="V243" s="1480">
        <v>2039</v>
      </c>
      <c r="W243" s="1480">
        <v>2040</v>
      </c>
      <c r="X243" s="1480">
        <v>2041</v>
      </c>
      <c r="Y243" s="1480">
        <v>2042</v>
      </c>
      <c r="Z243" s="1480">
        <v>2043</v>
      </c>
      <c r="AA243" s="1480">
        <v>2044</v>
      </c>
      <c r="AB243" s="1480">
        <v>2045</v>
      </c>
      <c r="AC243" s="1480">
        <v>2046</v>
      </c>
      <c r="AD243" s="1480">
        <v>2047</v>
      </c>
      <c r="AE243" s="1480">
        <v>2048</v>
      </c>
      <c r="AF243" s="1480">
        <v>2049</v>
      </c>
    </row>
    <row r="244" spans="2:32" ht="12.75" customHeight="1">
      <c r="B244" s="1519"/>
      <c r="C244" s="1484" t="s">
        <v>510</v>
      </c>
      <c r="D244" s="935">
        <v>6887</v>
      </c>
      <c r="E244" s="876">
        <v>6201</v>
      </c>
      <c r="F244" s="935">
        <v>4651</v>
      </c>
      <c r="G244" s="954">
        <f>F244*1.1</f>
        <v>5116.1000000000004</v>
      </c>
      <c r="H244" s="955">
        <f>G244*1.1</f>
        <v>5627.7100000000009</v>
      </c>
      <c r="I244" s="955">
        <f t="shared" ref="I244:J244" si="269">H244*1.1</f>
        <v>6190.4810000000016</v>
      </c>
      <c r="J244" s="955">
        <f t="shared" si="269"/>
        <v>6809.5291000000025</v>
      </c>
      <c r="K244" s="955">
        <f>J244*(1+K245)</f>
        <v>7626.6725920000035</v>
      </c>
      <c r="L244" s="955">
        <f t="shared" ref="L244:AF244" si="270">K244*(1+L245)</f>
        <v>8541.8733030400053</v>
      </c>
      <c r="M244" s="955">
        <f t="shared" si="270"/>
        <v>9823.1542984960051</v>
      </c>
      <c r="N244" s="955">
        <f t="shared" si="270"/>
        <v>11296.627443270405</v>
      </c>
      <c r="O244" s="955">
        <f t="shared" si="270"/>
        <v>12991.121559760964</v>
      </c>
      <c r="P244" s="955">
        <f t="shared" si="270"/>
        <v>14939.789793725107</v>
      </c>
      <c r="Q244" s="955">
        <f t="shared" si="270"/>
        <v>17180.758262783871</v>
      </c>
      <c r="R244" s="955">
        <f t="shared" si="270"/>
        <v>18898.83408906226</v>
      </c>
      <c r="S244" s="955">
        <f t="shared" si="270"/>
        <v>20788.71749796849</v>
      </c>
      <c r="T244" s="955">
        <f t="shared" si="270"/>
        <v>22867.58924776534</v>
      </c>
      <c r="U244" s="955">
        <f t="shared" si="270"/>
        <v>25154.348172541875</v>
      </c>
      <c r="V244" s="955">
        <f t="shared" si="270"/>
        <v>27669.782989796066</v>
      </c>
      <c r="W244" s="955">
        <f t="shared" si="270"/>
        <v>30436.761288775673</v>
      </c>
      <c r="X244" s="955">
        <f t="shared" si="270"/>
        <v>32871.702191877732</v>
      </c>
      <c r="Y244" s="955">
        <f t="shared" si="270"/>
        <v>35501.438367227951</v>
      </c>
      <c r="Z244" s="955">
        <f t="shared" si="270"/>
        <v>38341.553436606191</v>
      </c>
      <c r="AA244" s="955">
        <f t="shared" si="270"/>
        <v>41408.877711534689</v>
      </c>
      <c r="AB244" s="955">
        <f t="shared" si="270"/>
        <v>44721.587928457469</v>
      </c>
      <c r="AC244" s="955">
        <f t="shared" si="270"/>
        <v>48299.314962734068</v>
      </c>
      <c r="AD244" s="955">
        <f t="shared" si="270"/>
        <v>51197.273860498113</v>
      </c>
      <c r="AE244" s="955">
        <f t="shared" si="270"/>
        <v>54269.110292128003</v>
      </c>
      <c r="AF244" s="955">
        <f t="shared" si="270"/>
        <v>57525.256909655684</v>
      </c>
    </row>
    <row r="245" spans="2:32" ht="12.75" customHeight="1">
      <c r="B245" s="1520"/>
      <c r="C245" s="1485" t="s">
        <v>179</v>
      </c>
      <c r="D245" s="900"/>
      <c r="E245" s="154">
        <f>E244/D244-1</f>
        <v>-9.9607957020473314E-2</v>
      </c>
      <c r="F245" s="936">
        <f t="shared" ref="F245:J245" si="271">F244/E244-1</f>
        <v>-0.24995968392194812</v>
      </c>
      <c r="G245" s="949">
        <f t="shared" si="271"/>
        <v>0.10000000000000009</v>
      </c>
      <c r="H245" s="950">
        <f t="shared" si="271"/>
        <v>0.10000000000000009</v>
      </c>
      <c r="I245" s="949">
        <f t="shared" si="271"/>
        <v>0.10000000000000009</v>
      </c>
      <c r="J245" s="950">
        <f t="shared" si="271"/>
        <v>0.10000000000000009</v>
      </c>
      <c r="K245" s="950">
        <v>0.12</v>
      </c>
      <c r="L245" s="950">
        <v>0.12</v>
      </c>
      <c r="M245" s="950">
        <v>0.15</v>
      </c>
      <c r="N245" s="950">
        <v>0.15</v>
      </c>
      <c r="O245" s="950">
        <v>0.15</v>
      </c>
      <c r="P245" s="950">
        <v>0.15</v>
      </c>
      <c r="Q245" s="950">
        <v>0.15</v>
      </c>
      <c r="R245" s="950">
        <v>0.1</v>
      </c>
      <c r="S245" s="950">
        <v>0.1</v>
      </c>
      <c r="T245" s="950">
        <v>0.1</v>
      </c>
      <c r="U245" s="950">
        <v>0.1</v>
      </c>
      <c r="V245" s="950">
        <v>0.1</v>
      </c>
      <c r="W245" s="950">
        <v>0.1</v>
      </c>
      <c r="X245" s="950">
        <v>0.08</v>
      </c>
      <c r="Y245" s="950">
        <v>0.08</v>
      </c>
      <c r="Z245" s="950">
        <v>0.08</v>
      </c>
      <c r="AA245" s="950">
        <v>0.08</v>
      </c>
      <c r="AB245" s="950">
        <v>0.08</v>
      </c>
      <c r="AC245" s="950">
        <v>0.08</v>
      </c>
      <c r="AD245" s="950">
        <v>0.06</v>
      </c>
      <c r="AE245" s="950">
        <v>0.06</v>
      </c>
      <c r="AF245" s="950">
        <v>0.06</v>
      </c>
    </row>
    <row r="246" spans="2:32" ht="12.75" customHeight="1">
      <c r="B246" s="1520" t="s">
        <v>578</v>
      </c>
      <c r="C246" s="1485" t="s">
        <v>58</v>
      </c>
      <c r="D246" s="900">
        <v>2088</v>
      </c>
      <c r="E246">
        <v>1190</v>
      </c>
      <c r="F246" s="900">
        <v>-46</v>
      </c>
      <c r="G246" s="947">
        <f>G244*G247</f>
        <v>511.61000000000007</v>
      </c>
      <c r="H246" s="948">
        <f>H244*H247</f>
        <v>844.15650000000016</v>
      </c>
      <c r="I246" s="947">
        <f>I244*I247</f>
        <v>1238.0962000000004</v>
      </c>
      <c r="J246" s="948">
        <f>J244*J247</f>
        <v>1361.9058200000006</v>
      </c>
      <c r="K246" s="948">
        <f>K244*K247</f>
        <v>1906.6681480000009</v>
      </c>
      <c r="L246" s="948">
        <f t="shared" ref="L246:AF246" si="272">L244*L247</f>
        <v>2135.4683257600013</v>
      </c>
      <c r="M246" s="948">
        <f t="shared" si="272"/>
        <v>2455.7885746240013</v>
      </c>
      <c r="N246" s="948">
        <f t="shared" si="272"/>
        <v>3388.9882329811212</v>
      </c>
      <c r="O246" s="948">
        <f t="shared" si="272"/>
        <v>3897.336467928289</v>
      </c>
      <c r="P246" s="948">
        <f t="shared" si="272"/>
        <v>4481.936938117532</v>
      </c>
      <c r="Q246" s="948">
        <f t="shared" si="272"/>
        <v>7731.3412182527418</v>
      </c>
      <c r="R246" s="948">
        <f t="shared" si="272"/>
        <v>8504.4753400780173</v>
      </c>
      <c r="S246" s="948">
        <f t="shared" si="272"/>
        <v>9354.9228740858198</v>
      </c>
      <c r="T246" s="948">
        <f t="shared" si="272"/>
        <v>10290.415161494404</v>
      </c>
      <c r="U246" s="948">
        <f t="shared" si="272"/>
        <v>11319.456677643844</v>
      </c>
      <c r="V246" s="948">
        <f t="shared" si="272"/>
        <v>12451.402345408229</v>
      </c>
      <c r="W246" s="948">
        <f t="shared" si="272"/>
        <v>13696.542579949053</v>
      </c>
      <c r="X246" s="948">
        <f t="shared" si="272"/>
        <v>14792.265986344979</v>
      </c>
      <c r="Y246" s="948">
        <f t="shared" si="272"/>
        <v>15975.647265252579</v>
      </c>
      <c r="Z246" s="948">
        <f t="shared" si="272"/>
        <v>17253.699046472786</v>
      </c>
      <c r="AA246" s="948">
        <f t="shared" si="272"/>
        <v>18633.994970190612</v>
      </c>
      <c r="AB246" s="948">
        <f t="shared" si="272"/>
        <v>20124.714567805862</v>
      </c>
      <c r="AC246" s="948">
        <f t="shared" si="272"/>
        <v>21734.691733230331</v>
      </c>
      <c r="AD246" s="948">
        <f t="shared" si="272"/>
        <v>23038.773237224152</v>
      </c>
      <c r="AE246" s="948">
        <f t="shared" si="272"/>
        <v>24421.0996314576</v>
      </c>
      <c r="AF246" s="948">
        <f t="shared" si="272"/>
        <v>25886.365609345059</v>
      </c>
    </row>
    <row r="247" spans="2:32" ht="12.75" customHeight="1">
      <c r="B247" s="1521"/>
      <c r="C247" s="1486" t="s">
        <v>513</v>
      </c>
      <c r="D247" s="956">
        <f>D246/F244</f>
        <v>0.44893571274994626</v>
      </c>
      <c r="E247" s="957">
        <f>E246/E244</f>
        <v>0.19190453152717304</v>
      </c>
      <c r="F247" s="956">
        <f>F246/D244</f>
        <v>-6.6792507623057934E-3</v>
      </c>
      <c r="G247" s="958">
        <v>0.1</v>
      </c>
      <c r="H247" s="959">
        <v>0.15</v>
      </c>
      <c r="I247" s="897">
        <v>0.2</v>
      </c>
      <c r="J247" s="901">
        <v>0.2</v>
      </c>
      <c r="K247" s="901">
        <v>0.25</v>
      </c>
      <c r="L247" s="901">
        <v>0.25</v>
      </c>
      <c r="M247" s="901">
        <v>0.25</v>
      </c>
      <c r="N247" s="901">
        <v>0.3</v>
      </c>
      <c r="O247" s="901">
        <v>0.3</v>
      </c>
      <c r="P247" s="901">
        <v>0.3</v>
      </c>
      <c r="Q247" s="901">
        <v>0.45</v>
      </c>
      <c r="R247" s="901">
        <v>0.45</v>
      </c>
      <c r="S247" s="901">
        <v>0.45</v>
      </c>
      <c r="T247" s="901">
        <v>0.45</v>
      </c>
      <c r="U247" s="901">
        <v>0.45</v>
      </c>
      <c r="V247" s="901">
        <v>0.45</v>
      </c>
      <c r="W247" s="901">
        <v>0.45</v>
      </c>
      <c r="X247" s="901">
        <v>0.45</v>
      </c>
      <c r="Y247" s="901">
        <v>0.45</v>
      </c>
      <c r="Z247" s="901">
        <v>0.45</v>
      </c>
      <c r="AA247" s="901">
        <v>0.45</v>
      </c>
      <c r="AB247" s="901">
        <v>0.45</v>
      </c>
      <c r="AC247" s="901">
        <v>0.45</v>
      </c>
      <c r="AD247" s="901">
        <v>0.45</v>
      </c>
      <c r="AE247" s="901">
        <v>0.45</v>
      </c>
      <c r="AF247" s="901">
        <v>0.45</v>
      </c>
    </row>
    <row r="251" spans="2:32" ht="12.75" customHeight="1">
      <c r="D251" s="1481">
        <v>2021</v>
      </c>
      <c r="E251" s="1482">
        <v>2022</v>
      </c>
      <c r="F251" s="1481">
        <v>2023</v>
      </c>
      <c r="G251" s="961" t="s">
        <v>574</v>
      </c>
      <c r="H251" s="960" t="s">
        <v>575</v>
      </c>
      <c r="I251" s="1483" t="s">
        <v>576</v>
      </c>
      <c r="J251" s="1480" t="s">
        <v>577</v>
      </c>
      <c r="K251" s="1480" t="s">
        <v>570</v>
      </c>
      <c r="L251" s="1480" t="s">
        <v>571</v>
      </c>
      <c r="M251" s="1480" t="s">
        <v>572</v>
      </c>
      <c r="N251" s="1480">
        <v>2031</v>
      </c>
      <c r="O251" s="1480">
        <v>2032</v>
      </c>
      <c r="P251" s="1480">
        <v>2033</v>
      </c>
      <c r="Q251" s="1480">
        <v>2034</v>
      </c>
      <c r="R251" s="1480">
        <v>2035</v>
      </c>
      <c r="S251" s="1480">
        <v>2036</v>
      </c>
      <c r="T251" s="1480">
        <v>2037</v>
      </c>
      <c r="U251" s="1480">
        <v>2038</v>
      </c>
      <c r="V251" s="1480">
        <v>2039</v>
      </c>
      <c r="W251" s="1480">
        <v>2040</v>
      </c>
      <c r="X251" s="1480">
        <v>2041</v>
      </c>
      <c r="Y251" s="1480">
        <v>2042</v>
      </c>
      <c r="Z251" s="1480">
        <v>2043</v>
      </c>
      <c r="AA251" s="1480">
        <v>2044</v>
      </c>
      <c r="AB251" s="1480">
        <v>2045</v>
      </c>
      <c r="AC251" s="1480">
        <v>2046</v>
      </c>
      <c r="AD251" s="1480">
        <v>2047</v>
      </c>
      <c r="AE251" s="1480">
        <v>2048</v>
      </c>
      <c r="AF251" s="1480">
        <v>2049</v>
      </c>
    </row>
    <row r="252" spans="2:32" ht="12.75" customHeight="1">
      <c r="B252" s="1487"/>
      <c r="C252" s="1484" t="s">
        <v>510</v>
      </c>
      <c r="D252" s="935">
        <v>3694</v>
      </c>
      <c r="E252" s="876">
        <v>6043</v>
      </c>
      <c r="F252" s="935">
        <v>6496</v>
      </c>
      <c r="G252" s="954">
        <f>F252*(1+G253)</f>
        <v>5846.4000000000005</v>
      </c>
      <c r="H252" s="955">
        <f t="shared" ref="H252" si="273">G252*(1+H253)</f>
        <v>7308.0000000000009</v>
      </c>
      <c r="I252" s="954">
        <f t="shared" ref="I252" si="274">H252*(1+I253)</f>
        <v>9135.0000000000018</v>
      </c>
      <c r="J252" s="955">
        <f t="shared" ref="J252" si="275">I252*(1+J253)</f>
        <v>10962.000000000002</v>
      </c>
      <c r="K252" s="955">
        <f t="shared" ref="K252" si="276">J252*(1+K253)</f>
        <v>15346.800000000001</v>
      </c>
      <c r="L252" s="955">
        <f t="shared" ref="L252" si="277">K252*(1+L253)</f>
        <v>18416.16</v>
      </c>
      <c r="M252" s="955">
        <f t="shared" ref="M252" si="278">L252*(1+M253)</f>
        <v>19336.968000000001</v>
      </c>
      <c r="N252" s="955">
        <f t="shared" ref="N252" si="279">M252*(1+N253)</f>
        <v>20303.816400000003</v>
      </c>
      <c r="O252" s="955">
        <f t="shared" ref="O252" si="280">N252*(1+O253)</f>
        <v>21319.007220000003</v>
      </c>
      <c r="P252" s="955">
        <f t="shared" ref="P252" si="281">O252*(1+P253)</f>
        <v>23450.907942000005</v>
      </c>
      <c r="Q252" s="955">
        <f t="shared" ref="Q252" si="282">P252*(1+Q253)</f>
        <v>25795.998736200007</v>
      </c>
      <c r="R252" s="955">
        <f t="shared" ref="R252" si="283">Q252*(1+R253)</f>
        <v>28375.598609820008</v>
      </c>
      <c r="S252" s="955">
        <f t="shared" ref="S252" si="284">R252*(1+S253)</f>
        <v>31213.158470802013</v>
      </c>
      <c r="T252" s="955">
        <f t="shared" ref="T252" si="285">S252*(1+T253)</f>
        <v>34334.474317882217</v>
      </c>
      <c r="U252" s="955">
        <f t="shared" ref="U252" si="286">T252*(1+U253)</f>
        <v>37767.921749670444</v>
      </c>
      <c r="V252" s="955">
        <f t="shared" ref="V252" si="287">U252*(1+V253)</f>
        <v>41544.713924637494</v>
      </c>
      <c r="W252" s="955">
        <f t="shared" ref="W252" si="288">V252*(1+W253)</f>
        <v>45699.185317101248</v>
      </c>
      <c r="X252" s="955">
        <f t="shared" ref="X252" si="289">W252*(1+X253)</f>
        <v>50269.103848811377</v>
      </c>
      <c r="Y252" s="955">
        <f t="shared" ref="Y252" si="290">X252*(1+Y253)</f>
        <v>55296.01423369252</v>
      </c>
      <c r="Z252" s="955">
        <f t="shared" ref="Z252" si="291">Y252*(1+Z253)</f>
        <v>60825.615657061775</v>
      </c>
      <c r="AA252" s="955">
        <f t="shared" ref="AA252" si="292">Z252*(1+AA253)</f>
        <v>66908.177222767961</v>
      </c>
      <c r="AB252" s="955">
        <f t="shared" ref="AB252" si="293">AA252*(1+AB253)</f>
        <v>73598.99494504476</v>
      </c>
      <c r="AC252" s="955">
        <f t="shared" ref="AC252" si="294">AB252*(1+AC253)</f>
        <v>80958.894439549244</v>
      </c>
      <c r="AD252" s="955">
        <f t="shared" ref="AD252" si="295">AC252*(1+AD253)</f>
        <v>89054.783883504177</v>
      </c>
      <c r="AE252" s="955">
        <f t="shared" ref="AE252" si="296">AD252*(1+AE253)</f>
        <v>97960.262271854604</v>
      </c>
      <c r="AF252" s="955">
        <f t="shared" ref="AF252" si="297">AE252*(1+AF253)</f>
        <v>107756.28849904008</v>
      </c>
    </row>
    <row r="253" spans="2:32" ht="12.75" customHeight="1">
      <c r="B253" s="1488"/>
      <c r="C253" s="1485" t="s">
        <v>179</v>
      </c>
      <c r="D253" s="900"/>
      <c r="E253" s="154">
        <f>E252/D252-1</f>
        <v>0.63589604764482943</v>
      </c>
      <c r="F253" s="936">
        <f t="shared" ref="F253" si="298">F252/E252-1</f>
        <v>7.4962766837663342E-2</v>
      </c>
      <c r="G253" s="949">
        <v>-0.1</v>
      </c>
      <c r="H253" s="950">
        <v>0.25</v>
      </c>
      <c r="I253" s="949">
        <v>0.25</v>
      </c>
      <c r="J253" s="950">
        <v>0.2</v>
      </c>
      <c r="K253" s="950">
        <v>0.4</v>
      </c>
      <c r="L253" s="950">
        <v>0.2</v>
      </c>
      <c r="M253" s="950">
        <v>0.05</v>
      </c>
      <c r="N253" s="950">
        <v>0.05</v>
      </c>
      <c r="O253" s="950">
        <v>0.05</v>
      </c>
      <c r="P253" s="950">
        <v>0.1</v>
      </c>
      <c r="Q253" s="950">
        <v>0.1</v>
      </c>
      <c r="R253" s="950">
        <v>0.1</v>
      </c>
      <c r="S253" s="950">
        <v>0.1</v>
      </c>
      <c r="T253" s="950">
        <v>0.1</v>
      </c>
      <c r="U253" s="950">
        <v>0.1</v>
      </c>
      <c r="V253" s="950">
        <v>0.1</v>
      </c>
      <c r="W253" s="950">
        <v>0.1</v>
      </c>
      <c r="X253" s="950">
        <v>0.1</v>
      </c>
      <c r="Y253" s="950">
        <v>0.1</v>
      </c>
      <c r="Z253" s="950">
        <v>0.1</v>
      </c>
      <c r="AA253" s="950">
        <v>0.1</v>
      </c>
      <c r="AB253" s="950">
        <v>0.1</v>
      </c>
      <c r="AC253" s="950">
        <v>0.1</v>
      </c>
      <c r="AD253" s="950">
        <v>0.1</v>
      </c>
      <c r="AE253" s="950">
        <v>0.1</v>
      </c>
      <c r="AF253" s="950">
        <v>0.1</v>
      </c>
    </row>
    <row r="254" spans="2:32" ht="12.75" customHeight="1">
      <c r="B254" s="1488" t="s">
        <v>193</v>
      </c>
      <c r="C254" s="1485" t="s">
        <v>58</v>
      </c>
      <c r="D254" s="900">
        <v>971</v>
      </c>
      <c r="E254">
        <v>953</v>
      </c>
      <c r="F254" s="900">
        <v>934</v>
      </c>
      <c r="G254" s="947">
        <f>G252*G255</f>
        <v>876.96</v>
      </c>
      <c r="H254" s="948">
        <f>H252*H255</f>
        <v>1461.6000000000004</v>
      </c>
      <c r="I254" s="947">
        <f>I252*I255</f>
        <v>2283.7500000000005</v>
      </c>
      <c r="J254" s="948">
        <f>J252*J255</f>
        <v>2740.5000000000005</v>
      </c>
      <c r="K254" s="948">
        <f>K252*K255</f>
        <v>4604.04</v>
      </c>
      <c r="L254" s="948">
        <f t="shared" ref="L254:AF254" si="299">L252*L255</f>
        <v>5524.848</v>
      </c>
      <c r="M254" s="948">
        <f t="shared" si="299"/>
        <v>4834.2420000000002</v>
      </c>
      <c r="N254" s="948">
        <f t="shared" si="299"/>
        <v>4060.763280000001</v>
      </c>
      <c r="O254" s="948">
        <f t="shared" si="299"/>
        <v>3197.8510830000005</v>
      </c>
      <c r="P254" s="948">
        <f t="shared" si="299"/>
        <v>4690.1815884000016</v>
      </c>
      <c r="Q254" s="948">
        <f t="shared" si="299"/>
        <v>6448.9996840500016</v>
      </c>
      <c r="R254" s="948">
        <f t="shared" si="299"/>
        <v>7093.8996524550021</v>
      </c>
      <c r="S254" s="948">
        <f t="shared" si="299"/>
        <v>7803.2896177005032</v>
      </c>
      <c r="T254" s="948">
        <f t="shared" si="299"/>
        <v>8583.6185794705543</v>
      </c>
      <c r="U254" s="948">
        <f t="shared" si="299"/>
        <v>9441.980437417611</v>
      </c>
      <c r="V254" s="948">
        <f t="shared" si="299"/>
        <v>10386.178481159373</v>
      </c>
      <c r="W254" s="948">
        <f t="shared" si="299"/>
        <v>11424.796329275312</v>
      </c>
      <c r="X254" s="948">
        <f t="shared" si="299"/>
        <v>12567.275962202844</v>
      </c>
      <c r="Y254" s="948">
        <f t="shared" si="299"/>
        <v>13824.00355842313</v>
      </c>
      <c r="Z254" s="948">
        <f t="shared" si="299"/>
        <v>15206.403914265444</v>
      </c>
      <c r="AA254" s="948">
        <f t="shared" si="299"/>
        <v>16727.04430569199</v>
      </c>
      <c r="AB254" s="948">
        <f t="shared" si="299"/>
        <v>18399.74873626119</v>
      </c>
      <c r="AC254" s="948">
        <f t="shared" si="299"/>
        <v>20239.723609887311</v>
      </c>
      <c r="AD254" s="948">
        <f t="shared" si="299"/>
        <v>22263.695970876044</v>
      </c>
      <c r="AE254" s="948">
        <f t="shared" si="299"/>
        <v>24490.065567963651</v>
      </c>
      <c r="AF254" s="948">
        <f t="shared" si="299"/>
        <v>26939.07212476002</v>
      </c>
    </row>
    <row r="255" spans="2:32" ht="12.75" customHeight="1">
      <c r="B255" s="1489"/>
      <c r="C255" s="1486" t="s">
        <v>513</v>
      </c>
      <c r="D255" s="956">
        <f>D254/F252</f>
        <v>0.14947660098522167</v>
      </c>
      <c r="E255" s="957">
        <f>E254/E252</f>
        <v>0.15770312758563626</v>
      </c>
      <c r="F255" s="956">
        <f>F254/D252</f>
        <v>0.25284244721169463</v>
      </c>
      <c r="G255" s="958">
        <v>0.15</v>
      </c>
      <c r="H255" s="959">
        <v>0.2</v>
      </c>
      <c r="I255" s="897">
        <v>0.25</v>
      </c>
      <c r="J255" s="901">
        <v>0.25</v>
      </c>
      <c r="K255" s="901">
        <v>0.3</v>
      </c>
      <c r="L255" s="901">
        <v>0.3</v>
      </c>
      <c r="M255" s="901">
        <v>0.25</v>
      </c>
      <c r="N255" s="901">
        <v>0.2</v>
      </c>
      <c r="O255" s="901">
        <v>0.15</v>
      </c>
      <c r="P255" s="901">
        <v>0.2</v>
      </c>
      <c r="Q255" s="901">
        <v>0.25</v>
      </c>
      <c r="R255" s="901">
        <v>0.25</v>
      </c>
      <c r="S255" s="901">
        <v>0.25</v>
      </c>
      <c r="T255" s="901">
        <v>0.25</v>
      </c>
      <c r="U255" s="901">
        <v>0.25</v>
      </c>
      <c r="V255" s="901">
        <v>0.25</v>
      </c>
      <c r="W255" s="901">
        <v>0.25</v>
      </c>
      <c r="X255" s="901">
        <v>0.25</v>
      </c>
      <c r="Y255" s="901">
        <v>0.25</v>
      </c>
      <c r="Z255" s="901">
        <v>0.25</v>
      </c>
      <c r="AA255" s="901">
        <v>0.25</v>
      </c>
      <c r="AB255" s="901">
        <v>0.25</v>
      </c>
      <c r="AC255" s="901">
        <v>0.25</v>
      </c>
      <c r="AD255" s="901">
        <v>0.25</v>
      </c>
      <c r="AE255" s="901">
        <v>0.25</v>
      </c>
      <c r="AF255" s="901">
        <v>0.25</v>
      </c>
    </row>
    <row r="258" spans="2:33" ht="12.75" customHeight="1">
      <c r="AG258" s="91"/>
    </row>
    <row r="259" spans="2:33" ht="12.75" customHeight="1">
      <c r="D259" s="1481">
        <v>2021</v>
      </c>
      <c r="E259" s="1482">
        <v>2022</v>
      </c>
      <c r="F259" s="1481">
        <v>2023</v>
      </c>
      <c r="G259" s="961" t="s">
        <v>574</v>
      </c>
      <c r="H259" s="960" t="s">
        <v>575</v>
      </c>
      <c r="I259" s="1483" t="s">
        <v>576</v>
      </c>
      <c r="J259" s="1480" t="s">
        <v>577</v>
      </c>
      <c r="K259" s="1480" t="s">
        <v>570</v>
      </c>
      <c r="L259" s="1480" t="s">
        <v>571</v>
      </c>
      <c r="M259" s="1480" t="s">
        <v>572</v>
      </c>
      <c r="N259" s="1480">
        <v>2031</v>
      </c>
      <c r="O259" s="1480">
        <v>2032</v>
      </c>
      <c r="P259" s="1480">
        <v>2033</v>
      </c>
      <c r="Q259" s="1480">
        <v>2034</v>
      </c>
      <c r="R259" s="1480">
        <v>2035</v>
      </c>
      <c r="S259" s="1480">
        <v>2036</v>
      </c>
      <c r="T259" s="1480">
        <v>2037</v>
      </c>
      <c r="U259" s="1480">
        <v>2038</v>
      </c>
      <c r="V259" s="1480">
        <v>2039</v>
      </c>
      <c r="W259" s="1480">
        <v>2040</v>
      </c>
      <c r="X259" s="1480">
        <v>2041</v>
      </c>
      <c r="Y259" s="1480">
        <v>2042</v>
      </c>
      <c r="Z259" s="1480">
        <v>2043</v>
      </c>
      <c r="AA259" s="1480">
        <v>2044</v>
      </c>
      <c r="AB259" s="1480">
        <v>2045</v>
      </c>
      <c r="AC259" s="1480">
        <v>2046</v>
      </c>
      <c r="AD259" s="1480">
        <v>2047</v>
      </c>
      <c r="AE259" s="1480">
        <v>2048</v>
      </c>
      <c r="AF259" s="1480">
        <v>2049</v>
      </c>
    </row>
    <row r="260" spans="2:33" ht="12.75" customHeight="1">
      <c r="B260" s="1487"/>
      <c r="C260" s="1484" t="s">
        <v>510</v>
      </c>
      <c r="D260" s="935">
        <v>246</v>
      </c>
      <c r="E260" s="876">
        <v>4552</v>
      </c>
      <c r="F260" s="935">
        <v>5321</v>
      </c>
      <c r="G260" s="954">
        <f>F260*1.17</f>
        <v>6225.57</v>
      </c>
      <c r="H260" s="955">
        <f t="shared" ref="H260:J260" si="300">G260*1.17</f>
        <v>7283.9168999999993</v>
      </c>
      <c r="I260" s="954">
        <f t="shared" si="300"/>
        <v>8522.1827729999986</v>
      </c>
      <c r="J260" s="955">
        <f t="shared" si="300"/>
        <v>9970.9538444099981</v>
      </c>
      <c r="K260" s="955">
        <f>J260*(1+K261)</f>
        <v>11965.144613291997</v>
      </c>
      <c r="L260" s="955">
        <f t="shared" ref="L260:AF260" si="301">K260*(1+L261)</f>
        <v>14358.173535950396</v>
      </c>
      <c r="M260" s="955">
        <f t="shared" si="301"/>
        <v>17229.808243140476</v>
      </c>
      <c r="N260" s="955">
        <f t="shared" si="301"/>
        <v>20675.76989176857</v>
      </c>
      <c r="O260" s="955">
        <f t="shared" si="301"/>
        <v>24810.923870122282</v>
      </c>
      <c r="P260" s="955">
        <f t="shared" si="301"/>
        <v>29773.108644146738</v>
      </c>
      <c r="Q260" s="955">
        <f t="shared" si="301"/>
        <v>35727.730372976082</v>
      </c>
      <c r="R260" s="955">
        <f t="shared" si="301"/>
        <v>41086.889928922494</v>
      </c>
      <c r="S260" s="955">
        <f t="shared" si="301"/>
        <v>47249.923418260863</v>
      </c>
      <c r="T260" s="955">
        <f t="shared" si="301"/>
        <v>54337.411930999988</v>
      </c>
      <c r="U260" s="955">
        <f t="shared" si="301"/>
        <v>62488.023720649981</v>
      </c>
      <c r="V260" s="955">
        <f t="shared" si="301"/>
        <v>71861.227278747465</v>
      </c>
      <c r="W260" s="955">
        <f t="shared" si="301"/>
        <v>82640.411370559581</v>
      </c>
      <c r="X260" s="955">
        <f t="shared" si="301"/>
        <v>95036.473076143506</v>
      </c>
      <c r="Y260" s="955">
        <f t="shared" si="301"/>
        <v>109291.94403756503</v>
      </c>
      <c r="Z260" s="955">
        <f t="shared" si="301"/>
        <v>125685.73564319978</v>
      </c>
      <c r="AA260" s="955">
        <f t="shared" si="301"/>
        <v>144538.59598967974</v>
      </c>
      <c r="AB260" s="955">
        <f t="shared" si="301"/>
        <v>166219.38538813169</v>
      </c>
      <c r="AC260" s="955">
        <f t="shared" si="301"/>
        <v>191152.29319635144</v>
      </c>
      <c r="AD260" s="955">
        <f t="shared" si="301"/>
        <v>219825.13717580415</v>
      </c>
      <c r="AE260" s="955">
        <f t="shared" si="301"/>
        <v>252798.90775217474</v>
      </c>
      <c r="AF260" s="955">
        <f t="shared" si="301"/>
        <v>278078.79852739221</v>
      </c>
    </row>
    <row r="261" spans="2:33" ht="12.75" customHeight="1">
      <c r="B261" s="1488"/>
      <c r="C261" s="1485" t="s">
        <v>179</v>
      </c>
      <c r="D261" s="900"/>
      <c r="E261" s="154">
        <f>E260/D260-1</f>
        <v>17.504065040650406</v>
      </c>
      <c r="F261" s="936">
        <f t="shared" ref="F261:J261" si="302">F260/E260-1</f>
        <v>0.16893673110720564</v>
      </c>
      <c r="G261" s="949">
        <f t="shared" si="302"/>
        <v>0.16999999999999993</v>
      </c>
      <c r="H261" s="950">
        <f t="shared" si="302"/>
        <v>0.16999999999999993</v>
      </c>
      <c r="I261" s="949">
        <f t="shared" si="302"/>
        <v>0.16999999999999993</v>
      </c>
      <c r="J261" s="950">
        <f t="shared" si="302"/>
        <v>0.16999999999999993</v>
      </c>
      <c r="K261" s="950">
        <v>0.2</v>
      </c>
      <c r="L261" s="950">
        <v>0.2</v>
      </c>
      <c r="M261" s="950">
        <v>0.2</v>
      </c>
      <c r="N261" s="950">
        <v>0.2</v>
      </c>
      <c r="O261" s="950">
        <v>0.2</v>
      </c>
      <c r="P261" s="950">
        <v>0.2</v>
      </c>
      <c r="Q261" s="950">
        <v>0.2</v>
      </c>
      <c r="R261" s="950">
        <v>0.15</v>
      </c>
      <c r="S261" s="950">
        <v>0.15</v>
      </c>
      <c r="T261" s="950">
        <v>0.15</v>
      </c>
      <c r="U261" s="950">
        <v>0.15</v>
      </c>
      <c r="V261" s="950">
        <v>0.15</v>
      </c>
      <c r="W261" s="950">
        <v>0.15</v>
      </c>
      <c r="X261" s="950">
        <v>0.15</v>
      </c>
      <c r="Y261" s="950">
        <v>0.15</v>
      </c>
      <c r="Z261" s="950">
        <v>0.15</v>
      </c>
      <c r="AA261" s="950">
        <v>0.15</v>
      </c>
      <c r="AB261" s="950">
        <v>0.15</v>
      </c>
      <c r="AC261" s="950">
        <v>0.15</v>
      </c>
      <c r="AD261" s="950">
        <v>0.15</v>
      </c>
      <c r="AE261" s="950">
        <v>0.15</v>
      </c>
      <c r="AF261" s="950">
        <v>0.1</v>
      </c>
    </row>
    <row r="262" spans="2:33" ht="12.75" customHeight="1">
      <c r="B262" s="1488" t="s">
        <v>194</v>
      </c>
      <c r="C262" s="1485" t="s">
        <v>58</v>
      </c>
      <c r="D262" s="900">
        <v>44</v>
      </c>
      <c r="E262">
        <v>2254</v>
      </c>
      <c r="F262" s="900">
        <v>2628</v>
      </c>
      <c r="G262" s="947">
        <f>G260*G263</f>
        <v>3112.7849999999999</v>
      </c>
      <c r="H262" s="948">
        <f>H260*H263</f>
        <v>3641.9584499999996</v>
      </c>
      <c r="I262" s="947">
        <f>I260*I263</f>
        <v>4261.0913864999993</v>
      </c>
      <c r="J262" s="948">
        <f>J260*J263</f>
        <v>4985.476922204999</v>
      </c>
      <c r="K262" s="948">
        <f>K260*K263</f>
        <v>5982.5723066459987</v>
      </c>
      <c r="L262" s="948">
        <f t="shared" ref="L262:AF262" si="303">L260*L263</f>
        <v>7179.0867679751982</v>
      </c>
      <c r="M262" s="948">
        <f t="shared" si="303"/>
        <v>8614.9041215702382</v>
      </c>
      <c r="N262" s="948">
        <f t="shared" si="303"/>
        <v>10337.884945884285</v>
      </c>
      <c r="O262" s="948">
        <f t="shared" si="303"/>
        <v>12405.461935061141</v>
      </c>
      <c r="P262" s="948">
        <f t="shared" si="303"/>
        <v>16375.209754280708</v>
      </c>
      <c r="Q262" s="948">
        <f t="shared" si="303"/>
        <v>19650.251705136849</v>
      </c>
      <c r="R262" s="948">
        <f t="shared" si="303"/>
        <v>22597.789460907374</v>
      </c>
      <c r="S262" s="948">
        <f t="shared" si="303"/>
        <v>25987.457880043476</v>
      </c>
      <c r="T262" s="948">
        <f t="shared" si="303"/>
        <v>29885.576562049995</v>
      </c>
      <c r="U262" s="948">
        <f t="shared" si="303"/>
        <v>34368.413046357491</v>
      </c>
      <c r="V262" s="948">
        <f t="shared" si="303"/>
        <v>39523.675003311109</v>
      </c>
      <c r="W262" s="948">
        <f t="shared" si="303"/>
        <v>45452.22625380777</v>
      </c>
      <c r="X262" s="948">
        <f t="shared" si="303"/>
        <v>47518.236538071753</v>
      </c>
      <c r="Y262" s="948">
        <f t="shared" si="303"/>
        <v>54645.972018782515</v>
      </c>
      <c r="Z262" s="948">
        <f t="shared" si="303"/>
        <v>62842.867821599888</v>
      </c>
      <c r="AA262" s="948">
        <f t="shared" si="303"/>
        <v>72269.297994839872</v>
      </c>
      <c r="AB262" s="948">
        <f t="shared" si="303"/>
        <v>83109.692694065845</v>
      </c>
      <c r="AC262" s="948">
        <f t="shared" si="303"/>
        <v>86018.531938358152</v>
      </c>
      <c r="AD262" s="948">
        <f t="shared" si="303"/>
        <v>98921.311729111869</v>
      </c>
      <c r="AE262" s="948">
        <f t="shared" si="303"/>
        <v>113759.50848847863</v>
      </c>
      <c r="AF262" s="948">
        <f t="shared" si="303"/>
        <v>125135.45933732649</v>
      </c>
    </row>
    <row r="263" spans="2:33" ht="12.75" customHeight="1">
      <c r="B263" s="1489"/>
      <c r="C263" s="1486" t="s">
        <v>513</v>
      </c>
      <c r="D263" s="956">
        <f t="shared" ref="D263" si="304">D262/D260</f>
        <v>0.17886178861788618</v>
      </c>
      <c r="E263" s="956">
        <f t="shared" ref="E263" si="305">E262/E260</f>
        <v>0.49516695957820739</v>
      </c>
      <c r="F263" s="956">
        <f>F262/F260</f>
        <v>0.49389212554031198</v>
      </c>
      <c r="G263" s="958">
        <v>0.5</v>
      </c>
      <c r="H263" s="959">
        <v>0.5</v>
      </c>
      <c r="I263" s="897">
        <v>0.5</v>
      </c>
      <c r="J263" s="901">
        <v>0.5</v>
      </c>
      <c r="K263" s="901">
        <v>0.5</v>
      </c>
      <c r="L263" s="901">
        <v>0.5</v>
      </c>
      <c r="M263" s="901">
        <v>0.5</v>
      </c>
      <c r="N263" s="901">
        <v>0.5</v>
      </c>
      <c r="O263" s="901">
        <v>0.5</v>
      </c>
      <c r="P263" s="901">
        <v>0.55000000000000004</v>
      </c>
      <c r="Q263" s="901">
        <v>0.55000000000000004</v>
      </c>
      <c r="R263" s="901">
        <v>0.55000000000000004</v>
      </c>
      <c r="S263" s="901">
        <v>0.55000000000000004</v>
      </c>
      <c r="T263" s="901">
        <v>0.55000000000000004</v>
      </c>
      <c r="U263" s="901">
        <v>0.55000000000000004</v>
      </c>
      <c r="V263" s="901">
        <v>0.55000000000000004</v>
      </c>
      <c r="W263" s="901">
        <v>0.55000000000000004</v>
      </c>
      <c r="X263" s="901">
        <v>0.5</v>
      </c>
      <c r="Y263" s="901">
        <v>0.5</v>
      </c>
      <c r="Z263" s="901">
        <v>0.5</v>
      </c>
      <c r="AA263" s="901">
        <v>0.5</v>
      </c>
      <c r="AB263" s="901">
        <v>0.5</v>
      </c>
      <c r="AC263" s="901">
        <v>0.45</v>
      </c>
      <c r="AD263" s="901">
        <v>0.45</v>
      </c>
      <c r="AE263" s="901">
        <v>0.45</v>
      </c>
      <c r="AF263" s="901">
        <v>0.45</v>
      </c>
    </row>
    <row r="266" spans="2:33" ht="12.75" customHeight="1">
      <c r="D266" s="1481">
        <v>2021</v>
      </c>
      <c r="E266" s="1482">
        <v>2022</v>
      </c>
      <c r="F266" s="1481">
        <v>2023</v>
      </c>
      <c r="G266" s="961" t="s">
        <v>574</v>
      </c>
      <c r="H266" s="960" t="s">
        <v>575</v>
      </c>
      <c r="I266" s="1511" t="s">
        <v>576</v>
      </c>
      <c r="J266" s="1511" t="s">
        <v>577</v>
      </c>
      <c r="K266" s="1480" t="s">
        <v>570</v>
      </c>
      <c r="L266" s="1480" t="s">
        <v>571</v>
      </c>
      <c r="M266" s="1480" t="s">
        <v>572</v>
      </c>
      <c r="N266" s="1480">
        <v>2031</v>
      </c>
      <c r="O266" s="1480">
        <v>2032</v>
      </c>
      <c r="P266" s="1480">
        <v>2033</v>
      </c>
      <c r="Q266" s="1480">
        <v>2034</v>
      </c>
      <c r="R266" s="1480">
        <v>2035</v>
      </c>
      <c r="S266" s="1480">
        <v>2036</v>
      </c>
      <c r="T266" s="1480">
        <v>2037</v>
      </c>
      <c r="U266" s="1480">
        <v>2038</v>
      </c>
      <c r="V266" s="1480">
        <v>2039</v>
      </c>
      <c r="W266" s="1480">
        <v>2040</v>
      </c>
      <c r="X266" s="1480">
        <v>2041</v>
      </c>
      <c r="Y266" s="1480">
        <v>2042</v>
      </c>
      <c r="Z266" s="1480">
        <v>2043</v>
      </c>
      <c r="AA266" s="1480">
        <v>2044</v>
      </c>
      <c r="AB266" s="1480">
        <v>2045</v>
      </c>
      <c r="AC266" s="1480">
        <v>2046</v>
      </c>
      <c r="AD266" s="1480">
        <v>2047</v>
      </c>
      <c r="AE266" s="1480">
        <v>2048</v>
      </c>
      <c r="AF266" s="1480">
        <v>2049</v>
      </c>
    </row>
    <row r="267" spans="2:33" ht="12.75" customHeight="1">
      <c r="B267" s="1875" t="s">
        <v>579</v>
      </c>
      <c r="C267" s="1484" t="s">
        <v>510</v>
      </c>
      <c r="D267" s="912">
        <v>14521</v>
      </c>
      <c r="E267" s="912">
        <v>22839</v>
      </c>
      <c r="F267" s="912">
        <v>22964</v>
      </c>
      <c r="G267" s="964">
        <f>G260+G252+G244+G235</f>
        <v>26209.67</v>
      </c>
      <c r="H267" s="964">
        <f t="shared" ref="H267:J267" si="306">H260+H252+H244+H235</f>
        <v>30031.736900000004</v>
      </c>
      <c r="I267" s="964">
        <f t="shared" si="306"/>
        <v>34491.394773</v>
      </c>
      <c r="J267" s="966">
        <f t="shared" si="306"/>
        <v>39784.123044410007</v>
      </c>
      <c r="K267" s="966">
        <f t="shared" ref="K267:AF267" si="307">K260+K252+K244+K235</f>
        <v>48786.503320292002</v>
      </c>
      <c r="L267" s="966">
        <f t="shared" si="307"/>
        <v>57241.275871240403</v>
      </c>
      <c r="M267" s="966">
        <f t="shared" si="307"/>
        <v>65500.013380336473</v>
      </c>
      <c r="N267" s="966">
        <f t="shared" si="307"/>
        <v>75208.313141478982</v>
      </c>
      <c r="O267" s="966">
        <f t="shared" si="307"/>
        <v>86639.571937611239</v>
      </c>
      <c r="P267" s="966">
        <f t="shared" si="307"/>
        <v>101186.02952514545</v>
      </c>
      <c r="Q267" s="966">
        <f t="shared" si="307"/>
        <v>118331.15514628828</v>
      </c>
      <c r="R267" s="966">
        <f t="shared" si="307"/>
        <v>133931.99056828232</v>
      </c>
      <c r="S267" s="966">
        <f t="shared" si="307"/>
        <v>151658.06751858056</v>
      </c>
      <c r="T267" s="966">
        <f t="shared" si="307"/>
        <v>171806.68384792912</v>
      </c>
      <c r="U267" s="966">
        <f t="shared" si="307"/>
        <v>191704.22282927201</v>
      </c>
      <c r="V267" s="966">
        <f t="shared" si="307"/>
        <v>213999.04629823173</v>
      </c>
      <c r="W267" s="966">
        <f t="shared" si="307"/>
        <v>238992.01229199226</v>
      </c>
      <c r="X267" s="966">
        <f t="shared" si="307"/>
        <v>266414.49886394397</v>
      </c>
      <c r="Y267" s="966">
        <f t="shared" si="307"/>
        <v>297150.33836030797</v>
      </c>
      <c r="Z267" s="966">
        <f t="shared" si="307"/>
        <v>331619.9406308725</v>
      </c>
      <c r="AA267" s="966">
        <f t="shared" si="307"/>
        <v>370299.39040738763</v>
      </c>
      <c r="AB267" s="966">
        <f t="shared" si="307"/>
        <v>413728.08169337973</v>
      </c>
      <c r="AC267" s="966">
        <f t="shared" si="307"/>
        <v>462517.42737355514</v>
      </c>
      <c r="AD267" s="966">
        <f t="shared" si="307"/>
        <v>516394.81217221887</v>
      </c>
      <c r="AE267" s="966">
        <f t="shared" si="307"/>
        <v>576977.65929381107</v>
      </c>
      <c r="AF267" s="966">
        <f t="shared" si="307"/>
        <v>632504.66081150703</v>
      </c>
    </row>
    <row r="268" spans="2:33" ht="12.75" customHeight="1">
      <c r="B268" s="1876"/>
      <c r="C268" s="1485" t="s">
        <v>179</v>
      </c>
      <c r="D268" s="963"/>
      <c r="E268" s="968" t="s">
        <v>502</v>
      </c>
      <c r="F268" s="968">
        <v>5.4730942685756734E-3</v>
      </c>
      <c r="G268" s="968">
        <f>G267/F267-1</f>
        <v>0.14133731057307086</v>
      </c>
      <c r="H268" s="968">
        <f t="shared" ref="H268:J268" si="308">H267/G267-1</f>
        <v>0.14582659377245144</v>
      </c>
      <c r="I268" s="968">
        <f t="shared" si="308"/>
        <v>0.14849816671775629</v>
      </c>
      <c r="J268" s="969">
        <f t="shared" si="308"/>
        <v>0.15345068838889575</v>
      </c>
      <c r="K268" s="969">
        <f t="shared" ref="K268" si="309">K267/J267-1</f>
        <v>0.226280726757075</v>
      </c>
      <c r="L268" s="969">
        <f t="shared" ref="L268" si="310">L267/K267-1</f>
        <v>0.17330146609281116</v>
      </c>
      <c r="M268" s="969">
        <f t="shared" ref="M268" si="311">M267/L267-1</f>
        <v>0.14427940997809752</v>
      </c>
      <c r="N268" s="969">
        <f t="shared" ref="N268" si="312">N267/M267-1</f>
        <v>0.14821828668598425</v>
      </c>
      <c r="O268" s="969">
        <f t="shared" ref="O268" si="313">O267/N267-1</f>
        <v>0.15199461759803357</v>
      </c>
      <c r="P268" s="969">
        <f t="shared" ref="P268" si="314">P267/O267-1</f>
        <v>0.16789623104335116</v>
      </c>
      <c r="Q268" s="969">
        <f t="shared" ref="Q268" si="315">Q267/P267-1</f>
        <v>0.16944162846988808</v>
      </c>
      <c r="R268" s="969">
        <f t="shared" ref="R268" si="316">R267/Q267-1</f>
        <v>0.1318404726355229</v>
      </c>
      <c r="S268" s="969">
        <f t="shared" ref="S268" si="317">S267/R267-1</f>
        <v>0.13235132902218005</v>
      </c>
      <c r="T268" s="969">
        <f t="shared" ref="T268" si="318">T267/S267-1</f>
        <v>0.13285555235549884</v>
      </c>
      <c r="U268" s="969">
        <f t="shared" ref="U268" si="319">U267/T267-1</f>
        <v>0.11581353260362537</v>
      </c>
      <c r="V268" s="969">
        <f t="shared" ref="V268" si="320">V267/U267-1</f>
        <v>0.11629803005860251</v>
      </c>
      <c r="W268" s="969">
        <f t="shared" ref="W268" si="321">W267/V267-1</f>
        <v>0.11679008119938072</v>
      </c>
      <c r="X268" s="969">
        <f t="shared" ref="X268" si="322">X267/W267-1</f>
        <v>0.11474227238376433</v>
      </c>
      <c r="Y268" s="969">
        <f t="shared" ref="Y268" si="323">Y267/X267-1</f>
        <v>0.1153684939349362</v>
      </c>
      <c r="Z268" s="969">
        <f t="shared" ref="Z268" si="324">Z267/Y267-1</f>
        <v>0.11600054861377473</v>
      </c>
      <c r="AA268" s="969">
        <f t="shared" ref="AA268" si="325">AA267/Z267-1</f>
        <v>0.11663788885231541</v>
      </c>
      <c r="AB268" s="969">
        <f t="shared" ref="AB268" si="326">AB267/AA267-1</f>
        <v>0.11727994269235409</v>
      </c>
      <c r="AC268" s="969">
        <f t="shared" ref="AC268" si="327">AC267/AB267-1</f>
        <v>0.11792611582100432</v>
      </c>
      <c r="AD268" s="969">
        <f t="shared" ref="AD268" si="328">AD267/AC267-1</f>
        <v>0.11648725347412547</v>
      </c>
      <c r="AE268" s="969">
        <f t="shared" ref="AE268" si="329">AE267/AD267-1</f>
        <v>0.11731885312083201</v>
      </c>
      <c r="AF268" s="969">
        <f t="shared" ref="AF268" si="330">AF267/AE267-1</f>
        <v>9.623769763574197E-2</v>
      </c>
    </row>
    <row r="269" spans="2:33" ht="12.75" customHeight="1">
      <c r="B269" s="1876"/>
      <c r="C269" s="1485" t="s">
        <v>580</v>
      </c>
      <c r="D269" s="963">
        <v>4094</v>
      </c>
      <c r="E269" s="963">
        <v>5478</v>
      </c>
      <c r="F269" s="963">
        <v>4783</v>
      </c>
      <c r="G269" s="965">
        <f>G262+G254+G246+G237</f>
        <v>7281.7549999999992</v>
      </c>
      <c r="H269" s="965">
        <f t="shared" ref="H269:J269" si="331">H262+H254+H246+H237</f>
        <v>9309.3557500000006</v>
      </c>
      <c r="I269" s="965">
        <f t="shared" si="331"/>
        <v>11641.4943865</v>
      </c>
      <c r="J269" s="898">
        <f t="shared" si="331"/>
        <v>14133.616001205</v>
      </c>
      <c r="K269" s="898">
        <f t="shared" ref="K269:AF269" si="332">K262+K254+K246+K237</f>
        <v>18724.829206396</v>
      </c>
      <c r="L269" s="898">
        <f t="shared" si="332"/>
        <v>22005.684158247699</v>
      </c>
      <c r="M269" s="898">
        <f t="shared" si="332"/>
        <v>24504.471973609237</v>
      </c>
      <c r="N269" s="898">
        <f t="shared" si="332"/>
        <v>28107.081191763406</v>
      </c>
      <c r="O269" s="898">
        <f t="shared" si="332"/>
        <v>31883.983165467027</v>
      </c>
      <c r="P269" s="898">
        <f t="shared" si="332"/>
        <v>40407.32869617136</v>
      </c>
      <c r="Q269" s="898">
        <f t="shared" si="332"/>
        <v>51662.593105887332</v>
      </c>
      <c r="R269" s="898">
        <f t="shared" si="332"/>
        <v>58702.965026655293</v>
      </c>
      <c r="S269" s="898">
        <f t="shared" si="332"/>
        <v>66728.491031026933</v>
      </c>
      <c r="T269" s="898">
        <f t="shared" si="332"/>
        <v>75879.854061091653</v>
      </c>
      <c r="U269" s="898">
        <f t="shared" si="332"/>
        <v>84962.118295303313</v>
      </c>
      <c r="V269" s="898">
        <f t="shared" si="332"/>
        <v>95176.750777151523</v>
      </c>
      <c r="W269" s="898">
        <f t="shared" si="332"/>
        <v>106670.60960503224</v>
      </c>
      <c r="X269" s="898">
        <f t="shared" si="332"/>
        <v>114584.52737281969</v>
      </c>
      <c r="Y269" s="898">
        <f t="shared" si="332"/>
        <v>128123.04661727836</v>
      </c>
      <c r="Z269" s="898">
        <f t="shared" si="332"/>
        <v>143348.13693464026</v>
      </c>
      <c r="AA269" s="898">
        <f t="shared" si="332"/>
        <v>160480.02003825485</v>
      </c>
      <c r="AB269" s="898">
        <f t="shared" si="332"/>
        <v>179768.80704241848</v>
      </c>
      <c r="AC269" s="898">
        <f t="shared" si="332"/>
        <v>191941.06343018997</v>
      </c>
      <c r="AD269" s="898">
        <f t="shared" si="332"/>
        <v>214566.70870079764</v>
      </c>
      <c r="AE269" s="898">
        <f t="shared" si="332"/>
        <v>240047.89422784402</v>
      </c>
      <c r="AF269" s="898">
        <f t="shared" si="332"/>
        <v>263075.83966537018</v>
      </c>
    </row>
    <row r="270" spans="2:33" ht="12.75" customHeight="1">
      <c r="B270" s="1876"/>
      <c r="C270" s="1485" t="s">
        <v>581</v>
      </c>
      <c r="D270" s="963">
        <v>-409</v>
      </c>
      <c r="E270" s="963">
        <v>-4979</v>
      </c>
      <c r="F270" s="963">
        <v>-4419</v>
      </c>
      <c r="G270" s="965">
        <f>G267*(-0.13-0.05-0.005)</f>
        <v>-4848.7889499999992</v>
      </c>
      <c r="H270" s="965">
        <f t="shared" ref="H270:J270" si="333">H267*(-0.13-0.05-0.005)</f>
        <v>-5555.8713265000006</v>
      </c>
      <c r="I270" s="965">
        <f t="shared" si="333"/>
        <v>-6380.9080330050001</v>
      </c>
      <c r="J270" s="965">
        <f t="shared" si="333"/>
        <v>-7360.0627632158512</v>
      </c>
      <c r="K270" s="948">
        <f>K267*(-0.12-0.06-0.005)</f>
        <v>-9025.5031142540211</v>
      </c>
      <c r="L270" s="948">
        <f t="shared" ref="L270:M270" si="334">L267*(-0.12-0.06-0.005)</f>
        <v>-10589.636036179474</v>
      </c>
      <c r="M270" s="948">
        <f t="shared" si="334"/>
        <v>-12117.502475362247</v>
      </c>
      <c r="N270" s="948">
        <f>N267*(-0.03-0.06-0.12)</f>
        <v>-15793.745759710586</v>
      </c>
      <c r="O270" s="948">
        <f t="shared" ref="O270:AF270" si="335">O267*(-0.03-0.06-0.12)</f>
        <v>-18194.31010689836</v>
      </c>
      <c r="P270" s="948">
        <f t="shared" si="335"/>
        <v>-21249.066200280544</v>
      </c>
      <c r="Q270" s="948">
        <f t="shared" si="335"/>
        <v>-24849.542580720539</v>
      </c>
      <c r="R270" s="948">
        <f t="shared" si="335"/>
        <v>-28125.718019339285</v>
      </c>
      <c r="S270" s="948">
        <f t="shared" si="335"/>
        <v>-31848.194178901915</v>
      </c>
      <c r="T270" s="948">
        <f t="shared" si="335"/>
        <v>-36079.403608065113</v>
      </c>
      <c r="U270" s="948">
        <f t="shared" si="335"/>
        <v>-40257.886794147118</v>
      </c>
      <c r="V270" s="948">
        <f t="shared" si="335"/>
        <v>-44939.799722628661</v>
      </c>
      <c r="W270" s="948">
        <f t="shared" si="335"/>
        <v>-50188.322581318374</v>
      </c>
      <c r="X270" s="948">
        <f t="shared" si="335"/>
        <v>-55947.044761428231</v>
      </c>
      <c r="Y270" s="948">
        <f t="shared" si="335"/>
        <v>-62401.571055664674</v>
      </c>
      <c r="Z270" s="948">
        <f t="shared" si="335"/>
        <v>-69640.187532483222</v>
      </c>
      <c r="AA270" s="948">
        <f t="shared" si="335"/>
        <v>-77762.871985551406</v>
      </c>
      <c r="AB270" s="948">
        <f t="shared" si="335"/>
        <v>-86882.897155609739</v>
      </c>
      <c r="AC270" s="948">
        <f t="shared" si="335"/>
        <v>-97128.659748446575</v>
      </c>
      <c r="AD270" s="948">
        <f t="shared" si="335"/>
        <v>-108442.91055616595</v>
      </c>
      <c r="AE270" s="948">
        <f t="shared" si="335"/>
        <v>-121165.30845170032</v>
      </c>
      <c r="AF270" s="948">
        <f t="shared" si="335"/>
        <v>-132825.97877041646</v>
      </c>
    </row>
    <row r="271" spans="2:33" ht="12.75" customHeight="1">
      <c r="B271" s="1876"/>
      <c r="C271" s="1485" t="s">
        <v>58</v>
      </c>
      <c r="D271" s="1081">
        <f>D269+D270</f>
        <v>3685</v>
      </c>
      <c r="E271" s="1081">
        <f t="shared" ref="E271" si="336">E269+E270</f>
        <v>499</v>
      </c>
      <c r="F271" s="1081">
        <f t="shared" ref="F271" si="337">F269+F270</f>
        <v>364</v>
      </c>
      <c r="G271" s="1080">
        <f t="shared" ref="G271" si="338">G269+G270</f>
        <v>2432.96605</v>
      </c>
      <c r="H271" s="1080">
        <f t="shared" ref="H271" si="339">H269+H270</f>
        <v>3753.4844235</v>
      </c>
      <c r="I271" s="1080">
        <f t="shared" ref="I271" si="340">I269+I270</f>
        <v>5260.5863534950004</v>
      </c>
      <c r="J271" s="1095">
        <f t="shared" ref="J271" si="341">J269+J270</f>
        <v>6773.5532379891492</v>
      </c>
      <c r="K271" s="1096">
        <f t="shared" ref="K271" si="342">K269+K270</f>
        <v>9699.3260921419787</v>
      </c>
      <c r="L271" s="1096">
        <f t="shared" ref="L271" si="343">L269+L270</f>
        <v>11416.048122068225</v>
      </c>
      <c r="M271" s="1096">
        <f t="shared" ref="M271" si="344">M269+M270</f>
        <v>12386.96949824699</v>
      </c>
      <c r="N271" s="1096">
        <f t="shared" ref="N271" si="345">N269+N270</f>
        <v>12313.33543205282</v>
      </c>
      <c r="O271" s="1096">
        <f t="shared" ref="O271" si="346">O269+O270</f>
        <v>13689.673058568667</v>
      </c>
      <c r="P271" s="1096">
        <f t="shared" ref="P271" si="347">P269+P270</f>
        <v>19158.262495890816</v>
      </c>
      <c r="Q271" s="1096">
        <f t="shared" ref="Q271" si="348">Q269+Q270</f>
        <v>26813.050525166793</v>
      </c>
      <c r="R271" s="1096">
        <f t="shared" ref="R271" si="349">R269+R270</f>
        <v>30577.247007316008</v>
      </c>
      <c r="S271" s="1096">
        <f t="shared" ref="S271" si="350">S269+S270</f>
        <v>34880.296852125015</v>
      </c>
      <c r="T271" s="1096">
        <f t="shared" ref="T271" si="351">T269+T270</f>
        <v>39800.45045302654</v>
      </c>
      <c r="U271" s="1096">
        <f t="shared" ref="U271" si="352">U269+U270</f>
        <v>44704.231501156195</v>
      </c>
      <c r="V271" s="1096">
        <f t="shared" ref="V271" si="353">V269+V270</f>
        <v>50236.951054522862</v>
      </c>
      <c r="W271" s="1096">
        <f t="shared" ref="W271" si="354">W269+W270</f>
        <v>56482.287023713863</v>
      </c>
      <c r="X271" s="1096">
        <f t="shared" ref="X271" si="355">X269+X270</f>
        <v>58637.482611391461</v>
      </c>
      <c r="Y271" s="1096">
        <f t="shared" ref="Y271" si="356">Y269+Y270</f>
        <v>65721.475561613683</v>
      </c>
      <c r="Z271" s="1096">
        <f t="shared" ref="Z271" si="357">Z269+Z270</f>
        <v>73707.949402157043</v>
      </c>
      <c r="AA271" s="1096">
        <f t="shared" ref="AA271" si="358">AA269+AA270</f>
        <v>82717.148052703444</v>
      </c>
      <c r="AB271" s="1096">
        <f t="shared" ref="AB271" si="359">AB269+AB270</f>
        <v>92885.909886808746</v>
      </c>
      <c r="AC271" s="1096">
        <f t="shared" ref="AC271" si="360">AC269+AC270</f>
        <v>94812.403681743395</v>
      </c>
      <c r="AD271" s="1096">
        <f t="shared" ref="AD271" si="361">AD269+AD270</f>
        <v>106123.79814463168</v>
      </c>
      <c r="AE271" s="1096">
        <f t="shared" ref="AE271" si="362">AE269+AE270</f>
        <v>118882.58577614371</v>
      </c>
      <c r="AF271" s="1096">
        <f t="shared" ref="AF271" si="363">AF269+AF270</f>
        <v>130249.86089495372</v>
      </c>
    </row>
    <row r="272" spans="2:33" ht="12.75" customHeight="1">
      <c r="B272" s="1876"/>
      <c r="C272" s="1485" t="s">
        <v>582</v>
      </c>
      <c r="D272" s="1097">
        <f>D271/D267</f>
        <v>0.25377040148750085</v>
      </c>
      <c r="E272" s="1097">
        <f t="shared" ref="E272" si="364">E271/E267</f>
        <v>2.1848592320154122E-2</v>
      </c>
      <c r="F272" s="1097">
        <f t="shared" ref="F272" si="365">F271/F267</f>
        <v>1.5850897056261977E-2</v>
      </c>
      <c r="G272" s="1097">
        <f t="shared" ref="G272" si="366">G271/G267</f>
        <v>9.2827038646423249E-2</v>
      </c>
      <c r="H272" s="1097">
        <f t="shared" ref="H272" si="367">H271/H267</f>
        <v>0.12498392736984852</v>
      </c>
      <c r="I272" s="1097">
        <f t="shared" ref="I272" si="368">I271/I267</f>
        <v>0.15251880615779007</v>
      </c>
      <c r="J272" s="996">
        <f t="shared" ref="J272" si="369">J271/J267</f>
        <v>0.17025769879175176</v>
      </c>
      <c r="K272" s="1098">
        <f t="shared" ref="K272" si="370">K271/K267</f>
        <v>0.19881166781853973</v>
      </c>
      <c r="L272" s="1098">
        <f t="shared" ref="L272" si="371">L271/L267</f>
        <v>0.19943734566203061</v>
      </c>
      <c r="M272" s="1098">
        <f t="shared" ref="M272" si="372">M271/M267</f>
        <v>0.18911399950897778</v>
      </c>
      <c r="N272" s="1098">
        <f t="shared" ref="N272" si="373">N271/N267</f>
        <v>0.16372306355135832</v>
      </c>
      <c r="O272" s="1098">
        <f t="shared" ref="O272" si="374">O271/O267</f>
        <v>0.15800716407540122</v>
      </c>
      <c r="P272" s="1098">
        <f t="shared" ref="P272" si="375">P271/P267</f>
        <v>0.18933703185902606</v>
      </c>
      <c r="Q272" s="1098">
        <f t="shared" ref="Q272" si="376">Q271/Q267</f>
        <v>0.2265933303196343</v>
      </c>
      <c r="R272" s="1098">
        <f t="shared" ref="R272" si="377">R271/R267</f>
        <v>0.22830428247631296</v>
      </c>
      <c r="S272" s="1098">
        <f t="shared" ref="S272" si="378">S271/S267</f>
        <v>0.22999301931532007</v>
      </c>
      <c r="T272" s="1098">
        <f t="shared" ref="T272" si="379">T271/T267</f>
        <v>0.23165833576215827</v>
      </c>
      <c r="U272" s="1098">
        <f t="shared" ref="U272" si="380">U271/U267</f>
        <v>0.23319377550159079</v>
      </c>
      <c r="V272" s="1098">
        <f t="shared" ref="V272" si="381">V271/V267</f>
        <v>0.23475315392065824</v>
      </c>
      <c r="W272" s="1098">
        <f t="shared" ref="W272" si="382">W271/W267</f>
        <v>0.23633545942408207</v>
      </c>
      <c r="X272" s="1098">
        <f t="shared" ref="X272" si="383">X271/X267</f>
        <v>0.2200986915555869</v>
      </c>
      <c r="Y272" s="1098">
        <f t="shared" ref="Y272" si="384">Y271/Y267</f>
        <v>0.22117247425753719</v>
      </c>
      <c r="Z272" s="1098">
        <f t="shared" ref="Z272" si="385">Z271/Z267</f>
        <v>0.22226633676471724</v>
      </c>
      <c r="AA272" s="1098">
        <f t="shared" ref="AA272" si="386">AA271/AA267</f>
        <v>0.22337910943277967</v>
      </c>
      <c r="AB272" s="1098">
        <f t="shared" ref="AB272" si="387">AB271/AB267</f>
        <v>0.22450956074006098</v>
      </c>
      <c r="AC272" s="1098">
        <f t="shared" ref="AC272" si="388">AC271/AC267</f>
        <v>0.2049920674776381</v>
      </c>
      <c r="AD272" s="1098">
        <f t="shared" ref="AD272" si="389">AD271/AD267</f>
        <v>0.20550903232009843</v>
      </c>
      <c r="AE272" s="1098">
        <f t="shared" ref="AE272" si="390">AE271/AE267</f>
        <v>0.20604365500329674</v>
      </c>
      <c r="AF272" s="1098">
        <f t="shared" ref="AF272" si="391">AF271/AF267</f>
        <v>0.20592711637546263</v>
      </c>
    </row>
    <row r="273" spans="2:32" ht="12.75" customHeight="1">
      <c r="B273" s="1877"/>
      <c r="C273" s="1486" t="s">
        <v>583</v>
      </c>
      <c r="D273" s="967">
        <v>0.28193650575029267</v>
      </c>
      <c r="E273" s="967">
        <v>0.23985288322606069</v>
      </c>
      <c r="F273" s="967">
        <v>0.20828252917610171</v>
      </c>
      <c r="G273" s="944">
        <f t="shared" ref="G273:AF273" si="392">G269/G267</f>
        <v>0.27782703864642322</v>
      </c>
      <c r="H273" s="944">
        <f t="shared" si="392"/>
        <v>0.30998392736984853</v>
      </c>
      <c r="I273" s="944">
        <f t="shared" si="392"/>
        <v>0.33751880615779006</v>
      </c>
      <c r="J273" s="959">
        <f t="shared" si="392"/>
        <v>0.35525769879175179</v>
      </c>
      <c r="K273" s="959">
        <f t="shared" si="392"/>
        <v>0.38381166781853976</v>
      </c>
      <c r="L273" s="959">
        <f t="shared" si="392"/>
        <v>0.38443734566203058</v>
      </c>
      <c r="M273" s="959">
        <f t="shared" si="392"/>
        <v>0.37411399950897778</v>
      </c>
      <c r="N273" s="959">
        <f t="shared" si="392"/>
        <v>0.37372306355135831</v>
      </c>
      <c r="O273" s="959">
        <f t="shared" si="392"/>
        <v>0.36800716407540124</v>
      </c>
      <c r="P273" s="959">
        <f t="shared" si="392"/>
        <v>0.39933703185902608</v>
      </c>
      <c r="Q273" s="959">
        <f t="shared" si="392"/>
        <v>0.43659333031963432</v>
      </c>
      <c r="R273" s="959">
        <f t="shared" si="392"/>
        <v>0.43830428247631292</v>
      </c>
      <c r="S273" s="959">
        <f t="shared" si="392"/>
        <v>0.43999301931532009</v>
      </c>
      <c r="T273" s="959">
        <f t="shared" si="392"/>
        <v>0.44165833576215829</v>
      </c>
      <c r="U273" s="959">
        <f t="shared" si="392"/>
        <v>0.44319377550159078</v>
      </c>
      <c r="V273" s="959">
        <f t="shared" si="392"/>
        <v>0.44475315392065823</v>
      </c>
      <c r="W273" s="959">
        <f t="shared" si="392"/>
        <v>0.44633545942408209</v>
      </c>
      <c r="X273" s="959">
        <f t="shared" si="392"/>
        <v>0.43009869155558689</v>
      </c>
      <c r="Y273" s="959">
        <f t="shared" si="392"/>
        <v>0.43117247425753724</v>
      </c>
      <c r="Z273" s="959">
        <f t="shared" si="392"/>
        <v>0.43226633676471721</v>
      </c>
      <c r="AA273" s="959">
        <f t="shared" si="392"/>
        <v>0.43337910943277969</v>
      </c>
      <c r="AB273" s="959">
        <f t="shared" si="392"/>
        <v>0.43450956074006097</v>
      </c>
      <c r="AC273" s="959">
        <f t="shared" si="392"/>
        <v>0.41499206747763812</v>
      </c>
      <c r="AD273" s="959">
        <f t="shared" si="392"/>
        <v>0.41550903232009839</v>
      </c>
      <c r="AE273" s="959">
        <f t="shared" si="392"/>
        <v>0.41604365500329676</v>
      </c>
      <c r="AF273" s="959">
        <f t="shared" si="392"/>
        <v>0.41592711637546259</v>
      </c>
    </row>
    <row r="280" spans="2:32" s="977" customFormat="1" ht="12.75" customHeight="1">
      <c r="B280" s="978" t="s">
        <v>610</v>
      </c>
    </row>
    <row r="282" spans="2:32" ht="12.75" customHeight="1">
      <c r="B282" s="1469" t="s">
        <v>611</v>
      </c>
      <c r="F282" s="1469" t="s">
        <v>612</v>
      </c>
      <c r="J282" s="8" t="s">
        <v>613</v>
      </c>
      <c r="P282" s="1884" t="s">
        <v>614</v>
      </c>
      <c r="Q282" s="1884"/>
    </row>
    <row r="283" spans="2:32" ht="12.75" customHeight="1">
      <c r="P283" s="1884" t="s">
        <v>615</v>
      </c>
      <c r="Q283" s="1884"/>
    </row>
    <row r="284" spans="2:32" ht="12.75" customHeight="1">
      <c r="P284" t="s">
        <v>616</v>
      </c>
      <c r="Q284" s="985" t="s">
        <v>617</v>
      </c>
    </row>
    <row r="285" spans="2:32" ht="12.75" customHeight="1">
      <c r="B285" s="1002" t="s">
        <v>618</v>
      </c>
      <c r="C285" s="992">
        <v>2023</v>
      </c>
      <c r="D285" s="992">
        <v>2022</v>
      </c>
      <c r="E285" s="992">
        <v>2021</v>
      </c>
      <c r="F285" s="992">
        <v>2020</v>
      </c>
      <c r="G285" s="1496" t="s">
        <v>222</v>
      </c>
      <c r="P285" t="s">
        <v>619</v>
      </c>
      <c r="Q285" t="s">
        <v>620</v>
      </c>
    </row>
    <row r="286" spans="2:32" ht="12.75" customHeight="1">
      <c r="B286" s="963" t="s">
        <v>510</v>
      </c>
      <c r="C286" s="348">
        <v>22964</v>
      </c>
      <c r="D286" s="348">
        <v>22839</v>
      </c>
      <c r="E286" s="348">
        <v>14521</v>
      </c>
      <c r="F286" s="348">
        <v>9763</v>
      </c>
      <c r="G286" s="980"/>
    </row>
    <row r="287" spans="2:32" ht="12.75" customHeight="1">
      <c r="B287" s="987" t="s">
        <v>621</v>
      </c>
      <c r="C287" s="348">
        <v>4009</v>
      </c>
      <c r="D287" s="348">
        <v>3480</v>
      </c>
      <c r="E287" s="348">
        <v>2203</v>
      </c>
      <c r="F287" s="348">
        <v>1761</v>
      </c>
      <c r="G287" s="980"/>
      <c r="K287" s="1522" t="s">
        <v>622</v>
      </c>
      <c r="L287" s="1523" t="s">
        <v>623</v>
      </c>
    </row>
    <row r="288" spans="2:32" ht="12.75" customHeight="1">
      <c r="B288" s="963" t="s">
        <v>624</v>
      </c>
      <c r="C288" s="986">
        <f>C287/D287-1</f>
        <v>0.15201149425287364</v>
      </c>
      <c r="D288" s="986">
        <f t="shared" ref="D288:E288" si="393">D287/E287-1</f>
        <v>0.57966409441670441</v>
      </c>
      <c r="E288" s="986">
        <f t="shared" si="393"/>
        <v>0.25099375354911979</v>
      </c>
      <c r="F288" s="986"/>
      <c r="G288" s="990"/>
      <c r="J288" s="1522" t="s">
        <v>625</v>
      </c>
      <c r="K288" s="901">
        <v>0.25</v>
      </c>
      <c r="L288" s="901">
        <v>0.15</v>
      </c>
    </row>
    <row r="289" spans="2:17" ht="12.75" customHeight="1">
      <c r="B289" s="989" t="s">
        <v>626</v>
      </c>
      <c r="C289" s="991">
        <v>3453</v>
      </c>
      <c r="D289" s="991">
        <v>4174</v>
      </c>
      <c r="E289" s="991">
        <v>407</v>
      </c>
      <c r="F289" s="991">
        <v>312</v>
      </c>
      <c r="G289" s="980"/>
    </row>
    <row r="290" spans="2:17" ht="12.75" customHeight="1">
      <c r="B290" s="862" t="s">
        <v>627</v>
      </c>
      <c r="C290" s="894">
        <f>942+1869</f>
        <v>2811</v>
      </c>
      <c r="D290" s="894">
        <f>1448+2100</f>
        <v>3548</v>
      </c>
      <c r="E290" s="894">
        <v>0</v>
      </c>
      <c r="F290" s="894">
        <v>0</v>
      </c>
      <c r="G290" s="910"/>
    </row>
    <row r="291" spans="2:17" ht="12.75" customHeight="1">
      <c r="Q291" t="s">
        <v>628</v>
      </c>
    </row>
    <row r="292" spans="2:17" ht="12.75" customHeight="1">
      <c r="Q292" t="s">
        <v>629</v>
      </c>
    </row>
    <row r="293" spans="2:17" ht="12.75" customHeight="1">
      <c r="C293" s="1088">
        <v>2023</v>
      </c>
      <c r="D293" s="1089">
        <v>2022</v>
      </c>
      <c r="E293" s="1089">
        <v>2021</v>
      </c>
      <c r="F293" s="1089">
        <v>2020</v>
      </c>
      <c r="G293" s="1090" t="s">
        <v>222</v>
      </c>
    </row>
    <row r="294" spans="2:17" ht="12.75" customHeight="1">
      <c r="B294" s="1524" t="s">
        <v>621</v>
      </c>
      <c r="C294" s="995">
        <v>4009</v>
      </c>
      <c r="D294" s="995">
        <v>3480</v>
      </c>
      <c r="E294" s="995">
        <v>2203</v>
      </c>
      <c r="F294" s="995">
        <v>1761</v>
      </c>
      <c r="G294" s="996">
        <f>(C294/F294)^(1/3)-1</f>
        <v>0.31550418314390805</v>
      </c>
      <c r="K294" s="1525" t="s">
        <v>630</v>
      </c>
      <c r="L294" s="1526" t="s">
        <v>631</v>
      </c>
      <c r="M294" s="1527" t="s">
        <v>632</v>
      </c>
    </row>
    <row r="295" spans="2:17" ht="12.75" customHeight="1">
      <c r="B295" s="979" t="s">
        <v>633</v>
      </c>
      <c r="C295" s="348">
        <v>821</v>
      </c>
      <c r="D295" s="348">
        <v>714</v>
      </c>
      <c r="E295" s="348">
        <v>206</v>
      </c>
      <c r="F295" s="348">
        <v>208</v>
      </c>
      <c r="G295" s="900"/>
      <c r="J295" s="1420" t="s">
        <v>634</v>
      </c>
      <c r="K295" s="1421">
        <v>-2.5000000000000001E-2</v>
      </c>
      <c r="L295" s="1003">
        <v>-0.03</v>
      </c>
      <c r="M295" s="1422">
        <v>-2.5000000000000001E-2</v>
      </c>
    </row>
    <row r="296" spans="2:17" ht="12.75" customHeight="1">
      <c r="B296" s="981" t="s">
        <v>635</v>
      </c>
      <c r="C296" s="983">
        <f>C295/C294</f>
        <v>0.20478922424544774</v>
      </c>
      <c r="D296" s="983">
        <f t="shared" ref="D296:F296" si="394">D295/D294</f>
        <v>0.20517241379310344</v>
      </c>
      <c r="E296" s="983">
        <f t="shared" si="394"/>
        <v>9.3508851566046297E-2</v>
      </c>
      <c r="F296" s="983">
        <f t="shared" si="394"/>
        <v>0.11811470755252697</v>
      </c>
      <c r="G296" s="984">
        <f>AVERAGE(C296:F296)</f>
        <v>0.15539629928928111</v>
      </c>
    </row>
    <row r="297" spans="2:17" ht="12.75" customHeight="1">
      <c r="B297" s="979" t="s">
        <v>636</v>
      </c>
      <c r="C297" s="348">
        <v>2346</v>
      </c>
      <c r="D297" s="348">
        <v>2163</v>
      </c>
      <c r="E297" s="348">
        <v>1534</v>
      </c>
      <c r="F297" s="348">
        <v>1209</v>
      </c>
      <c r="G297" s="900"/>
      <c r="J297" s="8" t="s">
        <v>637</v>
      </c>
    </row>
    <row r="298" spans="2:17" ht="12.75" customHeight="1">
      <c r="B298" s="981" t="s">
        <v>635</v>
      </c>
      <c r="C298" s="983">
        <f>C297/C294</f>
        <v>0.58518333749064599</v>
      </c>
      <c r="D298" s="983">
        <f t="shared" ref="D298:F298" si="395">D297/D294</f>
        <v>0.62155172413793103</v>
      </c>
      <c r="E298" s="983">
        <f t="shared" si="395"/>
        <v>0.69632319564230594</v>
      </c>
      <c r="F298" s="983">
        <f t="shared" si="395"/>
        <v>0.68654173764906301</v>
      </c>
      <c r="G298" s="982"/>
    </row>
    <row r="299" spans="2:17" ht="13.2">
      <c r="B299" s="979" t="s">
        <v>638</v>
      </c>
      <c r="C299" s="348">
        <v>209</v>
      </c>
      <c r="D299" s="348">
        <v>143</v>
      </c>
      <c r="E299" s="348">
        <v>96</v>
      </c>
      <c r="F299" s="348">
        <v>136</v>
      </c>
      <c r="G299" s="900"/>
    </row>
    <row r="300" spans="2:17" ht="12.75" customHeight="1">
      <c r="B300" s="981" t="s">
        <v>635</v>
      </c>
      <c r="C300" s="983">
        <f>C299/C294</f>
        <v>5.2132701421800945E-2</v>
      </c>
      <c r="D300" s="983">
        <f t="shared" ref="D300:F300" si="396">D299/D294</f>
        <v>4.1091954022988507E-2</v>
      </c>
      <c r="E300" s="983">
        <f t="shared" si="396"/>
        <v>4.3576940535633227E-2</v>
      </c>
      <c r="F300" s="983">
        <f t="shared" si="396"/>
        <v>7.7228847245883026E-2</v>
      </c>
      <c r="G300" s="984">
        <f>AVERAGE(C300:F300)</f>
        <v>5.3507610806576428E-2</v>
      </c>
    </row>
    <row r="301" spans="2:17" ht="12.75" customHeight="1">
      <c r="B301" s="979" t="s">
        <v>639</v>
      </c>
      <c r="C301" s="348">
        <v>633</v>
      </c>
      <c r="D301" s="348">
        <v>460</v>
      </c>
      <c r="E301" s="348">
        <v>367</v>
      </c>
      <c r="F301" s="348">
        <v>208</v>
      </c>
      <c r="G301" s="900"/>
      <c r="K301" s="1525" t="s">
        <v>630</v>
      </c>
      <c r="L301" s="1526" t="s">
        <v>631</v>
      </c>
      <c r="M301" s="1527" t="s">
        <v>632</v>
      </c>
    </row>
    <row r="302" spans="2:17" ht="12.75" customHeight="1">
      <c r="B302" s="998" t="s">
        <v>635</v>
      </c>
      <c r="C302" s="983">
        <v>0.15789473684210525</v>
      </c>
      <c r="D302" s="983">
        <v>0.13218390804597702</v>
      </c>
      <c r="E302" s="983">
        <v>0.16659101225601453</v>
      </c>
      <c r="F302" s="983">
        <v>0.11811470755252697</v>
      </c>
      <c r="G302" s="1001">
        <v>0.14369609117415594</v>
      </c>
      <c r="J302" s="1420" t="s">
        <v>640</v>
      </c>
      <c r="K302" s="1003">
        <v>-0.16</v>
      </c>
      <c r="L302" s="1003">
        <v>-0.15</v>
      </c>
      <c r="M302" s="1004">
        <v>-0.15</v>
      </c>
    </row>
    <row r="303" spans="2:17" ht="12.75" customHeight="1">
      <c r="B303" s="1524" t="s">
        <v>641</v>
      </c>
      <c r="C303" s="993">
        <v>22964</v>
      </c>
      <c r="D303" s="993">
        <v>22839</v>
      </c>
      <c r="E303" s="993">
        <v>14521</v>
      </c>
      <c r="F303" s="993">
        <v>9763</v>
      </c>
      <c r="G303" s="994"/>
    </row>
    <row r="304" spans="2:17" ht="12.75" customHeight="1">
      <c r="B304" s="1528" t="s">
        <v>642</v>
      </c>
      <c r="C304" s="348">
        <v>-546</v>
      </c>
      <c r="D304" s="348">
        <v>-450</v>
      </c>
      <c r="E304" s="348">
        <v>-301</v>
      </c>
      <c r="F304" s="348">
        <v>-294</v>
      </c>
      <c r="G304" s="900"/>
    </row>
    <row r="305" spans="2:16" ht="12.75" customHeight="1">
      <c r="B305" s="998" t="s">
        <v>643</v>
      </c>
      <c r="C305" s="999">
        <f>C304/C303</f>
        <v>-2.3776345584392962E-2</v>
      </c>
      <c r="D305" s="999">
        <f t="shared" ref="D305:F305" si="397">D304/D303</f>
        <v>-1.9703139366872454E-2</v>
      </c>
      <c r="E305" s="999">
        <f t="shared" si="397"/>
        <v>-2.0728599958680531E-2</v>
      </c>
      <c r="F305" s="999">
        <f t="shared" si="397"/>
        <v>-3.0113694561098022E-2</v>
      </c>
      <c r="G305" s="1000">
        <f>AVERAGE(C305:F305)</f>
        <v>-2.3580444867760994E-2</v>
      </c>
    </row>
    <row r="306" spans="2:16" ht="12.75" customHeight="1">
      <c r="B306" s="1529" t="s">
        <v>644</v>
      </c>
      <c r="C306" s="1530">
        <v>-0.13619356447992018</v>
      </c>
      <c r="D306" s="1530">
        <v>-0.12931034482758622</v>
      </c>
      <c r="E306" s="1530">
        <v>-0.13663186563776669</v>
      </c>
      <c r="F306" s="1530">
        <v>-0.16695059625212946</v>
      </c>
      <c r="G306" s="1531">
        <v>-0.14227159279935064</v>
      </c>
    </row>
    <row r="307" spans="2:16" ht="12.75" customHeight="1">
      <c r="B307" s="979" t="s">
        <v>645</v>
      </c>
      <c r="C307" s="348">
        <v>529</v>
      </c>
      <c r="D307" s="348">
        <v>1277</v>
      </c>
      <c r="E307" s="348">
        <v>442</v>
      </c>
      <c r="F307" s="348"/>
      <c r="G307" s="900"/>
      <c r="K307" s="1492">
        <v>2024</v>
      </c>
      <c r="L307" s="1532">
        <v>2025</v>
      </c>
      <c r="M307" s="1532">
        <v>2026</v>
      </c>
      <c r="N307" s="1532">
        <v>2027</v>
      </c>
      <c r="O307" s="1493">
        <v>2028</v>
      </c>
    </row>
    <row r="308" spans="2:16" ht="12.75" customHeight="1">
      <c r="B308" s="1529" t="s">
        <v>646</v>
      </c>
      <c r="C308" s="995">
        <v>642</v>
      </c>
      <c r="D308" s="995">
        <v>626</v>
      </c>
      <c r="E308" s="995">
        <v>407</v>
      </c>
      <c r="F308" s="995">
        <v>312</v>
      </c>
      <c r="G308" s="997"/>
      <c r="J308" s="1420" t="s">
        <v>647</v>
      </c>
      <c r="K308" s="1024">
        <v>2371</v>
      </c>
      <c r="L308" s="878">
        <v>2145</v>
      </c>
      <c r="M308" s="878">
        <v>2034</v>
      </c>
      <c r="N308" s="878">
        <v>1922</v>
      </c>
      <c r="O308" s="879">
        <v>1846</v>
      </c>
      <c r="P308" s="1022"/>
    </row>
    <row r="309" spans="2:16" ht="12.75" customHeight="1">
      <c r="B309" s="998" t="s">
        <v>643</v>
      </c>
      <c r="C309" s="983">
        <v>2.7956801950879639E-2</v>
      </c>
      <c r="D309" s="983">
        <v>2.7409256097027015E-2</v>
      </c>
      <c r="E309" s="983">
        <v>2.8028372701604572E-2</v>
      </c>
      <c r="F309" s="983">
        <v>3.1957390146471372E-2</v>
      </c>
      <c r="G309" s="1001">
        <v>2.8837955223995647E-2</v>
      </c>
    </row>
    <row r="310" spans="2:16" ht="12.75" customHeight="1">
      <c r="B310" s="1533" t="s">
        <v>644</v>
      </c>
      <c r="C310" s="1534">
        <f>C308/C294</f>
        <v>0.16013968570715889</v>
      </c>
      <c r="D310" s="1534">
        <f t="shared" ref="D310:F310" si="398">D308/D294</f>
        <v>0.17988505747126438</v>
      </c>
      <c r="E310" s="1534">
        <f t="shared" si="398"/>
        <v>0.18474807081252836</v>
      </c>
      <c r="F310" s="1534">
        <f t="shared" si="398"/>
        <v>0.17717206132879046</v>
      </c>
      <c r="G310" s="1535">
        <f>AVERAGE(C310:F310)</f>
        <v>0.17548621882993551</v>
      </c>
    </row>
    <row r="311" spans="2:16" ht="12.75" customHeight="1">
      <c r="L311" s="1492" t="s">
        <v>648</v>
      </c>
      <c r="M311" s="1493" t="s">
        <v>649</v>
      </c>
    </row>
    <row r="312" spans="2:16" ht="13.2">
      <c r="K312" s="1875" t="s">
        <v>588</v>
      </c>
      <c r="L312" s="348" t="s">
        <v>589</v>
      </c>
      <c r="M312" s="1851" t="s">
        <v>590</v>
      </c>
    </row>
    <row r="313" spans="2:16" ht="13.2">
      <c r="B313" t="s">
        <v>650</v>
      </c>
      <c r="K313" s="1877"/>
      <c r="L313" s="894" t="s">
        <v>591</v>
      </c>
      <c r="M313" s="1852"/>
    </row>
    <row r="314" spans="2:16" ht="12.75" customHeight="1" thickBot="1">
      <c r="B314" t="s">
        <v>651</v>
      </c>
    </row>
    <row r="315" spans="2:16" ht="12.75" customHeight="1" thickBot="1">
      <c r="D315" s="962" t="s">
        <v>604</v>
      </c>
      <c r="K315" s="1904" t="s">
        <v>588</v>
      </c>
      <c r="L315" s="1397" t="s">
        <v>652</v>
      </c>
      <c r="M315" s="1398" t="s">
        <v>653</v>
      </c>
    </row>
    <row r="316" spans="2:16" ht="12.75" customHeight="1" thickBot="1">
      <c r="C316" s="11"/>
      <c r="D316" s="11"/>
      <c r="E316" s="11"/>
      <c r="F316" s="11"/>
      <c r="G316" s="11"/>
      <c r="K316" s="1905"/>
      <c r="L316" s="1394">
        <v>-0.13</v>
      </c>
      <c r="M316" s="1395">
        <v>-0.12</v>
      </c>
    </row>
    <row r="317" spans="2:16" ht="12.75" customHeight="1" thickBot="1">
      <c r="C317" s="1536">
        <v>2023</v>
      </c>
      <c r="D317" s="1537">
        <v>2022</v>
      </c>
      <c r="E317" s="1537">
        <v>2021</v>
      </c>
      <c r="F317" s="1537">
        <v>2020</v>
      </c>
      <c r="G317" s="1538" t="s">
        <v>654</v>
      </c>
    </row>
    <row r="318" spans="2:16" ht="12.75" customHeight="1">
      <c r="B318" s="912" t="s">
        <v>655</v>
      </c>
      <c r="C318" s="1376" t="s">
        <v>656</v>
      </c>
      <c r="D318" s="1377" t="s">
        <v>657</v>
      </c>
      <c r="E318" s="1377">
        <v>328</v>
      </c>
      <c r="F318" s="1377">
        <v>229</v>
      </c>
      <c r="G318" s="1381"/>
    </row>
    <row r="319" spans="2:16" ht="12.75" customHeight="1">
      <c r="B319" s="963" t="s">
        <v>658</v>
      </c>
      <c r="C319" s="1378" t="s">
        <v>659</v>
      </c>
      <c r="D319" s="348" t="s">
        <v>660</v>
      </c>
      <c r="E319" s="348" t="s">
        <v>661</v>
      </c>
      <c r="F319" s="348" t="s">
        <v>661</v>
      </c>
      <c r="G319" s="1382"/>
    </row>
    <row r="320" spans="2:16" ht="12.75" customHeight="1">
      <c r="B320" s="1485" t="s">
        <v>662</v>
      </c>
      <c r="C320" s="1378">
        <v>27722</v>
      </c>
      <c r="D320" s="348">
        <v>28028</v>
      </c>
      <c r="E320" s="348">
        <v>328</v>
      </c>
      <c r="F320" s="348">
        <v>229</v>
      </c>
      <c r="G320" s="1382"/>
      <c r="J320" s="8" t="s">
        <v>663</v>
      </c>
    </row>
    <row r="321" spans="2:28" ht="12.75" customHeight="1">
      <c r="B321" s="1485" t="s">
        <v>627</v>
      </c>
      <c r="C321" s="1378">
        <v>2811</v>
      </c>
      <c r="D321" s="348">
        <v>3548</v>
      </c>
      <c r="E321" s="348">
        <v>0</v>
      </c>
      <c r="F321" s="348">
        <v>0</v>
      </c>
      <c r="G321" s="1382"/>
      <c r="J321" t="s">
        <v>664</v>
      </c>
    </row>
    <row r="322" spans="2:28" ht="12.75" customHeight="1" thickBot="1">
      <c r="B322" s="963" t="s">
        <v>643</v>
      </c>
      <c r="C322" s="1379">
        <f>C321/C320</f>
        <v>0.10139961041771878</v>
      </c>
      <c r="D322" s="1058">
        <f>D321/D320</f>
        <v>0.12658769801626946</v>
      </c>
      <c r="E322" s="1058">
        <f>E321/E320</f>
        <v>0</v>
      </c>
      <c r="F322" s="1058">
        <f>F321/F320</f>
        <v>0</v>
      </c>
      <c r="G322" s="1383">
        <f>AVERAGE(C322:D322)</f>
        <v>0.11399365421699412</v>
      </c>
      <c r="J322" t="s">
        <v>665</v>
      </c>
    </row>
    <row r="323" spans="2:28" ht="12.75" customHeight="1" thickBot="1">
      <c r="B323" s="1539" t="s">
        <v>666</v>
      </c>
      <c r="C323" s="1380">
        <f>C321/C286</f>
        <v>0.12240898798118795</v>
      </c>
      <c r="D323" s="1375">
        <f>D321/D286</f>
        <v>0.15534830771925215</v>
      </c>
      <c r="E323" s="1375">
        <f>E321/E286</f>
        <v>0</v>
      </c>
      <c r="F323" s="1375">
        <f>F321/F286</f>
        <v>0</v>
      </c>
      <c r="G323" s="1384">
        <f>AVERAGE(C323:D323)</f>
        <v>0.13887864785022005</v>
      </c>
      <c r="J323" t="s">
        <v>667</v>
      </c>
    </row>
    <row r="324" spans="2:28" ht="12.75" customHeight="1">
      <c r="J324" t="s">
        <v>668</v>
      </c>
    </row>
    <row r="328" spans="2:28" ht="12.75" customHeight="1">
      <c r="C328" s="1093" t="s">
        <v>574</v>
      </c>
      <c r="D328" s="1094" t="s">
        <v>575</v>
      </c>
      <c r="E328" s="1483" t="s">
        <v>576</v>
      </c>
      <c r="F328" s="1483" t="s">
        <v>577</v>
      </c>
      <c r="G328" s="1483" t="s">
        <v>570</v>
      </c>
      <c r="H328" s="1483" t="s">
        <v>571</v>
      </c>
      <c r="I328" s="1483" t="s">
        <v>572</v>
      </c>
      <c r="J328" s="1483">
        <v>2031</v>
      </c>
      <c r="K328" s="1483">
        <v>2032</v>
      </c>
      <c r="L328" s="1483">
        <v>2033</v>
      </c>
      <c r="M328" s="1483">
        <v>2034</v>
      </c>
      <c r="N328" s="1483">
        <v>2035</v>
      </c>
      <c r="O328" s="1483">
        <v>2036</v>
      </c>
      <c r="P328" s="1483">
        <v>2037</v>
      </c>
      <c r="Q328" s="1483">
        <v>2038</v>
      </c>
      <c r="R328" s="1483">
        <v>2039</v>
      </c>
      <c r="S328" s="1483">
        <v>2040</v>
      </c>
      <c r="T328" s="1483">
        <v>2041</v>
      </c>
      <c r="U328" s="1483">
        <v>2042</v>
      </c>
      <c r="V328" s="1483">
        <v>2043</v>
      </c>
      <c r="W328" s="1483">
        <v>2044</v>
      </c>
      <c r="X328" s="1483">
        <v>2045</v>
      </c>
      <c r="Y328" s="1483">
        <v>2046</v>
      </c>
      <c r="Z328" s="1483">
        <v>2047</v>
      </c>
      <c r="AA328" s="1483">
        <v>2048</v>
      </c>
      <c r="AB328" s="1511">
        <v>2049</v>
      </c>
    </row>
    <row r="329" spans="2:28" ht="12.75" customHeight="1">
      <c r="B329" s="1484" t="s">
        <v>669</v>
      </c>
      <c r="C329" s="964">
        <v>27722</v>
      </c>
      <c r="D329" s="1091">
        <v>27722</v>
      </c>
      <c r="E329" s="1091">
        <f>D329*(1+$K$288)</f>
        <v>34652.5</v>
      </c>
      <c r="F329" s="1091">
        <f t="shared" ref="F329:M329" si="399">E329*(1+$K$288)</f>
        <v>43315.625</v>
      </c>
      <c r="G329" s="1091">
        <f t="shared" si="399"/>
        <v>54144.53125</v>
      </c>
      <c r="H329" s="1091">
        <f t="shared" si="399"/>
        <v>67680.6640625</v>
      </c>
      <c r="I329" s="1091">
        <f t="shared" si="399"/>
        <v>84600.830078125</v>
      </c>
      <c r="J329" s="1091">
        <f t="shared" si="399"/>
        <v>105751.03759765625</v>
      </c>
      <c r="K329" s="1091">
        <f t="shared" si="399"/>
        <v>132188.79699707031</v>
      </c>
      <c r="L329" s="1091">
        <f t="shared" si="399"/>
        <v>165235.99624633789</v>
      </c>
      <c r="M329" s="1091">
        <f t="shared" si="399"/>
        <v>206544.99530792236</v>
      </c>
      <c r="N329" s="1091">
        <f>M329*(1+$L$288)</f>
        <v>237526.74460411069</v>
      </c>
      <c r="O329" s="1091">
        <f t="shared" ref="O329:AB329" si="400">N329*(1+$L$288)</f>
        <v>273155.75629472727</v>
      </c>
      <c r="P329" s="1091">
        <f t="shared" si="400"/>
        <v>314129.11973893631</v>
      </c>
      <c r="Q329" s="1091">
        <f t="shared" si="400"/>
        <v>361248.48769977671</v>
      </c>
      <c r="R329" s="1091">
        <f t="shared" si="400"/>
        <v>415435.76085474319</v>
      </c>
      <c r="S329" s="1091">
        <f t="shared" si="400"/>
        <v>477751.12498295464</v>
      </c>
      <c r="T329" s="1091">
        <f t="shared" si="400"/>
        <v>549413.79373039783</v>
      </c>
      <c r="U329" s="1091">
        <f t="shared" si="400"/>
        <v>631825.86278995743</v>
      </c>
      <c r="V329" s="1091">
        <f t="shared" si="400"/>
        <v>726599.74220845103</v>
      </c>
      <c r="W329" s="1091">
        <f t="shared" si="400"/>
        <v>835589.70353971864</v>
      </c>
      <c r="X329" s="1091">
        <f t="shared" si="400"/>
        <v>960928.15907067631</v>
      </c>
      <c r="Y329" s="1091">
        <f t="shared" si="400"/>
        <v>1105067.3829312776</v>
      </c>
      <c r="Z329" s="1091">
        <f t="shared" si="400"/>
        <v>1270827.4903709691</v>
      </c>
      <c r="AA329" s="1091">
        <f t="shared" si="400"/>
        <v>1461451.6139266144</v>
      </c>
      <c r="AB329" s="1092">
        <f t="shared" si="400"/>
        <v>1680669.3560156063</v>
      </c>
    </row>
    <row r="330" spans="2:28" ht="12.75" customHeight="1">
      <c r="B330" s="1486" t="s">
        <v>629</v>
      </c>
      <c r="C330" s="1074">
        <f>C329*$L$316</f>
        <v>-3603.86</v>
      </c>
      <c r="D330" s="1075">
        <f t="shared" ref="D330:G330" si="401">D329*$L$316</f>
        <v>-3603.86</v>
      </c>
      <c r="E330" s="1075">
        <f t="shared" si="401"/>
        <v>-4504.8249999999998</v>
      </c>
      <c r="F330" s="1075">
        <f t="shared" si="401"/>
        <v>-5631.03125</v>
      </c>
      <c r="G330" s="1075">
        <f t="shared" si="401"/>
        <v>-7038.7890625</v>
      </c>
      <c r="H330" s="1075">
        <f>H329*$M$316</f>
        <v>-8121.6796875</v>
      </c>
      <c r="I330" s="1075">
        <f t="shared" ref="I330:AB330" si="402">I329*$M$316</f>
        <v>-10152.099609375</v>
      </c>
      <c r="J330" s="1075">
        <f t="shared" si="402"/>
        <v>-12690.12451171875</v>
      </c>
      <c r="K330" s="1075">
        <f t="shared" si="402"/>
        <v>-15862.655639648438</v>
      </c>
      <c r="L330" s="1075">
        <f t="shared" si="402"/>
        <v>-19828.319549560547</v>
      </c>
      <c r="M330" s="1075">
        <f t="shared" si="402"/>
        <v>-24785.399436950684</v>
      </c>
      <c r="N330" s="1075">
        <f t="shared" si="402"/>
        <v>-28503.209352493282</v>
      </c>
      <c r="O330" s="1075">
        <f t="shared" si="402"/>
        <v>-32778.690755367272</v>
      </c>
      <c r="P330" s="1075">
        <f t="shared" si="402"/>
        <v>-37695.494368672356</v>
      </c>
      <c r="Q330" s="1075">
        <f t="shared" si="402"/>
        <v>-43349.818523973205</v>
      </c>
      <c r="R330" s="1075">
        <f t="shared" si="402"/>
        <v>-49852.291302569181</v>
      </c>
      <c r="S330" s="1075">
        <f t="shared" si="402"/>
        <v>-57330.134997954556</v>
      </c>
      <c r="T330" s="1075">
        <f t="shared" si="402"/>
        <v>-65929.655247647737</v>
      </c>
      <c r="U330" s="1075">
        <f t="shared" si="402"/>
        <v>-75819.103534794893</v>
      </c>
      <c r="V330" s="1075">
        <f t="shared" si="402"/>
        <v>-87191.969065014127</v>
      </c>
      <c r="W330" s="1075">
        <f t="shared" si="402"/>
        <v>-100270.76442476624</v>
      </c>
      <c r="X330" s="1075">
        <f t="shared" si="402"/>
        <v>-115311.37908848115</v>
      </c>
      <c r="Y330" s="1075">
        <f t="shared" si="402"/>
        <v>-132608.08595175331</v>
      </c>
      <c r="Z330" s="1075">
        <f t="shared" si="402"/>
        <v>-152499.29884451628</v>
      </c>
      <c r="AA330" s="1075">
        <f t="shared" si="402"/>
        <v>-175374.19367119373</v>
      </c>
      <c r="AB330" s="1076">
        <f t="shared" si="402"/>
        <v>-201680.32272187274</v>
      </c>
    </row>
    <row r="333" spans="2:28" s="1006" customFormat="1" ht="12.75" customHeight="1">
      <c r="B333" s="1007" t="s">
        <v>642</v>
      </c>
    </row>
    <row r="334" spans="2:28" ht="12.75" customHeight="1" thickBot="1"/>
    <row r="335" spans="2:28" ht="12.75" customHeight="1" thickBot="1">
      <c r="C335" s="1494">
        <v>2023</v>
      </c>
      <c r="D335" s="1495">
        <v>2022</v>
      </c>
      <c r="E335" s="1495">
        <v>2021</v>
      </c>
      <c r="F335" s="1495">
        <v>2020</v>
      </c>
      <c r="G335" s="1540" t="s">
        <v>222</v>
      </c>
      <c r="I335" s="1906" t="s">
        <v>670</v>
      </c>
      <c r="J335" s="1907"/>
    </row>
    <row r="336" spans="2:28" ht="12.75" customHeight="1" thickBot="1">
      <c r="B336" s="1541" t="s">
        <v>120</v>
      </c>
      <c r="C336">
        <v>22964</v>
      </c>
      <c r="D336">
        <v>22839</v>
      </c>
      <c r="E336">
        <v>14521</v>
      </c>
      <c r="F336">
        <v>9763</v>
      </c>
      <c r="G336" s="900"/>
      <c r="I336" s="1434">
        <v>-0.02</v>
      </c>
      <c r="J336" s="1542" t="s">
        <v>671</v>
      </c>
    </row>
    <row r="337" spans="2:18" ht="12.75" customHeight="1" thickBot="1">
      <c r="B337" s="1543" t="s">
        <v>642</v>
      </c>
      <c r="C337">
        <v>-546</v>
      </c>
      <c r="D337">
        <v>-450</v>
      </c>
      <c r="E337">
        <v>-301</v>
      </c>
      <c r="F337">
        <v>-294</v>
      </c>
      <c r="G337" s="900"/>
      <c r="I337" s="860">
        <v>-0.03</v>
      </c>
      <c r="J337" s="1544" t="s">
        <v>672</v>
      </c>
    </row>
    <row r="338" spans="2:18" ht="12.75" customHeight="1" thickBot="1">
      <c r="B338" s="1359" t="s">
        <v>673</v>
      </c>
      <c r="C338" s="1374">
        <f>C337/C336</f>
        <v>-2.3776345584392962E-2</v>
      </c>
      <c r="D338" s="1374">
        <f t="shared" ref="D338:F338" si="403">D337/D336</f>
        <v>-1.9703139366872454E-2</v>
      </c>
      <c r="E338" s="1374">
        <f t="shared" si="403"/>
        <v>-2.0728599958680531E-2</v>
      </c>
      <c r="F338" s="1374">
        <f t="shared" si="403"/>
        <v>-3.0113694561098022E-2</v>
      </c>
      <c r="G338" s="1361">
        <f>AVERAGE(C338:F338)</f>
        <v>-2.3580444867760994E-2</v>
      </c>
      <c r="I338" s="1435">
        <v>-2.3E-2</v>
      </c>
      <c r="J338" s="1545" t="s">
        <v>674</v>
      </c>
    </row>
    <row r="339" spans="2:18" ht="12.75" customHeight="1" thickBot="1">
      <c r="B339" s="11"/>
      <c r="C339" s="1431"/>
      <c r="D339" s="1431"/>
      <c r="E339" s="1431"/>
      <c r="F339" s="1431"/>
      <c r="G339" s="1432"/>
      <c r="I339" s="986"/>
      <c r="K339" s="1"/>
      <c r="L339" s="1"/>
      <c r="M339" s="1"/>
      <c r="N339" s="1"/>
      <c r="O339" s="1"/>
      <c r="P339" s="1"/>
      <c r="Q339" s="1"/>
      <c r="R339" s="1"/>
    </row>
    <row r="340" spans="2:18" ht="12.75" customHeight="1" thickBot="1">
      <c r="B340" s="1402" t="s">
        <v>675</v>
      </c>
      <c r="C340" s="1433">
        <v>-0.03</v>
      </c>
      <c r="D340" s="1431"/>
      <c r="E340" s="1431"/>
      <c r="F340" s="1431"/>
      <c r="G340" s="1432"/>
      <c r="I340" s="986"/>
      <c r="K340" s="1"/>
      <c r="L340" s="1"/>
      <c r="M340" s="1"/>
      <c r="N340" s="1"/>
      <c r="O340" s="1"/>
      <c r="P340" s="1"/>
      <c r="Q340" s="1"/>
      <c r="R340" s="1"/>
    </row>
    <row r="341" spans="2:18" ht="12.75" customHeight="1">
      <c r="D341" s="962" t="s">
        <v>604</v>
      </c>
    </row>
    <row r="342" spans="2:18" s="1006" customFormat="1" ht="12.75" customHeight="1">
      <c r="B342" s="1008" t="s">
        <v>676</v>
      </c>
    </row>
    <row r="345" spans="2:18" ht="12.75" customHeight="1">
      <c r="C345" s="1546">
        <v>2023</v>
      </c>
      <c r="D345" s="1547">
        <v>2022</v>
      </c>
      <c r="E345" s="1547">
        <v>2021</v>
      </c>
      <c r="F345" s="1547">
        <v>2020</v>
      </c>
      <c r="G345" s="1547">
        <v>2019</v>
      </c>
      <c r="H345" s="1547">
        <v>2018</v>
      </c>
      <c r="I345" s="250" t="s">
        <v>222</v>
      </c>
    </row>
    <row r="346" spans="2:18" ht="12.75" customHeight="1">
      <c r="B346" s="1541" t="s">
        <v>677</v>
      </c>
      <c r="C346" s="1">
        <v>508</v>
      </c>
      <c r="D346" s="1">
        <v>1198</v>
      </c>
      <c r="E346" s="1">
        <v>3675</v>
      </c>
      <c r="F346" s="1">
        <v>1280</v>
      </c>
      <c r="G346" s="1">
        <v>372</v>
      </c>
      <c r="H346" s="1">
        <v>328</v>
      </c>
      <c r="I346" s="1281">
        <f>AVERAGE(C346:H346)</f>
        <v>1226.8333333333333</v>
      </c>
      <c r="J346" t="s">
        <v>678</v>
      </c>
    </row>
    <row r="347" spans="2:18" ht="12.75" customHeight="1">
      <c r="B347" s="1543" t="s">
        <v>679</v>
      </c>
      <c r="C347" s="1280">
        <f t="shared" ref="C347:H347" si="404">0.21*C346</f>
        <v>106.67999999999999</v>
      </c>
      <c r="D347" s="1280">
        <f t="shared" si="404"/>
        <v>251.57999999999998</v>
      </c>
      <c r="E347" s="1280">
        <f t="shared" si="404"/>
        <v>771.75</v>
      </c>
      <c r="F347" s="1280">
        <f t="shared" si="404"/>
        <v>268.8</v>
      </c>
      <c r="G347" s="1280">
        <f t="shared" si="404"/>
        <v>78.11999999999999</v>
      </c>
      <c r="H347" s="1280">
        <f t="shared" si="404"/>
        <v>68.88</v>
      </c>
      <c r="I347" s="1282">
        <f>AVERAGE(C347:H347)</f>
        <v>257.63499999999999</v>
      </c>
      <c r="J347" t="s">
        <v>680</v>
      </c>
    </row>
    <row r="348" spans="2:18" ht="12.75" customHeight="1">
      <c r="B348" s="1543" t="s">
        <v>681</v>
      </c>
      <c r="C348" s="1">
        <v>-169</v>
      </c>
      <c r="D348" s="1">
        <v>-241</v>
      </c>
      <c r="E348" s="1">
        <v>-78</v>
      </c>
      <c r="F348" s="1">
        <v>-57</v>
      </c>
      <c r="G348" s="1" t="s">
        <v>65</v>
      </c>
      <c r="H348" s="1">
        <v>-1</v>
      </c>
      <c r="I348" s="1282">
        <f>AVERAGE(C348:F348)</f>
        <v>-136.25</v>
      </c>
      <c r="J348" t="s">
        <v>682</v>
      </c>
    </row>
    <row r="349" spans="2:18" ht="12.75" customHeight="1">
      <c r="B349" s="1543" t="s">
        <v>683</v>
      </c>
      <c r="C349" s="1">
        <v>-138</v>
      </c>
      <c r="D349" s="1">
        <v>-96</v>
      </c>
      <c r="E349" s="1" t="s">
        <v>65</v>
      </c>
      <c r="F349" s="1" t="s">
        <v>65</v>
      </c>
      <c r="G349" s="1" t="s">
        <v>65</v>
      </c>
      <c r="H349" s="1" t="s">
        <v>65</v>
      </c>
      <c r="I349" s="1282">
        <f>AVERAGE(C349:D349)</f>
        <v>-117</v>
      </c>
    </row>
    <row r="350" spans="2:18" ht="12.75" customHeight="1" thickBot="1">
      <c r="B350" s="1543" t="s">
        <v>684</v>
      </c>
      <c r="C350" s="1">
        <v>-185</v>
      </c>
      <c r="D350" s="1">
        <v>-261</v>
      </c>
      <c r="E350" s="1">
        <v>-147</v>
      </c>
      <c r="F350" s="1" t="s">
        <v>65</v>
      </c>
      <c r="G350" s="1" t="s">
        <v>65</v>
      </c>
      <c r="H350" s="1" t="s">
        <v>65</v>
      </c>
      <c r="I350" s="1282">
        <f>AVERAGE(C350:E350)</f>
        <v>-197.66666666666666</v>
      </c>
      <c r="J350" t="s">
        <v>685</v>
      </c>
    </row>
    <row r="351" spans="2:18" ht="12.75" customHeight="1" thickBot="1">
      <c r="B351" s="1359" t="s">
        <v>686</v>
      </c>
      <c r="C351" s="1342">
        <f t="shared" ref="C351:I351" si="405">SUM(C347:C350)</f>
        <v>-385.32</v>
      </c>
      <c r="D351" s="1342">
        <f t="shared" si="405"/>
        <v>-346.42</v>
      </c>
      <c r="E351" s="1342">
        <f t="shared" si="405"/>
        <v>546.75</v>
      </c>
      <c r="F351" s="1342">
        <f t="shared" si="405"/>
        <v>211.8</v>
      </c>
      <c r="G351" s="1342">
        <f t="shared" si="405"/>
        <v>78.11999999999999</v>
      </c>
      <c r="H351" s="1342">
        <f t="shared" si="405"/>
        <v>67.88</v>
      </c>
      <c r="I351" s="1343">
        <f t="shared" si="405"/>
        <v>-193.28166666666667</v>
      </c>
    </row>
    <row r="352" spans="2:18" ht="12.75" customHeight="1">
      <c r="B352" s="1543" t="s">
        <v>687</v>
      </c>
      <c r="C352" s="1280">
        <f t="shared" ref="C352:H352" si="406">C353-C351</f>
        <v>39.319999999999993</v>
      </c>
      <c r="D352" s="1280">
        <f t="shared" si="406"/>
        <v>224.42000000000002</v>
      </c>
      <c r="E352" s="1280">
        <f t="shared" si="406"/>
        <v>-33.75</v>
      </c>
      <c r="F352" s="1280">
        <f t="shared" si="406"/>
        <v>-1421.8</v>
      </c>
      <c r="G352" s="1280">
        <f t="shared" si="406"/>
        <v>-47.11999999999999</v>
      </c>
      <c r="H352" s="1280">
        <f t="shared" si="406"/>
        <v>-76.88</v>
      </c>
      <c r="I352" s="1282">
        <f>MEDIAN(C352:H352)</f>
        <v>-40.434999999999995</v>
      </c>
      <c r="J352" t="s">
        <v>688</v>
      </c>
    </row>
    <row r="353" spans="2:10" ht="12.75" customHeight="1">
      <c r="B353" s="1543" t="s">
        <v>689</v>
      </c>
      <c r="C353" s="1">
        <v>-346</v>
      </c>
      <c r="D353" s="1">
        <v>-122</v>
      </c>
      <c r="E353" s="1">
        <v>513</v>
      </c>
      <c r="F353" s="1">
        <v>-1210</v>
      </c>
      <c r="G353" s="1">
        <v>31</v>
      </c>
      <c r="H353" s="1">
        <v>-9</v>
      </c>
      <c r="I353" s="1282">
        <f>MEDIAN(C353:H353)</f>
        <v>-65.5</v>
      </c>
    </row>
    <row r="354" spans="2:10" ht="12.75" customHeight="1">
      <c r="B354" s="1471" t="s">
        <v>690</v>
      </c>
      <c r="C354" s="1283">
        <f t="shared" ref="C354:H354" si="407">C353/C346</f>
        <v>-0.68110236220472442</v>
      </c>
      <c r="D354" s="1283">
        <f t="shared" si="407"/>
        <v>-0.1018363939899833</v>
      </c>
      <c r="E354" s="1283">
        <f t="shared" si="407"/>
        <v>0.13959183673469389</v>
      </c>
      <c r="F354" s="1283">
        <f t="shared" si="407"/>
        <v>-0.9453125</v>
      </c>
      <c r="G354" s="1283">
        <f t="shared" si="407"/>
        <v>8.3333333333333329E-2</v>
      </c>
      <c r="H354" s="1283">
        <f t="shared" si="407"/>
        <v>-2.7439024390243903E-2</v>
      </c>
      <c r="I354" s="1284">
        <f>I353/I346</f>
        <v>-5.3389485124303769E-2</v>
      </c>
      <c r="J354" t="s">
        <v>691</v>
      </c>
    </row>
    <row r="355" spans="2:10" ht="12.75" customHeight="1">
      <c r="C355" s="1"/>
    </row>
    <row r="356" spans="2:10" ht="12.75" customHeight="1">
      <c r="B356" s="1548"/>
    </row>
    <row r="357" spans="2:10" ht="12.75" customHeight="1">
      <c r="B357" s="1484" t="s">
        <v>692</v>
      </c>
      <c r="C357" s="1287">
        <f>SUM(C346:H346, 62, -458)</f>
        <v>6965</v>
      </c>
      <c r="D357" s="1285"/>
      <c r="F357" s="11"/>
      <c r="G357" s="1"/>
      <c r="J357" s="1290"/>
    </row>
    <row r="358" spans="2:10" ht="12.75" customHeight="1">
      <c r="B358" s="1485" t="s">
        <v>693</v>
      </c>
      <c r="C358" s="1288">
        <f>SUM(Inputs!B11,Inputs!C11,Inputs!E11,Inputs!G11,)</f>
        <v>1700</v>
      </c>
      <c r="D358" s="1285"/>
      <c r="F358" s="11"/>
      <c r="G358" s="58"/>
    </row>
    <row r="359" spans="2:10" ht="12.75" customHeight="1">
      <c r="B359" s="1485" t="s">
        <v>694</v>
      </c>
      <c r="C359" s="1288">
        <f>SUM(Inputs!D11,Inputs!F11,Inputs!H11,Inputs!I11)</f>
        <v>-1744</v>
      </c>
      <c r="D359" s="1285"/>
      <c r="F359" s="11"/>
      <c r="G359" s="58"/>
      <c r="H359" s="270"/>
    </row>
    <row r="360" spans="2:10" ht="13.2">
      <c r="B360" s="1485" t="s">
        <v>695</v>
      </c>
      <c r="C360" s="1288">
        <f>C358+C359</f>
        <v>-44</v>
      </c>
      <c r="F360" s="11"/>
      <c r="G360" s="58"/>
    </row>
    <row r="361" spans="2:10" ht="13.2">
      <c r="B361" s="1486" t="s">
        <v>696</v>
      </c>
      <c r="C361" s="1289">
        <f>-(C360/C357)</f>
        <v>6.3173007896625989E-3</v>
      </c>
      <c r="F361" s="11"/>
      <c r="G361" s="1"/>
    </row>
    <row r="362" spans="2:10" ht="13.2">
      <c r="C362" s="1286"/>
      <c r="G362" s="8" t="s">
        <v>697</v>
      </c>
    </row>
    <row r="364" spans="2:10" ht="12.75" customHeight="1">
      <c r="C364" s="1063" t="s">
        <v>217</v>
      </c>
      <c r="D364" s="1090" t="s">
        <v>554</v>
      </c>
      <c r="E364" s="1504" t="s">
        <v>598</v>
      </c>
    </row>
    <row r="365" spans="2:10" ht="12.75" customHeight="1">
      <c r="B365" s="1505" t="s">
        <v>698</v>
      </c>
      <c r="C365" s="1009">
        <v>-0.05</v>
      </c>
      <c r="D365" s="1077">
        <v>0.02</v>
      </c>
      <c r="E365" s="1077">
        <v>0.16</v>
      </c>
    </row>
    <row r="368" spans="2:10" ht="12.75" customHeight="1">
      <c r="B368" s="1464" t="s">
        <v>699</v>
      </c>
    </row>
    <row r="369" spans="2:7" ht="12.75" customHeight="1">
      <c r="B369" t="s">
        <v>700</v>
      </c>
    </row>
    <row r="370" spans="2:7" ht="12.75" customHeight="1">
      <c r="B370" t="s">
        <v>701</v>
      </c>
    </row>
    <row r="371" spans="2:7" ht="12.75" customHeight="1">
      <c r="B371" t="s">
        <v>702</v>
      </c>
    </row>
    <row r="372" spans="2:7" ht="12.75" customHeight="1">
      <c r="B372" t="s">
        <v>703</v>
      </c>
    </row>
    <row r="373" spans="2:7" ht="12.75" customHeight="1">
      <c r="B373" t="s">
        <v>704</v>
      </c>
    </row>
    <row r="374" spans="2:7" ht="12.75" customHeight="1">
      <c r="B374" t="s">
        <v>705</v>
      </c>
    </row>
    <row r="375" spans="2:7" ht="12.75" customHeight="1">
      <c r="B375" t="s">
        <v>706</v>
      </c>
    </row>
    <row r="381" spans="2:7" s="1006" customFormat="1" ht="12.75" customHeight="1">
      <c r="B381" s="1007" t="s">
        <v>707</v>
      </c>
    </row>
    <row r="383" spans="2:7" ht="12.75" customHeight="1">
      <c r="B383" s="1549">
        <v>2023</v>
      </c>
      <c r="C383" s="1547" t="s">
        <v>708</v>
      </c>
      <c r="D383" s="1549" t="s">
        <v>709</v>
      </c>
      <c r="E383" s="1550" t="s">
        <v>710</v>
      </c>
      <c r="G383" s="8" t="s">
        <v>711</v>
      </c>
    </row>
    <row r="384" spans="2:7" ht="12.75" customHeight="1">
      <c r="B384" s="1031">
        <v>2.9499999999999998E-2</v>
      </c>
      <c r="C384" s="1">
        <v>750</v>
      </c>
      <c r="D384" s="1032">
        <v>2024</v>
      </c>
      <c r="E384" s="1033"/>
      <c r="G384" t="s">
        <v>712</v>
      </c>
    </row>
    <row r="385" spans="2:12" ht="12.75" customHeight="1">
      <c r="B385" s="1031">
        <v>2.375E-2</v>
      </c>
      <c r="C385" s="1">
        <v>750</v>
      </c>
      <c r="D385" s="1032">
        <v>2030</v>
      </c>
      <c r="E385" s="1033"/>
      <c r="G385" s="8" t="s">
        <v>713</v>
      </c>
    </row>
    <row r="386" spans="2:12" ht="12.75" customHeight="1">
      <c r="B386" s="1031">
        <v>3.9239999999999997E-2</v>
      </c>
      <c r="C386" s="1">
        <v>500</v>
      </c>
      <c r="D386" s="1032">
        <v>2032</v>
      </c>
      <c r="E386" s="1033"/>
      <c r="G386" s="8" t="s">
        <v>714</v>
      </c>
    </row>
    <row r="387" spans="2:12" ht="12.75" customHeight="1">
      <c r="B387" s="1034">
        <v>4.3929999999999997E-2</v>
      </c>
      <c r="C387" s="1029">
        <v>500</v>
      </c>
      <c r="D387" s="1035">
        <v>2052</v>
      </c>
      <c r="E387" s="1036">
        <f>SUMPRODUCT(B383:B387,C383:C387)/SUM(C383:C387)</f>
        <v>3.2608999999999999E-2</v>
      </c>
      <c r="G387" t="s">
        <v>715</v>
      </c>
    </row>
    <row r="388" spans="2:12" ht="12.75" customHeight="1">
      <c r="B388" s="1034" t="s">
        <v>304</v>
      </c>
      <c r="C388" s="1029">
        <f>SUM(C384:C387)-32</f>
        <v>2468</v>
      </c>
      <c r="D388" s="1035"/>
      <c r="E388" s="1036"/>
      <c r="G388" t="s">
        <v>716</v>
      </c>
    </row>
    <row r="389" spans="2:12" ht="12.75" customHeight="1">
      <c r="G389" s="8" t="s">
        <v>717</v>
      </c>
    </row>
    <row r="391" spans="2:12" ht="12.75" customHeight="1" thickBot="1"/>
    <row r="392" spans="2:12" ht="12.75" customHeight="1">
      <c r="B392" s="1088">
        <v>2022</v>
      </c>
      <c r="C392" s="1088" t="s">
        <v>708</v>
      </c>
      <c r="D392" s="1088" t="s">
        <v>709</v>
      </c>
      <c r="E392" s="1090" t="s">
        <v>710</v>
      </c>
    </row>
    <row r="393" spans="2:12" ht="12.75" customHeight="1">
      <c r="B393" s="1037">
        <v>2.9499999999999998E-2</v>
      </c>
      <c r="C393" s="858">
        <v>750</v>
      </c>
      <c r="D393" s="858">
        <v>2024</v>
      </c>
      <c r="E393" s="886"/>
      <c r="G393" s="8" t="s">
        <v>718</v>
      </c>
    </row>
    <row r="394" spans="2:12" ht="12.75" customHeight="1">
      <c r="B394" s="1037">
        <v>2.215E-2</v>
      </c>
      <c r="C394" s="858">
        <v>1</v>
      </c>
      <c r="D394" s="858">
        <v>2026</v>
      </c>
      <c r="E394" s="886"/>
      <c r="G394" s="8" t="s">
        <v>719</v>
      </c>
    </row>
    <row r="395" spans="2:12" ht="12.75" customHeight="1">
      <c r="B395" s="1037">
        <v>2.375E-2</v>
      </c>
      <c r="C395" s="858">
        <v>750</v>
      </c>
      <c r="D395" s="858">
        <v>2030</v>
      </c>
      <c r="E395" s="886"/>
    </row>
    <row r="396" spans="2:12" ht="12.75" customHeight="1" thickBot="1">
      <c r="B396" s="1037">
        <v>3.9239999999999997E-2</v>
      </c>
      <c r="C396" s="858">
        <v>500</v>
      </c>
      <c r="D396" s="858">
        <v>2032</v>
      </c>
      <c r="E396" s="886"/>
    </row>
    <row r="397" spans="2:12" ht="12.75" customHeight="1" thickBot="1">
      <c r="B397" s="1038">
        <v>4.3929999999999997E-2</v>
      </c>
      <c r="C397" s="1039">
        <v>500</v>
      </c>
      <c r="D397" s="1039">
        <v>2052</v>
      </c>
      <c r="E397" s="1040">
        <f>SUMPRODUCT(B393:B397,C393:C397)/SUM(C393:C397)</f>
        <v>3.2604818072770887E-2</v>
      </c>
      <c r="I397" s="1396">
        <v>2023</v>
      </c>
      <c r="J397" s="1411">
        <v>2022</v>
      </c>
      <c r="K397" s="1411">
        <v>2021</v>
      </c>
      <c r="L397" s="1412" t="s">
        <v>222</v>
      </c>
    </row>
    <row r="398" spans="2:12" ht="12.75" customHeight="1" thickBot="1">
      <c r="B398" s="1034" t="s">
        <v>304</v>
      </c>
      <c r="C398" s="1029">
        <f>SUM(C393:C397)-34</f>
        <v>2467</v>
      </c>
      <c r="D398" s="1035"/>
      <c r="E398" s="1036"/>
      <c r="H398" s="1413" t="s">
        <v>669</v>
      </c>
      <c r="I398" s="1407">
        <v>27722</v>
      </c>
      <c r="J398" s="1407">
        <v>28028</v>
      </c>
      <c r="K398" s="1407">
        <v>328</v>
      </c>
      <c r="L398" s="1408"/>
    </row>
    <row r="399" spans="2:12" ht="12.75" customHeight="1">
      <c r="H399" s="1414" t="s">
        <v>621</v>
      </c>
      <c r="I399" s="1">
        <v>4009</v>
      </c>
      <c r="J399" s="1">
        <v>3480</v>
      </c>
      <c r="K399" s="1">
        <v>2203</v>
      </c>
      <c r="L399" s="1409"/>
    </row>
    <row r="400" spans="2:12" ht="12.75" customHeight="1" thickBot="1">
      <c r="H400" s="1414" t="s">
        <v>720</v>
      </c>
      <c r="I400" s="58">
        <f>'Fin. Data'!B39</f>
        <v>3933</v>
      </c>
      <c r="J400" s="58">
        <f>'Fin. Data'!C39</f>
        <v>4835</v>
      </c>
      <c r="K400" s="58">
        <f>'Fin. Data'!D39</f>
        <v>2535</v>
      </c>
      <c r="L400" s="1409"/>
    </row>
    <row r="401" spans="2:12" ht="12.75" customHeight="1" thickBot="1">
      <c r="B401" s="1891" t="s">
        <v>721</v>
      </c>
      <c r="C401" s="1892"/>
      <c r="E401" s="1402" t="s">
        <v>722</v>
      </c>
      <c r="F401" s="1404">
        <v>-3.3000000000000002E-2</v>
      </c>
      <c r="H401" s="1415" t="s">
        <v>723</v>
      </c>
      <c r="I401" s="1">
        <f>SUM(I398:I400)</f>
        <v>35664</v>
      </c>
      <c r="J401" s="1">
        <f t="shared" ref="J401:K401" si="408">SUM(J398:J400)</f>
        <v>36343</v>
      </c>
      <c r="K401" s="1">
        <f t="shared" si="408"/>
        <v>5066</v>
      </c>
      <c r="L401" s="1409"/>
    </row>
    <row r="402" spans="2:12" ht="12.75" customHeight="1">
      <c r="B402" s="1045">
        <v>2024</v>
      </c>
      <c r="C402" s="980">
        <v>750</v>
      </c>
      <c r="H402" s="1354" t="s">
        <v>724</v>
      </c>
      <c r="I402" s="1416">
        <f>'Fin. Data'!B58</f>
        <v>2252</v>
      </c>
      <c r="J402" s="1416">
        <f>'Fin. Data'!C58</f>
        <v>2863</v>
      </c>
      <c r="K402" s="1416">
        <f>'Fin. Data'!D58</f>
        <v>349</v>
      </c>
      <c r="L402" s="1408"/>
    </row>
    <row r="403" spans="2:12" ht="12.75" customHeight="1" thickBot="1">
      <c r="B403" s="886">
        <v>2030</v>
      </c>
      <c r="C403" s="980">
        <v>750</v>
      </c>
      <c r="H403" s="1417" t="s">
        <v>725</v>
      </c>
      <c r="I403" s="1410">
        <f>I402/I401</f>
        <v>6.3144908030506958E-2</v>
      </c>
      <c r="J403" s="1410">
        <f t="shared" ref="J403:K403" si="409">J402/J401</f>
        <v>7.8777206064441566E-2</v>
      </c>
      <c r="K403" s="1410">
        <f t="shared" si="409"/>
        <v>6.8890643505724436E-2</v>
      </c>
      <c r="L403" s="1418">
        <f>AVERAGE(I403:K403)</f>
        <v>7.0270919200224324E-2</v>
      </c>
    </row>
    <row r="404" spans="2:12" ht="12.75" customHeight="1" thickBot="1">
      <c r="B404" s="887">
        <v>2032</v>
      </c>
      <c r="C404" s="910">
        <v>500</v>
      </c>
    </row>
    <row r="406" spans="2:12" ht="12.75" customHeight="1">
      <c r="C406" s="1041">
        <v>2023</v>
      </c>
      <c r="D406" s="1042">
        <v>2022</v>
      </c>
      <c r="E406" s="1042">
        <v>2021</v>
      </c>
      <c r="F406" s="1042">
        <v>2020</v>
      </c>
      <c r="G406" s="1042">
        <v>2019</v>
      </c>
      <c r="H406" s="1042">
        <v>2018</v>
      </c>
      <c r="I406" s="1042">
        <v>2017</v>
      </c>
      <c r="J406" s="1042">
        <v>2016</v>
      </c>
      <c r="K406" s="1042">
        <v>2015</v>
      </c>
      <c r="L406" s="1043">
        <v>2014</v>
      </c>
    </row>
    <row r="407" spans="2:12" ht="12.75" customHeight="1">
      <c r="B407" s="1551" t="s">
        <v>726</v>
      </c>
      <c r="C407" s="1044">
        <v>3.3173749723797601E-2</v>
      </c>
      <c r="D407" s="1044">
        <v>4.2364604912696065E-2</v>
      </c>
      <c r="E407" s="1044">
        <v>2.81021016184878E-2</v>
      </c>
      <c r="F407" s="1044">
        <v>5.925016737335416E-2</v>
      </c>
      <c r="G407" s="1044">
        <v>0.11363636363636363</v>
      </c>
      <c r="H407" s="1044">
        <v>0.27436347673397715</v>
      </c>
      <c r="I407" s="1044">
        <v>0.39273648648648651</v>
      </c>
      <c r="J407" s="1044">
        <v>0.43209876543209874</v>
      </c>
      <c r="K407" s="1044">
        <v>0.72535667963683526</v>
      </c>
      <c r="L407" s="1023">
        <v>0.58720467215290684</v>
      </c>
    </row>
    <row r="410" spans="2:12" s="1006" customFormat="1" ht="12.75" customHeight="1">
      <c r="B410" s="1007" t="s">
        <v>727</v>
      </c>
    </row>
    <row r="412" spans="2:12" ht="12.75" customHeight="1">
      <c r="C412" s="913">
        <v>2023</v>
      </c>
      <c r="D412" s="880">
        <v>2022</v>
      </c>
      <c r="E412" s="880">
        <v>2021</v>
      </c>
      <c r="F412" s="1030" t="s">
        <v>222</v>
      </c>
    </row>
    <row r="413" spans="2:12" ht="12.75" customHeight="1">
      <c r="B413" s="1541" t="s">
        <v>728</v>
      </c>
      <c r="C413">
        <v>187</v>
      </c>
      <c r="D413">
        <v>8</v>
      </c>
      <c r="E413">
        <v>55</v>
      </c>
      <c r="F413" s="900"/>
    </row>
    <row r="414" spans="2:12" ht="12.75" customHeight="1">
      <c r="B414" s="1543" t="s">
        <v>729</v>
      </c>
      <c r="C414">
        <v>3933</v>
      </c>
      <c r="D414">
        <v>4835</v>
      </c>
      <c r="E414">
        <v>2535</v>
      </c>
      <c r="F414" s="900"/>
    </row>
    <row r="415" spans="2:12" ht="12.75" customHeight="1">
      <c r="B415" s="1471" t="s">
        <v>730</v>
      </c>
      <c r="C415" s="957">
        <f>C413/C414</f>
        <v>4.7546402237477754E-2</v>
      </c>
      <c r="D415" s="957">
        <f t="shared" ref="D415:E415" si="410">D413/D414</f>
        <v>1.6546018614270941E-3</v>
      </c>
      <c r="E415" s="957">
        <f t="shared" si="410"/>
        <v>2.1696252465483234E-2</v>
      </c>
      <c r="F415" s="956">
        <f>AVERAGE(C415:E415)</f>
        <v>2.3632418854796028E-2</v>
      </c>
    </row>
    <row r="417" spans="2:4" ht="12.75" customHeight="1">
      <c r="C417" s="1505" t="s">
        <v>731</v>
      </c>
      <c r="D417" s="1552" t="s">
        <v>653</v>
      </c>
    </row>
    <row r="418" spans="2:4" ht="12.75" customHeight="1">
      <c r="B418" s="1553" t="s">
        <v>727</v>
      </c>
      <c r="C418" s="399">
        <v>4.9000000000000002E-2</v>
      </c>
      <c r="D418" s="988">
        <v>0.04</v>
      </c>
    </row>
    <row r="419" spans="2:4" ht="12.75" customHeight="1">
      <c r="B419" s="1554" t="s">
        <v>732</v>
      </c>
      <c r="C419" s="894" t="s">
        <v>733</v>
      </c>
      <c r="D419" s="879"/>
    </row>
    <row r="422" spans="2:4" s="1006" customFormat="1" ht="12.75" customHeight="1">
      <c r="B422" s="1555" t="s">
        <v>131</v>
      </c>
    </row>
    <row r="424" spans="2:4" ht="12.75" customHeight="1">
      <c r="B424" t="s">
        <v>734</v>
      </c>
    </row>
    <row r="426" spans="2:4" ht="12.75" customHeight="1">
      <c r="B426" s="1522" t="s">
        <v>735</v>
      </c>
      <c r="C426" s="1009">
        <v>0</v>
      </c>
    </row>
    <row r="429" spans="2:4" s="1006" customFormat="1" ht="12.75" customHeight="1">
      <c r="B429" s="1007" t="s">
        <v>736</v>
      </c>
    </row>
    <row r="432" spans="2:4" ht="12.75" customHeight="1" thickBot="1"/>
    <row r="433" spans="2:7" ht="12.75" customHeight="1" thickBot="1">
      <c r="C433" s="1494">
        <v>2023</v>
      </c>
      <c r="D433" s="1495">
        <v>2022</v>
      </c>
      <c r="E433" s="1495">
        <v>2021</v>
      </c>
      <c r="F433" s="1495">
        <v>2020</v>
      </c>
      <c r="G433" s="1540" t="s">
        <v>222</v>
      </c>
    </row>
    <row r="434" spans="2:7" ht="12.75" customHeight="1">
      <c r="B434" s="1541" t="s">
        <v>120</v>
      </c>
      <c r="C434">
        <v>22964</v>
      </c>
      <c r="D434">
        <v>22839</v>
      </c>
      <c r="E434">
        <v>14521</v>
      </c>
      <c r="F434">
        <v>9763</v>
      </c>
      <c r="G434" s="900"/>
    </row>
    <row r="435" spans="2:7" ht="12.75" customHeight="1">
      <c r="B435" s="1543" t="s">
        <v>737</v>
      </c>
      <c r="C435">
        <v>-131</v>
      </c>
      <c r="D435">
        <f>2366-1544</f>
        <v>822</v>
      </c>
      <c r="G435" s="900"/>
    </row>
    <row r="436" spans="2:7" ht="12.75" customHeight="1" thickBot="1">
      <c r="B436" s="1471" t="s">
        <v>673</v>
      </c>
      <c r="C436" s="1027">
        <f>C435/C434</f>
        <v>-5.7045810834349415E-3</v>
      </c>
      <c r="D436" s="1027">
        <f>D435/D434</f>
        <v>3.5991067910153683E-2</v>
      </c>
      <c r="E436" s="1027">
        <f>E435/E434</f>
        <v>0</v>
      </c>
      <c r="F436" s="1027">
        <f>F435/F434</f>
        <v>0</v>
      </c>
      <c r="G436" s="1028">
        <f>AVERAGE(C436:F436)</f>
        <v>7.5716217066796859E-3</v>
      </c>
    </row>
    <row r="439" spans="2:7" ht="12.75" customHeight="1">
      <c r="B439" s="11" t="s">
        <v>505</v>
      </c>
    </row>
    <row r="440" spans="2:7" ht="12.75" customHeight="1">
      <c r="B440" t="s">
        <v>738</v>
      </c>
    </row>
    <row r="441" spans="2:7" ht="12.75" customHeight="1">
      <c r="B441" t="s">
        <v>739</v>
      </c>
    </row>
    <row r="443" spans="2:7" ht="12.75" customHeight="1">
      <c r="B443" t="s">
        <v>740</v>
      </c>
    </row>
    <row r="444" spans="2:7" ht="12.75" customHeight="1">
      <c r="B444" t="s">
        <v>741</v>
      </c>
    </row>
    <row r="446" spans="2:7" ht="12.75" customHeight="1">
      <c r="B446" s="1506" t="s">
        <v>601</v>
      </c>
      <c r="C446" s="1026">
        <v>-5.0000000000000001E-3</v>
      </c>
    </row>
    <row r="451" spans="2:11" ht="12.75" customHeight="1" thickBot="1"/>
    <row r="452" spans="2:11" ht="12.75" customHeight="1" thickBot="1">
      <c r="B452" s="1893" t="s">
        <v>675</v>
      </c>
      <c r="C452" s="1894"/>
      <c r="D452" s="1894"/>
      <c r="E452" s="1894"/>
      <c r="F452" s="1894"/>
      <c r="G452" s="1894"/>
      <c r="H452" s="1894"/>
      <c r="I452" s="1894"/>
      <c r="J452" s="1894"/>
      <c r="K452" s="1895"/>
    </row>
    <row r="453" spans="2:11" ht="12.75" customHeight="1" thickBot="1">
      <c r="B453" s="1025">
        <v>-4.4999999999999998E-2</v>
      </c>
      <c r="C453" s="1556" t="s">
        <v>671</v>
      </c>
      <c r="D453" s="1888" t="s">
        <v>742</v>
      </c>
      <c r="E453" s="1889"/>
      <c r="F453" s="1889"/>
      <c r="G453" s="1889"/>
      <c r="H453" s="1889"/>
      <c r="I453" s="1889"/>
      <c r="J453" s="1889"/>
      <c r="K453" s="1890"/>
    </row>
    <row r="454" spans="2:11" ht="12.75" customHeight="1" thickBot="1">
      <c r="B454" s="888">
        <v>-0.02</v>
      </c>
      <c r="C454" s="1557" t="s">
        <v>672</v>
      </c>
      <c r="D454" s="1888" t="s">
        <v>743</v>
      </c>
      <c r="E454" s="1889"/>
      <c r="F454" s="1889"/>
      <c r="G454" s="1889"/>
      <c r="H454" s="1889"/>
      <c r="I454" s="1889"/>
      <c r="J454" s="1889"/>
      <c r="K454" s="1890"/>
    </row>
    <row r="455" spans="2:11" ht="12.75" customHeight="1" thickBot="1">
      <c r="B455" s="1025">
        <v>-0.03</v>
      </c>
      <c r="C455" s="1558" t="s">
        <v>674</v>
      </c>
      <c r="D455" s="1888" t="s">
        <v>744</v>
      </c>
      <c r="E455" s="1889"/>
      <c r="F455" s="1889"/>
      <c r="G455" s="1889"/>
      <c r="H455" s="1889"/>
      <c r="I455" s="1889"/>
      <c r="J455" s="1889"/>
      <c r="K455" s="1890"/>
    </row>
    <row r="459" spans="2:11" s="1006" customFormat="1" ht="12.75" customHeight="1">
      <c r="B459" s="1007" t="s">
        <v>745</v>
      </c>
    </row>
    <row r="463" spans="2:11" ht="12.75" customHeight="1">
      <c r="B463" s="8"/>
      <c r="C463" s="1885" t="s">
        <v>746</v>
      </c>
      <c r="D463" s="1886"/>
      <c r="E463" s="1886"/>
      <c r="F463" s="1887"/>
      <c r="G463" s="1113" t="s">
        <v>747</v>
      </c>
    </row>
    <row r="464" spans="2:11" ht="12.75" customHeight="1">
      <c r="C464" s="1060">
        <v>2020</v>
      </c>
      <c r="D464" s="1057">
        <v>2021</v>
      </c>
      <c r="E464" s="1057">
        <v>2022</v>
      </c>
      <c r="F464" s="1057">
        <v>2023</v>
      </c>
      <c r="G464" s="1065" t="s">
        <v>447</v>
      </c>
    </row>
    <row r="465" spans="2:7" ht="12.75" customHeight="1">
      <c r="B465" s="1046" t="s">
        <v>510</v>
      </c>
      <c r="C465" s="1059">
        <v>9763</v>
      </c>
      <c r="D465" s="1059">
        <v>14521</v>
      </c>
      <c r="E465" s="1059">
        <v>22839</v>
      </c>
      <c r="F465" s="1059">
        <v>22964</v>
      </c>
      <c r="G465" s="1066"/>
    </row>
    <row r="466" spans="2:7" ht="12.75" customHeight="1">
      <c r="B466" s="1078" t="s">
        <v>748</v>
      </c>
      <c r="C466" s="1051">
        <f>C465-6731</f>
        <v>3032</v>
      </c>
      <c r="D466" s="1051">
        <f t="shared" ref="D466:F466" si="411">D465-6731</f>
        <v>7790</v>
      </c>
      <c r="E466" s="1051">
        <f t="shared" si="411"/>
        <v>16108</v>
      </c>
      <c r="F466" s="1051">
        <f t="shared" si="411"/>
        <v>16233</v>
      </c>
      <c r="G466" s="1079"/>
    </row>
    <row r="467" spans="2:7" ht="12.75" customHeight="1">
      <c r="B467" s="900" t="s">
        <v>749</v>
      </c>
      <c r="C467" s="348"/>
      <c r="D467" s="1058">
        <f>D465/C465-1</f>
        <v>0.48735019973368843</v>
      </c>
      <c r="E467" s="1058">
        <f t="shared" ref="E467:F467" si="412">E465/D465-1</f>
        <v>0.57282556297775633</v>
      </c>
      <c r="F467" s="1058">
        <f t="shared" si="412"/>
        <v>5.4730942685756734E-3</v>
      </c>
      <c r="G467" s="1067"/>
    </row>
    <row r="468" spans="2:7" ht="12.75" customHeight="1">
      <c r="B468" s="1047" t="s">
        <v>750</v>
      </c>
      <c r="C468" s="348"/>
      <c r="D468" s="348"/>
      <c r="E468" s="348"/>
      <c r="F468" s="348"/>
      <c r="G468" s="886"/>
    </row>
    <row r="469" spans="2:7" ht="12.75" customHeight="1">
      <c r="B469" s="1048" t="s">
        <v>751</v>
      </c>
      <c r="C469" s="1052">
        <v>-219</v>
      </c>
      <c r="D469" s="1052">
        <v>-640</v>
      </c>
      <c r="E469" s="1053">
        <v>-1091</v>
      </c>
      <c r="F469" s="1053">
        <v>-1250</v>
      </c>
      <c r="G469" s="1068"/>
    </row>
    <row r="470" spans="2:7" ht="12.75" customHeight="1">
      <c r="B470" s="1049" t="s">
        <v>752</v>
      </c>
      <c r="C470" s="1064">
        <f>C469/C465</f>
        <v>-2.2431629622042405E-2</v>
      </c>
      <c r="D470" s="1064">
        <f t="shared" ref="D470:F470" si="413">D469/D465</f>
        <v>-4.4074099579918737E-2</v>
      </c>
      <c r="E470" s="1064">
        <f t="shared" si="413"/>
        <v>-4.7769166776128552E-2</v>
      </c>
      <c r="F470" s="1064">
        <f t="shared" si="413"/>
        <v>-5.4433025605295247E-2</v>
      </c>
      <c r="G470" s="1070">
        <f>AVERAGE(C470:F470)</f>
        <v>-4.2176980395846234E-2</v>
      </c>
    </row>
    <row r="471" spans="2:7" ht="12.75" customHeight="1">
      <c r="B471" s="1048" t="s">
        <v>753</v>
      </c>
      <c r="C471" s="1053">
        <v>-417</v>
      </c>
      <c r="D471" s="1053">
        <v>-580</v>
      </c>
      <c r="E471" s="1053">
        <v>-1401</v>
      </c>
      <c r="F471" s="1053">
        <v>-556</v>
      </c>
      <c r="G471" s="1068"/>
    </row>
    <row r="472" spans="2:7" ht="12.75" customHeight="1">
      <c r="B472" s="1049" t="s">
        <v>752</v>
      </c>
      <c r="C472" s="1064">
        <f>C471/C465</f>
        <v>-4.2712281061149236E-2</v>
      </c>
      <c r="D472" s="1064">
        <f t="shared" ref="D472:F472" si="414">D471/D465</f>
        <v>-3.9942152744301358E-2</v>
      </c>
      <c r="E472" s="1064">
        <f t="shared" si="414"/>
        <v>-6.1342440562196246E-2</v>
      </c>
      <c r="F472" s="1064">
        <f t="shared" si="414"/>
        <v>-2.4211809789235324E-2</v>
      </c>
      <c r="G472" s="1070">
        <f t="shared" ref="G472:G480" si="415">AVERAGE(C472:F472)</f>
        <v>-4.2052171039220543E-2</v>
      </c>
    </row>
    <row r="473" spans="2:7" ht="12.75" customHeight="1">
      <c r="B473" s="1048" t="s">
        <v>754</v>
      </c>
      <c r="C473" s="1053">
        <v>10</v>
      </c>
      <c r="D473" s="1053">
        <v>8</v>
      </c>
      <c r="E473" s="1053">
        <v>-13</v>
      </c>
      <c r="F473" s="1054">
        <v>-7</v>
      </c>
      <c r="G473" s="1068"/>
    </row>
    <row r="474" spans="2:7" ht="12.75" customHeight="1">
      <c r="B474" s="1049" t="s">
        <v>752</v>
      </c>
      <c r="C474" s="1064">
        <f>C473/C465</f>
        <v>1.0242753252074157E-3</v>
      </c>
      <c r="D474" s="1064">
        <f t="shared" ref="D474:F474" si="416">D473/D465</f>
        <v>5.5092624474898419E-4</v>
      </c>
      <c r="E474" s="1064">
        <f t="shared" si="416"/>
        <v>-5.6920180393187092E-4</v>
      </c>
      <c r="F474" s="1064">
        <f t="shared" si="416"/>
        <v>-3.0482494338965338E-4</v>
      </c>
      <c r="G474" s="1071">
        <f t="shared" si="415"/>
        <v>1.7529370565871891E-4</v>
      </c>
    </row>
    <row r="475" spans="2:7" ht="12.75" customHeight="1">
      <c r="B475" s="1048" t="s">
        <v>755</v>
      </c>
      <c r="C475" s="1053">
        <v>-231</v>
      </c>
      <c r="D475" s="1053">
        <v>-920</v>
      </c>
      <c r="E475" s="1053">
        <v>-1197</v>
      </c>
      <c r="F475" s="1053">
        <v>-472</v>
      </c>
      <c r="G475" s="1072"/>
    </row>
    <row r="476" spans="2:7" ht="12.75" customHeight="1">
      <c r="B476" s="900" t="s">
        <v>752</v>
      </c>
      <c r="C476" s="1058">
        <f>C475/C465</f>
        <v>-2.3660760012291303E-2</v>
      </c>
      <c r="D476" s="1058">
        <f t="shared" ref="D476:F476" si="417">D475/D465</f>
        <v>-6.3356518146133189E-2</v>
      </c>
      <c r="E476" s="1058">
        <f t="shared" si="417"/>
        <v>-5.2410350715880731E-2</v>
      </c>
      <c r="F476" s="1058">
        <f t="shared" si="417"/>
        <v>-2.0553910468559485E-2</v>
      </c>
      <c r="G476" s="1073">
        <f t="shared" si="415"/>
        <v>-3.9995384835716179E-2</v>
      </c>
    </row>
    <row r="477" spans="2:7" ht="12.75" customHeight="1">
      <c r="B477" s="1048" t="s">
        <v>756</v>
      </c>
      <c r="C477" s="1053">
        <v>-513</v>
      </c>
      <c r="D477" s="1053">
        <v>801</v>
      </c>
      <c r="E477" s="1053">
        <v>931</v>
      </c>
      <c r="F477" s="1053">
        <v>-419</v>
      </c>
      <c r="G477" s="1072"/>
    </row>
    <row r="478" spans="2:7" ht="12.75" customHeight="1">
      <c r="B478" s="900" t="s">
        <v>752</v>
      </c>
      <c r="C478" s="1058">
        <f>C477/C465</f>
        <v>-5.2545324183140431E-2</v>
      </c>
      <c r="D478" s="1058">
        <f t="shared" ref="D478:F478" si="418">D477/D465</f>
        <v>5.5161490255492045E-2</v>
      </c>
      <c r="E478" s="1058">
        <f t="shared" si="418"/>
        <v>4.0763606112351677E-2</v>
      </c>
      <c r="F478" s="1058">
        <f t="shared" si="418"/>
        <v>-1.8245950182894967E-2</v>
      </c>
      <c r="G478" s="1073">
        <f t="shared" si="415"/>
        <v>6.2834555004520811E-3</v>
      </c>
    </row>
    <row r="479" spans="2:7" ht="12.75" customHeight="1">
      <c r="B479" s="1048" t="s">
        <v>757</v>
      </c>
      <c r="C479" s="1053">
        <v>574</v>
      </c>
      <c r="D479" s="1053">
        <v>526</v>
      </c>
      <c r="E479" s="1053">
        <v>546</v>
      </c>
      <c r="F479" s="1053">
        <v>-221</v>
      </c>
      <c r="G479" s="1072"/>
    </row>
    <row r="480" spans="2:7" ht="12.75" customHeight="1">
      <c r="B480" s="900" t="s">
        <v>752</v>
      </c>
      <c r="C480" s="1058">
        <f>C479/C465</f>
        <v>5.8793403666905664E-2</v>
      </c>
      <c r="D480" s="1058">
        <f t="shared" ref="D480:F480" si="419">D479/D465</f>
        <v>3.6223400592245714E-2</v>
      </c>
      <c r="E480" s="1058">
        <f t="shared" si="419"/>
        <v>2.3906475765138577E-2</v>
      </c>
      <c r="F480" s="1058">
        <f t="shared" si="419"/>
        <v>-9.6237589270161995E-3</v>
      </c>
      <c r="G480" s="1073">
        <f t="shared" si="415"/>
        <v>2.7324880274318439E-2</v>
      </c>
    </row>
    <row r="481" spans="2:33" ht="12.75" customHeight="1" thickBot="1">
      <c r="B481" s="1050" t="s">
        <v>758</v>
      </c>
      <c r="C481" s="1056">
        <f t="shared" ref="C481" si="420">C469+C471+C473+C475+C477+C479</f>
        <v>-796</v>
      </c>
      <c r="D481" s="1056">
        <f>D469+D471+D473+D475+D477+D479</f>
        <v>-805</v>
      </c>
      <c r="E481" s="1055">
        <f t="shared" ref="E481:F481" si="421">E469+E471+E473+E475+E477+E479</f>
        <v>-2225</v>
      </c>
      <c r="F481" s="1055">
        <f t="shared" si="421"/>
        <v>-2925</v>
      </c>
      <c r="G481" s="1069"/>
    </row>
    <row r="482" spans="2:33" s="91" customFormat="1" ht="12.75" customHeight="1">
      <c r="B482" s="1368" t="s">
        <v>759</v>
      </c>
      <c r="C482" s="1369">
        <f>C481/C466</f>
        <v>-0.26253298153034299</v>
      </c>
      <c r="D482" s="1369">
        <f t="shared" ref="D482:F482" si="422">D481/D466</f>
        <v>-0.10333761232349166</v>
      </c>
      <c r="E482" s="1369">
        <f t="shared" si="422"/>
        <v>-0.13813012167866898</v>
      </c>
      <c r="F482" s="1369">
        <f t="shared" si="422"/>
        <v>-0.18018850489743116</v>
      </c>
      <c r="G482" s="1370">
        <f>AVERAGE(C482:F482)</f>
        <v>-0.17104730510748367</v>
      </c>
      <c r="H482"/>
      <c r="I482"/>
      <c r="J482"/>
      <c r="K482"/>
      <c r="L482"/>
      <c r="M482"/>
      <c r="N482"/>
      <c r="O482"/>
      <c r="P482"/>
      <c r="Q482"/>
      <c r="R482"/>
      <c r="S482"/>
      <c r="T482"/>
      <c r="U482"/>
      <c r="V482"/>
      <c r="W482"/>
      <c r="X482"/>
      <c r="Y482"/>
      <c r="Z482"/>
      <c r="AA482"/>
      <c r="AB482"/>
      <c r="AC482"/>
      <c r="AD482"/>
      <c r="AE482"/>
      <c r="AF482"/>
      <c r="AG482"/>
    </row>
    <row r="483" spans="2:33" s="91" customFormat="1" ht="12.75" customHeight="1" thickBot="1">
      <c r="B483" s="1371" t="s">
        <v>752</v>
      </c>
      <c r="C483" s="1372">
        <f>C481/C465</f>
        <v>-8.153231588651029E-2</v>
      </c>
      <c r="D483" s="1372">
        <f t="shared" ref="D483:F483" si="423">D481/D465</f>
        <v>-5.5436953377866541E-2</v>
      </c>
      <c r="E483" s="1372">
        <f t="shared" si="423"/>
        <v>-9.7421077980647142E-2</v>
      </c>
      <c r="F483" s="1372">
        <f t="shared" si="423"/>
        <v>-0.12737327991639089</v>
      </c>
      <c r="G483" s="1373">
        <f>AVERAGE(C483:F483)</f>
        <v>-9.0440906790353714E-2</v>
      </c>
      <c r="H483"/>
      <c r="I483"/>
      <c r="J483"/>
      <c r="K483"/>
      <c r="L483"/>
      <c r="M483"/>
      <c r="N483"/>
      <c r="O483"/>
      <c r="P483"/>
      <c r="Q483"/>
      <c r="R483"/>
      <c r="S483"/>
      <c r="T483"/>
      <c r="U483"/>
      <c r="V483"/>
      <c r="W483"/>
      <c r="X483"/>
      <c r="Y483"/>
      <c r="Z483"/>
      <c r="AA483"/>
      <c r="AB483"/>
      <c r="AC483"/>
      <c r="AD483"/>
      <c r="AE483"/>
      <c r="AF483"/>
      <c r="AG483"/>
    </row>
    <row r="485" spans="2:33" ht="12.75" customHeight="1">
      <c r="E485" s="917"/>
    </row>
    <row r="486" spans="2:33" ht="12.75" customHeight="1">
      <c r="C486" s="1063">
        <v>2020</v>
      </c>
      <c r="D486" s="1062">
        <v>2021</v>
      </c>
      <c r="E486" s="1062">
        <v>2022</v>
      </c>
      <c r="F486" s="1061">
        <v>2023</v>
      </c>
      <c r="G486" s="1061" t="s">
        <v>747</v>
      </c>
    </row>
    <row r="487" spans="2:33" ht="12.75" customHeight="1">
      <c r="B487" s="912" t="s">
        <v>641</v>
      </c>
      <c r="C487" s="1082">
        <v>9763</v>
      </c>
      <c r="D487" s="1083">
        <v>14521</v>
      </c>
      <c r="E487" s="1083">
        <v>22839</v>
      </c>
      <c r="F487" s="1084">
        <v>22964</v>
      </c>
      <c r="G487" s="1084"/>
    </row>
    <row r="488" spans="2:33" ht="12.75" customHeight="1">
      <c r="B488" s="963" t="s">
        <v>289</v>
      </c>
      <c r="C488" s="858">
        <v>5416</v>
      </c>
      <c r="D488" s="348">
        <v>12998</v>
      </c>
      <c r="E488" s="348">
        <v>8505</v>
      </c>
      <c r="F488" s="980">
        <v>12220</v>
      </c>
      <c r="G488" s="980"/>
    </row>
    <row r="489" spans="2:33" ht="12.75" customHeight="1">
      <c r="B489" s="963" t="s">
        <v>753</v>
      </c>
      <c r="C489" s="858">
        <v>1399</v>
      </c>
      <c r="D489" s="348">
        <v>1955</v>
      </c>
      <c r="E489" s="348">
        <v>3771</v>
      </c>
      <c r="F489" s="980">
        <v>4351</v>
      </c>
      <c r="G489" s="980"/>
    </row>
    <row r="490" spans="2:33" ht="12.75" customHeight="1">
      <c r="B490" s="1081" t="s">
        <v>760</v>
      </c>
      <c r="C490" s="1085">
        <f>C489/C488*365</f>
        <v>94.282680945347124</v>
      </c>
      <c r="D490" s="1086">
        <f t="shared" ref="D490:F490" si="424">D489/D488*365</f>
        <v>54.898830589321435</v>
      </c>
      <c r="E490" s="1086">
        <f t="shared" si="424"/>
        <v>161.83597883597884</v>
      </c>
      <c r="F490" s="1087">
        <f t="shared" si="424"/>
        <v>129.9603109656301</v>
      </c>
      <c r="G490" s="1087">
        <f>AVERAGE(C490:F490)</f>
        <v>110.24445033406937</v>
      </c>
    </row>
    <row r="491" spans="2:33" ht="12.75" customHeight="1">
      <c r="B491" s="963" t="s">
        <v>751</v>
      </c>
      <c r="C491" s="858">
        <v>2066</v>
      </c>
      <c r="D491" s="348">
        <v>4128</v>
      </c>
      <c r="E491" s="348">
        <v>2706</v>
      </c>
      <c r="F491" s="980">
        <v>5376</v>
      </c>
      <c r="G491" s="980"/>
    </row>
    <row r="492" spans="2:33" ht="12.75" customHeight="1">
      <c r="B492" s="1081" t="s">
        <v>761</v>
      </c>
      <c r="C492" s="1085">
        <f>C491/C487*365</f>
        <v>77.239577998566006</v>
      </c>
      <c r="D492" s="1086">
        <f t="shared" ref="D492:F492" si="425">D491/D487*365</f>
        <v>103.7614489360237</v>
      </c>
      <c r="E492" s="1086">
        <f t="shared" si="425"/>
        <v>43.245763825036121</v>
      </c>
      <c r="F492" s="1087">
        <f t="shared" si="425"/>
        <v>85.44852813098764</v>
      </c>
      <c r="G492" s="1087">
        <f>AVERAGE(C492:F492)</f>
        <v>77.423829722653366</v>
      </c>
    </row>
    <row r="493" spans="2:33" ht="12.75" customHeight="1">
      <c r="B493" s="963" t="s">
        <v>756</v>
      </c>
      <c r="C493" s="858">
        <v>546</v>
      </c>
      <c r="D493" s="348">
        <v>1406</v>
      </c>
      <c r="E493" s="348">
        <v>2956</v>
      </c>
      <c r="F493" s="980">
        <v>2418</v>
      </c>
      <c r="G493" s="980"/>
    </row>
    <row r="494" spans="2:33" ht="12.75" customHeight="1" thickBot="1">
      <c r="B494" s="1081" t="s">
        <v>762</v>
      </c>
      <c r="C494" s="1085">
        <f>C493/C488*365</f>
        <v>36.796528803545051</v>
      </c>
      <c r="D494" s="1086">
        <f t="shared" ref="D494:F494" si="426">D493/D488*365</f>
        <v>39.482228035082322</v>
      </c>
      <c r="E494" s="1086">
        <f t="shared" si="426"/>
        <v>126.85949441504998</v>
      </c>
      <c r="F494" s="1087">
        <f t="shared" si="426"/>
        <v>72.223404255319153</v>
      </c>
      <c r="G494" s="1087">
        <f>AVERAGE(C494:F494)</f>
        <v>68.840413877249134</v>
      </c>
    </row>
    <row r="495" spans="2:33" ht="12.75" customHeight="1" thickBot="1">
      <c r="B495" s="1559" t="s">
        <v>763</v>
      </c>
      <c r="C495" s="1364">
        <f>C490+C492-C494</f>
        <v>134.72573014036809</v>
      </c>
      <c r="D495" s="1365">
        <f t="shared" ref="D495:F495" si="427">D490+D492-D494</f>
        <v>119.17805149026279</v>
      </c>
      <c r="E495" s="1365">
        <f t="shared" si="427"/>
        <v>78.222248245964991</v>
      </c>
      <c r="F495" s="1366">
        <f t="shared" si="427"/>
        <v>143.18543484129856</v>
      </c>
      <c r="G495" s="1367">
        <f>AVERAGE(C495:F495)</f>
        <v>118.8278661794736</v>
      </c>
    </row>
    <row r="496" spans="2:33" ht="12.75" customHeight="1">
      <c r="D496" s="923"/>
      <c r="E496" s="923"/>
      <c r="F496" s="923"/>
    </row>
    <row r="499" spans="2:7" ht="12.75" customHeight="1" thickBot="1">
      <c r="G499" s="154"/>
    </row>
    <row r="500" spans="2:7" ht="12.75" customHeight="1" thickBot="1">
      <c r="B500" s="1560" t="s">
        <v>671</v>
      </c>
      <c r="C500" s="1561" t="s">
        <v>217</v>
      </c>
      <c r="D500" s="1562" t="s">
        <v>554</v>
      </c>
      <c r="E500" s="1563" t="s">
        <v>623</v>
      </c>
    </row>
    <row r="501" spans="2:7" ht="12.75" customHeight="1" thickBot="1">
      <c r="B501" s="1564" t="s">
        <v>764</v>
      </c>
      <c r="C501" s="1077">
        <v>-0.1</v>
      </c>
      <c r="D501" s="1077">
        <v>-0.08</v>
      </c>
      <c r="E501" s="1077">
        <v>-0.05</v>
      </c>
    </row>
    <row r="503" spans="2:7" ht="12.75" customHeight="1" thickBot="1"/>
    <row r="504" spans="2:7" ht="12.75" customHeight="1" thickBot="1">
      <c r="B504" s="1565" t="s">
        <v>672</v>
      </c>
      <c r="C504" s="1561" t="s">
        <v>217</v>
      </c>
      <c r="D504" s="1562" t="s">
        <v>554</v>
      </c>
      <c r="E504" s="1563" t="s">
        <v>623</v>
      </c>
    </row>
    <row r="505" spans="2:7" ht="12.75" customHeight="1" thickBot="1">
      <c r="B505" s="1564" t="s">
        <v>764</v>
      </c>
      <c r="C505" s="1077">
        <v>-0.1</v>
      </c>
      <c r="D505" s="1077">
        <v>-0.08</v>
      </c>
      <c r="E505" s="1077">
        <v>-0.06</v>
      </c>
    </row>
    <row r="507" spans="2:7" ht="12.75" customHeight="1" thickBot="1"/>
    <row r="508" spans="2:7" ht="12.75" customHeight="1" thickBot="1">
      <c r="B508" s="1363" t="s">
        <v>674</v>
      </c>
      <c r="C508" s="1561" t="s">
        <v>217</v>
      </c>
      <c r="D508" s="1562" t="s">
        <v>554</v>
      </c>
      <c r="E508" s="1563" t="s">
        <v>623</v>
      </c>
    </row>
    <row r="509" spans="2:7" ht="12.75" customHeight="1" thickBot="1">
      <c r="B509" s="1564" t="s">
        <v>764</v>
      </c>
      <c r="C509" s="1077">
        <v>-0.1</v>
      </c>
      <c r="D509" s="1077">
        <v>-7.0000000000000007E-2</v>
      </c>
      <c r="E509" s="1077">
        <v>-0.06</v>
      </c>
    </row>
    <row r="514" spans="2:8" s="1006" customFormat="1" ht="12.75" customHeight="1">
      <c r="B514" s="1007" t="s">
        <v>765</v>
      </c>
    </row>
    <row r="517" spans="2:8" ht="12.75" customHeight="1">
      <c r="C517" s="1063">
        <v>2020</v>
      </c>
      <c r="D517" s="1062">
        <v>2021</v>
      </c>
      <c r="E517" s="1062">
        <v>2022</v>
      </c>
      <c r="F517" s="1062">
        <v>2023</v>
      </c>
      <c r="G517" s="1065" t="s">
        <v>747</v>
      </c>
    </row>
    <row r="518" spans="2:8" ht="12.75" customHeight="1">
      <c r="B518" s="935" t="s">
        <v>641</v>
      </c>
      <c r="C518" s="876">
        <v>9763</v>
      </c>
      <c r="D518" s="876">
        <v>14521</v>
      </c>
      <c r="E518" s="876">
        <v>22839</v>
      </c>
      <c r="F518" s="876">
        <v>22964</v>
      </c>
      <c r="G518" s="935"/>
    </row>
    <row r="519" spans="2:8" ht="12.75" customHeight="1" thickBot="1">
      <c r="B519" s="900" t="s">
        <v>766</v>
      </c>
      <c r="C519">
        <v>232</v>
      </c>
      <c r="D519">
        <v>379</v>
      </c>
      <c r="E519">
        <v>1081</v>
      </c>
      <c r="F519">
        <v>1384</v>
      </c>
      <c r="G519" s="900"/>
    </row>
    <row r="520" spans="2:8" ht="12.75" customHeight="1" thickBot="1">
      <c r="B520" s="1359" t="s">
        <v>767</v>
      </c>
      <c r="C520" s="1360">
        <f>C519/C518</f>
        <v>2.3763187544812044E-2</v>
      </c>
      <c r="D520" s="1360">
        <f t="shared" ref="D520:F520" si="428">D519/D518</f>
        <v>2.6100130844983128E-2</v>
      </c>
      <c r="E520" s="1360">
        <f t="shared" si="428"/>
        <v>4.7331319234642497E-2</v>
      </c>
      <c r="F520" s="1360">
        <f t="shared" si="428"/>
        <v>6.0268245950182896E-2</v>
      </c>
      <c r="G520" s="1361">
        <f>AVERAGE(C520:F520)</f>
        <v>3.9365720893655143E-2</v>
      </c>
    </row>
    <row r="524" spans="2:8" ht="12.75" customHeight="1">
      <c r="B524" s="1567"/>
      <c r="C524" s="1063" t="s">
        <v>217</v>
      </c>
      <c r="D524" s="1090" t="s">
        <v>554</v>
      </c>
      <c r="E524" s="1504" t="s">
        <v>598</v>
      </c>
    </row>
    <row r="525" spans="2:8" ht="12.75" customHeight="1">
      <c r="B525" s="1505" t="s">
        <v>599</v>
      </c>
      <c r="C525" s="1009">
        <v>-0.05</v>
      </c>
      <c r="D525" s="1077">
        <v>-0.06</v>
      </c>
      <c r="E525" s="1077">
        <v>-0.04</v>
      </c>
      <c r="H525" s="154"/>
    </row>
    <row r="530" spans="2:6" s="1006" customFormat="1" ht="12.75" customHeight="1">
      <c r="B530" s="1007" t="s">
        <v>768</v>
      </c>
    </row>
    <row r="533" spans="2:6" ht="12.75" customHeight="1">
      <c r="C533" s="1088">
        <v>2021</v>
      </c>
      <c r="D533" s="1089">
        <v>2022</v>
      </c>
      <c r="E533" s="1089">
        <v>2023</v>
      </c>
      <c r="F533" s="1090" t="s">
        <v>747</v>
      </c>
    </row>
    <row r="534" spans="2:6" ht="12.75" customHeight="1">
      <c r="B534" s="935" t="s">
        <v>641</v>
      </c>
      <c r="C534">
        <v>14521</v>
      </c>
      <c r="D534">
        <v>22839</v>
      </c>
      <c r="E534">
        <v>22964</v>
      </c>
      <c r="F534" s="900"/>
    </row>
    <row r="535" spans="2:6" ht="12.75" customHeight="1" thickBot="1">
      <c r="B535" s="900" t="s">
        <v>769</v>
      </c>
      <c r="C535">
        <v>-1762</v>
      </c>
      <c r="D535">
        <v>-3702</v>
      </c>
      <c r="E535">
        <v>-985</v>
      </c>
      <c r="F535" s="900"/>
    </row>
    <row r="536" spans="2:6" ht="12.75" customHeight="1" thickBot="1">
      <c r="B536" s="1359" t="s">
        <v>767</v>
      </c>
      <c r="C536" s="1360">
        <f t="shared" ref="C536" si="429">C535/C534</f>
        <v>-0.12134150540596378</v>
      </c>
      <c r="D536" s="1360">
        <f t="shared" ref="D536" si="430">D535/D534</f>
        <v>-0.16209115985813741</v>
      </c>
      <c r="E536" s="1360">
        <f t="shared" ref="E536" si="431">E535/E534</f>
        <v>-4.2893224176972652E-2</v>
      </c>
      <c r="F536" s="1361">
        <f>AVERAGE(C536:E536)</f>
        <v>-0.10877529648035794</v>
      </c>
    </row>
    <row r="540" spans="2:6" ht="12.75" customHeight="1">
      <c r="B540" t="s">
        <v>770</v>
      </c>
    </row>
    <row r="541" spans="2:6" ht="12.75" customHeight="1">
      <c r="B541" t="s">
        <v>771</v>
      </c>
    </row>
    <row r="544" spans="2:6" ht="12.75" customHeight="1">
      <c r="B544" s="8" t="s">
        <v>772</v>
      </c>
    </row>
    <row r="547" spans="2:6" s="1006" customFormat="1" ht="12.75" customHeight="1">
      <c r="B547" s="1007" t="s">
        <v>773</v>
      </c>
    </row>
    <row r="549" spans="2:6" ht="12.75" customHeight="1">
      <c r="C549" s="1088">
        <v>2021</v>
      </c>
      <c r="D549" s="1089">
        <v>2022</v>
      </c>
      <c r="E549" s="1088">
        <v>2023</v>
      </c>
      <c r="F549" s="1090" t="s">
        <v>747</v>
      </c>
    </row>
    <row r="550" spans="2:6" ht="12.75" customHeight="1">
      <c r="B550" s="935" t="s">
        <v>641</v>
      </c>
      <c r="C550">
        <v>14521</v>
      </c>
      <c r="D550">
        <v>22839</v>
      </c>
      <c r="E550">
        <v>22964</v>
      </c>
      <c r="F550" s="900"/>
    </row>
    <row r="551" spans="2:6" ht="12.75" customHeight="1" thickBot="1">
      <c r="B551" s="900" t="s">
        <v>774</v>
      </c>
      <c r="C551">
        <v>-71</v>
      </c>
      <c r="D551">
        <v>-108</v>
      </c>
      <c r="E551">
        <v>-147</v>
      </c>
      <c r="F551" s="900"/>
    </row>
    <row r="552" spans="2:6" ht="12.75" customHeight="1" thickBot="1">
      <c r="B552" s="1359" t="s">
        <v>767</v>
      </c>
      <c r="C552" s="1360">
        <f t="shared" ref="C552" si="432">C551/C550</f>
        <v>-4.8894704221472346E-3</v>
      </c>
      <c r="D552" s="1360">
        <f t="shared" ref="D552" si="433">D551/D550</f>
        <v>-4.7287534480493889E-3</v>
      </c>
      <c r="E552" s="1360">
        <f t="shared" ref="E552" si="434">E551/E550</f>
        <v>-6.4013238111827204E-3</v>
      </c>
      <c r="F552" s="1361">
        <f>AVERAGE(C552:E552)</f>
        <v>-5.3398492271264477E-3</v>
      </c>
    </row>
    <row r="555" spans="2:6" ht="12.75" customHeight="1">
      <c r="B555" s="1522" t="s">
        <v>775</v>
      </c>
      <c r="C555" s="1362">
        <v>-5.0000000000000001E-3</v>
      </c>
      <c r="E555" s="8"/>
    </row>
    <row r="561" spans="2:5" s="1006" customFormat="1" ht="12.75" customHeight="1">
      <c r="B561" s="1007" t="s">
        <v>108</v>
      </c>
    </row>
    <row r="563" spans="2:5" ht="12.75" customHeight="1">
      <c r="C563" s="348"/>
    </row>
    <row r="564" spans="2:5" ht="12.75" customHeight="1">
      <c r="B564" s="1144" t="s">
        <v>776</v>
      </c>
      <c r="C564" s="1157">
        <v>4.8000000000000001E-2</v>
      </c>
    </row>
    <row r="565" spans="2:5" ht="12.75" customHeight="1">
      <c r="B565" s="1145" t="s">
        <v>777</v>
      </c>
      <c r="C565" s="1150">
        <v>1.63</v>
      </c>
      <c r="E565" s="8" t="s">
        <v>778</v>
      </c>
    </row>
    <row r="566" spans="2:5" ht="12.75" customHeight="1">
      <c r="B566" s="1145" t="s">
        <v>779</v>
      </c>
      <c r="C566" s="1160">
        <v>4.1500000000000002E-2</v>
      </c>
    </row>
    <row r="567" spans="2:5" ht="12.75" customHeight="1">
      <c r="B567" s="65" t="s">
        <v>780</v>
      </c>
      <c r="C567" s="1158">
        <f>C564+C565*C566</f>
        <v>0.115645</v>
      </c>
    </row>
    <row r="568" spans="2:5" ht="12.75" customHeight="1">
      <c r="B568" s="1145" t="s">
        <v>781</v>
      </c>
      <c r="C568" s="1151">
        <v>0</v>
      </c>
    </row>
    <row r="569" spans="2:5" ht="12.75" customHeight="1">
      <c r="B569" s="65" t="s">
        <v>782</v>
      </c>
      <c r="C569" s="1305">
        <v>2.5000000000000001E-2</v>
      </c>
    </row>
    <row r="570" spans="2:5" ht="12.75" customHeight="1">
      <c r="B570" s="1146" t="s">
        <v>783</v>
      </c>
      <c r="C570" s="1427">
        <f>C567+C569</f>
        <v>0.14064499999999999</v>
      </c>
    </row>
    <row r="572" spans="2:5" ht="12.75" customHeight="1">
      <c r="B572" s="8"/>
      <c r="C572" s="1152"/>
    </row>
    <row r="573" spans="2:5" ht="12.75" customHeight="1">
      <c r="B573" s="1144" t="s">
        <v>784</v>
      </c>
      <c r="C573" s="1153">
        <v>25756</v>
      </c>
    </row>
    <row r="574" spans="2:5" ht="12.75" customHeight="1">
      <c r="B574" s="1145" t="s">
        <v>304</v>
      </c>
      <c r="C574" s="1154">
        <v>763000</v>
      </c>
    </row>
    <row r="575" spans="2:5" ht="12.75" customHeight="1">
      <c r="B575" s="65" t="s">
        <v>785</v>
      </c>
      <c r="C575" s="1304">
        <f>C573/C574</f>
        <v>3.37562254259502E-2</v>
      </c>
    </row>
    <row r="576" spans="2:5" ht="12.75" customHeight="1">
      <c r="B576" s="8"/>
      <c r="C576" s="1152"/>
    </row>
    <row r="577" spans="2:3" ht="12.75" customHeight="1">
      <c r="B577" s="8"/>
      <c r="C577" s="1152"/>
    </row>
    <row r="578" spans="2:3" ht="12.75" customHeight="1">
      <c r="B578" s="8"/>
      <c r="C578" s="1152"/>
    </row>
    <row r="579" spans="2:3" ht="12.75" customHeight="1">
      <c r="B579" s="8"/>
      <c r="C579" s="1152"/>
    </row>
    <row r="580" spans="2:3" ht="12.75" customHeight="1">
      <c r="B580" s="1147" t="s">
        <v>243</v>
      </c>
      <c r="C580" s="1155">
        <v>233000</v>
      </c>
    </row>
    <row r="581" spans="2:3" ht="12.75" customHeight="1">
      <c r="B581" s="1148" t="s">
        <v>304</v>
      </c>
      <c r="C581" s="1154">
        <v>2252</v>
      </c>
    </row>
    <row r="582" spans="2:3" ht="12.75" customHeight="1">
      <c r="B582" s="1148" t="s">
        <v>786</v>
      </c>
      <c r="C582" s="1161">
        <f>(C580)/(C581+C580)</f>
        <v>0.99042728648428069</v>
      </c>
    </row>
    <row r="583" spans="2:3" ht="12.75" customHeight="1">
      <c r="B583" s="1148" t="s">
        <v>787</v>
      </c>
      <c r="C583" s="1161">
        <f>1-C582</f>
        <v>9.5727135157193111E-3</v>
      </c>
    </row>
    <row r="584" spans="2:3" ht="12.75" customHeight="1">
      <c r="B584" s="1148" t="s">
        <v>710</v>
      </c>
      <c r="C584" s="1161">
        <v>3.2604818072770887E-2</v>
      </c>
    </row>
    <row r="585" spans="2:3" ht="12.75" customHeight="1">
      <c r="B585" s="1148" t="s">
        <v>788</v>
      </c>
      <c r="C585" s="1161">
        <f>C570</f>
        <v>0.14064499999999999</v>
      </c>
    </row>
    <row r="586" spans="2:3" ht="12.75" customHeight="1">
      <c r="B586" s="1148" t="s">
        <v>789</v>
      </c>
      <c r="C586" s="1156">
        <v>0</v>
      </c>
    </row>
    <row r="587" spans="2:3" ht="12.75" customHeight="1">
      <c r="B587" s="1149" t="s">
        <v>790</v>
      </c>
      <c r="C587" s="1159">
        <f>C585*C582+C583*C584</f>
        <v>0.13961076229022445</v>
      </c>
    </row>
    <row r="588" spans="2:3" ht="12.75" customHeight="1">
      <c r="C588" s="348"/>
    </row>
    <row r="589" spans="2:3" s="1006" customFormat="1" ht="12.75" customHeight="1">
      <c r="B589" s="1344" t="s">
        <v>791</v>
      </c>
    </row>
    <row r="591" spans="2:3" ht="12.75" customHeight="1">
      <c r="B591" s="8" t="s">
        <v>792</v>
      </c>
    </row>
    <row r="593" spans="2:7" ht="12.75" customHeight="1" thickBot="1"/>
    <row r="594" spans="2:7" ht="12.75" customHeight="1" thickBot="1">
      <c r="C594" s="1352">
        <v>2020</v>
      </c>
      <c r="D594" s="1353">
        <v>2021</v>
      </c>
      <c r="E594" s="1353">
        <v>2022</v>
      </c>
      <c r="F594" s="1353">
        <v>2023</v>
      </c>
      <c r="G594" s="1356" t="s">
        <v>747</v>
      </c>
    </row>
    <row r="595" spans="2:7" ht="12.75" customHeight="1">
      <c r="B595" s="1345" t="s">
        <v>641</v>
      </c>
      <c r="C595" s="1346">
        <v>9763</v>
      </c>
      <c r="D595" s="1346">
        <v>14521</v>
      </c>
      <c r="E595" s="1346">
        <v>22839</v>
      </c>
      <c r="F595" s="1346">
        <v>22964</v>
      </c>
      <c r="G595" s="1355"/>
    </row>
    <row r="596" spans="2:7" ht="12.75" customHeight="1">
      <c r="B596" s="1347" t="s">
        <v>58</v>
      </c>
      <c r="C596" s="1348">
        <v>1311</v>
      </c>
      <c r="D596" s="1348">
        <v>3637</v>
      </c>
      <c r="E596" s="1348">
        <v>1245</v>
      </c>
      <c r="F596" s="1348">
        <v>393</v>
      </c>
      <c r="G596" s="1355"/>
    </row>
    <row r="597" spans="2:7" ht="12.75" customHeight="1">
      <c r="B597" s="1347" t="s">
        <v>793</v>
      </c>
      <c r="C597" s="1348">
        <f>C595-C596</f>
        <v>8452</v>
      </c>
      <c r="D597" s="1348">
        <f t="shared" ref="D597:F597" si="435">D595-D596</f>
        <v>10884</v>
      </c>
      <c r="E597" s="1348">
        <f t="shared" si="435"/>
        <v>21594</v>
      </c>
      <c r="F597" s="1348">
        <f t="shared" si="435"/>
        <v>22571</v>
      </c>
      <c r="G597" s="1355"/>
    </row>
    <row r="598" spans="2:7" ht="12.75" customHeight="1">
      <c r="B598" s="1347" t="s">
        <v>794</v>
      </c>
      <c r="C598" s="1348">
        <v>1595</v>
      </c>
      <c r="D598" s="1348">
        <v>2535</v>
      </c>
      <c r="E598" s="1348">
        <v>4835</v>
      </c>
      <c r="F598" s="1348">
        <v>3933</v>
      </c>
      <c r="G598" s="1355"/>
    </row>
    <row r="599" spans="2:7" ht="12.75" customHeight="1">
      <c r="B599" s="1349" t="s">
        <v>767</v>
      </c>
      <c r="C599" s="336">
        <f>C598/C595</f>
        <v>0.16337191437058282</v>
      </c>
      <c r="D599" s="336">
        <f>D598/D595</f>
        <v>0.17457475380483437</v>
      </c>
      <c r="E599" s="336">
        <f>E598/E595</f>
        <v>0.21169928630850737</v>
      </c>
      <c r="F599" s="336">
        <f>F598/F595</f>
        <v>0.17126807176450096</v>
      </c>
      <c r="G599" s="1357">
        <f t="shared" ref="G599" si="436">AVERAGE(C599:F599)</f>
        <v>0.18022850656210637</v>
      </c>
    </row>
    <row r="600" spans="2:7" ht="12.75" customHeight="1" thickBot="1">
      <c r="B600" s="1350" t="s">
        <v>795</v>
      </c>
      <c r="C600" s="1351">
        <f>C598/C597</f>
        <v>0.18871273071462374</v>
      </c>
      <c r="D600" s="1351">
        <f t="shared" ref="D600:F600" si="437">D598/D597</f>
        <v>0.23291069459757441</v>
      </c>
      <c r="E600" s="1351">
        <f t="shared" si="437"/>
        <v>0.22390478836713901</v>
      </c>
      <c r="F600" s="1351">
        <f t="shared" si="437"/>
        <v>0.17425014399007577</v>
      </c>
      <c r="G600" s="1358">
        <f>AVERAGE(C600:F600)</f>
        <v>0.20494458941735325</v>
      </c>
    </row>
    <row r="604" spans="2:7" s="1006" customFormat="1" ht="12.75" customHeight="1">
      <c r="B604" s="1385" t="s">
        <v>796</v>
      </c>
    </row>
    <row r="606" spans="2:7" ht="12.75" customHeight="1">
      <c r="B606" s="8"/>
    </row>
  </sheetData>
  <mergeCells count="33">
    <mergeCell ref="P282:Q282"/>
    <mergeCell ref="P283:Q283"/>
    <mergeCell ref="B198:B204"/>
    <mergeCell ref="B267:B273"/>
    <mergeCell ref="C463:F463"/>
    <mergeCell ref="D454:K454"/>
    <mergeCell ref="D455:K455"/>
    <mergeCell ref="B401:C401"/>
    <mergeCell ref="B452:K452"/>
    <mergeCell ref="C215:E215"/>
    <mergeCell ref="F215:G215"/>
    <mergeCell ref="D453:K453"/>
    <mergeCell ref="K312:K313"/>
    <mergeCell ref="C214:G214"/>
    <mergeCell ref="K315:K316"/>
    <mergeCell ref="I335:J335"/>
    <mergeCell ref="B127:B133"/>
    <mergeCell ref="E168:E170"/>
    <mergeCell ref="L143:L144"/>
    <mergeCell ref="B107:B110"/>
    <mergeCell ref="M312:M313"/>
    <mergeCell ref="E235:E238"/>
    <mergeCell ref="B179:B182"/>
    <mergeCell ref="B80:G80"/>
    <mergeCell ref="B81:D81"/>
    <mergeCell ref="E81:G81"/>
    <mergeCell ref="E98:E100"/>
    <mergeCell ref="E101:E104"/>
    <mergeCell ref="N143:N144"/>
    <mergeCell ref="E171:E174"/>
    <mergeCell ref="B147:C147"/>
    <mergeCell ref="B146:I146"/>
    <mergeCell ref="B145:I145"/>
  </mergeCell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7845-14B1-4CC8-AE56-28C81D5CDAF4}">
  <sheetPr>
    <tabColor rgb="FFFF0000"/>
  </sheetPr>
  <dimension ref="A1:AH85"/>
  <sheetViews>
    <sheetView showGridLines="0" topLeftCell="A6" zoomScale="90" zoomScaleNormal="90" workbookViewId="0">
      <selection activeCell="J80" sqref="J80"/>
    </sheetView>
  </sheetViews>
  <sheetFormatPr defaultColWidth="11.44140625" defaultRowHeight="13.2" outlineLevelCol="1"/>
  <cols>
    <col min="1" max="1" width="24.44140625" bestFit="1" customWidth="1"/>
    <col min="2" max="2" width="11.44140625" customWidth="1" outlineLevel="1"/>
    <col min="3" max="3" width="32.109375" customWidth="1" outlineLevel="1"/>
    <col min="4" max="4" width="20" customWidth="1" outlineLevel="1"/>
    <col min="5" max="5" width="24" customWidth="1"/>
    <col min="6" max="6" width="27.33203125" customWidth="1"/>
    <col min="7" max="7" width="19.88671875" style="1" bestFit="1" customWidth="1"/>
    <col min="8" max="8" width="12.44140625" style="1" customWidth="1"/>
    <col min="9" max="9" width="11.109375" style="1" customWidth="1"/>
    <col min="10" max="10" width="14.109375" style="1" customWidth="1"/>
    <col min="11" max="11" width="12.44140625" style="1" customWidth="1"/>
    <col min="12" max="13" width="11.109375" style="1" customWidth="1"/>
    <col min="14" max="14" width="13.6640625" style="1" bestFit="1" customWidth="1"/>
    <col min="15" max="15" width="14.6640625" style="1" bestFit="1" customWidth="1"/>
    <col min="16" max="32" width="11.109375" style="1" customWidth="1"/>
    <col min="33" max="33" width="14.44140625" customWidth="1"/>
  </cols>
  <sheetData>
    <row r="1" spans="1:34" ht="21" customHeight="1">
      <c r="A1" s="1920" t="s">
        <v>797</v>
      </c>
      <c r="B1" s="1920"/>
      <c r="C1" s="1920"/>
      <c r="D1" s="1920"/>
      <c r="E1" s="1920"/>
      <c r="F1" s="1920"/>
      <c r="G1" s="1920"/>
      <c r="H1" s="1920"/>
      <c r="I1" s="1920"/>
      <c r="J1" s="1920"/>
      <c r="K1" s="1920"/>
      <c r="L1" s="1920"/>
      <c r="M1" s="1920"/>
      <c r="N1" s="1920"/>
      <c r="O1" s="1920"/>
      <c r="P1" s="1920"/>
      <c r="Q1" s="1920"/>
      <c r="R1" s="1920"/>
      <c r="S1" s="1920"/>
      <c r="T1" s="1920"/>
      <c r="U1" s="1920"/>
      <c r="V1" s="1920"/>
      <c r="W1" s="1920"/>
      <c r="X1" s="1920"/>
      <c r="Y1" s="1920"/>
      <c r="Z1" s="1920"/>
      <c r="AA1" s="1920"/>
      <c r="AB1" s="1920"/>
      <c r="AC1" s="1920"/>
      <c r="AD1" s="1920"/>
      <c r="AE1" s="1920"/>
      <c r="AF1" s="1920"/>
      <c r="AG1" s="8"/>
      <c r="AH1" s="8"/>
    </row>
    <row r="2" spans="1:34" ht="3.75" customHeight="1">
      <c r="A2" s="1921"/>
      <c r="B2" s="1921"/>
      <c r="C2" s="1921"/>
      <c r="D2" s="1921"/>
      <c r="E2" s="1921"/>
      <c r="F2" s="1921"/>
      <c r="G2" s="1921"/>
      <c r="H2" s="1921"/>
      <c r="I2" s="1921"/>
      <c r="J2" s="1921"/>
      <c r="K2" s="1921"/>
      <c r="L2" s="1921"/>
      <c r="M2" s="1921"/>
      <c r="N2" s="1921"/>
      <c r="O2" s="1921"/>
      <c r="P2" s="1921"/>
      <c r="Q2" s="1921"/>
      <c r="R2" s="1921"/>
      <c r="S2" s="1921"/>
      <c r="T2" s="1921"/>
      <c r="U2" s="1921"/>
      <c r="V2" s="1921"/>
      <c r="W2" s="1921"/>
      <c r="X2" s="1921"/>
      <c r="Y2" s="1921"/>
      <c r="Z2" s="1921"/>
      <c r="AA2" s="1921"/>
      <c r="AB2" s="1921"/>
      <c r="AC2" s="1921"/>
      <c r="AD2" s="1921"/>
      <c r="AE2" s="1921"/>
      <c r="AF2" s="1921"/>
      <c r="AG2" s="458"/>
      <c r="AH2" s="8"/>
    </row>
    <row r="3" spans="1:34" ht="18">
      <c r="A3" s="217"/>
      <c r="B3" s="217"/>
      <c r="C3" s="217"/>
      <c r="D3" s="217"/>
      <c r="E3" s="217"/>
      <c r="F3" s="217"/>
      <c r="G3" s="1922" t="s">
        <v>798</v>
      </c>
      <c r="H3" s="1923"/>
      <c r="I3" s="1923"/>
      <c r="J3" s="1923"/>
      <c r="K3" s="1924" t="s">
        <v>799</v>
      </c>
      <c r="L3" s="1925"/>
      <c r="M3" s="1925"/>
      <c r="N3" s="1925"/>
      <c r="O3" s="1925"/>
      <c r="P3" s="1925"/>
      <c r="Q3" s="1925"/>
      <c r="R3" s="1925"/>
      <c r="S3" s="1925"/>
      <c r="T3" s="1925"/>
      <c r="U3" s="1925"/>
      <c r="V3" s="1925"/>
      <c r="W3" s="1925"/>
      <c r="X3" s="1925"/>
      <c r="Y3" s="1925"/>
      <c r="Z3" s="1925"/>
      <c r="AA3" s="1925"/>
      <c r="AB3" s="1925"/>
      <c r="AC3" s="1925"/>
      <c r="AD3" s="1925"/>
      <c r="AE3" s="1925"/>
      <c r="AF3" s="1926"/>
      <c r="AG3" s="458"/>
      <c r="AH3" s="8"/>
    </row>
    <row r="4" spans="1:34" ht="14.4">
      <c r="A4" s="240" t="s">
        <v>800</v>
      </c>
      <c r="B4" s="678" t="s">
        <v>801</v>
      </c>
      <c r="C4" s="679" t="s">
        <v>802</v>
      </c>
      <c r="D4" s="247" t="s">
        <v>803</v>
      </c>
      <c r="E4" s="247" t="s">
        <v>804</v>
      </c>
      <c r="F4" s="248" t="s">
        <v>805</v>
      </c>
      <c r="G4" s="247">
        <v>2024</v>
      </c>
      <c r="H4" s="247">
        <f>G4+1</f>
        <v>2025</v>
      </c>
      <c r="I4" s="247">
        <f t="shared" ref="I4:AF4" si="0">H4+1</f>
        <v>2026</v>
      </c>
      <c r="J4" s="248">
        <f t="shared" si="0"/>
        <v>2027</v>
      </c>
      <c r="K4" s="249">
        <f t="shared" si="0"/>
        <v>2028</v>
      </c>
      <c r="L4" s="249">
        <f t="shared" si="0"/>
        <v>2029</v>
      </c>
      <c r="M4" s="249">
        <f t="shared" si="0"/>
        <v>2030</v>
      </c>
      <c r="N4" s="249">
        <f t="shared" si="0"/>
        <v>2031</v>
      </c>
      <c r="O4" s="249">
        <f t="shared" si="0"/>
        <v>2032</v>
      </c>
      <c r="P4" s="249">
        <f t="shared" si="0"/>
        <v>2033</v>
      </c>
      <c r="Q4" s="249">
        <f t="shared" si="0"/>
        <v>2034</v>
      </c>
      <c r="R4" s="249">
        <f t="shared" si="0"/>
        <v>2035</v>
      </c>
      <c r="S4" s="249">
        <f t="shared" si="0"/>
        <v>2036</v>
      </c>
      <c r="T4" s="249">
        <f t="shared" si="0"/>
        <v>2037</v>
      </c>
      <c r="U4" s="249">
        <f t="shared" si="0"/>
        <v>2038</v>
      </c>
      <c r="V4" s="249">
        <f t="shared" si="0"/>
        <v>2039</v>
      </c>
      <c r="W4" s="249">
        <f t="shared" si="0"/>
        <v>2040</v>
      </c>
      <c r="X4" s="249">
        <f t="shared" si="0"/>
        <v>2041</v>
      </c>
      <c r="Y4" s="249">
        <f t="shared" si="0"/>
        <v>2042</v>
      </c>
      <c r="Z4" s="249">
        <f t="shared" si="0"/>
        <v>2043</v>
      </c>
      <c r="AA4" s="249">
        <f t="shared" si="0"/>
        <v>2044</v>
      </c>
      <c r="AB4" s="249">
        <f t="shared" si="0"/>
        <v>2045</v>
      </c>
      <c r="AC4" s="249">
        <f t="shared" si="0"/>
        <v>2046</v>
      </c>
      <c r="AD4" s="249">
        <f t="shared" si="0"/>
        <v>2047</v>
      </c>
      <c r="AE4" s="249">
        <f t="shared" si="0"/>
        <v>2048</v>
      </c>
      <c r="AF4" s="250">
        <f t="shared" si="0"/>
        <v>2049</v>
      </c>
      <c r="AG4" s="458"/>
      <c r="AH4" s="8"/>
    </row>
    <row r="5" spans="1:34">
      <c r="A5" s="1699" t="s">
        <v>806</v>
      </c>
      <c r="B5" s="665">
        <v>1</v>
      </c>
      <c r="C5" s="680" t="s">
        <v>749</v>
      </c>
      <c r="D5" s="671">
        <v>0.68329406944586712</v>
      </c>
      <c r="E5" s="257">
        <v>0.43610806863818907</v>
      </c>
      <c r="F5" s="291">
        <v>-3.9023770179229644E-2</v>
      </c>
      <c r="G5" s="305">
        <f>G6/F6-1</f>
        <v>0.15562918871252207</v>
      </c>
      <c r="H5" s="306">
        <f t="shared" ref="H5:AE5" si="1">H6/G6-1</f>
        <v>0.14582659377245144</v>
      </c>
      <c r="I5" s="306">
        <f t="shared" si="1"/>
        <v>0.14849816671775629</v>
      </c>
      <c r="J5" s="307">
        <f t="shared" si="1"/>
        <v>0.15345068838889575</v>
      </c>
      <c r="K5" s="305">
        <f t="shared" si="1"/>
        <v>0.226280726757075</v>
      </c>
      <c r="L5" s="306">
        <f t="shared" si="1"/>
        <v>0.17330146609281116</v>
      </c>
      <c r="M5" s="306">
        <f t="shared" si="1"/>
        <v>0.14427940997809752</v>
      </c>
      <c r="N5" s="306">
        <f t="shared" si="1"/>
        <v>0.14821828668598425</v>
      </c>
      <c r="O5" s="306">
        <f t="shared" si="1"/>
        <v>0.15199461759803357</v>
      </c>
      <c r="P5" s="306">
        <f t="shared" si="1"/>
        <v>0.16789623104335116</v>
      </c>
      <c r="Q5" s="306">
        <f t="shared" si="1"/>
        <v>0.16944162846988808</v>
      </c>
      <c r="R5" s="306">
        <f t="shared" si="1"/>
        <v>0.1318404726355229</v>
      </c>
      <c r="S5" s="306">
        <f t="shared" si="1"/>
        <v>0.13235132902218005</v>
      </c>
      <c r="T5" s="306">
        <f t="shared" si="1"/>
        <v>0.13285555235549884</v>
      </c>
      <c r="U5" s="306">
        <f t="shared" si="1"/>
        <v>0.11581353260362537</v>
      </c>
      <c r="V5" s="306">
        <f t="shared" si="1"/>
        <v>0.11629803005860251</v>
      </c>
      <c r="W5" s="306">
        <f t="shared" si="1"/>
        <v>0.11679008119938072</v>
      </c>
      <c r="X5" s="306">
        <f t="shared" si="1"/>
        <v>0.11474227238376433</v>
      </c>
      <c r="Y5" s="306">
        <f t="shared" si="1"/>
        <v>0.1153684939349362</v>
      </c>
      <c r="Z5" s="306">
        <f t="shared" si="1"/>
        <v>0.11600054861377473</v>
      </c>
      <c r="AA5" s="306">
        <f t="shared" si="1"/>
        <v>0.11663788885231541</v>
      </c>
      <c r="AB5" s="306">
        <f t="shared" si="1"/>
        <v>0.11727994269235409</v>
      </c>
      <c r="AC5" s="306">
        <f t="shared" si="1"/>
        <v>0.11792611582100432</v>
      </c>
      <c r="AD5" s="306">
        <f t="shared" si="1"/>
        <v>0.11648725347412547</v>
      </c>
      <c r="AE5" s="306">
        <f t="shared" si="1"/>
        <v>0.11731885312083201</v>
      </c>
      <c r="AF5" s="1430">
        <v>2.75E-2</v>
      </c>
      <c r="AG5" s="367"/>
      <c r="AH5" s="8"/>
    </row>
    <row r="6" spans="1:34" ht="14.4">
      <c r="A6" s="1699"/>
      <c r="B6" s="665">
        <v>2</v>
      </c>
      <c r="C6" s="666" t="s">
        <v>807</v>
      </c>
      <c r="D6" s="672">
        <v>16434</v>
      </c>
      <c r="E6" s="616">
        <v>23601</v>
      </c>
      <c r="F6" s="292">
        <v>22680</v>
      </c>
      <c r="G6" s="299">
        <f>Assumptions!G267</f>
        <v>26209.67</v>
      </c>
      <c r="H6" s="297">
        <f>Assumptions!H267</f>
        <v>30031.736900000004</v>
      </c>
      <c r="I6" s="297">
        <f>Assumptions!I267</f>
        <v>34491.394773</v>
      </c>
      <c r="J6" s="300">
        <f>Assumptions!J267</f>
        <v>39784.123044410007</v>
      </c>
      <c r="K6" s="299">
        <f>Assumptions!K267</f>
        <v>48786.503320292002</v>
      </c>
      <c r="L6" s="297">
        <f>Assumptions!L267</f>
        <v>57241.275871240403</v>
      </c>
      <c r="M6" s="297">
        <f>Assumptions!M267</f>
        <v>65500.013380336473</v>
      </c>
      <c r="N6" s="297">
        <f>Assumptions!N267</f>
        <v>75208.313141478982</v>
      </c>
      <c r="O6" s="297">
        <f>Assumptions!O267</f>
        <v>86639.571937611239</v>
      </c>
      <c r="P6" s="297">
        <f>Assumptions!P267</f>
        <v>101186.02952514545</v>
      </c>
      <c r="Q6" s="297">
        <f>Assumptions!Q267</f>
        <v>118331.15514628828</v>
      </c>
      <c r="R6" s="297">
        <f>Assumptions!R267</f>
        <v>133931.99056828232</v>
      </c>
      <c r="S6" s="297">
        <f>Assumptions!S267</f>
        <v>151658.06751858056</v>
      </c>
      <c r="T6" s="297">
        <f>Assumptions!T267</f>
        <v>171806.68384792912</v>
      </c>
      <c r="U6" s="297">
        <f>Assumptions!U267</f>
        <v>191704.22282927201</v>
      </c>
      <c r="V6" s="297">
        <f>Assumptions!V267</f>
        <v>213999.04629823173</v>
      </c>
      <c r="W6" s="297">
        <f>Assumptions!W267</f>
        <v>238992.01229199226</v>
      </c>
      <c r="X6" s="297">
        <f>Assumptions!X267</f>
        <v>266414.49886394397</v>
      </c>
      <c r="Y6" s="297">
        <f>Assumptions!Y267</f>
        <v>297150.33836030797</v>
      </c>
      <c r="Z6" s="297">
        <f>Assumptions!Z267</f>
        <v>331619.9406308725</v>
      </c>
      <c r="AA6" s="297">
        <f>Assumptions!AA267</f>
        <v>370299.39040738763</v>
      </c>
      <c r="AB6" s="297">
        <f>Assumptions!AB267</f>
        <v>413728.08169337973</v>
      </c>
      <c r="AC6" s="297">
        <f>Assumptions!AC267</f>
        <v>462517.42737355514</v>
      </c>
      <c r="AD6" s="297">
        <f>Assumptions!AD267</f>
        <v>516394.81217221887</v>
      </c>
      <c r="AE6" s="297">
        <f>Assumptions!AE267</f>
        <v>576977.65929381107</v>
      </c>
      <c r="AF6" s="300">
        <f>Assumptions!AF267</f>
        <v>632504.66081150703</v>
      </c>
      <c r="AG6" s="459"/>
      <c r="AH6" s="8"/>
    </row>
    <row r="7" spans="1:34">
      <c r="A7" s="1699"/>
      <c r="B7" s="665">
        <v>3</v>
      </c>
      <c r="C7" s="667" t="s">
        <v>808</v>
      </c>
      <c r="D7" s="673">
        <f>D8/D6</f>
        <v>0.22130948034562492</v>
      </c>
      <c r="E7" s="673">
        <f t="shared" ref="E7:F7" si="2">E8/E6</f>
        <v>5.2752002033812126E-2</v>
      </c>
      <c r="F7" s="673">
        <f t="shared" si="2"/>
        <v>1.7328042328042328E-2</v>
      </c>
      <c r="G7" s="308">
        <f>G8/G6</f>
        <v>9.2827038646423249E-2</v>
      </c>
      <c r="H7" s="309">
        <f t="shared" ref="H7:AF7" si="3">H8/H6</f>
        <v>0.12498392736984852</v>
      </c>
      <c r="I7" s="309">
        <f t="shared" si="3"/>
        <v>0.15251880615779007</v>
      </c>
      <c r="J7" s="310">
        <f t="shared" si="3"/>
        <v>0.17025769879175176</v>
      </c>
      <c r="K7" s="308">
        <f t="shared" si="3"/>
        <v>0.19881166781853973</v>
      </c>
      <c r="L7" s="309">
        <f t="shared" si="3"/>
        <v>0.19943734566203061</v>
      </c>
      <c r="M7" s="309">
        <f t="shared" si="3"/>
        <v>0.18911399950897778</v>
      </c>
      <c r="N7" s="309">
        <f t="shared" si="3"/>
        <v>0.16372306355135832</v>
      </c>
      <c r="O7" s="309">
        <f t="shared" si="3"/>
        <v>0.15800716407540122</v>
      </c>
      <c r="P7" s="309">
        <f t="shared" si="3"/>
        <v>0.18933703185902606</v>
      </c>
      <c r="Q7" s="309">
        <f t="shared" si="3"/>
        <v>0.2265933303196343</v>
      </c>
      <c r="R7" s="309">
        <f t="shared" si="3"/>
        <v>0.22830428247631296</v>
      </c>
      <c r="S7" s="309">
        <f t="shared" si="3"/>
        <v>0.22999301931532007</v>
      </c>
      <c r="T7" s="309">
        <f t="shared" si="3"/>
        <v>0.23165833576215827</v>
      </c>
      <c r="U7" s="309">
        <f t="shared" si="3"/>
        <v>0.23319377550159079</v>
      </c>
      <c r="V7" s="309">
        <f t="shared" si="3"/>
        <v>0.23475315392065824</v>
      </c>
      <c r="W7" s="309">
        <f t="shared" si="3"/>
        <v>0.23633545942408207</v>
      </c>
      <c r="X7" s="309">
        <f t="shared" si="3"/>
        <v>0.2200986915555869</v>
      </c>
      <c r="Y7" s="309">
        <f t="shared" si="3"/>
        <v>0.22117247425753719</v>
      </c>
      <c r="Z7" s="309">
        <f t="shared" si="3"/>
        <v>0.22226633676471724</v>
      </c>
      <c r="AA7" s="309">
        <f t="shared" si="3"/>
        <v>0.22337910943277967</v>
      </c>
      <c r="AB7" s="309">
        <f t="shared" si="3"/>
        <v>0.22450956074006098</v>
      </c>
      <c r="AC7" s="309">
        <f t="shared" si="3"/>
        <v>0.2049920674776381</v>
      </c>
      <c r="AD7" s="309">
        <f t="shared" si="3"/>
        <v>0.20550903232009843</v>
      </c>
      <c r="AE7" s="309">
        <f t="shared" si="3"/>
        <v>0.20604365500329674</v>
      </c>
      <c r="AF7" s="310">
        <f t="shared" si="3"/>
        <v>0.20592711637546263</v>
      </c>
      <c r="AG7" s="367"/>
      <c r="AH7" s="8"/>
    </row>
    <row r="8" spans="1:34" ht="14.4">
      <c r="A8" s="1699"/>
      <c r="B8" s="665">
        <v>4</v>
      </c>
      <c r="C8" s="668" t="s">
        <v>58</v>
      </c>
      <c r="D8" s="674">
        <v>3637</v>
      </c>
      <c r="E8" s="289">
        <v>1245</v>
      </c>
      <c r="F8" s="293">
        <v>393</v>
      </c>
      <c r="G8" s="299">
        <f>Assumptions!G271</f>
        <v>2432.96605</v>
      </c>
      <c r="H8" s="297">
        <f>Assumptions!H271</f>
        <v>3753.4844235</v>
      </c>
      <c r="I8" s="297">
        <f>Assumptions!I271</f>
        <v>5260.5863534950004</v>
      </c>
      <c r="J8" s="300">
        <f>Assumptions!J271</f>
        <v>6773.5532379891492</v>
      </c>
      <c r="K8" s="299">
        <f>Assumptions!K271</f>
        <v>9699.3260921419787</v>
      </c>
      <c r="L8" s="297">
        <f>Assumptions!L271</f>
        <v>11416.048122068225</v>
      </c>
      <c r="M8" s="297">
        <f>Assumptions!M271</f>
        <v>12386.96949824699</v>
      </c>
      <c r="N8" s="297">
        <f>Assumptions!N271</f>
        <v>12313.33543205282</v>
      </c>
      <c r="O8" s="297">
        <f>Assumptions!O271</f>
        <v>13689.673058568667</v>
      </c>
      <c r="P8" s="297">
        <f>Assumptions!P271</f>
        <v>19158.262495890816</v>
      </c>
      <c r="Q8" s="297">
        <f>Assumptions!Q271</f>
        <v>26813.050525166793</v>
      </c>
      <c r="R8" s="297">
        <f>Assumptions!R271</f>
        <v>30577.247007316008</v>
      </c>
      <c r="S8" s="297">
        <f>Assumptions!S271</f>
        <v>34880.296852125015</v>
      </c>
      <c r="T8" s="297">
        <f>Assumptions!T271</f>
        <v>39800.45045302654</v>
      </c>
      <c r="U8" s="297">
        <f>Assumptions!U271</f>
        <v>44704.231501156195</v>
      </c>
      <c r="V8" s="297">
        <f>Assumptions!V271</f>
        <v>50236.951054522862</v>
      </c>
      <c r="W8" s="297">
        <f>Assumptions!W271</f>
        <v>56482.287023713863</v>
      </c>
      <c r="X8" s="297">
        <f>Assumptions!X271</f>
        <v>58637.482611391461</v>
      </c>
      <c r="Y8" s="297">
        <f>Assumptions!Y271</f>
        <v>65721.475561613683</v>
      </c>
      <c r="Z8" s="297">
        <f>Assumptions!Z271</f>
        <v>73707.949402157043</v>
      </c>
      <c r="AA8" s="297">
        <f>Assumptions!AA271</f>
        <v>82717.148052703444</v>
      </c>
      <c r="AB8" s="297">
        <f>Assumptions!AB271</f>
        <v>92885.909886808746</v>
      </c>
      <c r="AC8" s="297">
        <f>Assumptions!AC271</f>
        <v>94812.403681743395</v>
      </c>
      <c r="AD8" s="297">
        <f>Assumptions!AD271</f>
        <v>106123.79814463168</v>
      </c>
      <c r="AE8" s="297">
        <f>Assumptions!AE271</f>
        <v>118882.58577614371</v>
      </c>
      <c r="AF8" s="300">
        <f>Assumptions!AF271</f>
        <v>130249.86089495372</v>
      </c>
      <c r="AG8" s="446"/>
      <c r="AH8" s="4"/>
    </row>
    <row r="9" spans="1:34" ht="14.4">
      <c r="A9" s="1699"/>
      <c r="B9" s="665" t="s">
        <v>809</v>
      </c>
      <c r="C9" s="666" t="s">
        <v>810</v>
      </c>
      <c r="D9" s="675">
        <v>-407</v>
      </c>
      <c r="E9" s="434">
        <v>-626</v>
      </c>
      <c r="F9" s="435">
        <v>-642</v>
      </c>
      <c r="G9" s="436">
        <f>$D$54*Pessimistic!F41</f>
        <v>-641.44000000000005</v>
      </c>
      <c r="H9" s="437">
        <f>$D$54*Pessimistic!G41</f>
        <v>-740.32570854995345</v>
      </c>
      <c r="I9" s="437">
        <f>$D$54*Pessimistic!H41</f>
        <v>-853.63158315052192</v>
      </c>
      <c r="J9" s="438">
        <f>$D$54*Pessimistic!I41</f>
        <v>-983.76317240762683</v>
      </c>
      <c r="K9" s="439">
        <f>$E$54*Pessimistic!J41</f>
        <v>-1062.9970721412894</v>
      </c>
      <c r="L9" s="440">
        <f>$E$54*Pessimistic!K41</f>
        <v>-1282.5363370826035</v>
      </c>
      <c r="M9" s="440">
        <f>$E$54*Pessimistic!L41</f>
        <v>-1540.1220785031853</v>
      </c>
      <c r="N9" s="440">
        <f>$E$54*Pessimistic!M41</f>
        <v>-1834.8721387146993</v>
      </c>
      <c r="O9" s="440">
        <f>$E$54*Pessimistic!N41</f>
        <v>-2173.3095478513546</v>
      </c>
      <c r="P9" s="440">
        <f>$F$54*Pessimistic!O41</f>
        <v>-2563.1876215706052</v>
      </c>
      <c r="Q9" s="440">
        <f>$F$54*Pessimistic!P41</f>
        <v>-2912.2794234323574</v>
      </c>
      <c r="R9" s="440">
        <f>$F$54*Pessimistic!Q41</f>
        <v>-3320.521908687052</v>
      </c>
      <c r="S9" s="440">
        <f>$F$54*Pessimistic!R41</f>
        <v>-3782.5872761476262</v>
      </c>
      <c r="T9" s="440">
        <f>$F$54*Pessimistic!S41</f>
        <v>-4305.8076090867289</v>
      </c>
      <c r="U9" s="440">
        <f>$F$54*Pessimistic!T41</f>
        <v>-4898.5406683620849</v>
      </c>
      <c r="V9" s="440">
        <f>$F$54*Pessimistic!U41</f>
        <v>-5559.9202371230731</v>
      </c>
      <c r="W9" s="440">
        <f>$F$54*Pessimistic!V41</f>
        <v>-6298.2169468519724</v>
      </c>
      <c r="X9" s="440">
        <f>$F$54*Pessimistic!W41</f>
        <v>-7122.7393892593464</v>
      </c>
      <c r="Y9" s="440">
        <f>$F$54*Pessimistic!X41</f>
        <v>-8041.8694103399521</v>
      </c>
      <c r="Z9" s="440">
        <f>$F$54*Pessimistic!Y41</f>
        <v>-9067.0380776830152</v>
      </c>
      <c r="AA9" s="440">
        <f>$F$54*Pessimistic!Z41</f>
        <v>-10211.126872859526</v>
      </c>
      <c r="AB9" s="440">
        <f>$F$54*Pessimistic!AA41</f>
        <v>-11488.659769765012</v>
      </c>
      <c r="AC9" s="440">
        <f>$F$54*Pessimistic!AB41</f>
        <v>-12916.021651607172</v>
      </c>
      <c r="AD9" s="440">
        <f>$F$54*Pessimistic!AC41</f>
        <v>-14511.706776045939</v>
      </c>
      <c r="AE9" s="440">
        <f>$F$54*Pessimistic!AD41</f>
        <v>-16293.268878040093</v>
      </c>
      <c r="AF9" s="441">
        <f>$F$54*Pessimistic!AE41</f>
        <v>-18283.84180260374</v>
      </c>
      <c r="AG9" s="447">
        <f>SUM(D9:AF9)</f>
        <v>-154365.33195786655</v>
      </c>
      <c r="AH9" s="4"/>
    </row>
    <row r="10" spans="1:34" ht="14.4">
      <c r="A10" s="1699"/>
      <c r="B10" s="665" t="s">
        <v>811</v>
      </c>
      <c r="C10" s="666" t="s">
        <v>812</v>
      </c>
      <c r="D10" s="675">
        <v>0</v>
      </c>
      <c r="E10" s="434">
        <v>-3548</v>
      </c>
      <c r="F10" s="435">
        <v>-2811</v>
      </c>
      <c r="G10" s="436">
        <f>F39*$D$55</f>
        <v>-3603.86</v>
      </c>
      <c r="H10" s="442">
        <f t="shared" ref="H10:J10" si="4">G39*$D$55</f>
        <v>-3603.86</v>
      </c>
      <c r="I10" s="442">
        <f t="shared" si="4"/>
        <v>-3603.86</v>
      </c>
      <c r="J10" s="443">
        <f t="shared" si="4"/>
        <v>-4504.8249999999998</v>
      </c>
      <c r="K10" s="439">
        <f t="shared" ref="K10:AF10" si="5">J39*$F$55</f>
        <v>-5197.875</v>
      </c>
      <c r="L10" s="440">
        <f t="shared" si="5"/>
        <v>-6497.34375</v>
      </c>
      <c r="M10" s="440">
        <f t="shared" si="5"/>
        <v>-8121.6796875</v>
      </c>
      <c r="N10" s="440">
        <f t="shared" si="5"/>
        <v>-10152.099609375</v>
      </c>
      <c r="O10" s="440">
        <f t="shared" si="5"/>
        <v>-12690.12451171875</v>
      </c>
      <c r="P10" s="440">
        <f t="shared" si="5"/>
        <v>-15862.655639648438</v>
      </c>
      <c r="Q10" s="440">
        <f t="shared" si="5"/>
        <v>-19828.319549560547</v>
      </c>
      <c r="R10" s="440">
        <f t="shared" si="5"/>
        <v>-24785.399436950684</v>
      </c>
      <c r="S10" s="440">
        <f t="shared" si="5"/>
        <v>-28503.209352493282</v>
      </c>
      <c r="T10" s="440">
        <f t="shared" si="5"/>
        <v>-32778.690755367272</v>
      </c>
      <c r="U10" s="440">
        <f t="shared" si="5"/>
        <v>-37695.494368672356</v>
      </c>
      <c r="V10" s="440">
        <f t="shared" si="5"/>
        <v>-43349.818523973205</v>
      </c>
      <c r="W10" s="440">
        <f t="shared" si="5"/>
        <v>-49852.291302569181</v>
      </c>
      <c r="X10" s="440">
        <f t="shared" si="5"/>
        <v>-57330.134997954556</v>
      </c>
      <c r="Y10" s="440">
        <f t="shared" si="5"/>
        <v>-65929.655247647737</v>
      </c>
      <c r="Z10" s="440">
        <f t="shared" si="5"/>
        <v>-75819.103534794893</v>
      </c>
      <c r="AA10" s="440">
        <f t="shared" si="5"/>
        <v>-87191.969065014127</v>
      </c>
      <c r="AB10" s="440">
        <f t="shared" si="5"/>
        <v>-100270.76442476624</v>
      </c>
      <c r="AC10" s="440">
        <f t="shared" si="5"/>
        <v>-115311.37908848115</v>
      </c>
      <c r="AD10" s="440">
        <f t="shared" si="5"/>
        <v>-132608.08595175331</v>
      </c>
      <c r="AE10" s="440">
        <f t="shared" si="5"/>
        <v>-152499.29884451628</v>
      </c>
      <c r="AF10" s="441">
        <f t="shared" si="5"/>
        <v>-175374.19367119373</v>
      </c>
      <c r="AG10" s="446"/>
      <c r="AH10" s="4"/>
    </row>
    <row r="11" spans="1:34" ht="14.4">
      <c r="A11" s="1699"/>
      <c r="B11" s="665" t="s">
        <v>813</v>
      </c>
      <c r="C11" s="666" t="s">
        <v>814</v>
      </c>
      <c r="D11" s="675">
        <v>-379</v>
      </c>
      <c r="E11" s="434">
        <v>-1081</v>
      </c>
      <c r="F11" s="435">
        <v>-1384</v>
      </c>
      <c r="G11" s="436">
        <f>G6*$D$56</f>
        <v>-1310.4835</v>
      </c>
      <c r="H11" s="442">
        <f t="shared" ref="H11:J11" si="6">H6*$D$56</f>
        <v>-1501.5868450000003</v>
      </c>
      <c r="I11" s="442">
        <f t="shared" si="6"/>
        <v>-1724.5697386500001</v>
      </c>
      <c r="J11" s="443">
        <f t="shared" si="6"/>
        <v>-1989.2061522205004</v>
      </c>
      <c r="K11" s="436">
        <f>K6*$E$56</f>
        <v>-2927.1901992175199</v>
      </c>
      <c r="L11" s="442">
        <f t="shared" ref="L11:Q11" si="7">L6*$E$56</f>
        <v>-3434.4765522744242</v>
      </c>
      <c r="M11" s="442">
        <f t="shared" si="7"/>
        <v>-3930.0008028201883</v>
      </c>
      <c r="N11" s="442">
        <f t="shared" si="7"/>
        <v>-4512.4987884887387</v>
      </c>
      <c r="O11" s="442">
        <f t="shared" si="7"/>
        <v>-5198.3743162566743</v>
      </c>
      <c r="P11" s="442">
        <f t="shared" si="7"/>
        <v>-6071.1617715087268</v>
      </c>
      <c r="Q11" s="442">
        <f t="shared" si="7"/>
        <v>-7099.8693087772963</v>
      </c>
      <c r="R11" s="442">
        <f>R6*$F$56</f>
        <v>-5357.2796227312929</v>
      </c>
      <c r="S11" s="442">
        <f t="shared" ref="S11:AF11" si="8">S6*$F$56</f>
        <v>-6066.3227007432224</v>
      </c>
      <c r="T11" s="442">
        <f t="shared" si="8"/>
        <v>-6872.2673539171647</v>
      </c>
      <c r="U11" s="442">
        <f t="shared" si="8"/>
        <v>-7668.1689131708808</v>
      </c>
      <c r="V11" s="442">
        <f t="shared" si="8"/>
        <v>-8559.961851929269</v>
      </c>
      <c r="W11" s="442">
        <f t="shared" si="8"/>
        <v>-9559.68049167969</v>
      </c>
      <c r="X11" s="442">
        <f t="shared" si="8"/>
        <v>-10656.579954557759</v>
      </c>
      <c r="Y11" s="442">
        <f t="shared" si="8"/>
        <v>-11886.013534412319</v>
      </c>
      <c r="Z11" s="442">
        <f t="shared" si="8"/>
        <v>-13264.7976252349</v>
      </c>
      <c r="AA11" s="442">
        <f t="shared" si="8"/>
        <v>-14811.975616295505</v>
      </c>
      <c r="AB11" s="442">
        <f t="shared" si="8"/>
        <v>-16549.123267735191</v>
      </c>
      <c r="AC11" s="442">
        <f t="shared" si="8"/>
        <v>-18500.697094942207</v>
      </c>
      <c r="AD11" s="442">
        <f t="shared" si="8"/>
        <v>-20655.792486888757</v>
      </c>
      <c r="AE11" s="442">
        <f t="shared" si="8"/>
        <v>-23079.106371752445</v>
      </c>
      <c r="AF11" s="443">
        <f t="shared" si="8"/>
        <v>-25300.186432460283</v>
      </c>
      <c r="AG11" s="446"/>
      <c r="AH11" s="4"/>
    </row>
    <row r="12" spans="1:34" ht="14.4">
      <c r="A12" s="1699"/>
      <c r="B12" s="665">
        <v>6</v>
      </c>
      <c r="C12" s="668" t="s">
        <v>50</v>
      </c>
      <c r="D12" s="289">
        <f>D8-D9-D10</f>
        <v>4044</v>
      </c>
      <c r="E12" s="289">
        <f t="shared" ref="E12:F12" si="9">E8-E9-E10</f>
        <v>5419</v>
      </c>
      <c r="F12" s="289">
        <f t="shared" si="9"/>
        <v>3846</v>
      </c>
      <c r="G12" s="311">
        <f>G8-G9-G10</f>
        <v>6678.2660500000002</v>
      </c>
      <c r="H12" s="312">
        <f t="shared" ref="H12:AF12" si="10">H8-H9-H10</f>
        <v>8097.6701320499542</v>
      </c>
      <c r="I12" s="312">
        <f t="shared" si="10"/>
        <v>9718.0779366455226</v>
      </c>
      <c r="J12" s="313">
        <f>J8-J9-J10</f>
        <v>12262.141410396776</v>
      </c>
      <c r="K12" s="311">
        <f t="shared" si="10"/>
        <v>15960.198164283269</v>
      </c>
      <c r="L12" s="312">
        <f t="shared" si="10"/>
        <v>19195.928209150828</v>
      </c>
      <c r="M12" s="312">
        <f t="shared" si="10"/>
        <v>22048.771264250176</v>
      </c>
      <c r="N12" s="312">
        <f t="shared" si="10"/>
        <v>24300.307180142518</v>
      </c>
      <c r="O12" s="312">
        <f t="shared" si="10"/>
        <v>28553.107118138774</v>
      </c>
      <c r="P12" s="312">
        <f t="shared" si="10"/>
        <v>37584.105757109857</v>
      </c>
      <c r="Q12" s="312">
        <f t="shared" si="10"/>
        <v>49553.649498159699</v>
      </c>
      <c r="R12" s="312">
        <f t="shared" si="10"/>
        <v>58683.16835295374</v>
      </c>
      <c r="S12" s="312">
        <f t="shared" si="10"/>
        <v>67166.093480765921</v>
      </c>
      <c r="T12" s="312">
        <f t="shared" si="10"/>
        <v>76884.94881748053</v>
      </c>
      <c r="U12" s="312">
        <f t="shared" si="10"/>
        <v>87298.266538190626</v>
      </c>
      <c r="V12" s="312">
        <f t="shared" si="10"/>
        <v>99146.689815619146</v>
      </c>
      <c r="W12" s="312">
        <f t="shared" si="10"/>
        <v>112632.79527313501</v>
      </c>
      <c r="X12" s="312">
        <f t="shared" si="10"/>
        <v>123090.35699860536</v>
      </c>
      <c r="Y12" s="312">
        <f t="shared" si="10"/>
        <v>139693.00021960138</v>
      </c>
      <c r="Z12" s="312">
        <f t="shared" si="10"/>
        <v>158594.09101463493</v>
      </c>
      <c r="AA12" s="312">
        <f t="shared" si="10"/>
        <v>180120.24399057712</v>
      </c>
      <c r="AB12" s="312">
        <f t="shared" si="10"/>
        <v>204645.33408134</v>
      </c>
      <c r="AC12" s="312">
        <f t="shared" si="10"/>
        <v>223039.80442183171</v>
      </c>
      <c r="AD12" s="312">
        <f t="shared" si="10"/>
        <v>253243.59087243094</v>
      </c>
      <c r="AE12" s="312">
        <f t="shared" si="10"/>
        <v>287675.15349870006</v>
      </c>
      <c r="AF12" s="313">
        <f t="shared" si="10"/>
        <v>323907.89636875119</v>
      </c>
      <c r="AG12" s="282"/>
      <c r="AH12" s="4"/>
    </row>
    <row r="13" spans="1:34" ht="14.4">
      <c r="A13" s="1699"/>
      <c r="B13" s="665">
        <v>7</v>
      </c>
      <c r="C13" s="666" t="s">
        <v>815</v>
      </c>
      <c r="D13" s="676">
        <v>30</v>
      </c>
      <c r="E13" s="432">
        <v>-85</v>
      </c>
      <c r="F13" s="433">
        <v>99</v>
      </c>
      <c r="G13" s="439">
        <f>F44*$D$59+F45*$D$58</f>
        <v>117.078</v>
      </c>
      <c r="H13" s="440">
        <f t="shared" ref="H13:AF13" si="11">G44*$D$59+G45*$D$58</f>
        <v>275.201548065</v>
      </c>
      <c r="I13" s="440">
        <f t="shared" si="11"/>
        <v>650.09955212639875</v>
      </c>
      <c r="J13" s="441">
        <f t="shared" si="11"/>
        <v>916.45573169239333</v>
      </c>
      <c r="K13" s="439">
        <f t="shared" si="11"/>
        <v>1208.5664524856072</v>
      </c>
      <c r="L13" s="440">
        <f t="shared" si="11"/>
        <v>1554.1910132115704</v>
      </c>
      <c r="M13" s="440">
        <f t="shared" si="11"/>
        <v>447.0449832965171</v>
      </c>
      <c r="N13" s="440">
        <f t="shared" si="11"/>
        <v>568.94464824321506</v>
      </c>
      <c r="O13" s="440">
        <f t="shared" si="11"/>
        <v>664.06388450160148</v>
      </c>
      <c r="P13" s="440">
        <f t="shared" si="11"/>
        <v>751.02343008179673</v>
      </c>
      <c r="Q13" s="440">
        <f t="shared" si="11"/>
        <v>810.42468497144682</v>
      </c>
      <c r="R13" s="440">
        <f t="shared" si="11"/>
        <v>861.92664092931352</v>
      </c>
      <c r="S13" s="440">
        <f t="shared" si="11"/>
        <v>927.63770728868633</v>
      </c>
      <c r="T13" s="440">
        <f t="shared" si="11"/>
        <v>1038.0697674209778</v>
      </c>
      <c r="U13" s="440">
        <f t="shared" si="11"/>
        <v>1162.2654016124588</v>
      </c>
      <c r="V13" s="440">
        <f t="shared" si="11"/>
        <v>1268.3437598909152</v>
      </c>
      <c r="W13" s="440">
        <f t="shared" si="11"/>
        <v>1385.3250278539572</v>
      </c>
      <c r="X13" s="440">
        <f t="shared" si="11"/>
        <v>1512.7566808838253</v>
      </c>
      <c r="Y13" s="440">
        <f t="shared" si="11"/>
        <v>1714.5476139963851</v>
      </c>
      <c r="Z13" s="440">
        <f t="shared" si="11"/>
        <v>1865.0241584413336</v>
      </c>
      <c r="AA13" s="440">
        <f t="shared" si="11"/>
        <v>2031.7759397015011</v>
      </c>
      <c r="AB13" s="440">
        <f t="shared" si="11"/>
        <v>2213.0291943487973</v>
      </c>
      <c r="AC13" s="440">
        <f t="shared" si="11"/>
        <v>2409.9478559736654</v>
      </c>
      <c r="AD13" s="440">
        <f t="shared" si="11"/>
        <v>2764.2694423196681</v>
      </c>
      <c r="AE13" s="440">
        <f t="shared" si="11"/>
        <v>2999.978385864747</v>
      </c>
      <c r="AF13" s="441">
        <f t="shared" si="11"/>
        <v>3263.1519245098384</v>
      </c>
      <c r="AG13" s="446"/>
      <c r="AH13" s="4"/>
    </row>
    <row r="14" spans="1:34" ht="14.4">
      <c r="A14" s="1699"/>
      <c r="B14" s="665">
        <v>8</v>
      </c>
      <c r="C14" s="666" t="s">
        <v>816</v>
      </c>
      <c r="D14" s="677">
        <v>4</v>
      </c>
      <c r="E14" s="290">
        <v>19</v>
      </c>
      <c r="F14" s="295">
        <v>8</v>
      </c>
      <c r="G14" s="299">
        <f>AVERAGE(D14:F14)*(1+G5)</f>
        <v>11.941501616696062</v>
      </c>
      <c r="H14" s="297">
        <f t="shared" ref="H14:AF14" si="12">AVERAGE(E14:G14)*(1+H5)</f>
        <v>14.873402717947753</v>
      </c>
      <c r="I14" s="297">
        <f t="shared" si="12"/>
        <v>13.328284600930829</v>
      </c>
      <c r="J14" s="300">
        <f t="shared" si="12"/>
        <v>15.434396303954692</v>
      </c>
      <c r="K14" s="299">
        <f t="shared" si="12"/>
        <v>17.836696112613495</v>
      </c>
      <c r="L14" s="297">
        <f t="shared" si="12"/>
        <v>18.225039124547749</v>
      </c>
      <c r="M14" s="297">
        <f t="shared" si="12"/>
        <v>19.641987672007549</v>
      </c>
      <c r="N14" s="297">
        <f t="shared" si="12"/>
        <v>21.320011093598865</v>
      </c>
      <c r="O14" s="297">
        <f t="shared" si="12"/>
        <v>22.727716360342821</v>
      </c>
      <c r="P14" s="297">
        <f t="shared" si="12"/>
        <v>24.794326083940273</v>
      </c>
      <c r="Q14" s="297">
        <f t="shared" si="12"/>
        <v>26.835587732183971</v>
      </c>
      <c r="R14" s="297">
        <f t="shared" si="12"/>
        <v>28.053658427663301</v>
      </c>
      <c r="S14" s="297">
        <f t="shared" si="12"/>
        <v>30.076599643829244</v>
      </c>
      <c r="T14" s="297">
        <f t="shared" si="12"/>
        <v>32.084676726425364</v>
      </c>
      <c r="U14" s="297">
        <f t="shared" si="12"/>
        <v>33.55434836349017</v>
      </c>
      <c r="V14" s="297">
        <f t="shared" si="12"/>
        <v>35.615721112035921</v>
      </c>
      <c r="W14" s="297">
        <f t="shared" si="12"/>
        <v>37.693432077566683</v>
      </c>
      <c r="X14" s="297">
        <f t="shared" si="12"/>
        <v>39.708420852060193</v>
      </c>
      <c r="Y14" s="297">
        <f t="shared" si="12"/>
        <v>42.018747115676518</v>
      </c>
      <c r="Z14" s="297">
        <f t="shared" si="12"/>
        <v>44.424485055448251</v>
      </c>
      <c r="AA14" s="297">
        <f t="shared" si="12"/>
        <v>46.955238502346361</v>
      </c>
      <c r="AB14" s="297">
        <f t="shared" si="12"/>
        <v>49.681145223101176</v>
      </c>
      <c r="AC14" s="297">
        <f t="shared" si="12"/>
        <v>52.56520971018773</v>
      </c>
      <c r="AD14" s="297">
        <f t="shared" si="12"/>
        <v>55.527225756305171</v>
      </c>
      <c r="AE14" s="297">
        <f t="shared" si="12"/>
        <v>58.761132076288099</v>
      </c>
      <c r="AF14" s="300">
        <f t="shared" si="12"/>
        <v>57.147346883402498</v>
      </c>
      <c r="AG14" s="446"/>
      <c r="AH14" s="4"/>
    </row>
    <row r="15" spans="1:34" ht="14.4">
      <c r="A15" s="1699"/>
      <c r="B15" s="665">
        <v>9</v>
      </c>
      <c r="C15" s="668" t="s">
        <v>817</v>
      </c>
      <c r="D15" s="674">
        <f>D8+D13+D14</f>
        <v>3671</v>
      </c>
      <c r="E15" s="264">
        <f t="shared" ref="E15:F15" si="13">E8+E13+E14</f>
        <v>1179</v>
      </c>
      <c r="F15" s="294">
        <f t="shared" si="13"/>
        <v>500</v>
      </c>
      <c r="G15" s="311">
        <f t="shared" ref="G15:AF15" si="14">G8+G13+G14</f>
        <v>2561.9855516166958</v>
      </c>
      <c r="H15" s="312">
        <f t="shared" si="14"/>
        <v>4043.5593742829474</v>
      </c>
      <c r="I15" s="312">
        <f t="shared" si="14"/>
        <v>5924.0141902223295</v>
      </c>
      <c r="J15" s="313">
        <f t="shared" si="14"/>
        <v>7705.4433659854976</v>
      </c>
      <c r="K15" s="311">
        <f t="shared" si="14"/>
        <v>10925.7292407402</v>
      </c>
      <c r="L15" s="312">
        <f t="shared" si="14"/>
        <v>12988.464174404342</v>
      </c>
      <c r="M15" s="312">
        <f t="shared" si="14"/>
        <v>12853.656469215515</v>
      </c>
      <c r="N15" s="312">
        <f t="shared" si="14"/>
        <v>12903.600091389635</v>
      </c>
      <c r="O15" s="312">
        <f t="shared" si="14"/>
        <v>14376.464659430612</v>
      </c>
      <c r="P15" s="312">
        <f t="shared" si="14"/>
        <v>19934.080252056556</v>
      </c>
      <c r="Q15" s="312">
        <f t="shared" si="14"/>
        <v>27650.310797870425</v>
      </c>
      <c r="R15" s="312">
        <f t="shared" si="14"/>
        <v>31467.227306672983</v>
      </c>
      <c r="S15" s="312">
        <f t="shared" si="14"/>
        <v>35838.011159057532</v>
      </c>
      <c r="T15" s="312">
        <f t="shared" si="14"/>
        <v>40870.604897173944</v>
      </c>
      <c r="U15" s="312">
        <f t="shared" si="14"/>
        <v>45900.051251132143</v>
      </c>
      <c r="V15" s="312">
        <f t="shared" si="14"/>
        <v>51540.910535525814</v>
      </c>
      <c r="W15" s="312">
        <f t="shared" si="14"/>
        <v>57905.305483645388</v>
      </c>
      <c r="X15" s="312">
        <f t="shared" si="14"/>
        <v>60189.947713127345</v>
      </c>
      <c r="Y15" s="312">
        <f t="shared" si="14"/>
        <v>67478.041922725752</v>
      </c>
      <c r="Z15" s="312">
        <f t="shared" si="14"/>
        <v>75617.398045653827</v>
      </c>
      <c r="AA15" s="312">
        <f t="shared" si="14"/>
        <v>84795.879230907289</v>
      </c>
      <c r="AB15" s="312">
        <f t="shared" si="14"/>
        <v>95148.620226380648</v>
      </c>
      <c r="AC15" s="312">
        <f t="shared" si="14"/>
        <v>97274.91674742724</v>
      </c>
      <c r="AD15" s="312">
        <f t="shared" si="14"/>
        <v>108943.59481270766</v>
      </c>
      <c r="AE15" s="312">
        <f t="shared" si="14"/>
        <v>121941.32529408475</v>
      </c>
      <c r="AF15" s="313">
        <f t="shared" si="14"/>
        <v>133570.16016634696</v>
      </c>
      <c r="AG15" s="446"/>
      <c r="AH15" s="4"/>
    </row>
    <row r="16" spans="1:34" ht="14.4">
      <c r="A16" s="1699"/>
      <c r="B16" s="665">
        <v>10</v>
      </c>
      <c r="C16" s="666" t="s">
        <v>818</v>
      </c>
      <c r="D16" s="1318">
        <v>-513</v>
      </c>
      <c r="E16" s="1319">
        <v>122</v>
      </c>
      <c r="F16" s="1320">
        <v>346</v>
      </c>
      <c r="G16" s="410">
        <f>$D$57*-G15</f>
        <v>128.09927758083481</v>
      </c>
      <c r="H16" s="380">
        <f t="shared" ref="H16:J16" si="15">$D$57*-H15</f>
        <v>202.17796871414737</v>
      </c>
      <c r="I16" s="380">
        <f t="shared" si="15"/>
        <v>296.20070951111649</v>
      </c>
      <c r="J16" s="380">
        <f t="shared" si="15"/>
        <v>385.27216829927488</v>
      </c>
      <c r="K16" s="379">
        <f>K15*-$E$57</f>
        <v>-218.51458481480401</v>
      </c>
      <c r="L16" s="380">
        <f t="shared" ref="L16:Q16" si="16">L15*-$E$57</f>
        <v>-259.76928348808684</v>
      </c>
      <c r="M16" s="380">
        <f t="shared" si="16"/>
        <v>-257.07312938431033</v>
      </c>
      <c r="N16" s="380">
        <f t="shared" si="16"/>
        <v>-258.07200182779269</v>
      </c>
      <c r="O16" s="380">
        <f t="shared" si="16"/>
        <v>-287.52929318861226</v>
      </c>
      <c r="P16" s="380">
        <f t="shared" si="16"/>
        <v>-398.68160504113115</v>
      </c>
      <c r="Q16" s="380">
        <f t="shared" si="16"/>
        <v>-553.00621595740847</v>
      </c>
      <c r="R16" s="380">
        <f>$F$57*-R15</f>
        <v>-5034.756369067677</v>
      </c>
      <c r="S16" s="380">
        <f t="shared" ref="S16:AF16" si="17">$F$57*-S15</f>
        <v>-5734.0817854492052</v>
      </c>
      <c r="T16" s="380">
        <f t="shared" si="17"/>
        <v>-6539.2967835478312</v>
      </c>
      <c r="U16" s="380">
        <f t="shared" si="17"/>
        <v>-7344.0082001811434</v>
      </c>
      <c r="V16" s="380">
        <f t="shared" si="17"/>
        <v>-8246.5456856841301</v>
      </c>
      <c r="W16" s="380">
        <f t="shared" si="17"/>
        <v>-9264.8488773832632</v>
      </c>
      <c r="X16" s="380">
        <f t="shared" si="17"/>
        <v>-9630.3916341003751</v>
      </c>
      <c r="Y16" s="380">
        <f t="shared" si="17"/>
        <v>-10796.486707636121</v>
      </c>
      <c r="Z16" s="380">
        <f t="shared" si="17"/>
        <v>-12098.783687304613</v>
      </c>
      <c r="AA16" s="380">
        <f t="shared" si="17"/>
        <v>-13567.340676945167</v>
      </c>
      <c r="AB16" s="380">
        <f t="shared" si="17"/>
        <v>-15223.779236220904</v>
      </c>
      <c r="AC16" s="380">
        <f t="shared" si="17"/>
        <v>-15563.986679588359</v>
      </c>
      <c r="AD16" s="380">
        <f t="shared" si="17"/>
        <v>-17430.975170033224</v>
      </c>
      <c r="AE16" s="380">
        <f t="shared" si="17"/>
        <v>-19510.612047053561</v>
      </c>
      <c r="AF16" s="381">
        <f t="shared" si="17"/>
        <v>-21371.225626615513</v>
      </c>
      <c r="AG16" s="446"/>
      <c r="AH16" s="4"/>
    </row>
    <row r="17" spans="1:34" ht="14.4">
      <c r="A17" s="1699"/>
      <c r="B17" s="669">
        <v>11</v>
      </c>
      <c r="C17" s="670" t="s">
        <v>819</v>
      </c>
      <c r="D17" s="1425">
        <f>D15+D16+D14</f>
        <v>3162</v>
      </c>
      <c r="E17" s="615">
        <f t="shared" ref="E17:F17" si="18">E15+E16+E14</f>
        <v>1320</v>
      </c>
      <c r="F17" s="296">
        <f t="shared" si="18"/>
        <v>854</v>
      </c>
      <c r="G17" s="302">
        <f t="shared" ref="G17:AF17" si="19">G16+G15</f>
        <v>2690.0848291975308</v>
      </c>
      <c r="H17" s="303">
        <f t="shared" si="19"/>
        <v>4245.7373429970949</v>
      </c>
      <c r="I17" s="303">
        <f t="shared" si="19"/>
        <v>6220.2148997334461</v>
      </c>
      <c r="J17" s="304">
        <f t="shared" si="19"/>
        <v>8090.7155342847727</v>
      </c>
      <c r="K17" s="302">
        <f t="shared" si="19"/>
        <v>10707.214655925396</v>
      </c>
      <c r="L17" s="303">
        <f t="shared" si="19"/>
        <v>12728.694890916255</v>
      </c>
      <c r="M17" s="303">
        <f t="shared" si="19"/>
        <v>12596.583339831204</v>
      </c>
      <c r="N17" s="303">
        <f t="shared" si="19"/>
        <v>12645.528089561842</v>
      </c>
      <c r="O17" s="303">
        <f t="shared" si="19"/>
        <v>14088.935366242</v>
      </c>
      <c r="P17" s="303">
        <f t="shared" si="19"/>
        <v>19535.398647015423</v>
      </c>
      <c r="Q17" s="303">
        <f t="shared" si="19"/>
        <v>27097.304581913017</v>
      </c>
      <c r="R17" s="303">
        <f t="shared" si="19"/>
        <v>26432.470937605307</v>
      </c>
      <c r="S17" s="303">
        <f t="shared" si="19"/>
        <v>30103.929373608327</v>
      </c>
      <c r="T17" s="303">
        <f t="shared" si="19"/>
        <v>34331.30811362611</v>
      </c>
      <c r="U17" s="303">
        <f t="shared" si="19"/>
        <v>38556.043050950997</v>
      </c>
      <c r="V17" s="303">
        <f t="shared" si="19"/>
        <v>43294.364849841688</v>
      </c>
      <c r="W17" s="303">
        <f t="shared" si="19"/>
        <v>48640.456606262123</v>
      </c>
      <c r="X17" s="303">
        <f t="shared" si="19"/>
        <v>50559.556079026966</v>
      </c>
      <c r="Y17" s="303">
        <f t="shared" si="19"/>
        <v>56681.555215089633</v>
      </c>
      <c r="Z17" s="303">
        <f t="shared" si="19"/>
        <v>63518.614358349216</v>
      </c>
      <c r="AA17" s="303">
        <f t="shared" si="19"/>
        <v>71228.53855396212</v>
      </c>
      <c r="AB17" s="303">
        <f t="shared" si="19"/>
        <v>79924.840990159748</v>
      </c>
      <c r="AC17" s="303">
        <f t="shared" si="19"/>
        <v>81710.930067838883</v>
      </c>
      <c r="AD17" s="303">
        <f t="shared" si="19"/>
        <v>91512.619642674428</v>
      </c>
      <c r="AE17" s="303">
        <f t="shared" si="19"/>
        <v>102430.71324703118</v>
      </c>
      <c r="AF17" s="304">
        <f t="shared" si="19"/>
        <v>112198.93453973145</v>
      </c>
      <c r="AG17" s="446"/>
      <c r="AH17" s="4"/>
    </row>
    <row r="18" spans="1:34" ht="14.4">
      <c r="A18" s="229"/>
      <c r="B18" s="241"/>
      <c r="C18" s="242" t="s">
        <v>447</v>
      </c>
      <c r="D18" s="246" t="s">
        <v>447</v>
      </c>
      <c r="E18" s="246" t="s">
        <v>447</v>
      </c>
      <c r="F18" s="246" t="s">
        <v>447</v>
      </c>
      <c r="G18" s="243" t="s">
        <v>447</v>
      </c>
      <c r="H18" s="243" t="s">
        <v>447</v>
      </c>
      <c r="I18" s="243" t="s">
        <v>447</v>
      </c>
      <c r="J18" s="243" t="s">
        <v>447</v>
      </c>
      <c r="K18" s="243" t="s">
        <v>447</v>
      </c>
      <c r="L18" s="243" t="s">
        <v>447</v>
      </c>
      <c r="M18" s="243" t="s">
        <v>447</v>
      </c>
      <c r="N18" s="243" t="s">
        <v>447</v>
      </c>
      <c r="O18" s="243" t="s">
        <v>447</v>
      </c>
      <c r="P18" s="243" t="s">
        <v>447</v>
      </c>
      <c r="Q18" s="243" t="s">
        <v>447</v>
      </c>
      <c r="R18" s="243" t="s">
        <v>447</v>
      </c>
      <c r="S18" s="243" t="s">
        <v>447</v>
      </c>
      <c r="T18" s="243" t="s">
        <v>447</v>
      </c>
      <c r="U18" s="243" t="s">
        <v>447</v>
      </c>
      <c r="V18" s="243" t="s">
        <v>447</v>
      </c>
      <c r="W18" s="243" t="s">
        <v>447</v>
      </c>
      <c r="X18" s="243" t="s">
        <v>447</v>
      </c>
      <c r="Y18" s="243" t="s">
        <v>447</v>
      </c>
      <c r="Z18" s="243" t="s">
        <v>447</v>
      </c>
      <c r="AA18" s="243" t="s">
        <v>447</v>
      </c>
      <c r="AB18" s="243" t="s">
        <v>447</v>
      </c>
      <c r="AC18" s="243" t="s">
        <v>447</v>
      </c>
      <c r="AD18" s="243" t="s">
        <v>447</v>
      </c>
      <c r="AE18" s="243" t="s">
        <v>447</v>
      </c>
      <c r="AF18" s="251" t="s">
        <v>447</v>
      </c>
      <c r="AG18" s="446"/>
      <c r="AH18" s="4"/>
    </row>
    <row r="19" spans="1:34" ht="14.4">
      <c r="A19" s="1927" t="s">
        <v>820</v>
      </c>
      <c r="B19" s="219">
        <v>12</v>
      </c>
      <c r="C19" s="393" t="s">
        <v>821</v>
      </c>
      <c r="D19" s="378">
        <v>4674</v>
      </c>
      <c r="E19" s="258">
        <v>6492</v>
      </c>
      <c r="F19" s="658">
        <v>6100</v>
      </c>
      <c r="G19" s="638">
        <f>G17-G10-G9-G11</f>
        <v>8245.8683291975321</v>
      </c>
      <c r="H19" s="639">
        <f t="shared" ref="H19:AF19" si="20">H17-H10-H9-H11</f>
        <v>10091.509896547048</v>
      </c>
      <c r="I19" s="639">
        <f t="shared" si="20"/>
        <v>12402.276221533968</v>
      </c>
      <c r="J19" s="640">
        <f t="shared" si="20"/>
        <v>15568.509858912901</v>
      </c>
      <c r="K19" s="641">
        <f t="shared" si="20"/>
        <v>19895.276927284205</v>
      </c>
      <c r="L19" s="639">
        <f t="shared" si="20"/>
        <v>23943.051530273278</v>
      </c>
      <c r="M19" s="639">
        <f t="shared" si="20"/>
        <v>26188.385908654574</v>
      </c>
      <c r="N19" s="639">
        <f t="shared" si="20"/>
        <v>29144.998626140277</v>
      </c>
      <c r="O19" s="639">
        <f t="shared" si="20"/>
        <v>34150.743742068778</v>
      </c>
      <c r="P19" s="639">
        <f t="shared" si="20"/>
        <v>44032.403679743191</v>
      </c>
      <c r="Q19" s="639">
        <f t="shared" si="20"/>
        <v>56937.772863683225</v>
      </c>
      <c r="R19" s="639">
        <f t="shared" si="20"/>
        <v>59895.671905974334</v>
      </c>
      <c r="S19" s="639">
        <f t="shared" si="20"/>
        <v>68456.048702992455</v>
      </c>
      <c r="T19" s="639">
        <f t="shared" si="20"/>
        <v>78288.073831997273</v>
      </c>
      <c r="U19" s="639">
        <f t="shared" si="20"/>
        <v>88818.247001156313</v>
      </c>
      <c r="V19" s="639">
        <f t="shared" si="20"/>
        <v>100764.06546286723</v>
      </c>
      <c r="W19" s="639">
        <f t="shared" si="20"/>
        <v>114350.64534736297</v>
      </c>
      <c r="X19" s="639">
        <f t="shared" si="20"/>
        <v>125669.01042079862</v>
      </c>
      <c r="Y19" s="639">
        <f t="shared" si="20"/>
        <v>142539.09340748962</v>
      </c>
      <c r="Z19" s="639">
        <f t="shared" si="20"/>
        <v>161669.55359606203</v>
      </c>
      <c r="AA19" s="639">
        <f t="shared" si="20"/>
        <v>183443.61010813125</v>
      </c>
      <c r="AB19" s="639">
        <f t="shared" si="20"/>
        <v>208233.38845242618</v>
      </c>
      <c r="AC19" s="639">
        <f t="shared" si="20"/>
        <v>228439.02790286942</v>
      </c>
      <c r="AD19" s="639">
        <f t="shared" si="20"/>
        <v>259288.20485736243</v>
      </c>
      <c r="AE19" s="639">
        <f t="shared" si="20"/>
        <v>294302.38734134001</v>
      </c>
      <c r="AF19" s="642">
        <f t="shared" si="20"/>
        <v>331157.15644598915</v>
      </c>
      <c r="AG19" s="446"/>
      <c r="AH19" s="4"/>
    </row>
    <row r="20" spans="1:34" ht="14.4">
      <c r="A20" s="1928"/>
      <c r="B20" s="219">
        <v>13</v>
      </c>
      <c r="C20" s="239" t="s">
        <v>822</v>
      </c>
      <c r="D20" s="259">
        <v>-379</v>
      </c>
      <c r="E20" s="260">
        <v>-1081</v>
      </c>
      <c r="F20" s="659">
        <v>-1384</v>
      </c>
      <c r="G20" s="643">
        <f>G11</f>
        <v>-1310.4835</v>
      </c>
      <c r="H20" s="444">
        <f t="shared" ref="H20:AF20" si="21">H11</f>
        <v>-1501.5868450000003</v>
      </c>
      <c r="I20" s="444">
        <f t="shared" si="21"/>
        <v>-1724.5697386500001</v>
      </c>
      <c r="J20" s="445">
        <f t="shared" si="21"/>
        <v>-1989.2061522205004</v>
      </c>
      <c r="K20" s="429">
        <f t="shared" si="21"/>
        <v>-2927.1901992175199</v>
      </c>
      <c r="L20" s="444">
        <f t="shared" si="21"/>
        <v>-3434.4765522744242</v>
      </c>
      <c r="M20" s="444">
        <f t="shared" si="21"/>
        <v>-3930.0008028201883</v>
      </c>
      <c r="N20" s="444">
        <f t="shared" si="21"/>
        <v>-4512.4987884887387</v>
      </c>
      <c r="O20" s="444">
        <f t="shared" si="21"/>
        <v>-5198.3743162566743</v>
      </c>
      <c r="P20" s="444">
        <f t="shared" si="21"/>
        <v>-6071.1617715087268</v>
      </c>
      <c r="Q20" s="444">
        <f t="shared" si="21"/>
        <v>-7099.8693087772963</v>
      </c>
      <c r="R20" s="444">
        <f t="shared" si="21"/>
        <v>-5357.2796227312929</v>
      </c>
      <c r="S20" s="444">
        <f t="shared" si="21"/>
        <v>-6066.3227007432224</v>
      </c>
      <c r="T20" s="444">
        <f t="shared" si="21"/>
        <v>-6872.2673539171647</v>
      </c>
      <c r="U20" s="444">
        <f t="shared" si="21"/>
        <v>-7668.1689131708808</v>
      </c>
      <c r="V20" s="444">
        <f t="shared" si="21"/>
        <v>-8559.961851929269</v>
      </c>
      <c r="W20" s="444">
        <f t="shared" si="21"/>
        <v>-9559.68049167969</v>
      </c>
      <c r="X20" s="444">
        <f t="shared" si="21"/>
        <v>-10656.579954557759</v>
      </c>
      <c r="Y20" s="444">
        <f t="shared" si="21"/>
        <v>-11886.013534412319</v>
      </c>
      <c r="Z20" s="444">
        <f t="shared" si="21"/>
        <v>-13264.7976252349</v>
      </c>
      <c r="AA20" s="444">
        <f t="shared" si="21"/>
        <v>-14811.975616295505</v>
      </c>
      <c r="AB20" s="444">
        <f t="shared" si="21"/>
        <v>-16549.123267735191</v>
      </c>
      <c r="AC20" s="444">
        <f t="shared" si="21"/>
        <v>-18500.697094942207</v>
      </c>
      <c r="AD20" s="444">
        <f t="shared" si="21"/>
        <v>-20655.792486888757</v>
      </c>
      <c r="AE20" s="444">
        <f t="shared" si="21"/>
        <v>-23079.106371752445</v>
      </c>
      <c r="AF20" s="644">
        <f t="shared" si="21"/>
        <v>-25300.186432460283</v>
      </c>
      <c r="AG20" s="446"/>
      <c r="AH20" s="4"/>
    </row>
    <row r="21" spans="1:34" ht="14.4">
      <c r="A21" s="1928"/>
      <c r="B21" s="219">
        <v>14</v>
      </c>
      <c r="C21" s="239" t="s">
        <v>823</v>
      </c>
      <c r="D21" s="263">
        <v>-774</v>
      </c>
      <c r="E21" s="262">
        <v>-1846</v>
      </c>
      <c r="F21" s="660">
        <v>-3049</v>
      </c>
      <c r="G21" s="645">
        <f>G6*$D$61</f>
        <v>-2620.9670000000001</v>
      </c>
      <c r="H21" s="404">
        <f t="shared" ref="H21:J21" si="22">H6*$D$61</f>
        <v>-3003.1736900000005</v>
      </c>
      <c r="I21" s="404">
        <f t="shared" si="22"/>
        <v>-3449.1394773000002</v>
      </c>
      <c r="J21" s="405">
        <f t="shared" si="22"/>
        <v>-3978.4123044410007</v>
      </c>
      <c r="K21" s="301">
        <f t="shared" ref="K21:P21" si="23">K6*$E$61</f>
        <v>-3415.0552324204405</v>
      </c>
      <c r="L21" s="298">
        <f t="shared" si="23"/>
        <v>-4006.8893109868286</v>
      </c>
      <c r="M21" s="298">
        <f t="shared" si="23"/>
        <v>-4585.0009366235536</v>
      </c>
      <c r="N21" s="298">
        <f t="shared" si="23"/>
        <v>-5264.5819199035295</v>
      </c>
      <c r="O21" s="298">
        <f t="shared" si="23"/>
        <v>-6064.7700356327878</v>
      </c>
      <c r="P21" s="298">
        <f t="shared" si="23"/>
        <v>-7083.0220667601825</v>
      </c>
      <c r="Q21" s="298">
        <f t="shared" ref="Q21" si="24">Q6*$E$61</f>
        <v>-8283.1808602401798</v>
      </c>
      <c r="R21" s="298">
        <f>R6*$F$61</f>
        <v>-8035.9194340969389</v>
      </c>
      <c r="S21" s="298">
        <f t="shared" ref="S21:AF21" si="25">S6*$F$61</f>
        <v>-9099.4840511148341</v>
      </c>
      <c r="T21" s="298">
        <f t="shared" si="25"/>
        <v>-10308.401030875746</v>
      </c>
      <c r="U21" s="298">
        <f t="shared" si="25"/>
        <v>-11502.253369756319</v>
      </c>
      <c r="V21" s="298">
        <f t="shared" si="25"/>
        <v>-12839.942777893903</v>
      </c>
      <c r="W21" s="298">
        <f t="shared" si="25"/>
        <v>-14339.520737519535</v>
      </c>
      <c r="X21" s="298">
        <f t="shared" si="25"/>
        <v>-15984.869931836638</v>
      </c>
      <c r="Y21" s="298">
        <f t="shared" si="25"/>
        <v>-17829.020301618479</v>
      </c>
      <c r="Z21" s="298">
        <f t="shared" si="25"/>
        <v>-19897.196437852348</v>
      </c>
      <c r="AA21" s="298">
        <f t="shared" si="25"/>
        <v>-22217.963424443256</v>
      </c>
      <c r="AB21" s="298">
        <f t="shared" si="25"/>
        <v>-24823.684901602785</v>
      </c>
      <c r="AC21" s="298">
        <f t="shared" si="25"/>
        <v>-27751.045642413308</v>
      </c>
      <c r="AD21" s="298">
        <f t="shared" si="25"/>
        <v>-30983.688730333131</v>
      </c>
      <c r="AE21" s="298">
        <f t="shared" si="25"/>
        <v>-34618.659557628664</v>
      </c>
      <c r="AF21" s="298">
        <f t="shared" si="25"/>
        <v>-37950.279648690419</v>
      </c>
      <c r="AG21" s="446"/>
      <c r="AH21" s="4"/>
    </row>
    <row r="22" spans="1:34" ht="14.4">
      <c r="A22" s="1928"/>
      <c r="B22" s="219">
        <v>15</v>
      </c>
      <c r="C22" s="244" t="s">
        <v>824</v>
      </c>
      <c r="D22" s="1426">
        <f>D19+D20+D21</f>
        <v>3521</v>
      </c>
      <c r="E22" s="261">
        <f t="shared" ref="E22:F22" si="26">E19+E20+E21</f>
        <v>3565</v>
      </c>
      <c r="F22" s="661">
        <f t="shared" si="26"/>
        <v>1667</v>
      </c>
      <c r="G22" s="647">
        <f>G19+G20+G21</f>
        <v>4314.4178291975313</v>
      </c>
      <c r="H22" s="402">
        <f t="shared" ref="H22:AF22" si="27">H19+H20+H21</f>
        <v>5586.7493615470476</v>
      </c>
      <c r="I22" s="402">
        <f t="shared" si="27"/>
        <v>7228.5670055839682</v>
      </c>
      <c r="J22" s="403">
        <f t="shared" si="27"/>
        <v>9600.8914022514</v>
      </c>
      <c r="K22" s="401">
        <f t="shared" si="27"/>
        <v>13553.031495646246</v>
      </c>
      <c r="L22" s="402">
        <f t="shared" si="27"/>
        <v>16501.685667012025</v>
      </c>
      <c r="M22" s="402">
        <f t="shared" si="27"/>
        <v>17673.384169210833</v>
      </c>
      <c r="N22" s="402">
        <f t="shared" si="27"/>
        <v>19367.917917748011</v>
      </c>
      <c r="O22" s="402">
        <f t="shared" si="27"/>
        <v>22887.599390179315</v>
      </c>
      <c r="P22" s="402">
        <f t="shared" si="27"/>
        <v>30878.219841474282</v>
      </c>
      <c r="Q22" s="402">
        <f t="shared" si="27"/>
        <v>41554.722694665747</v>
      </c>
      <c r="R22" s="402">
        <f t="shared" si="27"/>
        <v>46502.472849146099</v>
      </c>
      <c r="S22" s="402">
        <f t="shared" si="27"/>
        <v>53290.241951134398</v>
      </c>
      <c r="T22" s="402">
        <f t="shared" si="27"/>
        <v>61107.405447204364</v>
      </c>
      <c r="U22" s="402">
        <f t="shared" si="27"/>
        <v>69647.824718229109</v>
      </c>
      <c r="V22" s="402">
        <f t="shared" si="27"/>
        <v>79364.160833044065</v>
      </c>
      <c r="W22" s="402">
        <f t="shared" si="27"/>
        <v>90451.444118163738</v>
      </c>
      <c r="X22" s="402">
        <f t="shared" si="27"/>
        <v>99027.560534404212</v>
      </c>
      <c r="Y22" s="402">
        <f t="shared" si="27"/>
        <v>112824.05957145883</v>
      </c>
      <c r="Z22" s="402">
        <f t="shared" si="27"/>
        <v>128507.55953297479</v>
      </c>
      <c r="AA22" s="402">
        <f t="shared" si="27"/>
        <v>146413.67106739248</v>
      </c>
      <c r="AB22" s="402">
        <f t="shared" si="27"/>
        <v>166860.5802830882</v>
      </c>
      <c r="AC22" s="402">
        <f t="shared" si="27"/>
        <v>182187.28516551389</v>
      </c>
      <c r="AD22" s="402">
        <f t="shared" si="27"/>
        <v>207648.72364014055</v>
      </c>
      <c r="AE22" s="402">
        <f t="shared" si="27"/>
        <v>236604.62141195888</v>
      </c>
      <c r="AF22" s="648">
        <f t="shared" si="27"/>
        <v>267906.69036483846</v>
      </c>
      <c r="AG22" s="446"/>
      <c r="AH22" s="4"/>
    </row>
    <row r="23" spans="1:34" ht="14.4">
      <c r="A23" s="1928"/>
      <c r="B23" s="219">
        <v>16</v>
      </c>
      <c r="C23" s="239" t="s">
        <v>825</v>
      </c>
      <c r="D23" s="263">
        <v>-301</v>
      </c>
      <c r="E23" s="262">
        <v>-450</v>
      </c>
      <c r="F23" s="662">
        <v>-546</v>
      </c>
      <c r="G23" s="649">
        <f>G6*$D$63</f>
        <v>-618.0356784372093</v>
      </c>
      <c r="H23" s="298">
        <f t="shared" ref="H23:J23" si="28">H6*$D$63</f>
        <v>-708.16171625355355</v>
      </c>
      <c r="I23" s="298">
        <f t="shared" si="28"/>
        <v>-813.32243285690618</v>
      </c>
      <c r="J23" s="392">
        <f t="shared" si="28"/>
        <v>-938.12732006092983</v>
      </c>
      <c r="K23" s="301">
        <f>K6*$E$63</f>
        <v>-1463.5950996087599</v>
      </c>
      <c r="L23" s="298">
        <f t="shared" ref="L23:O23" si="29">L6*$E$63</f>
        <v>-1717.2382761372121</v>
      </c>
      <c r="M23" s="298">
        <f t="shared" si="29"/>
        <v>-1965.0004014100941</v>
      </c>
      <c r="N23" s="298">
        <f t="shared" si="29"/>
        <v>-2256.2493942443693</v>
      </c>
      <c r="O23" s="298">
        <f t="shared" si="29"/>
        <v>-2599.1871581283372</v>
      </c>
      <c r="P23" s="298">
        <f>P6*$F$63</f>
        <v>-2327.2786790783452</v>
      </c>
      <c r="Q23" s="298">
        <f t="shared" ref="Q23:AF23" si="30">Q6*$F$63</f>
        <v>-2721.6165683646304</v>
      </c>
      <c r="R23" s="298">
        <f t="shared" si="30"/>
        <v>-3080.435783070493</v>
      </c>
      <c r="S23" s="298">
        <f t="shared" si="30"/>
        <v>-3488.1355529273528</v>
      </c>
      <c r="T23" s="298">
        <f t="shared" si="30"/>
        <v>-3951.5537285023697</v>
      </c>
      <c r="U23" s="298">
        <f t="shared" si="30"/>
        <v>-4409.1971250732558</v>
      </c>
      <c r="V23" s="298">
        <f t="shared" si="30"/>
        <v>-4921.9780648593296</v>
      </c>
      <c r="W23" s="298">
        <f t="shared" si="30"/>
        <v>-5496.8162827158221</v>
      </c>
      <c r="X23" s="298">
        <f t="shared" si="30"/>
        <v>-6127.5334738707115</v>
      </c>
      <c r="Y23" s="298">
        <f t="shared" si="30"/>
        <v>-6834.4577822870833</v>
      </c>
      <c r="Z23" s="298">
        <f t="shared" si="30"/>
        <v>-7627.2586345100672</v>
      </c>
      <c r="AA23" s="298">
        <f t="shared" si="30"/>
        <v>-8516.8859793699157</v>
      </c>
      <c r="AB23" s="298">
        <f t="shared" si="30"/>
        <v>-9515.7458789477332</v>
      </c>
      <c r="AC23" s="298">
        <f t="shared" si="30"/>
        <v>-10637.900829591768</v>
      </c>
      <c r="AD23" s="298">
        <f t="shared" si="30"/>
        <v>-11877.080679961035</v>
      </c>
      <c r="AE23" s="298">
        <f t="shared" si="30"/>
        <v>-13270.486163757654</v>
      </c>
      <c r="AF23" s="646">
        <f t="shared" si="30"/>
        <v>-14547.607198664662</v>
      </c>
      <c r="AG23" s="447">
        <f>SUM(D23:AF23)</f>
        <v>-133727.88588268962</v>
      </c>
      <c r="AH23" s="4"/>
    </row>
    <row r="24" spans="1:34" ht="14.4">
      <c r="A24" s="1928"/>
      <c r="B24" s="219">
        <v>17</v>
      </c>
      <c r="C24" s="239" t="s">
        <v>826</v>
      </c>
      <c r="D24" s="263">
        <v>-378</v>
      </c>
      <c r="E24" s="262">
        <v>2465</v>
      </c>
      <c r="F24" s="660">
        <v>-866</v>
      </c>
      <c r="G24" s="649">
        <f>G6*$D$64</f>
        <v>-131.04835</v>
      </c>
      <c r="H24" s="298">
        <f t="shared" ref="H24:J24" si="31">H6*$D$64</f>
        <v>-150.15868450000002</v>
      </c>
      <c r="I24" s="298">
        <f t="shared" si="31"/>
        <v>-172.45697386500001</v>
      </c>
      <c r="J24" s="392">
        <f t="shared" si="31"/>
        <v>-198.92061522205003</v>
      </c>
      <c r="K24" s="301">
        <f>K6*$E$64</f>
        <v>-243.93251660146001</v>
      </c>
      <c r="L24" s="298">
        <f t="shared" ref="L24:M24" si="32">L6*$E$64</f>
        <v>-286.20637935620204</v>
      </c>
      <c r="M24" s="298">
        <f t="shared" si="32"/>
        <v>-327.50006690168237</v>
      </c>
      <c r="N24" s="298">
        <f t="shared" ref="N24:AF24" si="33">N6*$F$64</f>
        <v>-2256.2493942443693</v>
      </c>
      <c r="O24" s="298">
        <f t="shared" si="33"/>
        <v>-2599.1871581283372</v>
      </c>
      <c r="P24" s="298">
        <f t="shared" si="33"/>
        <v>-3035.5808857543634</v>
      </c>
      <c r="Q24" s="298">
        <f t="shared" si="33"/>
        <v>-3549.9346543886481</v>
      </c>
      <c r="R24" s="298">
        <f t="shared" si="33"/>
        <v>-4017.9597170484694</v>
      </c>
      <c r="S24" s="298">
        <f t="shared" si="33"/>
        <v>-4549.742025557417</v>
      </c>
      <c r="T24" s="298">
        <f t="shared" si="33"/>
        <v>-5154.200515437873</v>
      </c>
      <c r="U24" s="298">
        <f t="shared" si="33"/>
        <v>-5751.1266848781597</v>
      </c>
      <c r="V24" s="298">
        <f t="shared" si="33"/>
        <v>-6419.9713889469513</v>
      </c>
      <c r="W24" s="298">
        <f t="shared" si="33"/>
        <v>-7169.7603687597675</v>
      </c>
      <c r="X24" s="298">
        <f t="shared" si="33"/>
        <v>-7992.434965918319</v>
      </c>
      <c r="Y24" s="298">
        <f t="shared" si="33"/>
        <v>-8914.5101508092393</v>
      </c>
      <c r="Z24" s="298">
        <f t="shared" si="33"/>
        <v>-9948.598218926174</v>
      </c>
      <c r="AA24" s="298">
        <f t="shared" si="33"/>
        <v>-11108.981712221628</v>
      </c>
      <c r="AB24" s="298">
        <f t="shared" si="33"/>
        <v>-12411.842450801392</v>
      </c>
      <c r="AC24" s="298">
        <f t="shared" si="33"/>
        <v>-13875.522821206654</v>
      </c>
      <c r="AD24" s="298">
        <f t="shared" si="33"/>
        <v>-15491.844365166566</v>
      </c>
      <c r="AE24" s="298">
        <f t="shared" si="33"/>
        <v>-17309.329778814332</v>
      </c>
      <c r="AF24" s="646">
        <f t="shared" si="33"/>
        <v>-18975.139824345209</v>
      </c>
      <c r="AG24" s="446"/>
      <c r="AH24" s="448">
        <f>AG9-AG23</f>
        <v>-20637.446075176937</v>
      </c>
    </row>
    <row r="25" spans="1:34" ht="14.4" hidden="1">
      <c r="A25" s="1928"/>
      <c r="B25" s="219"/>
      <c r="C25" s="239" t="s">
        <v>827</v>
      </c>
      <c r="D25" s="263">
        <v>-7</v>
      </c>
      <c r="E25" s="262">
        <v>-16</v>
      </c>
      <c r="F25" s="660">
        <v>-11</v>
      </c>
      <c r="G25" s="649"/>
      <c r="H25" s="298"/>
      <c r="I25" s="298"/>
      <c r="J25" s="392"/>
      <c r="K25" s="301"/>
      <c r="L25" s="298"/>
      <c r="M25" s="298"/>
      <c r="N25" s="298"/>
      <c r="O25" s="298"/>
      <c r="P25" s="298"/>
      <c r="Q25" s="298"/>
      <c r="R25" s="298"/>
      <c r="S25" s="298"/>
      <c r="T25" s="298"/>
      <c r="U25" s="298"/>
      <c r="V25" s="298"/>
      <c r="W25" s="298"/>
      <c r="X25" s="298"/>
      <c r="Y25" s="298"/>
      <c r="Z25" s="298"/>
      <c r="AA25" s="298"/>
      <c r="AB25" s="298"/>
      <c r="AC25" s="298"/>
      <c r="AD25" s="298"/>
      <c r="AE25" s="298"/>
      <c r="AF25" s="646"/>
      <c r="AG25" s="446"/>
      <c r="AH25" s="448"/>
    </row>
    <row r="26" spans="1:34" ht="14.4">
      <c r="A26" s="1928"/>
      <c r="B26" s="219">
        <v>18</v>
      </c>
      <c r="C26" s="239" t="s">
        <v>828</v>
      </c>
      <c r="D26" s="263">
        <v>-7</v>
      </c>
      <c r="E26" s="262">
        <v>-16</v>
      </c>
      <c r="F26" s="660">
        <v>-11</v>
      </c>
      <c r="G26" s="649"/>
      <c r="H26" s="298">
        <f t="shared" ref="H26:AF26" si="34">(1+H5)*AVERAGE(E26:G26)</f>
        <v>-15.468659015928095</v>
      </c>
      <c r="I26" s="298">
        <f t="shared" si="34"/>
        <v>-15.199603177635415</v>
      </c>
      <c r="J26" s="392">
        <f t="shared" si="34"/>
        <v>-17.687164069428487</v>
      </c>
      <c r="K26" s="301">
        <f>(1+K5)*AVERAGE(H26:J26)</f>
        <v>-19.765775753476657</v>
      </c>
      <c r="L26" s="298">
        <f t="shared" si="34"/>
        <v>-20.592435298683007</v>
      </c>
      <c r="M26" s="298">
        <f t="shared" si="34"/>
        <v>-22.140042532029408</v>
      </c>
      <c r="N26" s="298">
        <f t="shared" si="34"/>
        <v>-23.920545883767918</v>
      </c>
      <c r="O26" s="298">
        <f t="shared" si="34"/>
        <v>-25.594641521905142</v>
      </c>
      <c r="P26" s="298">
        <f t="shared" si="34"/>
        <v>-27.895290992929141</v>
      </c>
      <c r="Q26" s="298">
        <f t="shared" si="34"/>
        <v>-30.175678639698155</v>
      </c>
      <c r="R26" s="298">
        <f t="shared" si="34"/>
        <v>-31.565374957495287</v>
      </c>
      <c r="S26" s="298">
        <f t="shared" si="34"/>
        <v>-33.833277975105133</v>
      </c>
      <c r="T26" s="298">
        <f t="shared" si="34"/>
        <v>-36.090637394781297</v>
      </c>
      <c r="U26" s="298">
        <f t="shared" si="34"/>
        <v>-37.747707853876911</v>
      </c>
      <c r="V26" s="298">
        <f t="shared" si="34"/>
        <v>-40.064540299299701</v>
      </c>
      <c r="W26" s="298">
        <f t="shared" si="34"/>
        <v>-42.401870933315898</v>
      </c>
      <c r="X26" s="298">
        <f t="shared" si="34"/>
        <v>-44.669253427696368</v>
      </c>
      <c r="Y26" s="298">
        <f t="shared" si="34"/>
        <v>-47.267704939196413</v>
      </c>
      <c r="Z26" s="298">
        <f t="shared" si="34"/>
        <v>-49.974069066388374</v>
      </c>
      <c r="AA26" s="298">
        <f t="shared" si="34"/>
        <v>-52.821076692654032</v>
      </c>
      <c r="AB26" s="298">
        <f t="shared" si="34"/>
        <v>-55.887404409459862</v>
      </c>
      <c r="AC26" s="298">
        <f t="shared" si="34"/>
        <v>-59.131788986148472</v>
      </c>
      <c r="AD26" s="298">
        <f t="shared" si="34"/>
        <v>-62.463840724399823</v>
      </c>
      <c r="AE26" s="298">
        <f t="shared" si="34"/>
        <v>-66.101713377124341</v>
      </c>
      <c r="AF26" s="646">
        <f t="shared" si="34"/>
        <v>-64.286340007527883</v>
      </c>
      <c r="AG26" s="282"/>
      <c r="AH26" s="4"/>
    </row>
    <row r="27" spans="1:34" ht="14.4">
      <c r="A27" s="1928"/>
      <c r="B27" s="219">
        <v>19</v>
      </c>
      <c r="C27" s="244" t="s">
        <v>829</v>
      </c>
      <c r="D27" s="1426">
        <f>SUM(D23:D26)</f>
        <v>-693</v>
      </c>
      <c r="E27" s="261">
        <f t="shared" ref="E27:F27" si="35">SUM(E23:E26)</f>
        <v>1983</v>
      </c>
      <c r="F27" s="661">
        <f t="shared" si="35"/>
        <v>-1434</v>
      </c>
      <c r="G27" s="650">
        <f>G23+G24+G26</f>
        <v>-749.08402843720933</v>
      </c>
      <c r="H27" s="314">
        <f t="shared" ref="H27:AF27" si="36">H23+H24+H26</f>
        <v>-873.7890597694817</v>
      </c>
      <c r="I27" s="314">
        <f t="shared" si="36"/>
        <v>-1000.9790098995416</v>
      </c>
      <c r="J27" s="391">
        <f t="shared" si="36"/>
        <v>-1154.7350993524083</v>
      </c>
      <c r="K27" s="315">
        <f t="shared" si="36"/>
        <v>-1727.2933919636966</v>
      </c>
      <c r="L27" s="314">
        <f t="shared" si="36"/>
        <v>-2024.0370907920972</v>
      </c>
      <c r="M27" s="314">
        <f t="shared" si="36"/>
        <v>-2314.6405108438057</v>
      </c>
      <c r="N27" s="314">
        <f t="shared" si="36"/>
        <v>-4536.4193343725065</v>
      </c>
      <c r="O27" s="314">
        <f t="shared" si="36"/>
        <v>-5223.9689577785794</v>
      </c>
      <c r="P27" s="314">
        <f t="shared" si="36"/>
        <v>-5390.7548558256376</v>
      </c>
      <c r="Q27" s="314">
        <f t="shared" si="36"/>
        <v>-6301.7269013929763</v>
      </c>
      <c r="R27" s="314">
        <f t="shared" si="36"/>
        <v>-7129.9608750764573</v>
      </c>
      <c r="S27" s="314">
        <f t="shared" si="36"/>
        <v>-8071.7108564598748</v>
      </c>
      <c r="T27" s="314">
        <f t="shared" si="36"/>
        <v>-9141.8448813350242</v>
      </c>
      <c r="U27" s="314">
        <f t="shared" si="36"/>
        <v>-10198.071517805294</v>
      </c>
      <c r="V27" s="314">
        <f t="shared" si="36"/>
        <v>-11382.01399410558</v>
      </c>
      <c r="W27" s="314">
        <f t="shared" si="36"/>
        <v>-12708.978522408905</v>
      </c>
      <c r="X27" s="314">
        <f t="shared" si="36"/>
        <v>-14164.637693216728</v>
      </c>
      <c r="Y27" s="314">
        <f t="shared" si="36"/>
        <v>-15796.23563803552</v>
      </c>
      <c r="Z27" s="314">
        <f t="shared" si="36"/>
        <v>-17625.830922502631</v>
      </c>
      <c r="AA27" s="314">
        <f t="shared" si="36"/>
        <v>-19678.688768284195</v>
      </c>
      <c r="AB27" s="314">
        <f t="shared" si="36"/>
        <v>-21983.475734158583</v>
      </c>
      <c r="AC27" s="314">
        <f t="shared" si="36"/>
        <v>-24572.555439784574</v>
      </c>
      <c r="AD27" s="314">
        <f t="shared" si="36"/>
        <v>-27431.388885852</v>
      </c>
      <c r="AE27" s="314">
        <f t="shared" si="36"/>
        <v>-30645.91765594911</v>
      </c>
      <c r="AF27" s="651">
        <f t="shared" si="36"/>
        <v>-33587.033363017399</v>
      </c>
      <c r="AG27" s="446"/>
      <c r="AH27" s="4"/>
    </row>
    <row r="28" spans="1:34" ht="14.4">
      <c r="A28" s="1928"/>
      <c r="B28" s="219">
        <v>20</v>
      </c>
      <c r="C28" s="239" t="s">
        <v>830</v>
      </c>
      <c r="D28" s="263">
        <v>0</v>
      </c>
      <c r="E28" s="262">
        <v>0</v>
      </c>
      <c r="F28" s="660">
        <v>0</v>
      </c>
      <c r="G28" s="1102">
        <v>0</v>
      </c>
      <c r="H28" s="1103">
        <v>0</v>
      </c>
      <c r="I28" s="1103">
        <v>0</v>
      </c>
      <c r="J28" s="1104">
        <v>0</v>
      </c>
      <c r="K28" s="1105">
        <v>0</v>
      </c>
      <c r="L28" s="1103">
        <v>0</v>
      </c>
      <c r="M28" s="1103">
        <v>0</v>
      </c>
      <c r="N28" s="1103">
        <v>0</v>
      </c>
      <c r="O28" s="1103">
        <v>0</v>
      </c>
      <c r="P28" s="1103">
        <v>0</v>
      </c>
      <c r="Q28" s="1103">
        <v>0</v>
      </c>
      <c r="R28" s="1103">
        <v>0</v>
      </c>
      <c r="S28" s="1103">
        <v>0</v>
      </c>
      <c r="T28" s="1103">
        <v>0</v>
      </c>
      <c r="U28" s="1103">
        <v>0</v>
      </c>
      <c r="V28" s="1103">
        <v>0</v>
      </c>
      <c r="W28" s="1103">
        <v>0</v>
      </c>
      <c r="X28" s="1103">
        <v>0</v>
      </c>
      <c r="Y28" s="1103">
        <v>0</v>
      </c>
      <c r="Z28" s="1103">
        <v>0</v>
      </c>
      <c r="AA28" s="1103">
        <v>0</v>
      </c>
      <c r="AB28" s="1103">
        <v>0</v>
      </c>
      <c r="AC28" s="1103">
        <v>0</v>
      </c>
      <c r="AD28" s="1103">
        <v>0</v>
      </c>
      <c r="AE28" s="1103">
        <v>0</v>
      </c>
      <c r="AF28" s="1106">
        <v>0</v>
      </c>
      <c r="AG28" s="446"/>
      <c r="AH28" s="4"/>
    </row>
    <row r="29" spans="1:34" ht="14.4">
      <c r="A29" s="1928"/>
      <c r="B29" s="219">
        <v>21</v>
      </c>
      <c r="C29" s="239" t="s">
        <v>831</v>
      </c>
      <c r="D29" s="263"/>
      <c r="E29" s="262">
        <v>679</v>
      </c>
      <c r="F29" s="660"/>
      <c r="G29" s="649">
        <f>G45-F45</f>
        <v>0</v>
      </c>
      <c r="H29" s="298">
        <f t="shared" ref="H29:AF29" si="37">H45-G45</f>
        <v>511.74328044060485</v>
      </c>
      <c r="I29" s="298">
        <f t="shared" si="37"/>
        <v>609.26493773194716</v>
      </c>
      <c r="J29" s="392">
        <f t="shared" si="37"/>
        <v>951.29888817305255</v>
      </c>
      <c r="K29" s="301">
        <f t="shared" si="37"/>
        <v>1134.2356396941586</v>
      </c>
      <c r="L29" s="298">
        <f t="shared" si="37"/>
        <v>1407.695575666713</v>
      </c>
      <c r="M29" s="298">
        <f t="shared" si="37"/>
        <v>-447.53841796404049</v>
      </c>
      <c r="N29" s="298">
        <f t="shared" si="37"/>
        <v>1475.0057879837213</v>
      </c>
      <c r="O29" s="298">
        <f t="shared" si="37"/>
        <v>1843.8725943383624</v>
      </c>
      <c r="P29" s="298">
        <f t="shared" si="37"/>
        <v>2243.7396035899146</v>
      </c>
      <c r="Q29" s="298">
        <f t="shared" si="37"/>
        <v>2666.8486861386664</v>
      </c>
      <c r="R29" s="298">
        <f t="shared" si="37"/>
        <v>3281.4401835256431</v>
      </c>
      <c r="S29" s="298">
        <f t="shared" si="37"/>
        <v>2632.9223732848586</v>
      </c>
      <c r="T29" s="298">
        <f t="shared" si="37"/>
        <v>3020.0838762633502</v>
      </c>
      <c r="U29" s="298">
        <f t="shared" si="37"/>
        <v>3464.5419193871858</v>
      </c>
      <c r="V29" s="298">
        <f t="shared" si="37"/>
        <v>3921.8684726114334</v>
      </c>
      <c r="W29" s="298">
        <f t="shared" si="37"/>
        <v>4489.6517676152616</v>
      </c>
      <c r="X29" s="298">
        <f t="shared" si="37"/>
        <v>5140.5528592808769</v>
      </c>
      <c r="Y29" s="298">
        <f t="shared" si="37"/>
        <v>5975.9272661617215</v>
      </c>
      <c r="Z29" s="298">
        <f t="shared" si="37"/>
        <v>6743.9456563982458</v>
      </c>
      <c r="AA29" s="298">
        <f t="shared" si="37"/>
        <v>7724.2253607407038</v>
      </c>
      <c r="AB29" s="298">
        <f t="shared" si="37"/>
        <v>8848.5545853899675</v>
      </c>
      <c r="AC29" s="298">
        <f t="shared" si="37"/>
        <v>10138.252617182996</v>
      </c>
      <c r="AD29" s="298">
        <f t="shared" si="37"/>
        <v>11818.518617903581</v>
      </c>
      <c r="AE29" s="298">
        <f t="shared" si="37"/>
        <v>13328.48896542695</v>
      </c>
      <c r="AF29" s="646">
        <f t="shared" si="37"/>
        <v>15276.927929649901</v>
      </c>
      <c r="AG29" s="446"/>
      <c r="AH29" s="4"/>
    </row>
    <row r="30" spans="1:34" ht="14.4">
      <c r="A30" s="1928"/>
      <c r="B30" s="219">
        <v>22</v>
      </c>
      <c r="C30" s="239" t="s">
        <v>832</v>
      </c>
      <c r="D30" s="263">
        <v>-1762</v>
      </c>
      <c r="E30" s="262">
        <v>-3702</v>
      </c>
      <c r="F30" s="660">
        <v>-985</v>
      </c>
      <c r="G30" s="649">
        <f>IF(F44+G35&gt;(G6-G8)*0.3,-G35-F44+(G6-G8)*0.3,G6*-0.1)</f>
        <v>-132.23541043992282</v>
      </c>
      <c r="H30" s="298">
        <f t="shared" ref="H30:AF30" si="38">IF(G44+H35&gt;(H6-H8)*0.3,-H35-G44+(H6-H8)*0.3,H6*-0.1)</f>
        <v>-4241.9848605385423</v>
      </c>
      <c r="I30" s="298">
        <f t="shared" si="38"/>
        <v>-12966.797213189395</v>
      </c>
      <c r="J30" s="392">
        <f t="shared" si="38"/>
        <v>-20212.326387633351</v>
      </c>
      <c r="K30" s="301">
        <f t="shared" si="38"/>
        <v>-28517.054473262884</v>
      </c>
      <c r="L30" s="298">
        <f t="shared" si="38"/>
        <v>-37227.110792038366</v>
      </c>
      <c r="M30" s="298">
        <f t="shared" si="38"/>
        <v>-12398.572827126181</v>
      </c>
      <c r="N30" s="298">
        <f t="shared" si="38"/>
        <v>-13017.900189969492</v>
      </c>
      <c r="O30" s="298">
        <f t="shared" si="38"/>
        <v>-16112.664785673489</v>
      </c>
      <c r="P30" s="298">
        <f t="shared" si="38"/>
        <v>-24595.703881913483</v>
      </c>
      <c r="Q30" s="298">
        <f t="shared" si="38"/>
        <v>-34626.591013067846</v>
      </c>
      <c r="R30" s="298">
        <f t="shared" si="38"/>
        <v>-38636.395330955289</v>
      </c>
      <c r="S30" s="298">
        <f t="shared" si="38"/>
        <v>-43324.477249882031</v>
      </c>
      <c r="T30" s="298">
        <f t="shared" si="38"/>
        <v>-49883.611687858123</v>
      </c>
      <c r="U30" s="298">
        <f t="shared" si="38"/>
        <v>-57858.213675378378</v>
      </c>
      <c r="V30" s="298">
        <f t="shared" si="38"/>
        <v>-66283.18204609782</v>
      </c>
      <c r="W30" s="298">
        <f t="shared" si="38"/>
        <v>-75981.06711539239</v>
      </c>
      <c r="X30" s="298">
        <f t="shared" si="38"/>
        <v>-81763.020093290223</v>
      </c>
      <c r="Y30" s="298">
        <f t="shared" si="38"/>
        <v>-95209.518646503595</v>
      </c>
      <c r="Z30" s="298">
        <f t="shared" si="38"/>
        <v>-108942.05194600724</v>
      </c>
      <c r="AA30" s="298">
        <f t="shared" si="38"/>
        <v>-124777.36768585372</v>
      </c>
      <c r="AB30" s="298">
        <f t="shared" si="38"/>
        <v>-142921.59068982894</v>
      </c>
      <c r="AC30" s="298">
        <f t="shared" si="38"/>
        <v>-152820.08070160728</v>
      </c>
      <c r="AD30" s="298">
        <f t="shared" si="38"/>
        <v>-178342.75840966543</v>
      </c>
      <c r="AE30" s="298">
        <f t="shared" si="38"/>
        <v>-203962.90428729271</v>
      </c>
      <c r="AF30" s="646">
        <f t="shared" si="38"/>
        <v>-235398.43003711372</v>
      </c>
      <c r="AG30" s="446"/>
      <c r="AH30" s="4"/>
    </row>
    <row r="31" spans="1:34" s="4" customFormat="1" ht="14.4">
      <c r="A31" s="1928"/>
      <c r="B31" s="219">
        <v>23</v>
      </c>
      <c r="C31" s="239" t="s">
        <v>833</v>
      </c>
      <c r="D31" s="263">
        <v>0</v>
      </c>
      <c r="E31" s="262">
        <v>0</v>
      </c>
      <c r="F31" s="660">
        <v>0</v>
      </c>
      <c r="G31" s="649">
        <f>-$D$65*G17</f>
        <v>0</v>
      </c>
      <c r="H31" s="298">
        <f t="shared" ref="H31:J31" si="39">-$D$65*H17</f>
        <v>0</v>
      </c>
      <c r="I31" s="298">
        <f t="shared" si="39"/>
        <v>0</v>
      </c>
      <c r="J31" s="392">
        <f t="shared" si="39"/>
        <v>0</v>
      </c>
      <c r="K31" s="301">
        <f t="shared" ref="K31:AF31" si="40">-$F$65*K17</f>
        <v>0</v>
      </c>
      <c r="L31" s="298">
        <f t="shared" si="40"/>
        <v>0</v>
      </c>
      <c r="M31" s="298">
        <f t="shared" si="40"/>
        <v>0</v>
      </c>
      <c r="N31" s="298">
        <f t="shared" si="40"/>
        <v>0</v>
      </c>
      <c r="O31" s="298">
        <f t="shared" si="40"/>
        <v>0</v>
      </c>
      <c r="P31" s="298">
        <f t="shared" si="40"/>
        <v>0</v>
      </c>
      <c r="Q31" s="298">
        <f t="shared" si="40"/>
        <v>0</v>
      </c>
      <c r="R31" s="298">
        <f t="shared" si="40"/>
        <v>0</v>
      </c>
      <c r="S31" s="298">
        <f t="shared" si="40"/>
        <v>0</v>
      </c>
      <c r="T31" s="298">
        <f t="shared" si="40"/>
        <v>0</v>
      </c>
      <c r="U31" s="298">
        <f t="shared" si="40"/>
        <v>0</v>
      </c>
      <c r="V31" s="298">
        <f t="shared" si="40"/>
        <v>0</v>
      </c>
      <c r="W31" s="298">
        <f t="shared" si="40"/>
        <v>0</v>
      </c>
      <c r="X31" s="298">
        <f t="shared" si="40"/>
        <v>0</v>
      </c>
      <c r="Y31" s="298">
        <f t="shared" si="40"/>
        <v>0</v>
      </c>
      <c r="Z31" s="298">
        <f t="shared" si="40"/>
        <v>0</v>
      </c>
      <c r="AA31" s="298">
        <f t="shared" si="40"/>
        <v>0</v>
      </c>
      <c r="AB31" s="298">
        <f t="shared" si="40"/>
        <v>0</v>
      </c>
      <c r="AC31" s="298">
        <f t="shared" si="40"/>
        <v>0</v>
      </c>
      <c r="AD31" s="298">
        <f t="shared" si="40"/>
        <v>0</v>
      </c>
      <c r="AE31" s="298">
        <f t="shared" si="40"/>
        <v>0</v>
      </c>
      <c r="AF31" s="646">
        <f t="shared" si="40"/>
        <v>0</v>
      </c>
      <c r="AG31" s="446"/>
    </row>
    <row r="32" spans="1:34" s="2" customFormat="1" ht="14.4">
      <c r="A32" s="1928"/>
      <c r="B32" s="219">
        <v>24</v>
      </c>
      <c r="C32" s="239" t="s">
        <v>834</v>
      </c>
      <c r="D32" s="338">
        <v>-133</v>
      </c>
      <c r="E32" s="337">
        <v>-241</v>
      </c>
      <c r="F32" s="663">
        <v>-161</v>
      </c>
      <c r="G32" s="649">
        <f>(1+G5)*AVERAGE(D32:F32)</f>
        <v>-206.08720532039979</v>
      </c>
      <c r="H32" s="298">
        <f t="shared" ref="H32:AF32" si="41">(1+H5)*AVERAGE(E32:G32)</f>
        <v>-232.25416372962766</v>
      </c>
      <c r="I32" s="298">
        <f t="shared" si="41"/>
        <v>-229.44748786402221</v>
      </c>
      <c r="J32" s="392">
        <f t="shared" si="41"/>
        <v>-256.75383890198145</v>
      </c>
      <c r="K32" s="427">
        <f t="shared" si="41"/>
        <v>-293.67604034253122</v>
      </c>
      <c r="L32" s="428">
        <f t="shared" si="41"/>
        <v>-305.01041940034844</v>
      </c>
      <c r="M32" s="428">
        <f t="shared" si="41"/>
        <v>-326.28757340160973</v>
      </c>
      <c r="N32" s="428">
        <f t="shared" si="41"/>
        <v>-354.02403318873007</v>
      </c>
      <c r="O32" s="428">
        <f t="shared" si="41"/>
        <v>-378.36189018068751</v>
      </c>
      <c r="P32" s="428">
        <f t="shared" si="41"/>
        <v>-412.14026226145597</v>
      </c>
      <c r="Q32" s="428">
        <f t="shared" si="41"/>
        <v>-446.15218878353272</v>
      </c>
      <c r="R32" s="428">
        <f t="shared" si="41"/>
        <v>-466.56514468654683</v>
      </c>
      <c r="S32" s="428">
        <f t="shared" si="41"/>
        <v>-500.06808643057809</v>
      </c>
      <c r="T32" s="428">
        <f t="shared" si="41"/>
        <v>-533.49393574045166</v>
      </c>
      <c r="U32" s="428">
        <f t="shared" si="41"/>
        <v>-557.95406446867355</v>
      </c>
      <c r="V32" s="428">
        <f t="shared" si="41"/>
        <v>-592.20209077415893</v>
      </c>
      <c r="W32" s="428">
        <f t="shared" si="41"/>
        <v>-626.76124060685549</v>
      </c>
      <c r="X32" s="428">
        <f t="shared" si="41"/>
        <v>-660.26831189590735</v>
      </c>
      <c r="Y32" s="428">
        <f t="shared" si="41"/>
        <v>-698.67858923888525</v>
      </c>
      <c r="Z32" s="428">
        <f t="shared" si="41"/>
        <v>-738.68379185683943</v>
      </c>
      <c r="AA32" s="428">
        <f t="shared" si="41"/>
        <v>-780.76463620466507</v>
      </c>
      <c r="AB32" s="428">
        <f t="shared" si="41"/>
        <v>-826.08960892458049</v>
      </c>
      <c r="AC32" s="428">
        <f t="shared" si="41"/>
        <v>-874.04607573275905</v>
      </c>
      <c r="AD32" s="428">
        <f t="shared" si="41"/>
        <v>-923.29786179409882</v>
      </c>
      <c r="AE32" s="428">
        <f t="shared" si="41"/>
        <v>-977.07058711994603</v>
      </c>
      <c r="AF32" s="652">
        <f t="shared" si="41"/>
        <v>-950.23697469153046</v>
      </c>
      <c r="AG32" s="446"/>
      <c r="AH32" s="460"/>
    </row>
    <row r="33" spans="1:33" s="4" customFormat="1" ht="16.5" customHeight="1">
      <c r="A33" s="1928"/>
      <c r="B33" s="220">
        <v>25</v>
      </c>
      <c r="C33" s="245" t="s">
        <v>835</v>
      </c>
      <c r="D33" s="386">
        <f>D28+D29+D30+D31+D32</f>
        <v>-1895</v>
      </c>
      <c r="E33" s="387">
        <f>E28+E29+E30+E31+E32</f>
        <v>-3264</v>
      </c>
      <c r="F33" s="388">
        <f>F28+F29+F30+F31+F32</f>
        <v>-1146</v>
      </c>
      <c r="G33" s="653">
        <f>G28+G29+G30+G31+G32</f>
        <v>-338.32261576032261</v>
      </c>
      <c r="H33" s="654">
        <f t="shared" ref="H33:AF33" si="42">H28+H29+H30+H31+H32</f>
        <v>-3962.4957438275651</v>
      </c>
      <c r="I33" s="654">
        <f t="shared" si="42"/>
        <v>-12586.979763321471</v>
      </c>
      <c r="J33" s="655">
        <f t="shared" si="42"/>
        <v>-19517.781338362282</v>
      </c>
      <c r="K33" s="656">
        <f t="shared" si="42"/>
        <v>-27676.494873911259</v>
      </c>
      <c r="L33" s="654">
        <f t="shared" si="42"/>
        <v>-36124.425635772001</v>
      </c>
      <c r="M33" s="654">
        <f t="shared" si="42"/>
        <v>-13172.398818491831</v>
      </c>
      <c r="N33" s="654">
        <f t="shared" si="42"/>
        <v>-11896.918435174501</v>
      </c>
      <c r="O33" s="654">
        <f t="shared" si="42"/>
        <v>-14647.154081515815</v>
      </c>
      <c r="P33" s="654">
        <f t="shared" si="42"/>
        <v>-22764.104540585024</v>
      </c>
      <c r="Q33" s="654">
        <f t="shared" si="42"/>
        <v>-32405.894515712713</v>
      </c>
      <c r="R33" s="654">
        <f t="shared" si="42"/>
        <v>-35821.520292116191</v>
      </c>
      <c r="S33" s="654">
        <f t="shared" si="42"/>
        <v>-41191.622963027752</v>
      </c>
      <c r="T33" s="654">
        <f t="shared" si="42"/>
        <v>-47397.021747335224</v>
      </c>
      <c r="U33" s="654">
        <f t="shared" si="42"/>
        <v>-54951.625820459863</v>
      </c>
      <c r="V33" s="654">
        <f t="shared" si="42"/>
        <v>-62953.515664260551</v>
      </c>
      <c r="W33" s="654">
        <f t="shared" si="42"/>
        <v>-72118.176588383983</v>
      </c>
      <c r="X33" s="654">
        <f t="shared" si="42"/>
        <v>-77282.735545905263</v>
      </c>
      <c r="Y33" s="654">
        <f t="shared" si="42"/>
        <v>-89932.269969580768</v>
      </c>
      <c r="Z33" s="654">
        <f t="shared" si="42"/>
        <v>-102936.79008146582</v>
      </c>
      <c r="AA33" s="654">
        <f t="shared" si="42"/>
        <v>-117833.90696131768</v>
      </c>
      <c r="AB33" s="654">
        <f t="shared" si="42"/>
        <v>-134899.12571336355</v>
      </c>
      <c r="AC33" s="654">
        <f t="shared" si="42"/>
        <v>-143555.87416015705</v>
      </c>
      <c r="AD33" s="654">
        <f t="shared" si="42"/>
        <v>-167447.53765355595</v>
      </c>
      <c r="AE33" s="654">
        <f t="shared" si="42"/>
        <v>-191611.48590898569</v>
      </c>
      <c r="AF33" s="657">
        <f t="shared" si="42"/>
        <v>-221071.73908215537</v>
      </c>
      <c r="AG33" s="446"/>
    </row>
    <row r="34" spans="1:33">
      <c r="A34" s="1929"/>
      <c r="B34" s="1930"/>
      <c r="C34" s="1930"/>
      <c r="D34" s="1930"/>
      <c r="E34" s="1930"/>
      <c r="F34" s="1930"/>
      <c r="G34" s="1931"/>
      <c r="H34" s="1931"/>
      <c r="I34" s="1931"/>
      <c r="J34" s="1931"/>
      <c r="K34" s="1931"/>
      <c r="L34" s="1931"/>
      <c r="M34" s="1931"/>
      <c r="N34" s="1931"/>
      <c r="O34" s="1931"/>
      <c r="P34" s="1931"/>
      <c r="Q34" s="1931"/>
      <c r="R34" s="1931"/>
      <c r="S34" s="1931"/>
      <c r="T34" s="1931"/>
      <c r="U34" s="1931"/>
      <c r="V34" s="1931"/>
      <c r="W34" s="1931"/>
      <c r="X34" s="1931"/>
      <c r="Y34" s="1931"/>
      <c r="Z34" s="1931"/>
      <c r="AA34" s="1931"/>
      <c r="AB34" s="1931"/>
      <c r="AC34" s="1931"/>
      <c r="AD34" s="1931"/>
      <c r="AE34" s="1931"/>
      <c r="AF34" s="1932"/>
      <c r="AG34" s="4"/>
    </row>
    <row r="35" spans="1:33" ht="14.4">
      <c r="A35" s="1933" t="s">
        <v>836</v>
      </c>
      <c r="B35" s="219">
        <v>26</v>
      </c>
      <c r="C35" s="223" t="s">
        <v>837</v>
      </c>
      <c r="D35" s="382">
        <f t="shared" ref="D35:F35" si="43">D22+D27+D28+D29+D32</f>
        <v>2695</v>
      </c>
      <c r="E35" s="383">
        <f t="shared" si="43"/>
        <v>5986</v>
      </c>
      <c r="F35" s="407">
        <f t="shared" si="43"/>
        <v>72</v>
      </c>
      <c r="G35" s="513">
        <f t="shared" ref="G35:AF35" si="44">G22+G27+G28+G29+G32</f>
        <v>3359.2465954399222</v>
      </c>
      <c r="H35" s="384">
        <f t="shared" si="44"/>
        <v>4992.4494184885434</v>
      </c>
      <c r="I35" s="384">
        <f t="shared" si="44"/>
        <v>6607.4054455523519</v>
      </c>
      <c r="J35" s="385">
        <f t="shared" si="44"/>
        <v>9140.7013521700628</v>
      </c>
      <c r="K35" s="406">
        <f t="shared" si="44"/>
        <v>12666.297703034177</v>
      </c>
      <c r="L35" s="384">
        <f t="shared" si="44"/>
        <v>15580.333732486293</v>
      </c>
      <c r="M35" s="384">
        <f t="shared" si="44"/>
        <v>14584.917667001377</v>
      </c>
      <c r="N35" s="384">
        <f t="shared" si="44"/>
        <v>15952.480338170497</v>
      </c>
      <c r="O35" s="384">
        <f t="shared" si="44"/>
        <v>19129.14113655841</v>
      </c>
      <c r="P35" s="384">
        <f t="shared" si="44"/>
        <v>27319.064326977103</v>
      </c>
      <c r="Q35" s="384">
        <f t="shared" si="44"/>
        <v>37473.6922906279</v>
      </c>
      <c r="R35" s="384">
        <f t="shared" si="44"/>
        <v>42187.387012908737</v>
      </c>
      <c r="S35" s="384">
        <f t="shared" si="44"/>
        <v>47351.385381528802</v>
      </c>
      <c r="T35" s="384">
        <f t="shared" si="44"/>
        <v>54452.150506392238</v>
      </c>
      <c r="U35" s="384">
        <f t="shared" si="44"/>
        <v>62356.341055342331</v>
      </c>
      <c r="V35" s="384">
        <f t="shared" si="44"/>
        <v>71311.813220775759</v>
      </c>
      <c r="W35" s="384">
        <f t="shared" si="44"/>
        <v>81605.356122763245</v>
      </c>
      <c r="X35" s="384">
        <f t="shared" si="44"/>
        <v>89343.207388572439</v>
      </c>
      <c r="Y35" s="384">
        <f t="shared" si="44"/>
        <v>102305.07261034615</v>
      </c>
      <c r="Z35" s="384">
        <f t="shared" si="44"/>
        <v>116886.99047501356</v>
      </c>
      <c r="AA35" s="384">
        <f t="shared" si="44"/>
        <v>133678.44302364433</v>
      </c>
      <c r="AB35" s="384">
        <f t="shared" si="44"/>
        <v>152899.569525395</v>
      </c>
      <c r="AC35" s="384">
        <f t="shared" si="44"/>
        <v>166878.93626717955</v>
      </c>
      <c r="AD35" s="384">
        <f t="shared" si="44"/>
        <v>191112.55551039803</v>
      </c>
      <c r="AE35" s="384">
        <f t="shared" si="44"/>
        <v>218310.1221343168</v>
      </c>
      <c r="AF35" s="385">
        <f t="shared" si="44"/>
        <v>248646.34795677944</v>
      </c>
      <c r="AG35" s="446"/>
    </row>
    <row r="36" spans="1:33" s="2" customFormat="1" ht="14.4">
      <c r="A36" s="1933"/>
      <c r="B36" s="219">
        <v>27</v>
      </c>
      <c r="C36" s="223" t="s">
        <v>838</v>
      </c>
      <c r="D36" s="319">
        <v>1762</v>
      </c>
      <c r="E36" s="316">
        <v>3702</v>
      </c>
      <c r="F36" s="321">
        <v>985</v>
      </c>
      <c r="G36" s="329">
        <f t="shared" ref="G36:AF36" si="45">-1*(G30+G31)</f>
        <v>132.23541043992282</v>
      </c>
      <c r="H36" s="280">
        <f t="shared" ref="H36:J36" si="46">IF(H35&lt;0.2*(H6-H8),H6*-0.1,H35-0.2*(H6-H8))</f>
        <v>-3003.1736900000005</v>
      </c>
      <c r="I36" s="280">
        <f t="shared" si="46"/>
        <v>761.24376165135163</v>
      </c>
      <c r="J36" s="330">
        <f t="shared" si="46"/>
        <v>2538.5873908858912</v>
      </c>
      <c r="K36" s="280">
        <f>IF(K35&lt;0.2*(K6-K8),K6*-0.1,K35-0.2*(K6-K8))</f>
        <v>4848.8622574041719</v>
      </c>
      <c r="L36" s="280">
        <f t="shared" si="45"/>
        <v>37227.110792038366</v>
      </c>
      <c r="M36" s="280">
        <f>-1*(M30+M31)</f>
        <v>12398.572827126181</v>
      </c>
      <c r="N36" s="280">
        <f t="shared" si="45"/>
        <v>13017.900189969492</v>
      </c>
      <c r="O36" s="280">
        <f t="shared" si="45"/>
        <v>16112.664785673489</v>
      </c>
      <c r="P36" s="280">
        <f t="shared" si="45"/>
        <v>24595.703881913483</v>
      </c>
      <c r="Q36" s="280">
        <f t="shared" si="45"/>
        <v>34626.591013067846</v>
      </c>
      <c r="R36" s="280">
        <f t="shared" si="45"/>
        <v>38636.395330955289</v>
      </c>
      <c r="S36" s="280">
        <f t="shared" si="45"/>
        <v>43324.477249882031</v>
      </c>
      <c r="T36" s="280">
        <f t="shared" si="45"/>
        <v>49883.611687858123</v>
      </c>
      <c r="U36" s="280">
        <f t="shared" si="45"/>
        <v>57858.213675378378</v>
      </c>
      <c r="V36" s="280">
        <f t="shared" si="45"/>
        <v>66283.18204609782</v>
      </c>
      <c r="W36" s="280">
        <f t="shared" si="45"/>
        <v>75981.06711539239</v>
      </c>
      <c r="X36" s="280">
        <f t="shared" si="45"/>
        <v>81763.020093290223</v>
      </c>
      <c r="Y36" s="280">
        <f t="shared" si="45"/>
        <v>95209.518646503595</v>
      </c>
      <c r="Z36" s="280">
        <f t="shared" si="45"/>
        <v>108942.05194600724</v>
      </c>
      <c r="AA36" s="280">
        <f t="shared" si="45"/>
        <v>124777.36768585372</v>
      </c>
      <c r="AB36" s="280">
        <f t="shared" si="45"/>
        <v>142921.59068982894</v>
      </c>
      <c r="AC36" s="280">
        <f t="shared" si="45"/>
        <v>152820.08070160728</v>
      </c>
      <c r="AD36" s="280">
        <f t="shared" si="45"/>
        <v>178342.75840966543</v>
      </c>
      <c r="AE36" s="280">
        <f t="shared" si="45"/>
        <v>203962.90428729271</v>
      </c>
      <c r="AF36" s="330">
        <f t="shared" si="45"/>
        <v>235398.43003711372</v>
      </c>
      <c r="AG36" s="446"/>
    </row>
    <row r="37" spans="1:33" s="4" customFormat="1" ht="14.4">
      <c r="A37" s="1933"/>
      <c r="B37" s="220">
        <v>28</v>
      </c>
      <c r="C37" s="218" t="s">
        <v>839</v>
      </c>
      <c r="D37" s="370">
        <f>D35-D36</f>
        <v>933</v>
      </c>
      <c r="E37" s="371">
        <f t="shared" ref="E37:F37" si="47">E35-E36</f>
        <v>2284</v>
      </c>
      <c r="F37" s="322">
        <f t="shared" si="47"/>
        <v>-913</v>
      </c>
      <c r="G37" s="331">
        <f>G35-G36</f>
        <v>3227.0111849999994</v>
      </c>
      <c r="H37" s="332">
        <f t="shared" ref="H37:AF37" si="48">H35-H36</f>
        <v>7995.6231084885439</v>
      </c>
      <c r="I37" s="332">
        <f t="shared" si="48"/>
        <v>5846.1616839010003</v>
      </c>
      <c r="J37" s="333">
        <f t="shared" si="48"/>
        <v>6602.1139612841716</v>
      </c>
      <c r="K37" s="332">
        <f t="shared" si="48"/>
        <v>7817.4354456300052</v>
      </c>
      <c r="L37" s="332">
        <f t="shared" si="48"/>
        <v>-21646.777059552071</v>
      </c>
      <c r="M37" s="332">
        <f t="shared" si="48"/>
        <v>2186.3448398751952</v>
      </c>
      <c r="N37" s="332">
        <f t="shared" si="48"/>
        <v>2934.5801482010047</v>
      </c>
      <c r="O37" s="332">
        <f t="shared" si="48"/>
        <v>3016.476350884921</v>
      </c>
      <c r="P37" s="332">
        <f t="shared" si="48"/>
        <v>2723.3604450636194</v>
      </c>
      <c r="Q37" s="332">
        <f t="shared" si="48"/>
        <v>2847.1012775600539</v>
      </c>
      <c r="R37" s="332">
        <f t="shared" si="48"/>
        <v>3550.9916819534483</v>
      </c>
      <c r="S37" s="332">
        <f t="shared" si="48"/>
        <v>4026.9081316467709</v>
      </c>
      <c r="T37" s="332">
        <f t="shared" si="48"/>
        <v>4568.5388185341144</v>
      </c>
      <c r="U37" s="332">
        <f t="shared" si="48"/>
        <v>4498.127379963953</v>
      </c>
      <c r="V37" s="332">
        <f t="shared" si="48"/>
        <v>5028.6311746779393</v>
      </c>
      <c r="W37" s="332">
        <f t="shared" si="48"/>
        <v>5624.289007370855</v>
      </c>
      <c r="X37" s="332">
        <f t="shared" si="48"/>
        <v>7580.1872952822159</v>
      </c>
      <c r="Y37" s="332">
        <f t="shared" si="48"/>
        <v>7095.5539638425544</v>
      </c>
      <c r="Z37" s="332">
        <f t="shared" si="48"/>
        <v>7944.9385290063219</v>
      </c>
      <c r="AA37" s="332">
        <f t="shared" si="48"/>
        <v>8901.0753377906076</v>
      </c>
      <c r="AB37" s="332">
        <f t="shared" si="48"/>
        <v>9977.9788355660567</v>
      </c>
      <c r="AC37" s="332">
        <f t="shared" si="48"/>
        <v>14058.855565572274</v>
      </c>
      <c r="AD37" s="332">
        <f t="shared" si="48"/>
        <v>12769.797100732598</v>
      </c>
      <c r="AE37" s="332">
        <f t="shared" si="48"/>
        <v>14347.217847024091</v>
      </c>
      <c r="AF37" s="333">
        <f t="shared" si="48"/>
        <v>13247.917919665721</v>
      </c>
      <c r="AG37" s="446"/>
    </row>
    <row r="38" spans="1:33" ht="14.4">
      <c r="A38" s="228"/>
      <c r="B38" s="226"/>
      <c r="C38" s="227"/>
      <c r="D38" s="389"/>
      <c r="E38" s="389"/>
      <c r="F38" s="389"/>
      <c r="G38" s="389"/>
      <c r="H38" s="389"/>
      <c r="I38" s="389"/>
      <c r="J38" s="389"/>
      <c r="K38" s="389"/>
      <c r="L38" s="389"/>
      <c r="M38" s="389"/>
      <c r="N38" s="389"/>
      <c r="O38" s="389"/>
      <c r="P38" s="389"/>
      <c r="Q38" s="389"/>
      <c r="R38" s="389"/>
      <c r="S38" s="389"/>
      <c r="T38" s="389"/>
      <c r="U38" s="389"/>
      <c r="V38" s="389"/>
      <c r="W38" s="389"/>
      <c r="X38" s="389"/>
      <c r="Y38" s="389"/>
      <c r="Z38" s="389"/>
      <c r="AA38" s="389"/>
      <c r="AB38" s="389"/>
      <c r="AC38" s="389"/>
      <c r="AD38" s="389"/>
      <c r="AE38" s="389"/>
      <c r="AF38" s="390"/>
      <c r="AG38" s="446"/>
    </row>
    <row r="39" spans="1:33" ht="14.4">
      <c r="A39" s="1934" t="s">
        <v>840</v>
      </c>
      <c r="B39" s="221">
        <v>29</v>
      </c>
      <c r="C39" s="223" t="s">
        <v>841</v>
      </c>
      <c r="D39" s="317">
        <v>328</v>
      </c>
      <c r="E39" s="318">
        <v>28028</v>
      </c>
      <c r="F39" s="320">
        <v>27722</v>
      </c>
      <c r="G39" s="324">
        <f>Assumptions!C329</f>
        <v>27722</v>
      </c>
      <c r="H39" s="325">
        <f>Assumptions!D329</f>
        <v>27722</v>
      </c>
      <c r="I39" s="325">
        <f>Assumptions!E329</f>
        <v>34652.5</v>
      </c>
      <c r="J39" s="326">
        <f>Assumptions!F329</f>
        <v>43315.625</v>
      </c>
      <c r="K39" s="408">
        <f>Assumptions!G329</f>
        <v>54144.53125</v>
      </c>
      <c r="L39" s="325">
        <f>Assumptions!H329</f>
        <v>67680.6640625</v>
      </c>
      <c r="M39" s="325">
        <f>Assumptions!I329</f>
        <v>84600.830078125</v>
      </c>
      <c r="N39" s="325">
        <f>Assumptions!J329</f>
        <v>105751.03759765625</v>
      </c>
      <c r="O39" s="325">
        <f>Assumptions!K329</f>
        <v>132188.79699707031</v>
      </c>
      <c r="P39" s="325">
        <f>Assumptions!L329</f>
        <v>165235.99624633789</v>
      </c>
      <c r="Q39" s="325">
        <f>Assumptions!M329</f>
        <v>206544.99530792236</v>
      </c>
      <c r="R39" s="325">
        <f>Assumptions!N329</f>
        <v>237526.74460411069</v>
      </c>
      <c r="S39" s="325">
        <f>Assumptions!O329</f>
        <v>273155.75629472727</v>
      </c>
      <c r="T39" s="325">
        <f>Assumptions!P329</f>
        <v>314129.11973893631</v>
      </c>
      <c r="U39" s="325">
        <f>Assumptions!Q329</f>
        <v>361248.48769977671</v>
      </c>
      <c r="V39" s="325">
        <f>Assumptions!R329</f>
        <v>415435.76085474319</v>
      </c>
      <c r="W39" s="325">
        <f>Assumptions!S329</f>
        <v>477751.12498295464</v>
      </c>
      <c r="X39" s="325">
        <f>Assumptions!T329</f>
        <v>549413.79373039783</v>
      </c>
      <c r="Y39" s="325">
        <f>Assumptions!U329</f>
        <v>631825.86278995743</v>
      </c>
      <c r="Z39" s="325">
        <f>Assumptions!V329</f>
        <v>726599.74220845103</v>
      </c>
      <c r="AA39" s="325">
        <f>Assumptions!W329</f>
        <v>835589.70353971864</v>
      </c>
      <c r="AB39" s="325">
        <f>Assumptions!X329</f>
        <v>960928.15907067631</v>
      </c>
      <c r="AC39" s="325">
        <f>Assumptions!Y329</f>
        <v>1105067.3829312776</v>
      </c>
      <c r="AD39" s="325">
        <f>Assumptions!Z329</f>
        <v>1270827.4903709691</v>
      </c>
      <c r="AE39" s="325">
        <f>Assumptions!AA329</f>
        <v>1461451.6139266144</v>
      </c>
      <c r="AF39" s="326">
        <f>Assumptions!AB329</f>
        <v>1680669.3560156063</v>
      </c>
      <c r="AG39" s="447">
        <f>SUM(G39:AF39)</f>
        <v>12251179.075298527</v>
      </c>
    </row>
    <row r="40" spans="1:33" ht="14.4">
      <c r="A40" s="1933"/>
      <c r="B40" s="221">
        <v>30</v>
      </c>
      <c r="C40" s="223" t="s">
        <v>842</v>
      </c>
      <c r="D40" s="319">
        <v>0</v>
      </c>
      <c r="E40" s="316">
        <v>-3548</v>
      </c>
      <c r="F40" s="321">
        <v>-6359</v>
      </c>
      <c r="G40" s="327">
        <f>F40-G10</f>
        <v>-2755.14</v>
      </c>
      <c r="H40" s="323">
        <f t="shared" ref="H40:AF40" si="49">G40-H10</f>
        <v>848.72000000000025</v>
      </c>
      <c r="I40" s="323">
        <f t="shared" si="49"/>
        <v>4452.58</v>
      </c>
      <c r="J40" s="328">
        <f t="shared" si="49"/>
        <v>8957.4049999999988</v>
      </c>
      <c r="K40" s="409">
        <f t="shared" si="49"/>
        <v>14155.279999999999</v>
      </c>
      <c r="L40" s="323">
        <f t="shared" si="49"/>
        <v>20652.623749999999</v>
      </c>
      <c r="M40" s="323">
        <f t="shared" si="49"/>
        <v>28774.303437499999</v>
      </c>
      <c r="N40" s="323">
        <f t="shared" si="49"/>
        <v>38926.403046874999</v>
      </c>
      <c r="O40" s="323">
        <f t="shared" si="49"/>
        <v>51616.527558593749</v>
      </c>
      <c r="P40" s="323">
        <f t="shared" si="49"/>
        <v>67479.183198242186</v>
      </c>
      <c r="Q40" s="323">
        <f t="shared" si="49"/>
        <v>87307.502747802733</v>
      </c>
      <c r="R40" s="323">
        <f t="shared" si="49"/>
        <v>112092.90218475342</v>
      </c>
      <c r="S40" s="323">
        <f t="shared" si="49"/>
        <v>140596.1115372467</v>
      </c>
      <c r="T40" s="323">
        <f t="shared" si="49"/>
        <v>173374.80229261398</v>
      </c>
      <c r="U40" s="323">
        <f t="shared" si="49"/>
        <v>211070.29666128632</v>
      </c>
      <c r="V40" s="323">
        <f t="shared" si="49"/>
        <v>254420.11518525952</v>
      </c>
      <c r="W40" s="323">
        <f t="shared" si="49"/>
        <v>304272.4064878287</v>
      </c>
      <c r="X40" s="323">
        <f t="shared" si="49"/>
        <v>361602.54148578324</v>
      </c>
      <c r="Y40" s="323">
        <f t="shared" si="49"/>
        <v>427532.19673343096</v>
      </c>
      <c r="Z40" s="323">
        <f t="shared" si="49"/>
        <v>503351.30026822584</v>
      </c>
      <c r="AA40" s="323">
        <f t="shared" si="49"/>
        <v>590543.26933323999</v>
      </c>
      <c r="AB40" s="323">
        <f t="shared" si="49"/>
        <v>690814.03375800629</v>
      </c>
      <c r="AC40" s="323">
        <f t="shared" si="49"/>
        <v>806125.41284648748</v>
      </c>
      <c r="AD40" s="323">
        <f t="shared" si="49"/>
        <v>938733.49879824079</v>
      </c>
      <c r="AE40" s="323">
        <f t="shared" si="49"/>
        <v>1091232.7976427572</v>
      </c>
      <c r="AF40" s="328">
        <f t="shared" si="49"/>
        <v>1266606.9913139509</v>
      </c>
      <c r="AG40" s="447">
        <f>SUM(G40:AF40)</f>
        <v>8192784.0652681254</v>
      </c>
    </row>
    <row r="41" spans="1:33" ht="14.4">
      <c r="A41" s="1933"/>
      <c r="B41" s="221">
        <v>31</v>
      </c>
      <c r="C41" s="223" t="s">
        <v>843</v>
      </c>
      <c r="D41" s="319">
        <v>2203</v>
      </c>
      <c r="E41" s="316">
        <v>3480</v>
      </c>
      <c r="F41" s="321">
        <v>4009</v>
      </c>
      <c r="G41" s="327">
        <f>F41+(-G23)</f>
        <v>4627.0356784372088</v>
      </c>
      <c r="H41" s="323">
        <f t="shared" ref="H41:AF41" si="50">G41+(-H23)</f>
        <v>5335.1973946907619</v>
      </c>
      <c r="I41" s="323">
        <f t="shared" si="50"/>
        <v>6148.5198275476678</v>
      </c>
      <c r="J41" s="328">
        <f t="shared" si="50"/>
        <v>7086.6471476085972</v>
      </c>
      <c r="K41" s="409">
        <f t="shared" si="50"/>
        <v>8550.2422472173566</v>
      </c>
      <c r="L41" s="323">
        <f t="shared" si="50"/>
        <v>10267.480523354569</v>
      </c>
      <c r="M41" s="323">
        <f t="shared" si="50"/>
        <v>12232.480924764663</v>
      </c>
      <c r="N41" s="323">
        <f t="shared" si="50"/>
        <v>14488.730319009032</v>
      </c>
      <c r="O41" s="323">
        <f t="shared" si="50"/>
        <v>17087.917477137369</v>
      </c>
      <c r="P41" s="323">
        <f t="shared" si="50"/>
        <v>19415.196156215716</v>
      </c>
      <c r="Q41" s="323">
        <f t="shared" si="50"/>
        <v>22136.812724580348</v>
      </c>
      <c r="R41" s="323">
        <f t="shared" si="50"/>
        <v>25217.248507650842</v>
      </c>
      <c r="S41" s="323">
        <f t="shared" si="50"/>
        <v>28705.384060578195</v>
      </c>
      <c r="T41" s="323">
        <f t="shared" si="50"/>
        <v>32656.937789080566</v>
      </c>
      <c r="U41" s="323">
        <f t="shared" si="50"/>
        <v>37066.134914153823</v>
      </c>
      <c r="V41" s="323">
        <f t="shared" si="50"/>
        <v>41988.112979013153</v>
      </c>
      <c r="W41" s="323">
        <f t="shared" si="50"/>
        <v>47484.929261728976</v>
      </c>
      <c r="X41" s="323">
        <f t="shared" si="50"/>
        <v>53612.462735599685</v>
      </c>
      <c r="Y41" s="323">
        <f t="shared" si="50"/>
        <v>60446.920517886771</v>
      </c>
      <c r="Z41" s="323">
        <f t="shared" si="50"/>
        <v>68074.179152396842</v>
      </c>
      <c r="AA41" s="323">
        <f t="shared" si="50"/>
        <v>76591.065131766751</v>
      </c>
      <c r="AB41" s="323">
        <f t="shared" si="50"/>
        <v>86106.811010714489</v>
      </c>
      <c r="AC41" s="323">
        <f t="shared" si="50"/>
        <v>96744.711840306263</v>
      </c>
      <c r="AD41" s="323">
        <f t="shared" si="50"/>
        <v>108621.79252026729</v>
      </c>
      <c r="AE41" s="323">
        <f t="shared" si="50"/>
        <v>121892.27868402495</v>
      </c>
      <c r="AF41" s="328">
        <f t="shared" si="50"/>
        <v>136439.88588268962</v>
      </c>
      <c r="AG41" s="447">
        <f>SUM(G41:AF41)</f>
        <v>1149025.1154084215</v>
      </c>
    </row>
    <row r="42" spans="1:33" ht="14.4">
      <c r="A42" s="1933"/>
      <c r="B42" s="222">
        <v>32</v>
      </c>
      <c r="C42" s="218" t="s">
        <v>844</v>
      </c>
      <c r="D42" s="514" t="s">
        <v>845</v>
      </c>
      <c r="E42" s="515" t="s">
        <v>846</v>
      </c>
      <c r="F42" s="516">
        <v>-1787</v>
      </c>
      <c r="G42" s="517">
        <f>F42-G9</f>
        <v>-1145.56</v>
      </c>
      <c r="H42" s="518">
        <f t="shared" ref="H42:AF42" si="51">G42-H9</f>
        <v>-405.2342914500465</v>
      </c>
      <c r="I42" s="518">
        <f t="shared" si="51"/>
        <v>448.39729170047542</v>
      </c>
      <c r="J42" s="519">
        <f t="shared" si="51"/>
        <v>1432.1604641081021</v>
      </c>
      <c r="K42" s="520">
        <f t="shared" si="51"/>
        <v>2495.1575362493913</v>
      </c>
      <c r="L42" s="518">
        <f t="shared" si="51"/>
        <v>3777.6938733319948</v>
      </c>
      <c r="M42" s="518">
        <f t="shared" si="51"/>
        <v>5317.8159518351804</v>
      </c>
      <c r="N42" s="518">
        <f t="shared" si="51"/>
        <v>7152.6880905498801</v>
      </c>
      <c r="O42" s="518">
        <f t="shared" si="51"/>
        <v>9325.9976384012352</v>
      </c>
      <c r="P42" s="518">
        <f t="shared" si="51"/>
        <v>11889.18525997184</v>
      </c>
      <c r="Q42" s="518">
        <f t="shared" si="51"/>
        <v>14801.464683404198</v>
      </c>
      <c r="R42" s="518">
        <f t="shared" si="51"/>
        <v>18121.986592091249</v>
      </c>
      <c r="S42" s="518">
        <f t="shared" si="51"/>
        <v>21904.573868238876</v>
      </c>
      <c r="T42" s="518">
        <f t="shared" si="51"/>
        <v>26210.381477325605</v>
      </c>
      <c r="U42" s="518">
        <f t="shared" si="51"/>
        <v>31108.922145687691</v>
      </c>
      <c r="V42" s="518">
        <f t="shared" si="51"/>
        <v>36668.842382810763</v>
      </c>
      <c r="W42" s="518">
        <f t="shared" si="51"/>
        <v>42967.059329662734</v>
      </c>
      <c r="X42" s="518">
        <f t="shared" si="51"/>
        <v>50089.79871892208</v>
      </c>
      <c r="Y42" s="518">
        <f t="shared" si="51"/>
        <v>58131.668129262034</v>
      </c>
      <c r="Z42" s="518">
        <f t="shared" si="51"/>
        <v>67198.706206945048</v>
      </c>
      <c r="AA42" s="518">
        <f t="shared" si="51"/>
        <v>77409.833079804579</v>
      </c>
      <c r="AB42" s="518">
        <f t="shared" si="51"/>
        <v>88898.492849569593</v>
      </c>
      <c r="AC42" s="518">
        <f t="shared" si="51"/>
        <v>101814.51450117676</v>
      </c>
      <c r="AD42" s="518">
        <f t="shared" si="51"/>
        <v>116326.22127722271</v>
      </c>
      <c r="AE42" s="518">
        <f t="shared" si="51"/>
        <v>132619.49015526281</v>
      </c>
      <c r="AF42" s="519">
        <f t="shared" si="51"/>
        <v>150903.33195786655</v>
      </c>
      <c r="AG42" s="447">
        <f>SUM(G42:AF42)</f>
        <v>1075463.5891699516</v>
      </c>
    </row>
    <row r="43" spans="1:33" s="4" customFormat="1" ht="14.4">
      <c r="A43" s="1935"/>
      <c r="B43" s="1936"/>
      <c r="C43" s="1936"/>
      <c r="D43" s="1936"/>
      <c r="E43" s="1936"/>
      <c r="F43" s="1936"/>
      <c r="G43" s="1936"/>
      <c r="H43" s="1936"/>
      <c r="I43" s="1936"/>
      <c r="J43" s="1936"/>
      <c r="K43" s="1936"/>
      <c r="L43" s="1936"/>
      <c r="M43" s="1936"/>
      <c r="N43" s="1936"/>
      <c r="O43" s="1936"/>
      <c r="P43" s="1936"/>
      <c r="Q43" s="1936"/>
      <c r="R43" s="1936"/>
      <c r="S43" s="1936"/>
      <c r="T43" s="1936"/>
      <c r="U43" s="1936"/>
      <c r="V43" s="1936"/>
      <c r="W43" s="1936"/>
      <c r="X43" s="1936"/>
      <c r="Y43" s="1936"/>
      <c r="Z43" s="1936"/>
      <c r="AA43" s="1936"/>
      <c r="AB43" s="1936"/>
      <c r="AC43" s="1936"/>
      <c r="AD43" s="1936"/>
      <c r="AE43" s="1936"/>
      <c r="AF43" s="1937"/>
      <c r="AG43" s="446"/>
    </row>
    <row r="44" spans="1:33" ht="15" customHeight="1">
      <c r="A44" s="1928" t="s">
        <v>847</v>
      </c>
      <c r="B44" s="219">
        <v>33</v>
      </c>
      <c r="C44" s="223" t="s">
        <v>848</v>
      </c>
      <c r="D44" s="507">
        <f>'Fin. Data'!D39</f>
        <v>2535</v>
      </c>
      <c r="E44" s="287">
        <f t="shared" ref="E44:F44" si="52">E37+D44</f>
        <v>4819</v>
      </c>
      <c r="F44" s="521">
        <f t="shared" si="52"/>
        <v>3906</v>
      </c>
      <c r="G44" s="522">
        <f>G37+F44</f>
        <v>7133.0111849999994</v>
      </c>
      <c r="H44" s="523">
        <f t="shared" ref="H44:AF44" si="53">H37+G44</f>
        <v>15128.634293488543</v>
      </c>
      <c r="I44" s="523">
        <f t="shared" si="53"/>
        <v>20974.795977389542</v>
      </c>
      <c r="J44" s="524">
        <f t="shared" si="53"/>
        <v>27576.909938673714</v>
      </c>
      <c r="K44" s="627">
        <f t="shared" si="53"/>
        <v>35394.34538430372</v>
      </c>
      <c r="L44" s="628">
        <f t="shared" si="53"/>
        <v>13747.56832475165</v>
      </c>
      <c r="M44" s="628">
        <f t="shared" si="53"/>
        <v>15933.913164626845</v>
      </c>
      <c r="N44" s="628">
        <f t="shared" si="53"/>
        <v>18868.49331282785</v>
      </c>
      <c r="O44" s="628">
        <f t="shared" si="53"/>
        <v>21884.969663712771</v>
      </c>
      <c r="P44" s="628">
        <f t="shared" si="53"/>
        <v>24608.33010877639</v>
      </c>
      <c r="Q44" s="628">
        <f t="shared" si="53"/>
        <v>27455.431386336444</v>
      </c>
      <c r="R44" s="628">
        <f t="shared" si="53"/>
        <v>31006.423068289892</v>
      </c>
      <c r="S44" s="628">
        <f t="shared" si="53"/>
        <v>35033.331199936663</v>
      </c>
      <c r="T44" s="628">
        <f t="shared" si="53"/>
        <v>39601.870018470778</v>
      </c>
      <c r="U44" s="628">
        <f t="shared" si="53"/>
        <v>44099.997398434731</v>
      </c>
      <c r="V44" s="628">
        <f t="shared" si="53"/>
        <v>49128.62857311267</v>
      </c>
      <c r="W44" s="628">
        <f t="shared" si="53"/>
        <v>54752.917580483525</v>
      </c>
      <c r="X44" s="628">
        <f t="shared" si="53"/>
        <v>62333.104875765741</v>
      </c>
      <c r="Y44" s="628">
        <f t="shared" si="53"/>
        <v>69428.658839608295</v>
      </c>
      <c r="Z44" s="628">
        <f t="shared" si="53"/>
        <v>77373.597368614617</v>
      </c>
      <c r="AA44" s="628">
        <f t="shared" si="53"/>
        <v>86274.672706405225</v>
      </c>
      <c r="AB44" s="628">
        <f t="shared" si="53"/>
        <v>96252.651541971281</v>
      </c>
      <c r="AC44" s="628">
        <f t="shared" si="53"/>
        <v>110311.50710754356</v>
      </c>
      <c r="AD44" s="628">
        <f t="shared" si="53"/>
        <v>123081.30420827615</v>
      </c>
      <c r="AE44" s="628">
        <f t="shared" si="53"/>
        <v>137428.52205530024</v>
      </c>
      <c r="AF44" s="629">
        <f t="shared" si="53"/>
        <v>150676.43997496596</v>
      </c>
      <c r="AG44" s="446"/>
    </row>
    <row r="45" spans="1:33" ht="14.4">
      <c r="A45" s="1928"/>
      <c r="B45" s="219">
        <v>34</v>
      </c>
      <c r="C45" s="223" t="s">
        <v>304</v>
      </c>
      <c r="D45" s="507">
        <f>'Fin. Data'!D58</f>
        <v>349</v>
      </c>
      <c r="E45" s="286">
        <f>'Fin. Data'!C58</f>
        <v>2863</v>
      </c>
      <c r="F45" s="508">
        <f>'Fin. Data'!B58</f>
        <v>2252</v>
      </c>
      <c r="G45" s="626">
        <f>F45</f>
        <v>2252</v>
      </c>
      <c r="H45" s="1099">
        <f>(G39+G44+G41)*0.07</f>
        <v>2763.7432804406048</v>
      </c>
      <c r="I45" s="1099">
        <f t="shared" ref="I45:AF45" si="54">(H39+H44+H41)*0.07</f>
        <v>3373.008218172552</v>
      </c>
      <c r="J45" s="1100">
        <f t="shared" si="54"/>
        <v>4324.3071063456046</v>
      </c>
      <c r="K45" s="1101">
        <f t="shared" si="54"/>
        <v>5458.5427460397632</v>
      </c>
      <c r="L45" s="1099">
        <f t="shared" si="54"/>
        <v>6866.2383217064762</v>
      </c>
      <c r="M45" s="1099">
        <f t="shared" si="54"/>
        <v>6418.6999037424357</v>
      </c>
      <c r="N45" s="1099">
        <f t="shared" si="54"/>
        <v>7893.7056917261571</v>
      </c>
      <c r="O45" s="1099">
        <f t="shared" si="54"/>
        <v>9737.5782860645195</v>
      </c>
      <c r="P45" s="1099">
        <f t="shared" si="54"/>
        <v>11981.317889654434</v>
      </c>
      <c r="Q45" s="1099">
        <f t="shared" si="54"/>
        <v>14648.1665757931</v>
      </c>
      <c r="R45" s="1099">
        <f t="shared" si="54"/>
        <v>17929.606759318744</v>
      </c>
      <c r="S45" s="1099">
        <f t="shared" si="54"/>
        <v>20562.529132603602</v>
      </c>
      <c r="T45" s="1099">
        <f t="shared" si="54"/>
        <v>23582.613008866952</v>
      </c>
      <c r="U45" s="1099">
        <f t="shared" si="54"/>
        <v>27047.154928254138</v>
      </c>
      <c r="V45" s="1099">
        <f t="shared" si="54"/>
        <v>30969.023400865572</v>
      </c>
      <c r="W45" s="1099">
        <f t="shared" si="54"/>
        <v>35458.675168480833</v>
      </c>
      <c r="X45" s="1099">
        <f t="shared" si="54"/>
        <v>40599.22802776171</v>
      </c>
      <c r="Y45" s="1099">
        <f t="shared" si="54"/>
        <v>46575.155293923432</v>
      </c>
      <c r="Z45" s="1099">
        <f t="shared" si="54"/>
        <v>53319.100950321677</v>
      </c>
      <c r="AA45" s="1099">
        <f t="shared" si="54"/>
        <v>61043.326311062381</v>
      </c>
      <c r="AB45" s="1099">
        <f t="shared" si="54"/>
        <v>69891.880896452349</v>
      </c>
      <c r="AC45" s="1099">
        <f t="shared" si="54"/>
        <v>80030.133513635345</v>
      </c>
      <c r="AD45" s="1099">
        <f t="shared" si="54"/>
        <v>91848.652131538925</v>
      </c>
      <c r="AE45" s="1099">
        <f t="shared" si="54"/>
        <v>105177.14109696588</v>
      </c>
      <c r="AF45" s="1100">
        <f t="shared" si="54"/>
        <v>120454.06902661578</v>
      </c>
      <c r="AG45" s="459"/>
    </row>
    <row r="46" spans="1:33" ht="14.4">
      <c r="A46" s="1928"/>
      <c r="B46" s="219">
        <v>35</v>
      </c>
      <c r="C46" s="223" t="s">
        <v>849</v>
      </c>
      <c r="D46" s="509"/>
      <c r="E46" s="377"/>
      <c r="F46" s="510">
        <f>1/((1+$F$51)^G51)</f>
        <v>1</v>
      </c>
      <c r="G46" s="334">
        <f t="shared" ref="G46:AE46" si="55">1/((1+$F$51)^G50)</f>
        <v>0.87749259053182771</v>
      </c>
      <c r="H46" s="281">
        <f t="shared" si="55"/>
        <v>0.76999324643825784</v>
      </c>
      <c r="I46" s="281">
        <f t="shared" si="55"/>
        <v>0.6756633685091189</v>
      </c>
      <c r="J46" s="335">
        <f t="shared" si="55"/>
        <v>0.59288959956052767</v>
      </c>
      <c r="K46" s="334">
        <f t="shared" si="55"/>
        <v>0.52025623061774529</v>
      </c>
      <c r="L46" s="281">
        <f t="shared" si="55"/>
        <v>0.45652098754508941</v>
      </c>
      <c r="M46" s="281">
        <f t="shared" si="55"/>
        <v>0.4005937839930887</v>
      </c>
      <c r="N46" s="281">
        <f t="shared" si="55"/>
        <v>0.35151807726704282</v>
      </c>
      <c r="O46" s="281">
        <f t="shared" si="55"/>
        <v>0.30845450823982457</v>
      </c>
      <c r="P46" s="281">
        <f t="shared" si="55"/>
        <v>0.27066654549658464</v>
      </c>
      <c r="Q46" s="281">
        <f t="shared" si="55"/>
        <v>0.23750788817809884</v>
      </c>
      <c r="R46" s="281">
        <f t="shared" si="55"/>
        <v>0.20841141206914363</v>
      </c>
      <c r="S46" s="281">
        <f t="shared" si="55"/>
        <v>0.18287946987294906</v>
      </c>
      <c r="T46" s="281">
        <f t="shared" si="55"/>
        <v>0.16047537977390142</v>
      </c>
      <c r="U46" s="281">
        <f t="shared" si="55"/>
        <v>0.14081595671437963</v>
      </c>
      <c r="V46" s="281">
        <f t="shared" si="55"/>
        <v>0.12356495864551867</v>
      </c>
      <c r="W46" s="281">
        <f t="shared" si="55"/>
        <v>0.10842733566081433</v>
      </c>
      <c r="X46" s="281">
        <f t="shared" si="55"/>
        <v>9.5144183653472006E-2</v>
      </c>
      <c r="Y46" s="281">
        <f t="shared" si="55"/>
        <v>8.3488316188121109E-2</v>
      </c>
      <c r="Z46" s="281">
        <f t="shared" si="55"/>
        <v>7.3260378851054728E-2</v>
      </c>
      <c r="AA46" s="281">
        <f t="shared" si="55"/>
        <v>6.428543962135512E-2</v>
      </c>
      <c r="AB46" s="281">
        <f t="shared" si="55"/>
        <v>5.6409996946820307E-2</v>
      </c>
      <c r="AC46" s="281">
        <f t="shared" si="55"/>
        <v>4.9499354352757846E-2</v>
      </c>
      <c r="AD46" s="281">
        <f t="shared" si="55"/>
        <v>4.3435316680654382E-2</v>
      </c>
      <c r="AE46" s="281">
        <f t="shared" si="55"/>
        <v>3.8114168554677717E-2</v>
      </c>
      <c r="AF46" s="1107">
        <f>1/((1+$F$51)^25)</f>
        <v>3.8114168554677717E-2</v>
      </c>
      <c r="AG46" s="459"/>
    </row>
    <row r="47" spans="1:33" ht="14.4">
      <c r="A47" s="1928"/>
      <c r="B47" s="219">
        <v>36</v>
      </c>
      <c r="C47" s="223" t="s">
        <v>850</v>
      </c>
      <c r="D47" s="511"/>
      <c r="E47" s="512" t="s">
        <v>851</v>
      </c>
      <c r="F47" s="335">
        <f>1/((1+$F$51+0.001)^G51)</f>
        <v>1</v>
      </c>
      <c r="G47" s="334">
        <f>1/((1+$F$51+0.001)^G50)</f>
        <v>0.87672327235638825</v>
      </c>
      <c r="H47" s="281">
        <f t="shared" ref="H47:AE47" si="56">1/((1+$F$51+0.001)^H50)</f>
        <v>0.7686436962912937</v>
      </c>
      <c r="I47" s="281">
        <f t="shared" si="56"/>
        <v>0.67388781668861286</v>
      </c>
      <c r="J47" s="335">
        <f t="shared" si="56"/>
        <v>0.5908131318483425</v>
      </c>
      <c r="K47" s="334">
        <f t="shared" si="56"/>
        <v>0.51797962230520511</v>
      </c>
      <c r="L47" s="281">
        <f t="shared" si="56"/>
        <v>0.45412478948134544</v>
      </c>
      <c r="M47" s="281">
        <f t="shared" si="56"/>
        <v>0.39814177149224106</v>
      </c>
      <c r="N47" s="281">
        <f t="shared" si="56"/>
        <v>0.34906015676444696</v>
      </c>
      <c r="O47" s="281">
        <f t="shared" si="56"/>
        <v>0.30602916288775983</v>
      </c>
      <c r="P47" s="281">
        <f t="shared" si="56"/>
        <v>0.26830288912344291</v>
      </c>
      <c r="Q47" s="281">
        <f t="shared" si="56"/>
        <v>0.23522738693497808</v>
      </c>
      <c r="R47" s="281">
        <f t="shared" si="56"/>
        <v>0.20622932442147629</v>
      </c>
      <c r="S47" s="281">
        <f t="shared" si="56"/>
        <v>0.18080604816264392</v>
      </c>
      <c r="T47" s="281">
        <f t="shared" si="56"/>
        <v>0.15851687020697991</v>
      </c>
      <c r="U47" s="281">
        <f t="shared" si="56"/>
        <v>0.13897542917155628</v>
      </c>
      <c r="V47" s="281">
        <f t="shared" si="56"/>
        <v>0.12184299304042029</v>
      </c>
      <c r="W47" s="281">
        <f>1/((1+$F$51+0.001)^W50)</f>
        <v>0.10682258757209391</v>
      </c>
      <c r="X47" s="281">
        <f t="shared" si="56"/>
        <v>9.3653848537783024E-2</v>
      </c>
      <c r="Y47" s="281">
        <f t="shared" si="56"/>
        <v>8.2108508558814672E-2</v>
      </c>
      <c r="Z47" s="281">
        <f t="shared" si="56"/>
        <v>7.1986440311986505E-2</v>
      </c>
      <c r="AA47" s="281">
        <f t="shared" si="56"/>
        <v>6.3112187515612636E-2</v>
      </c>
      <c r="AB47" s="281">
        <f t="shared" si="56"/>
        <v>5.5331923564257902E-2</v>
      </c>
      <c r="AC47" s="281">
        <f t="shared" si="56"/>
        <v>4.851078509302973E-2</v>
      </c>
      <c r="AD47" s="281">
        <f t="shared" si="56"/>
        <v>4.2530534251338521E-2</v>
      </c>
      <c r="AE47" s="281">
        <f t="shared" si="56"/>
        <v>3.728750916389896E-2</v>
      </c>
      <c r="AF47" s="1107">
        <f t="shared" ref="AF47:AF48" si="57">1/((1+$F$51)^25)</f>
        <v>3.8114168554677717E-2</v>
      </c>
      <c r="AG47" s="459"/>
    </row>
    <row r="48" spans="1:33" ht="14.4">
      <c r="A48" s="1928"/>
      <c r="B48" s="220">
        <v>37</v>
      </c>
      <c r="C48" s="218" t="s">
        <v>852</v>
      </c>
      <c r="D48" s="511"/>
      <c r="E48" s="512" t="s">
        <v>853</v>
      </c>
      <c r="F48" s="525">
        <f>1/((1+$F$51+0.005)^G51)</f>
        <v>1</v>
      </c>
      <c r="G48" s="526">
        <f t="shared" ref="G48:AE48" si="58">1/((1+$F$51+0.005)^G50)</f>
        <v>0.87365944209638902</v>
      </c>
      <c r="H48" s="527">
        <f t="shared" si="58"/>
        <v>0.7632808207641737</v>
      </c>
      <c r="I48" s="527">
        <f t="shared" si="58"/>
        <v>0.6668474960317019</v>
      </c>
      <c r="J48" s="525">
        <f t="shared" si="58"/>
        <v>0.58259761134643062</v>
      </c>
      <c r="K48" s="630">
        <f t="shared" si="58"/>
        <v>0.50899190409561146</v>
      </c>
      <c r="L48" s="631">
        <f t="shared" si="58"/>
        <v>0.4446855829637506</v>
      </c>
      <c r="M48" s="631">
        <f t="shared" si="58"/>
        <v>0.38850375832041795</v>
      </c>
      <c r="N48" s="631">
        <f t="shared" si="58"/>
        <v>0.33941997674656665</v>
      </c>
      <c r="O48" s="631">
        <f t="shared" si="58"/>
        <v>0.29653746752077476</v>
      </c>
      <c r="P48" s="631">
        <f t="shared" si="58"/>
        <v>0.25907275843487615</v>
      </c>
      <c r="Q48" s="631">
        <f t="shared" si="58"/>
        <v>0.22634136159658644</v>
      </c>
      <c r="R48" s="631">
        <f t="shared" si="58"/>
        <v>0.19774526769581077</v>
      </c>
      <c r="S48" s="631">
        <f t="shared" si="58"/>
        <v>0.17276202025232312</v>
      </c>
      <c r="T48" s="631">
        <f t="shared" si="58"/>
        <v>0.15093517022908964</v>
      </c>
      <c r="U48" s="631">
        <f t="shared" si="58"/>
        <v>0.13186593661506998</v>
      </c>
      <c r="V48" s="631">
        <f t="shared" si="58"/>
        <v>0.11520592061463984</v>
      </c>
      <c r="W48" s="631">
        <f t="shared" si="58"/>
        <v>0.10065074033038714</v>
      </c>
      <c r="X48" s="631">
        <f t="shared" si="58"/>
        <v>8.793446964363455E-2</v>
      </c>
      <c r="Y48" s="631">
        <f t="shared" si="58"/>
        <v>7.6824779689899605E-2</v>
      </c>
      <c r="Z48" s="631">
        <f t="shared" si="58"/>
        <v>6.7118694163055687E-2</v>
      </c>
      <c r="AA48" s="631">
        <f t="shared" si="58"/>
        <v>5.86388808967334E-2</v>
      </c>
      <c r="AB48" s="631">
        <f t="shared" si="58"/>
        <v>5.1230411969396691E-2</v>
      </c>
      <c r="AC48" s="631">
        <f t="shared" si="58"/>
        <v>4.4757933139551287E-2</v>
      </c>
      <c r="AD48" s="631">
        <f t="shared" si="58"/>
        <v>3.910319089608786E-2</v>
      </c>
      <c r="AE48" s="631">
        <f t="shared" si="58"/>
        <v>3.4162871942464715E-2</v>
      </c>
      <c r="AF48" s="1107">
        <f t="shared" si="57"/>
        <v>3.8114168554677717E-2</v>
      </c>
      <c r="AG48" s="459"/>
    </row>
    <row r="49" spans="1:33" ht="14.4">
      <c r="A49" s="1938" t="s">
        <v>447</v>
      </c>
      <c r="B49" s="1939"/>
      <c r="C49" s="1939"/>
      <c r="D49" s="1939"/>
      <c r="E49" s="1939"/>
      <c r="F49" s="1939"/>
      <c r="G49" s="1939"/>
      <c r="H49" s="1939"/>
      <c r="I49" s="1939"/>
      <c r="J49" s="1939"/>
      <c r="K49" s="1939"/>
      <c r="L49" s="1939"/>
      <c r="M49" s="1939"/>
      <c r="N49" s="1939"/>
      <c r="O49" s="1939"/>
      <c r="P49" s="1939"/>
      <c r="Q49" s="1939"/>
      <c r="R49" s="1939"/>
      <c r="S49" s="1939"/>
      <c r="T49" s="1939"/>
      <c r="U49" s="1939"/>
      <c r="V49" s="1939"/>
      <c r="W49" s="1939"/>
      <c r="X49" s="1939"/>
      <c r="Y49" s="1939"/>
      <c r="Z49" s="1939"/>
      <c r="AA49" s="1939"/>
      <c r="AB49" s="1939"/>
      <c r="AC49" s="1939"/>
      <c r="AD49" s="1939"/>
      <c r="AE49" s="1939"/>
      <c r="AF49" s="1940"/>
      <c r="AG49" s="459"/>
    </row>
    <row r="50" spans="1:33" ht="14.4">
      <c r="A50" s="1917" t="s">
        <v>854</v>
      </c>
      <c r="C50" s="1438" t="s">
        <v>855</v>
      </c>
      <c r="D50" s="1439" t="s">
        <v>856</v>
      </c>
      <c r="E50" s="1440" t="s">
        <v>857</v>
      </c>
      <c r="F50" s="1441" t="s">
        <v>858</v>
      </c>
      <c r="G50" s="282">
        <v>1</v>
      </c>
      <c r="H50" s="283">
        <v>2</v>
      </c>
      <c r="I50" s="283">
        <v>3</v>
      </c>
      <c r="J50" s="282">
        <v>4</v>
      </c>
      <c r="K50" s="283">
        <v>5</v>
      </c>
      <c r="L50" s="283">
        <v>6</v>
      </c>
      <c r="M50" s="282">
        <v>7</v>
      </c>
      <c r="N50" s="283">
        <v>8</v>
      </c>
      <c r="O50" s="283">
        <v>9</v>
      </c>
      <c r="P50" s="282">
        <v>10</v>
      </c>
      <c r="Q50" s="283">
        <v>11</v>
      </c>
      <c r="R50" s="283">
        <v>12</v>
      </c>
      <c r="S50" s="282">
        <v>13</v>
      </c>
      <c r="T50" s="283">
        <v>14</v>
      </c>
      <c r="U50" s="283">
        <v>15</v>
      </c>
      <c r="V50" s="282">
        <v>16</v>
      </c>
      <c r="W50" s="283">
        <v>17</v>
      </c>
      <c r="X50" s="283">
        <v>18</v>
      </c>
      <c r="Y50" s="282">
        <v>19</v>
      </c>
      <c r="Z50" s="283">
        <v>20</v>
      </c>
      <c r="AA50" s="283">
        <v>21</v>
      </c>
      <c r="AB50" s="282">
        <v>22</v>
      </c>
      <c r="AC50" s="283">
        <v>23</v>
      </c>
      <c r="AD50" s="283">
        <v>24</v>
      </c>
      <c r="AE50" s="282">
        <v>25</v>
      </c>
    </row>
    <row r="51" spans="1:33">
      <c r="A51" s="1918"/>
      <c r="C51" s="1442"/>
      <c r="D51" s="1443"/>
      <c r="E51" s="1444"/>
      <c r="F51" s="1445">
        <f>Assumptions!C587</f>
        <v>0.13961076229022445</v>
      </c>
      <c r="G51" s="282">
        <v>0</v>
      </c>
      <c r="H51"/>
      <c r="I51" s="1919" t="s">
        <v>859</v>
      </c>
      <c r="J51" s="1892"/>
      <c r="K51" s="1109">
        <f t="shared" ref="K51:AF51" si="59">K45/K12</f>
        <v>0.34200971002072095</v>
      </c>
      <c r="L51" s="1109">
        <f t="shared" si="59"/>
        <v>0.35769243596323175</v>
      </c>
      <c r="M51" s="1109">
        <f t="shared" si="59"/>
        <v>0.29111372360915638</v>
      </c>
      <c r="N51" s="1109">
        <f t="shared" si="59"/>
        <v>0.32483974927595388</v>
      </c>
      <c r="O51" s="1109">
        <f t="shared" si="59"/>
        <v>0.3410339283138325</v>
      </c>
      <c r="P51" s="1109">
        <f t="shared" si="59"/>
        <v>0.31878682885485188</v>
      </c>
      <c r="Q51" s="1109">
        <f t="shared" si="59"/>
        <v>0.29560217509988035</v>
      </c>
      <c r="R51" s="1109">
        <f t="shared" si="59"/>
        <v>0.30553235727627986</v>
      </c>
      <c r="S51" s="1109">
        <f t="shared" si="59"/>
        <v>0.30614448551324502</v>
      </c>
      <c r="T51" s="1109">
        <f t="shared" si="59"/>
        <v>0.30672600257366911</v>
      </c>
      <c r="U51" s="1109">
        <f t="shared" si="59"/>
        <v>0.30982465060084258</v>
      </c>
      <c r="V51" s="1109">
        <f t="shared" si="59"/>
        <v>0.31235559612184699</v>
      </c>
      <c r="W51" s="1109">
        <f t="shared" si="59"/>
        <v>0.31481661342500994</v>
      </c>
      <c r="X51" s="1109">
        <f t="shared" si="59"/>
        <v>0.32983272628108234</v>
      </c>
      <c r="Y51" s="1109">
        <f t="shared" si="59"/>
        <v>0.33341080240746462</v>
      </c>
      <c r="Z51" s="1109">
        <f t="shared" si="59"/>
        <v>0.33619853431614571</v>
      </c>
      <c r="AA51" s="1109">
        <f t="shared" si="59"/>
        <v>0.3389031957687989</v>
      </c>
      <c r="AB51" s="1109">
        <f t="shared" si="59"/>
        <v>0.34152687238240453</v>
      </c>
      <c r="AC51" s="1109">
        <f t="shared" si="59"/>
        <v>0.35881547565507904</v>
      </c>
      <c r="AD51" s="1109">
        <f t="shared" si="59"/>
        <v>0.36268895025188147</v>
      </c>
      <c r="AE51" s="1109">
        <f t="shared" si="59"/>
        <v>0.36561079334729946</v>
      </c>
      <c r="AF51" s="1110">
        <f t="shared" si="59"/>
        <v>0.37187753178294086</v>
      </c>
    </row>
    <row r="52" spans="1:33" ht="14.4">
      <c r="A52" s="217"/>
      <c r="C52" s="217"/>
      <c r="D52" s="1436"/>
      <c r="G52"/>
      <c r="H52"/>
      <c r="I52"/>
      <c r="J52"/>
      <c r="K52"/>
      <c r="L52"/>
      <c r="M52"/>
      <c r="N52"/>
      <c r="O52"/>
      <c r="P52"/>
      <c r="S52" s="217"/>
      <c r="T52" s="217"/>
      <c r="U52" s="217"/>
      <c r="V52" s="217"/>
      <c r="W52" s="217"/>
      <c r="X52" s="217"/>
      <c r="Y52" s="217"/>
      <c r="Z52" s="217"/>
      <c r="AA52" s="217"/>
      <c r="AB52" s="217"/>
      <c r="AC52" s="217"/>
      <c r="AD52" s="217"/>
      <c r="AE52" s="217"/>
      <c r="AF52" s="217"/>
    </row>
    <row r="53" spans="1:33" ht="15" customHeight="1">
      <c r="A53" s="1946" t="s">
        <v>860</v>
      </c>
      <c r="C53" s="397" t="s">
        <v>447</v>
      </c>
      <c r="D53" s="1391" t="s">
        <v>798</v>
      </c>
      <c r="E53" s="1392" t="s">
        <v>861</v>
      </c>
      <c r="F53" s="1393" t="s">
        <v>799</v>
      </c>
      <c r="G53" s="1392" t="s">
        <v>862</v>
      </c>
      <c r="H53"/>
      <c r="I53" s="1919" t="s">
        <v>863</v>
      </c>
      <c r="J53" s="1892"/>
      <c r="K53" s="1003">
        <f t="shared" ref="K53" si="60">K44/(K6-K8)</f>
        <v>0.90552318929833653</v>
      </c>
      <c r="L53" s="1421">
        <f>Assumptions!$G$600</f>
        <v>0.20494458941735325</v>
      </c>
      <c r="M53" s="1421">
        <f>Assumptions!$G$600</f>
        <v>0.20494458941735325</v>
      </c>
      <c r="N53" s="1421">
        <f>Assumptions!$G$600</f>
        <v>0.20494458941735325</v>
      </c>
      <c r="O53" s="1421">
        <f>Assumptions!$G$600</f>
        <v>0.20494458941735325</v>
      </c>
      <c r="P53" s="1421">
        <f>Assumptions!$G$600</f>
        <v>0.20494458941735325</v>
      </c>
      <c r="Q53" s="1421">
        <f>Assumptions!$G$600</f>
        <v>0.20494458941735325</v>
      </c>
      <c r="R53" s="1421">
        <f>Assumptions!$G$600</f>
        <v>0.20494458941735325</v>
      </c>
      <c r="S53" s="1421">
        <f>Assumptions!$G$600</f>
        <v>0.20494458941735325</v>
      </c>
      <c r="T53" s="1421">
        <f>Assumptions!$G$600</f>
        <v>0.20494458941735325</v>
      </c>
      <c r="U53" s="1421">
        <f>Assumptions!$G$600</f>
        <v>0.20494458941735325</v>
      </c>
      <c r="V53" s="1421">
        <f>Assumptions!$G$600</f>
        <v>0.20494458941735325</v>
      </c>
      <c r="W53" s="1421">
        <f>Assumptions!$G$600</f>
        <v>0.20494458941735325</v>
      </c>
      <c r="X53" s="1421">
        <f>Assumptions!$G$600</f>
        <v>0.20494458941735325</v>
      </c>
      <c r="Y53" s="1421">
        <f>Assumptions!$G$600</f>
        <v>0.20494458941735325</v>
      </c>
      <c r="Z53" s="1421">
        <f>Assumptions!$G$600</f>
        <v>0.20494458941735325</v>
      </c>
      <c r="AA53" s="1421">
        <f>Assumptions!$G$600</f>
        <v>0.20494458941735325</v>
      </c>
      <c r="AB53" s="1421">
        <f>Assumptions!$G$600</f>
        <v>0.20494458941735325</v>
      </c>
      <c r="AC53" s="1421">
        <f>Assumptions!$G$600</f>
        <v>0.20494458941735325</v>
      </c>
      <c r="AD53" s="1421">
        <f>Assumptions!$G$600</f>
        <v>0.20494458941735325</v>
      </c>
      <c r="AE53" s="1421">
        <f>Assumptions!$G$600</f>
        <v>0.20494458941735325</v>
      </c>
      <c r="AF53" s="1422">
        <f>Assumptions!$G$600</f>
        <v>0.20494458941735325</v>
      </c>
    </row>
    <row r="54" spans="1:33" ht="15" customHeight="1">
      <c r="A54" s="1946"/>
      <c r="C54" s="1386" t="s">
        <v>618</v>
      </c>
      <c r="D54" s="1115">
        <f>Assumptions!K302</f>
        <v>-0.16</v>
      </c>
      <c r="E54" s="1115">
        <f>Assumptions!L302</f>
        <v>-0.15</v>
      </c>
      <c r="F54" s="1115">
        <f>Assumptions!M302</f>
        <v>-0.15</v>
      </c>
      <c r="G54" s="398" t="s">
        <v>864</v>
      </c>
      <c r="H54"/>
      <c r="I54"/>
      <c r="J54"/>
      <c r="K54"/>
      <c r="L54"/>
      <c r="S54" s="217"/>
      <c r="T54" s="217"/>
      <c r="U54" s="217"/>
      <c r="V54" s="217"/>
      <c r="W54" s="217"/>
      <c r="X54" s="217"/>
      <c r="Y54" s="217"/>
      <c r="Z54" s="217"/>
      <c r="AA54" s="217"/>
      <c r="AB54" s="217"/>
      <c r="AC54" s="217"/>
      <c r="AD54" s="217"/>
      <c r="AE54" s="217"/>
      <c r="AF54" s="217"/>
    </row>
    <row r="55" spans="1:33" ht="15" customHeight="1">
      <c r="A55" s="1946"/>
      <c r="C55" s="1387" t="s">
        <v>865</v>
      </c>
      <c r="D55" s="1115">
        <f>Assumptions!L316</f>
        <v>-0.13</v>
      </c>
      <c r="E55" s="1115">
        <f>Assumptions!$M$316</f>
        <v>-0.12</v>
      </c>
      <c r="F55" s="1403">
        <f>Assumptions!$M$316</f>
        <v>-0.12</v>
      </c>
      <c r="G55" s="632" t="s">
        <v>866</v>
      </c>
      <c r="H55"/>
      <c r="I55" s="1947" t="s">
        <v>867</v>
      </c>
      <c r="J55" s="1948"/>
      <c r="K55" s="1111">
        <f t="shared" ref="K55:AF55" si="61">K44/K6</f>
        <v>0.7254946137855709</v>
      </c>
      <c r="L55" s="1111">
        <f t="shared" si="61"/>
        <v>0.24016879630139076</v>
      </c>
      <c r="M55" s="1111">
        <f t="shared" si="61"/>
        <v>0.24326580014730667</v>
      </c>
      <c r="N55" s="1111">
        <f t="shared" si="61"/>
        <v>0.2508830809345925</v>
      </c>
      <c r="O55" s="1111">
        <f t="shared" si="61"/>
        <v>0.25259785077737962</v>
      </c>
      <c r="P55" s="1111">
        <f t="shared" si="61"/>
        <v>0.24319889044229218</v>
      </c>
      <c r="Q55" s="1111">
        <f t="shared" si="61"/>
        <v>0.23202200090410971</v>
      </c>
      <c r="R55" s="1111">
        <f t="shared" si="61"/>
        <v>0.23150871525710612</v>
      </c>
      <c r="S55" s="1111">
        <f t="shared" si="61"/>
        <v>0.23100209420540399</v>
      </c>
      <c r="T55" s="1111">
        <f t="shared" si="61"/>
        <v>0.23050249927135255</v>
      </c>
      <c r="U55" s="1111">
        <f t="shared" si="61"/>
        <v>0.2300418673495227</v>
      </c>
      <c r="V55" s="1111">
        <f t="shared" si="61"/>
        <v>0.22957405382380258</v>
      </c>
      <c r="W55" s="1111">
        <f t="shared" si="61"/>
        <v>0.22909936217277541</v>
      </c>
      <c r="X55" s="1111">
        <f t="shared" si="61"/>
        <v>0.23397039253332388</v>
      </c>
      <c r="Y55" s="1111">
        <f t="shared" si="61"/>
        <v>0.23364825772273887</v>
      </c>
      <c r="Z55" s="1111">
        <f t="shared" si="61"/>
        <v>0.23332009897058476</v>
      </c>
      <c r="AA55" s="1111">
        <f t="shared" si="61"/>
        <v>0.23298626717016602</v>
      </c>
      <c r="AB55" s="1111">
        <f t="shared" si="61"/>
        <v>0.23264713177798169</v>
      </c>
      <c r="AC55" s="1111">
        <f t="shared" si="61"/>
        <v>0.23850237975670863</v>
      </c>
      <c r="AD55" s="1111">
        <f t="shared" si="61"/>
        <v>0.23834729030397048</v>
      </c>
      <c r="AE55" s="1111">
        <f t="shared" si="61"/>
        <v>0.23818690349901103</v>
      </c>
      <c r="AF55" s="1112">
        <f t="shared" si="61"/>
        <v>0.23822186508736118</v>
      </c>
    </row>
    <row r="56" spans="1:33" ht="15" customHeight="1">
      <c r="A56" s="1946"/>
      <c r="C56" s="1388" t="s">
        <v>599</v>
      </c>
      <c r="D56" s="1115">
        <f>Assumptions!C525</f>
        <v>-0.05</v>
      </c>
      <c r="E56" s="1115">
        <f>Assumptions!D525</f>
        <v>-0.06</v>
      </c>
      <c r="F56" s="1115">
        <f>Assumptions!E525</f>
        <v>-0.04</v>
      </c>
      <c r="G56" s="398" t="s">
        <v>868</v>
      </c>
    </row>
    <row r="57" spans="1:33" ht="15" customHeight="1">
      <c r="A57" s="1946"/>
      <c r="C57" s="1446" t="s">
        <v>789</v>
      </c>
      <c r="D57" s="1447">
        <f>Assumptions!C365</f>
        <v>-0.05</v>
      </c>
      <c r="E57" s="1447">
        <f>Assumptions!D365</f>
        <v>0.02</v>
      </c>
      <c r="F57" s="1447">
        <f>Assumptions!E365</f>
        <v>0.16</v>
      </c>
      <c r="G57" s="1448" t="s">
        <v>869</v>
      </c>
      <c r="I57" s="217"/>
      <c r="J57" s="217"/>
      <c r="K57" s="217"/>
      <c r="L57" s="217"/>
      <c r="M57" s="217"/>
      <c r="N57" s="217"/>
      <c r="O57" s="217"/>
      <c r="P57" s="217"/>
      <c r="Q57" s="217"/>
      <c r="R57" s="217"/>
      <c r="S57" s="217"/>
      <c r="T57" s="217"/>
      <c r="U57" s="217"/>
      <c r="V57" s="217"/>
      <c r="W57" s="217"/>
      <c r="X57" s="217"/>
      <c r="Y57" s="217"/>
      <c r="Z57" s="217"/>
      <c r="AA57" s="217"/>
      <c r="AB57" s="217"/>
      <c r="AC57" s="217"/>
      <c r="AD57" s="217"/>
      <c r="AE57" s="217"/>
      <c r="AF57" s="217"/>
    </row>
    <row r="58" spans="1:33" ht="15" customHeight="1">
      <c r="A58" s="1946"/>
      <c r="C58" s="1388" t="s">
        <v>870</v>
      </c>
      <c r="D58" s="1115">
        <f>Assumptions!$F$401</f>
        <v>-3.3000000000000002E-2</v>
      </c>
      <c r="E58" s="368">
        <f>Assumptions!$F$401</f>
        <v>-3.3000000000000002E-2</v>
      </c>
      <c r="F58" s="369">
        <f>Assumptions!$F$401</f>
        <v>-3.3000000000000002E-2</v>
      </c>
      <c r="G58" s="398" t="s">
        <v>871</v>
      </c>
      <c r="I58" s="217" t="s">
        <v>872</v>
      </c>
      <c r="J58" s="217"/>
      <c r="K58" s="217"/>
      <c r="L58" s="217"/>
      <c r="M58" s="217"/>
      <c r="N58" s="217"/>
      <c r="O58" s="217"/>
      <c r="P58" s="217"/>
      <c r="Q58" s="217"/>
      <c r="R58" s="217"/>
      <c r="S58" s="217"/>
      <c r="T58" s="217"/>
      <c r="U58" s="217"/>
      <c r="V58" s="217"/>
      <c r="W58" s="217"/>
      <c r="X58" s="217"/>
      <c r="Y58" s="217"/>
      <c r="Z58" s="217"/>
      <c r="AA58" s="217"/>
      <c r="AB58" s="217"/>
      <c r="AC58" s="217"/>
      <c r="AD58" s="217"/>
      <c r="AE58" s="217"/>
      <c r="AF58" s="283">
        <f>AF44/AF6</f>
        <v>0.23822186508736118</v>
      </c>
    </row>
    <row r="59" spans="1:33" ht="15" customHeight="1">
      <c r="A59" s="1946"/>
      <c r="C59" s="1387" t="s">
        <v>873</v>
      </c>
      <c r="D59" s="1115">
        <f>Assumptions!C418</f>
        <v>4.9000000000000002E-2</v>
      </c>
      <c r="E59" s="368">
        <f>Assumptions!$D$418</f>
        <v>0.04</v>
      </c>
      <c r="F59" s="368">
        <f>Assumptions!$D$418</f>
        <v>0.04</v>
      </c>
      <c r="G59" s="398" t="s">
        <v>874</v>
      </c>
      <c r="H59" s="217"/>
      <c r="I59" s="218"/>
      <c r="J59" s="237"/>
      <c r="K59" s="237"/>
      <c r="L59" s="237"/>
      <c r="M59" s="237"/>
      <c r="N59" s="237"/>
      <c r="O59" s="217"/>
      <c r="P59" s="217"/>
      <c r="Q59" s="217"/>
      <c r="R59" s="217"/>
      <c r="S59" s="217"/>
      <c r="T59" s="217"/>
      <c r="U59" s="217"/>
      <c r="V59" s="217"/>
      <c r="W59" s="217"/>
      <c r="X59" s="217"/>
      <c r="Y59" s="217"/>
      <c r="Z59" s="217"/>
      <c r="AA59" s="217"/>
      <c r="AB59" s="217"/>
      <c r="AC59" s="217"/>
      <c r="AD59" s="217"/>
      <c r="AE59" s="217"/>
      <c r="AF59" s="217"/>
    </row>
    <row r="60" spans="1:33" ht="15" customHeight="1">
      <c r="A60" s="1946"/>
      <c r="C60" s="1388" t="s">
        <v>875</v>
      </c>
      <c r="D60" s="1115">
        <f>Assumptions!S23</f>
        <v>0</v>
      </c>
      <c r="E60" s="368">
        <f>Assumptions!S23</f>
        <v>0</v>
      </c>
      <c r="F60" s="369">
        <f>Assumptions!T23</f>
        <v>0</v>
      </c>
      <c r="G60" s="398" t="s">
        <v>876</v>
      </c>
      <c r="H60" s="217"/>
      <c r="I60" s="217"/>
      <c r="J60" s="238"/>
      <c r="K60" s="238"/>
      <c r="L60" s="238"/>
      <c r="M60" s="238"/>
      <c r="N60" s="237"/>
      <c r="O60" s="217"/>
      <c r="P60" s="217"/>
      <c r="Q60" s="217"/>
      <c r="R60" s="217"/>
      <c r="S60" s="217"/>
      <c r="T60" s="217"/>
      <c r="U60" s="217"/>
      <c r="V60" s="217"/>
      <c r="W60" s="217"/>
      <c r="X60" s="217"/>
      <c r="Y60" s="217"/>
      <c r="Z60" s="217"/>
      <c r="AA60" s="217"/>
      <c r="AB60" s="217"/>
      <c r="AC60" s="217"/>
      <c r="AD60" s="217"/>
      <c r="AE60" s="217"/>
      <c r="AF60" s="217"/>
    </row>
    <row r="61" spans="1:33" ht="15" customHeight="1" thickBot="1">
      <c r="A61" s="1946"/>
      <c r="C61" s="1389" t="s">
        <v>877</v>
      </c>
      <c r="D61" s="1115">
        <f>Assumptions!C509</f>
        <v>-0.1</v>
      </c>
      <c r="E61" s="368">
        <f>Assumptions!D509</f>
        <v>-7.0000000000000007E-2</v>
      </c>
      <c r="F61" s="369">
        <f>Assumptions!E509</f>
        <v>-0.06</v>
      </c>
      <c r="G61" s="398" t="s">
        <v>868</v>
      </c>
      <c r="H61" s="217"/>
      <c r="I61" s="217"/>
      <c r="J61" s="237"/>
      <c r="K61"/>
      <c r="L61"/>
      <c r="M61"/>
      <c r="N61"/>
      <c r="O61"/>
      <c r="P61" s="217"/>
      <c r="Q61" s="217"/>
      <c r="R61" s="217"/>
      <c r="S61" s="217"/>
      <c r="T61" s="217"/>
      <c r="U61" s="217"/>
      <c r="V61" s="217"/>
      <c r="W61" s="217"/>
      <c r="X61" s="217"/>
      <c r="Y61" s="217"/>
      <c r="Z61" s="217"/>
      <c r="AA61" s="217"/>
      <c r="AB61" s="217"/>
      <c r="AC61" s="217"/>
      <c r="AD61" s="217"/>
      <c r="AE61" s="217"/>
      <c r="AF61" s="217"/>
    </row>
    <row r="62" spans="1:33" ht="15" customHeight="1" thickBot="1">
      <c r="A62" s="1946"/>
      <c r="C62" s="1390" t="s">
        <v>878</v>
      </c>
      <c r="D62" s="1115">
        <f>Assumptions!S25</f>
        <v>0</v>
      </c>
      <c r="E62" s="368">
        <f>Assumptions!S25</f>
        <v>0</v>
      </c>
      <c r="F62" s="369">
        <f>Assumptions!T25</f>
        <v>0</v>
      </c>
      <c r="G62" s="398" t="s">
        <v>879</v>
      </c>
      <c r="H62" s="217"/>
      <c r="I62" s="217"/>
      <c r="J62" s="217"/>
      <c r="K62"/>
      <c r="L62"/>
      <c r="M62"/>
      <c r="N62"/>
      <c r="O62" s="1908" t="s">
        <v>880</v>
      </c>
      <c r="P62" s="1909"/>
      <c r="Q62" s="1909"/>
      <c r="R62" s="1909"/>
      <c r="S62" s="1909"/>
      <c r="T62" s="1909"/>
      <c r="U62" s="1909"/>
      <c r="V62" s="1909"/>
      <c r="W62" s="1909"/>
      <c r="X62" s="1910"/>
      <c r="Y62" s="217"/>
      <c r="Z62"/>
      <c r="AA62"/>
      <c r="AB62" s="217"/>
      <c r="AC62" s="217"/>
      <c r="AD62" s="217"/>
      <c r="AE62" s="217"/>
      <c r="AF62" s="217"/>
    </row>
    <row r="63" spans="1:33" ht="15" customHeight="1" thickBot="1">
      <c r="A63" s="1946"/>
      <c r="C63" s="1390" t="s">
        <v>881</v>
      </c>
      <c r="D63" s="1115">
        <f>Assumptions!$G$338</f>
        <v>-2.3580444867760994E-2</v>
      </c>
      <c r="E63" s="1115">
        <f>Assumptions!C340</f>
        <v>-0.03</v>
      </c>
      <c r="F63" s="1115">
        <f>Assumptions!I338</f>
        <v>-2.3E-2</v>
      </c>
      <c r="G63" s="398" t="s">
        <v>882</v>
      </c>
      <c r="H63" s="217"/>
      <c r="I63" s="217"/>
      <c r="J63" s="217"/>
      <c r="K63"/>
      <c r="L63"/>
      <c r="M63"/>
      <c r="N63"/>
      <c r="O63" s="1911" t="s">
        <v>676</v>
      </c>
      <c r="P63" s="1912"/>
      <c r="Q63" s="1912"/>
      <c r="R63" s="1912"/>
      <c r="S63" s="1912"/>
      <c r="T63" s="1912"/>
      <c r="U63" s="1912"/>
      <c r="V63" s="1912"/>
      <c r="W63" s="1912"/>
      <c r="X63" s="1913"/>
      <c r="Y63" s="217"/>
      <c r="Z63"/>
      <c r="AA63"/>
      <c r="AB63" s="217"/>
      <c r="AC63" s="217"/>
      <c r="AD63" s="217"/>
      <c r="AE63" s="217"/>
      <c r="AF63" s="217"/>
    </row>
    <row r="64" spans="1:33" ht="15" customHeight="1" thickBot="1">
      <c r="A64" s="1946"/>
      <c r="C64" s="1390" t="s">
        <v>883</v>
      </c>
      <c r="D64" s="1115">
        <f>Assumptions!$C$446</f>
        <v>-5.0000000000000001E-3</v>
      </c>
      <c r="E64" s="1115">
        <f>Assumptions!$C$446</f>
        <v>-5.0000000000000001E-3</v>
      </c>
      <c r="F64" s="1403">
        <f>Assumptions!B455</f>
        <v>-0.03</v>
      </c>
      <c r="G64" s="632" t="s">
        <v>868</v>
      </c>
      <c r="H64" s="217"/>
      <c r="I64" s="217"/>
      <c r="J64" s="217"/>
      <c r="K64"/>
      <c r="L64"/>
      <c r="M64"/>
      <c r="O64" s="1328">
        <f ca="1">D76</f>
        <v>157.65973522705937</v>
      </c>
      <c r="P64" s="1339">
        <v>0.12</v>
      </c>
      <c r="Q64" s="1339">
        <f>P64+1%</f>
        <v>0.13</v>
      </c>
      <c r="R64" s="1339">
        <f t="shared" ref="R64:X64" si="62">Q64+1%</f>
        <v>0.14000000000000001</v>
      </c>
      <c r="S64" s="1341">
        <f t="shared" si="62"/>
        <v>0.15000000000000002</v>
      </c>
      <c r="T64" s="1341">
        <f>S64+1%</f>
        <v>0.16000000000000003</v>
      </c>
      <c r="U64" s="1341">
        <f t="shared" si="62"/>
        <v>0.17000000000000004</v>
      </c>
      <c r="V64" s="1339">
        <f t="shared" si="62"/>
        <v>0.18000000000000005</v>
      </c>
      <c r="W64" s="1339">
        <f t="shared" si="62"/>
        <v>0.19000000000000006</v>
      </c>
      <c r="X64" s="1340">
        <f t="shared" si="62"/>
        <v>0.20000000000000007</v>
      </c>
      <c r="Y64" s="217"/>
      <c r="Z64"/>
      <c r="AA64"/>
      <c r="AB64" s="217"/>
      <c r="AC64" s="217"/>
      <c r="AD64" s="217"/>
      <c r="AE64" s="217"/>
      <c r="AF64" s="217"/>
    </row>
    <row r="65" spans="1:32" ht="15" customHeight="1">
      <c r="A65" s="1946"/>
      <c r="C65" s="1390" t="s">
        <v>131</v>
      </c>
      <c r="D65" s="1115">
        <f>Assumptions!S29</f>
        <v>0</v>
      </c>
      <c r="E65" s="368">
        <f>Assumptions!S29</f>
        <v>0</v>
      </c>
      <c r="F65" s="369">
        <f>Assumptions!T29</f>
        <v>0</v>
      </c>
      <c r="G65" s="398" t="s">
        <v>868</v>
      </c>
      <c r="I65" s="217"/>
      <c r="J65" s="217"/>
      <c r="K65"/>
      <c r="L65"/>
      <c r="M65"/>
      <c r="N65" s="1914" t="s">
        <v>108</v>
      </c>
      <c r="O65" s="1321">
        <v>0.16961076229022448</v>
      </c>
      <c r="P65" s="896">
        <f t="dataTable" ref="P65:X71" dt2D="1" dtr="1" r1="F51" r2="F57"/>
        <v>236.15624906844752</v>
      </c>
      <c r="Q65" s="896">
        <v>190.39630940943894</v>
      </c>
      <c r="R65" s="1327">
        <v>155.69342794923918</v>
      </c>
      <c r="S65" s="1327">
        <v>128.90660440922406</v>
      </c>
      <c r="T65" s="1327">
        <v>107.91261507677221</v>
      </c>
      <c r="U65" s="1327">
        <v>91.237115420768959</v>
      </c>
      <c r="V65" s="1327">
        <v>77.832958827213275</v>
      </c>
      <c r="W65" s="1327">
        <v>66.941938588472496</v>
      </c>
      <c r="X65" s="1329">
        <v>58.005815147555381</v>
      </c>
      <c r="Y65" s="217"/>
      <c r="Z65" s="217"/>
      <c r="AA65" s="217"/>
      <c r="AB65" s="217"/>
      <c r="AC65" s="217"/>
      <c r="AD65" s="217"/>
      <c r="AE65" s="217"/>
      <c r="AF65" s="217"/>
    </row>
    <row r="66" spans="1:32" ht="15" customHeight="1">
      <c r="A66" s="1946"/>
      <c r="C66" s="1390" t="s">
        <v>884</v>
      </c>
      <c r="D66" s="1115" t="s">
        <v>661</v>
      </c>
      <c r="E66" s="368" t="s">
        <v>661</v>
      </c>
      <c r="F66" s="1405" t="s">
        <v>661</v>
      </c>
      <c r="G66" s="398" t="s">
        <v>885</v>
      </c>
      <c r="K66"/>
      <c r="L66"/>
      <c r="M66"/>
      <c r="N66" s="1915"/>
      <c r="O66" s="1321">
        <v>0.15961076229022447</v>
      </c>
      <c r="P66" s="896">
        <v>237.41479622888184</v>
      </c>
      <c r="Q66" s="896">
        <v>191.39696314593195</v>
      </c>
      <c r="R66" s="896">
        <v>156.49844706154585</v>
      </c>
      <c r="S66" s="896">
        <v>129.5607968546521</v>
      </c>
      <c r="T66" s="896">
        <v>108.44892574832252</v>
      </c>
      <c r="U66" s="896">
        <v>91.680204330808678</v>
      </c>
      <c r="V66" s="896">
        <v>78.201568122473446</v>
      </c>
      <c r="W66" s="896">
        <v>67.250501638128767</v>
      </c>
      <c r="X66" s="1323">
        <v>58.265576044252654</v>
      </c>
    </row>
    <row r="67" spans="1:32" ht="15" customHeight="1">
      <c r="A67" s="1946"/>
      <c r="C67" s="1390" t="s">
        <v>773</v>
      </c>
      <c r="D67" s="1115">
        <v>0</v>
      </c>
      <c r="E67" s="1115">
        <v>0</v>
      </c>
      <c r="F67" s="1115">
        <v>0</v>
      </c>
      <c r="G67" s="398" t="s">
        <v>886</v>
      </c>
      <c r="K67"/>
      <c r="L67"/>
      <c r="M67"/>
      <c r="N67" s="1915"/>
      <c r="O67" s="1326">
        <v>0.14961076229022446</v>
      </c>
      <c r="P67" s="896">
        <v>238.67334338931619</v>
      </c>
      <c r="Q67" s="896">
        <v>192.39761688242496</v>
      </c>
      <c r="R67" s="1330">
        <v>157.30346617385254</v>
      </c>
      <c r="S67" s="1086">
        <v>130.21498930008013</v>
      </c>
      <c r="T67" s="1086">
        <v>108.98523641987283</v>
      </c>
      <c r="U67" s="1086">
        <v>92.123293240848426</v>
      </c>
      <c r="V67" s="896">
        <v>78.570177417733646</v>
      </c>
      <c r="W67" s="896">
        <v>67.559064687785053</v>
      </c>
      <c r="X67" s="1323">
        <v>58.525336940949892</v>
      </c>
    </row>
    <row r="68" spans="1:32" ht="15.75" customHeight="1">
      <c r="A68" s="1946"/>
      <c r="C68" s="1387" t="s">
        <v>304</v>
      </c>
      <c r="D68" s="1116" t="s">
        <v>661</v>
      </c>
      <c r="E68" s="1114" t="s">
        <v>661</v>
      </c>
      <c r="F68" s="1406" t="s">
        <v>661</v>
      </c>
      <c r="G68" s="632" t="s">
        <v>887</v>
      </c>
      <c r="H68" s="1419">
        <f>Assumptions!L403</f>
        <v>7.0270919200224324E-2</v>
      </c>
      <c r="N68" s="1915"/>
      <c r="O68" s="1326">
        <v>0.13961076229022445</v>
      </c>
      <c r="P68" s="896">
        <v>239.93189054975051</v>
      </c>
      <c r="Q68" s="896">
        <v>193.39827061891788</v>
      </c>
      <c r="R68" s="1330">
        <v>158.10848528615915</v>
      </c>
      <c r="S68" s="1086">
        <v>130.86918174550814</v>
      </c>
      <c r="T68" s="1331">
        <v>109.52154709142313</v>
      </c>
      <c r="U68" s="1086">
        <v>92.566382150888145</v>
      </c>
      <c r="V68" s="896">
        <v>78.938786712993803</v>
      </c>
      <c r="W68" s="896">
        <v>67.867627737441339</v>
      </c>
      <c r="X68" s="1323">
        <v>58.785097837647122</v>
      </c>
    </row>
    <row r="69" spans="1:32" ht="15" thickBot="1">
      <c r="A69" s="217"/>
      <c r="C69" s="217"/>
      <c r="D69" s="217"/>
      <c r="E69" s="217"/>
      <c r="F69" s="217"/>
      <c r="N69" s="1915"/>
      <c r="O69" s="1326">
        <v>0.12961076229022445</v>
      </c>
      <c r="P69" s="896">
        <v>241.19043771018485</v>
      </c>
      <c r="Q69" s="896">
        <v>194.39892435541088</v>
      </c>
      <c r="R69" s="1330">
        <v>158.91350439846579</v>
      </c>
      <c r="S69" s="1086">
        <v>131.52337419093615</v>
      </c>
      <c r="T69" s="1086">
        <v>110.05785776297344</v>
      </c>
      <c r="U69" s="1086">
        <v>93.009471060927893</v>
      </c>
      <c r="V69" s="896">
        <v>79.307396008254003</v>
      </c>
      <c r="W69" s="896">
        <v>68.17619078709761</v>
      </c>
      <c r="X69" s="1323">
        <v>59.044858734344352</v>
      </c>
    </row>
    <row r="70" spans="1:32" ht="13.8" thickBot="1">
      <c r="A70" s="1941" t="s">
        <v>106</v>
      </c>
      <c r="C70" s="284"/>
      <c r="D70" s="372" t="s">
        <v>888</v>
      </c>
      <c r="E70" s="1"/>
      <c r="F70" s="1566" t="s">
        <v>889</v>
      </c>
      <c r="G70" s="1232">
        <f>'Multiples valuation'!$J$9</f>
        <v>276200.63060054003</v>
      </c>
      <c r="N70" s="1915"/>
      <c r="O70" s="1321">
        <v>0.11961076229022445</v>
      </c>
      <c r="P70" s="896">
        <v>242.44898487061923</v>
      </c>
      <c r="Q70" s="896">
        <v>195.39957809190389</v>
      </c>
      <c r="R70" s="896">
        <v>159.71852351077248</v>
      </c>
      <c r="S70" s="896">
        <v>132.17756663636428</v>
      </c>
      <c r="T70" s="896">
        <v>110.59416843452374</v>
      </c>
      <c r="U70" s="896">
        <v>93.452559970967641</v>
      </c>
      <c r="V70" s="896">
        <v>79.67600530351416</v>
      </c>
      <c r="W70" s="896">
        <v>68.484753836753896</v>
      </c>
      <c r="X70" s="1323">
        <v>59.304619631041597</v>
      </c>
    </row>
    <row r="71" spans="1:32" ht="13.8" thickBot="1">
      <c r="A71" s="1942"/>
      <c r="C71" s="284" t="s">
        <v>890</v>
      </c>
      <c r="D71" s="373">
        <f>SUMPRODUCT(G36:AF36,G46:AF46)+((AF44-AF45)*AF46)</f>
        <v>170292.94048993121</v>
      </c>
      <c r="E71" s="336">
        <f>D71/D73</f>
        <v>0.66827418495078761</v>
      </c>
      <c r="N71" s="1916"/>
      <c r="O71" s="1322">
        <v>0.10961076229022446</v>
      </c>
      <c r="P71" s="1324">
        <v>243.70753203105355</v>
      </c>
      <c r="Q71" s="1324">
        <v>196.40023182839687</v>
      </c>
      <c r="R71" s="1324">
        <v>160.52354262307912</v>
      </c>
      <c r="S71" s="1324">
        <v>132.83175908179226</v>
      </c>
      <c r="T71" s="1324">
        <v>111.13047910607403</v>
      </c>
      <c r="U71" s="1324">
        <v>93.895648881007375</v>
      </c>
      <c r="V71" s="1324">
        <v>80.044614598774359</v>
      </c>
      <c r="W71" s="1324">
        <v>68.79331688641021</v>
      </c>
      <c r="X71" s="1325">
        <v>59.564380527738827</v>
      </c>
    </row>
    <row r="72" spans="1:32" ht="13.8" thickBot="1">
      <c r="A72" s="1942"/>
      <c r="C72" s="284" t="s">
        <v>891</v>
      </c>
      <c r="D72" s="373">
        <f>(AF35/(F51-AF5))*AF46</f>
        <v>84532.016578359166</v>
      </c>
      <c r="E72" s="336">
        <f>D72/D73</f>
        <v>0.33172581504921234</v>
      </c>
      <c r="F72" s="1424" t="s">
        <v>892</v>
      </c>
      <c r="G72" s="1547">
        <v>2023</v>
      </c>
      <c r="H72" s="1547">
        <v>2024</v>
      </c>
      <c r="I72" s="1547">
        <v>2025</v>
      </c>
      <c r="J72" s="1550">
        <v>2026</v>
      </c>
    </row>
    <row r="73" spans="1:32" ht="15" thickBot="1">
      <c r="A73" s="1942"/>
      <c r="C73" s="284" t="s">
        <v>893</v>
      </c>
      <c r="D73" s="373">
        <f>D71+D72</f>
        <v>254824.95706829039</v>
      </c>
      <c r="E73" s="1"/>
      <c r="F73" s="1423" t="s">
        <v>894</v>
      </c>
      <c r="G73" s="1229">
        <f>$G$70/(F22+F23)</f>
        <v>246.38771686042821</v>
      </c>
      <c r="H73" s="1230">
        <f>$G$70/(G22+G23)</f>
        <v>74.721881920062657</v>
      </c>
      <c r="I73" s="1230">
        <f>$G$70/(H22+H23)</f>
        <v>56.61487518154938</v>
      </c>
      <c r="J73" s="1231">
        <f>$G$70/(I22+I23)</f>
        <v>43.053795918357267</v>
      </c>
    </row>
    <row r="74" spans="1:32" ht="15" thickBot="1">
      <c r="A74" s="1942"/>
      <c r="C74" s="622" t="s">
        <v>895</v>
      </c>
      <c r="D74" s="623">
        <f ca="1">OP!C20</f>
        <v>78.209999999999994</v>
      </c>
      <c r="E74" s="285"/>
      <c r="F74" s="1225" t="s">
        <v>896</v>
      </c>
      <c r="G74" s="1222"/>
      <c r="H74" s="1223">
        <f>H73/((G22+G23)/(F22+F23)-1)</f>
        <v>32.524582655689009</v>
      </c>
      <c r="I74" s="1223">
        <f>I73/((H22+H23)/(G22+G23)-1)</f>
        <v>177.01678350872422</v>
      </c>
      <c r="J74" s="1224">
        <f>J73/((I22+I23)/(H22+H23)-1)</f>
        <v>136.68744994439598</v>
      </c>
    </row>
    <row r="75" spans="1:32" ht="15" thickBot="1">
      <c r="A75" s="1942"/>
      <c r="C75" s="622" t="s">
        <v>897</v>
      </c>
      <c r="D75" s="1399">
        <f ca="1">D76/D74-1</f>
        <v>1.0158513646216516</v>
      </c>
      <c r="N75"/>
      <c r="O75" s="1908" t="s">
        <v>880</v>
      </c>
      <c r="P75" s="1909"/>
      <c r="Q75" s="1909"/>
      <c r="R75" s="1909"/>
      <c r="S75" s="1909"/>
      <c r="T75" s="1909"/>
      <c r="U75" s="1909"/>
      <c r="V75" s="1909"/>
      <c r="W75" s="1909"/>
      <c r="X75" s="1910"/>
    </row>
    <row r="76" spans="1:32" ht="15" thickBot="1">
      <c r="A76" s="1943"/>
      <c r="C76" s="374" t="s">
        <v>898</v>
      </c>
      <c r="D76" s="375">
        <f ca="1">D73*1000000/OP!C21</f>
        <v>157.65973522705937</v>
      </c>
      <c r="N76"/>
      <c r="O76" s="1911" t="s">
        <v>676</v>
      </c>
      <c r="P76" s="1912"/>
      <c r="Q76" s="1912"/>
      <c r="R76" s="1912"/>
      <c r="S76" s="1912"/>
      <c r="T76" s="1912"/>
      <c r="U76" s="1912"/>
      <c r="V76" s="1912"/>
      <c r="W76" s="1912"/>
      <c r="X76" s="1913"/>
    </row>
    <row r="77" spans="1:32" ht="15" thickBot="1">
      <c r="A77" s="356"/>
      <c r="C77" s="285"/>
      <c r="D77" s="624"/>
      <c r="O77" s="1338" t="s">
        <v>899</v>
      </c>
      <c r="P77" s="1339">
        <v>0.12</v>
      </c>
      <c r="Q77" s="1339">
        <f>P77+1%</f>
        <v>0.13</v>
      </c>
      <c r="R77" s="1339">
        <f t="shared" ref="R77:X77" si="63">Q77+1%</f>
        <v>0.14000000000000001</v>
      </c>
      <c r="S77" s="1341">
        <f t="shared" si="63"/>
        <v>0.15000000000000002</v>
      </c>
      <c r="T77" s="1341">
        <f t="shared" si="63"/>
        <v>0.16000000000000003</v>
      </c>
      <c r="U77" s="1341">
        <f t="shared" si="63"/>
        <v>0.17000000000000004</v>
      </c>
      <c r="V77" s="1339">
        <f t="shared" si="63"/>
        <v>0.18000000000000005</v>
      </c>
      <c r="W77" s="1339">
        <f t="shared" si="63"/>
        <v>0.19000000000000006</v>
      </c>
      <c r="X77" s="1340">
        <f t="shared" si="63"/>
        <v>0.20000000000000007</v>
      </c>
    </row>
    <row r="78" spans="1:32" ht="14.4">
      <c r="A78" s="1944" t="s">
        <v>900</v>
      </c>
      <c r="C78" s="396" t="s">
        <v>901</v>
      </c>
      <c r="D78" s="623">
        <f ca="1">(SUMPRODUCT(G36:AF36,G46:AF46)+((AF44-AF45)*AF46)+(AF35/(F51+0.001-AF5))*AF46)*1000000/OP!C21</f>
        <v>157.19735832224771</v>
      </c>
      <c r="E78" s="376">
        <f ca="1">D78/D76-1</f>
        <v>-2.9327520063746615E-3</v>
      </c>
      <c r="N78" s="1914" t="s">
        <v>108</v>
      </c>
      <c r="O78" s="1321">
        <v>0.16961076229022448</v>
      </c>
      <c r="P78" s="532">
        <f ca="1">P65/$D$74-1</f>
        <v>2.0195147560215769</v>
      </c>
      <c r="Q78" s="532">
        <f t="shared" ref="Q78:X78" ca="1" si="64">Q65/$D$74-1</f>
        <v>1.4344241070123891</v>
      </c>
      <c r="R78" s="1335">
        <f t="shared" ca="1" si="64"/>
        <v>0.99070998528627019</v>
      </c>
      <c r="S78" s="1335">
        <f t="shared" ca="1" si="64"/>
        <v>0.64821128256263982</v>
      </c>
      <c r="T78" s="1335">
        <f t="shared" ca="1" si="64"/>
        <v>0.37978027204669762</v>
      </c>
      <c r="U78" s="1335">
        <f t="shared" ca="1" si="64"/>
        <v>0.16656585373697697</v>
      </c>
      <c r="V78" s="1335">
        <f t="shared" ca="1" si="64"/>
        <v>-4.8208818921713359E-3</v>
      </c>
      <c r="W78" s="1335">
        <f t="shared" ca="1" si="64"/>
        <v>-0.14407443308435619</v>
      </c>
      <c r="X78" s="1336">
        <f t="shared" ca="1" si="64"/>
        <v>-0.25833250035090927</v>
      </c>
    </row>
    <row r="79" spans="1:32" ht="14.4">
      <c r="A79" s="1945"/>
      <c r="C79" s="396" t="s">
        <v>902</v>
      </c>
      <c r="D79" s="623">
        <f ca="1">(SUMPRODUCT(G36:AF36,G46:AF46)+((AF44-AF45)*AF46)+(AF35/(F51+0.005-AF5))*AF46)*1000000/OP!C21</f>
        <v>155.42681473598486</v>
      </c>
      <c r="E79" s="376">
        <f ca="1">D79/D76-1</f>
        <v>-1.4162909051310346E-2</v>
      </c>
      <c r="N79" s="1915"/>
      <c r="O79" s="1321">
        <v>0.15961076229022447</v>
      </c>
      <c r="P79" s="532">
        <f t="shared" ref="P79:X79" ca="1" si="65">P66/$D$74-1</f>
        <v>2.0356066516926461</v>
      </c>
      <c r="Q79" s="532">
        <f t="shared" ca="1" si="65"/>
        <v>1.4472185544806542</v>
      </c>
      <c r="R79" s="532">
        <f t="shared" ca="1" si="65"/>
        <v>1.0010030310899611</v>
      </c>
      <c r="S79" s="532">
        <f t="shared" ca="1" si="65"/>
        <v>0.65657584521994772</v>
      </c>
      <c r="T79" s="532">
        <f t="shared" ca="1" si="65"/>
        <v>0.3866375878829118</v>
      </c>
      <c r="U79" s="532">
        <f t="shared" ca="1" si="65"/>
        <v>0.17223122785844125</v>
      </c>
      <c r="V79" s="532">
        <f t="shared" ca="1" si="65"/>
        <v>-1.0781073426091581E-4</v>
      </c>
      <c r="W79" s="532">
        <f t="shared" ca="1" si="65"/>
        <v>-0.14012911855096821</v>
      </c>
      <c r="X79" s="1332">
        <f t="shared" ca="1" si="65"/>
        <v>-0.2550111744757364</v>
      </c>
    </row>
    <row r="80" spans="1:32" ht="14.4">
      <c r="A80" s="394"/>
      <c r="C80" s="395"/>
      <c r="D80" s="624"/>
      <c r="E80" s="376"/>
      <c r="N80" s="1915"/>
      <c r="O80" s="1326">
        <v>0.14961076229022446</v>
      </c>
      <c r="P80" s="532">
        <f t="shared" ref="P80:X80" ca="1" si="66">P67/$D$74-1</f>
        <v>2.0516985473637157</v>
      </c>
      <c r="Q80" s="532">
        <f t="shared" ca="1" si="66"/>
        <v>1.4600130019489193</v>
      </c>
      <c r="R80" s="1337">
        <f t="shared" ca="1" si="66"/>
        <v>1.0112960768936525</v>
      </c>
      <c r="S80" s="1400">
        <f t="shared" ca="1" si="66"/>
        <v>0.66494040787725539</v>
      </c>
      <c r="T80" s="1400">
        <f t="shared" ca="1" si="66"/>
        <v>0.39349490371912599</v>
      </c>
      <c r="U80" s="1400">
        <f t="shared" ca="1" si="66"/>
        <v>0.17789660197990576</v>
      </c>
      <c r="V80" s="532">
        <f t="shared" ca="1" si="66"/>
        <v>4.6052604236497263E-3</v>
      </c>
      <c r="W80" s="532">
        <f t="shared" ca="1" si="66"/>
        <v>-0.13618380401758012</v>
      </c>
      <c r="X80" s="1332">
        <f t="shared" ca="1" si="66"/>
        <v>-0.25168984860056387</v>
      </c>
    </row>
    <row r="81" spans="1:24" ht="14.4">
      <c r="A81" s="664" t="s">
        <v>505</v>
      </c>
      <c r="C81" s="1428" t="s">
        <v>903</v>
      </c>
      <c r="D81" s="1429">
        <f ca="1">D76/1.1</f>
        <v>143.32703202459942</v>
      </c>
      <c r="G81"/>
      <c r="H81"/>
      <c r="I81"/>
      <c r="J81"/>
      <c r="N81" s="1915"/>
      <c r="O81" s="1326">
        <v>0.13961076229022445</v>
      </c>
      <c r="P81" s="532">
        <f t="shared" ref="P81:X81" ca="1" si="67">P68/$D$74-1</f>
        <v>2.0677904430347849</v>
      </c>
      <c r="Q81" s="532">
        <f t="shared" ca="1" si="67"/>
        <v>1.472807449417183</v>
      </c>
      <c r="R81" s="1337">
        <f t="shared" ca="1" si="67"/>
        <v>1.0215891226973426</v>
      </c>
      <c r="S81" s="1400">
        <f t="shared" ca="1" si="67"/>
        <v>0.67330497053456284</v>
      </c>
      <c r="T81" s="1401">
        <f t="shared" ca="1" si="67"/>
        <v>0.40035221955533995</v>
      </c>
      <c r="U81" s="1400">
        <f t="shared" ca="1" si="67"/>
        <v>0.18356197610137004</v>
      </c>
      <c r="V81" s="532">
        <f t="shared" ca="1" si="67"/>
        <v>9.3183315815599244E-3</v>
      </c>
      <c r="W81" s="532">
        <f t="shared" ca="1" si="67"/>
        <v>-0.13223848948419203</v>
      </c>
      <c r="X81" s="1332">
        <f t="shared" ca="1" si="67"/>
        <v>-0.24836852272539156</v>
      </c>
    </row>
    <row r="82" spans="1:24">
      <c r="G82"/>
      <c r="H82"/>
      <c r="I82"/>
      <c r="J82"/>
      <c r="N82" s="1915"/>
      <c r="O82" s="1326">
        <v>0.12961076229022445</v>
      </c>
      <c r="P82" s="532">
        <f t="shared" ref="P82:X82" ca="1" si="68">P69/$D$74-1</f>
        <v>2.0838823387058545</v>
      </c>
      <c r="Q82" s="532">
        <f t="shared" ca="1" si="68"/>
        <v>1.4856018968854481</v>
      </c>
      <c r="R82" s="1337">
        <f t="shared" ca="1" si="68"/>
        <v>1.0318821685010331</v>
      </c>
      <c r="S82" s="1400">
        <f t="shared" ca="1" si="68"/>
        <v>0.68166953319187007</v>
      </c>
      <c r="T82" s="1400">
        <f t="shared" ca="1" si="68"/>
        <v>0.40720953539155413</v>
      </c>
      <c r="U82" s="1400">
        <f t="shared" ca="1" si="68"/>
        <v>0.18922735022283477</v>
      </c>
      <c r="V82" s="532">
        <f t="shared" ca="1" si="68"/>
        <v>1.4031402739470789E-2</v>
      </c>
      <c r="W82" s="532">
        <f t="shared" ca="1" si="68"/>
        <v>-0.12829317495080406</v>
      </c>
      <c r="X82" s="1332">
        <f t="shared" ca="1" si="68"/>
        <v>-0.24504719685021914</v>
      </c>
    </row>
    <row r="83" spans="1:24">
      <c r="G83"/>
      <c r="H83"/>
      <c r="I83"/>
      <c r="J83"/>
      <c r="N83" s="1915"/>
      <c r="O83" s="1321">
        <v>0.11961076229022445</v>
      </c>
      <c r="P83" s="532">
        <f t="shared" ref="P83:X83" ca="1" si="69">P70/$D$74-1</f>
        <v>2.0999742343769241</v>
      </c>
      <c r="Q83" s="532">
        <f t="shared" ca="1" si="69"/>
        <v>1.4983963443537132</v>
      </c>
      <c r="R83" s="532">
        <f t="shared" ca="1" si="69"/>
        <v>1.0421752143047245</v>
      </c>
      <c r="S83" s="532">
        <f t="shared" ca="1" si="69"/>
        <v>0.69003409584917885</v>
      </c>
      <c r="T83" s="532">
        <f t="shared" ca="1" si="69"/>
        <v>0.4140668512277681</v>
      </c>
      <c r="U83" s="532">
        <f t="shared" ca="1" si="69"/>
        <v>0.19489272434429927</v>
      </c>
      <c r="V83" s="532">
        <f t="shared" ca="1" si="69"/>
        <v>1.8744473897380987E-2</v>
      </c>
      <c r="W83" s="532">
        <f t="shared" ca="1" si="69"/>
        <v>-0.12434786041741597</v>
      </c>
      <c r="X83" s="1332">
        <f t="shared" ca="1" si="69"/>
        <v>-0.24172587097504661</v>
      </c>
    </row>
    <row r="84" spans="1:24" ht="13.8" thickBot="1">
      <c r="G84"/>
      <c r="H84"/>
      <c r="I84"/>
      <c r="J84"/>
      <c r="N84" s="1916"/>
      <c r="O84" s="1322">
        <v>0.10961076229022446</v>
      </c>
      <c r="P84" s="1333">
        <f t="shared" ref="P84:X84" ca="1" si="70">P71/$D$74-1</f>
        <v>2.1160661300479933</v>
      </c>
      <c r="Q84" s="1333">
        <f t="shared" ca="1" si="70"/>
        <v>1.5111907918219778</v>
      </c>
      <c r="R84" s="1333">
        <f t="shared" ca="1" si="70"/>
        <v>1.052468260108415</v>
      </c>
      <c r="S84" s="1333">
        <f t="shared" ca="1" si="70"/>
        <v>0.69839865850648586</v>
      </c>
      <c r="T84" s="1333">
        <f t="shared" ca="1" si="70"/>
        <v>0.42092416706398206</v>
      </c>
      <c r="U84" s="1333">
        <f t="shared" ca="1" si="70"/>
        <v>0.20055809846576378</v>
      </c>
      <c r="V84" s="1333">
        <f t="shared" ca="1" si="70"/>
        <v>2.3457545055291629E-2</v>
      </c>
      <c r="W84" s="1333">
        <f t="shared" ca="1" si="70"/>
        <v>-0.12040254588402743</v>
      </c>
      <c r="X84" s="1334">
        <f t="shared" ca="1" si="70"/>
        <v>-0.2384045450998743</v>
      </c>
    </row>
    <row r="85" spans="1:24">
      <c r="G85"/>
      <c r="H85"/>
      <c r="I85"/>
      <c r="J85"/>
    </row>
  </sheetData>
  <mergeCells count="24">
    <mergeCell ref="N78:N84"/>
    <mergeCell ref="A70:A76"/>
    <mergeCell ref="A78:A79"/>
    <mergeCell ref="A53:A68"/>
    <mergeCell ref="I53:J53"/>
    <mergeCell ref="I55:J55"/>
    <mergeCell ref="A50:A51"/>
    <mergeCell ref="I51:J51"/>
    <mergeCell ref="A1:AF2"/>
    <mergeCell ref="G3:J3"/>
    <mergeCell ref="K3:AF3"/>
    <mergeCell ref="A5:A17"/>
    <mergeCell ref="A19:A33"/>
    <mergeCell ref="A34:AF34"/>
    <mergeCell ref="A35:A37"/>
    <mergeCell ref="A39:A42"/>
    <mergeCell ref="A43:AF43"/>
    <mergeCell ref="A44:A48"/>
    <mergeCell ref="A49:AF49"/>
    <mergeCell ref="O62:X62"/>
    <mergeCell ref="O63:X63"/>
    <mergeCell ref="N65:N71"/>
    <mergeCell ref="O75:X75"/>
    <mergeCell ref="O76:X76"/>
  </mergeCells>
  <phoneticPr fontId="0" type="noConversion"/>
  <conditionalFormatting sqref="D75">
    <cfRule type="cellIs" dxfId="5" priority="1" operator="lessThan">
      <formula>0</formula>
    </cfRule>
    <cfRule type="cellIs" dxfId="4" priority="2" operator="greaterThan">
      <formula>0%</formula>
    </cfRule>
  </conditionalFormatting>
  <hyperlinks>
    <hyperlink ref="H68" location="Assumptions!A1" display="Assumptions!A1" xr:uid="{45D7991D-D94F-4191-829B-6A5E9D07631D}"/>
  </hyperlinks>
  <pageMargins left="0.75" right="0.75" top="1" bottom="1" header="0" footer="0"/>
  <pageSetup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B840D-2163-49B7-B1D6-1D0FB0213B33}">
  <sheetPr>
    <tabColor rgb="FF00B050"/>
  </sheetPr>
  <dimension ref="A1:AH85"/>
  <sheetViews>
    <sheetView showGridLines="0" topLeftCell="A67" zoomScale="88" zoomScaleNormal="100" workbookViewId="0"/>
  </sheetViews>
  <sheetFormatPr defaultColWidth="11.44140625" defaultRowHeight="13.2" outlineLevelCol="1"/>
  <cols>
    <col min="1" max="1" width="24.44140625" bestFit="1" customWidth="1"/>
    <col min="2" max="2" width="11.44140625" customWidth="1" outlineLevel="1"/>
    <col min="3" max="3" width="32.109375" customWidth="1" outlineLevel="1"/>
    <col min="4" max="4" width="20" customWidth="1" outlineLevel="1"/>
    <col min="5" max="5" width="24" customWidth="1"/>
    <col min="6" max="6" width="27.33203125" customWidth="1"/>
    <col min="7" max="7" width="20.33203125" style="1" bestFit="1" customWidth="1"/>
    <col min="8" max="8" width="12.44140625" style="1" customWidth="1"/>
    <col min="9" max="9" width="11.109375" style="1" customWidth="1"/>
    <col min="10" max="10" width="14.109375" style="1" customWidth="1"/>
    <col min="11" max="11" width="12.44140625" style="1" customWidth="1"/>
    <col min="12" max="13" width="11.109375" style="1" customWidth="1"/>
    <col min="14" max="14" width="13.44140625" style="1" bestFit="1" customWidth="1"/>
    <col min="15" max="15" width="14.6640625" style="1" bestFit="1" customWidth="1"/>
    <col min="16" max="32" width="11.109375" style="1" customWidth="1"/>
    <col min="33" max="33" width="14.44140625" customWidth="1"/>
  </cols>
  <sheetData>
    <row r="1" spans="1:34" ht="21" customHeight="1">
      <c r="A1" s="1920" t="s">
        <v>797</v>
      </c>
      <c r="B1" s="1920"/>
      <c r="C1" s="1920"/>
      <c r="D1" s="1920"/>
      <c r="E1" s="1920"/>
      <c r="F1" s="1920"/>
      <c r="G1" s="1920"/>
      <c r="H1" s="1920"/>
      <c r="I1" s="1920"/>
      <c r="J1" s="1920"/>
      <c r="K1" s="1920"/>
      <c r="L1" s="1920"/>
      <c r="M1" s="1920"/>
      <c r="N1" s="1920"/>
      <c r="O1" s="1920"/>
      <c r="P1" s="1920"/>
      <c r="Q1" s="1920"/>
      <c r="R1" s="1920"/>
      <c r="S1" s="1920"/>
      <c r="T1" s="1920"/>
      <c r="U1" s="1920"/>
      <c r="V1" s="1920"/>
      <c r="W1" s="1920"/>
      <c r="X1" s="1920"/>
      <c r="Y1" s="1920"/>
      <c r="Z1" s="1920"/>
      <c r="AA1" s="1920"/>
      <c r="AB1" s="1920"/>
      <c r="AC1" s="1920"/>
      <c r="AD1" s="1920"/>
      <c r="AE1" s="1920"/>
      <c r="AF1" s="1920"/>
      <c r="AG1" s="8"/>
      <c r="AH1" s="8"/>
    </row>
    <row r="2" spans="1:34" ht="3.75" customHeight="1" thickBot="1">
      <c r="A2" s="1921"/>
      <c r="B2" s="1921"/>
      <c r="C2" s="1921"/>
      <c r="D2" s="1921"/>
      <c r="E2" s="1921"/>
      <c r="F2" s="1921"/>
      <c r="G2" s="1921"/>
      <c r="H2" s="1921"/>
      <c r="I2" s="1921"/>
      <c r="J2" s="1921"/>
      <c r="K2" s="1921"/>
      <c r="L2" s="1921"/>
      <c r="M2" s="1921"/>
      <c r="N2" s="1921"/>
      <c r="O2" s="1921"/>
      <c r="P2" s="1921"/>
      <c r="Q2" s="1921"/>
      <c r="R2" s="1921"/>
      <c r="S2" s="1921"/>
      <c r="T2" s="1921"/>
      <c r="U2" s="1921"/>
      <c r="V2" s="1921"/>
      <c r="W2" s="1921"/>
      <c r="X2" s="1921"/>
      <c r="Y2" s="1921"/>
      <c r="Z2" s="1921"/>
      <c r="AA2" s="1921"/>
      <c r="AB2" s="1921"/>
      <c r="AC2" s="1921"/>
      <c r="AD2" s="1921"/>
      <c r="AE2" s="1921"/>
      <c r="AF2" s="1921"/>
      <c r="AG2" s="458"/>
      <c r="AH2" s="8"/>
    </row>
    <row r="3" spans="1:34" ht="18.600000000000001" thickBot="1">
      <c r="A3" s="217"/>
      <c r="B3" s="217"/>
      <c r="C3" s="217"/>
      <c r="D3" s="217"/>
      <c r="E3" s="217"/>
      <c r="F3" s="217"/>
      <c r="G3" s="1922" t="s">
        <v>798</v>
      </c>
      <c r="H3" s="1923"/>
      <c r="I3" s="1923"/>
      <c r="J3" s="1923"/>
      <c r="K3" s="1924" t="s">
        <v>799</v>
      </c>
      <c r="L3" s="1925"/>
      <c r="M3" s="1925"/>
      <c r="N3" s="1925"/>
      <c r="O3" s="1925"/>
      <c r="P3" s="1925"/>
      <c r="Q3" s="1925"/>
      <c r="R3" s="1925"/>
      <c r="S3" s="1925"/>
      <c r="T3" s="1925"/>
      <c r="U3" s="1925"/>
      <c r="V3" s="1925"/>
      <c r="W3" s="1925"/>
      <c r="X3" s="1925"/>
      <c r="Y3" s="1925"/>
      <c r="Z3" s="1925"/>
      <c r="AA3" s="1925"/>
      <c r="AB3" s="1925"/>
      <c r="AC3" s="1925"/>
      <c r="AD3" s="1925"/>
      <c r="AE3" s="1925"/>
      <c r="AF3" s="1926"/>
      <c r="AG3" s="458"/>
      <c r="AH3" s="8"/>
    </row>
    <row r="4" spans="1:34" ht="15" thickBot="1">
      <c r="A4" s="240" t="s">
        <v>800</v>
      </c>
      <c r="B4" s="678" t="s">
        <v>801</v>
      </c>
      <c r="C4" s="679" t="s">
        <v>802</v>
      </c>
      <c r="D4" s="247" t="s">
        <v>803</v>
      </c>
      <c r="E4" s="247" t="s">
        <v>804</v>
      </c>
      <c r="F4" s="248" t="s">
        <v>805</v>
      </c>
      <c r="G4" s="247">
        <v>2024</v>
      </c>
      <c r="H4" s="247">
        <f>G4+1</f>
        <v>2025</v>
      </c>
      <c r="I4" s="247">
        <f t="shared" ref="I4:AF4" si="0">H4+1</f>
        <v>2026</v>
      </c>
      <c r="J4" s="248">
        <f t="shared" si="0"/>
        <v>2027</v>
      </c>
      <c r="K4" s="249">
        <f t="shared" si="0"/>
        <v>2028</v>
      </c>
      <c r="L4" s="249">
        <f t="shared" si="0"/>
        <v>2029</v>
      </c>
      <c r="M4" s="249">
        <f t="shared" si="0"/>
        <v>2030</v>
      </c>
      <c r="N4" s="249">
        <f t="shared" si="0"/>
        <v>2031</v>
      </c>
      <c r="O4" s="249">
        <f t="shared" si="0"/>
        <v>2032</v>
      </c>
      <c r="P4" s="249">
        <f t="shared" si="0"/>
        <v>2033</v>
      </c>
      <c r="Q4" s="249">
        <f t="shared" si="0"/>
        <v>2034</v>
      </c>
      <c r="R4" s="249">
        <f t="shared" si="0"/>
        <v>2035</v>
      </c>
      <c r="S4" s="249">
        <f t="shared" si="0"/>
        <v>2036</v>
      </c>
      <c r="T4" s="249">
        <f t="shared" si="0"/>
        <v>2037</v>
      </c>
      <c r="U4" s="249">
        <f t="shared" si="0"/>
        <v>2038</v>
      </c>
      <c r="V4" s="249">
        <f t="shared" si="0"/>
        <v>2039</v>
      </c>
      <c r="W4" s="249">
        <f t="shared" si="0"/>
        <v>2040</v>
      </c>
      <c r="X4" s="249">
        <f t="shared" si="0"/>
        <v>2041</v>
      </c>
      <c r="Y4" s="249">
        <f t="shared" si="0"/>
        <v>2042</v>
      </c>
      <c r="Z4" s="249">
        <f t="shared" si="0"/>
        <v>2043</v>
      </c>
      <c r="AA4" s="249">
        <f t="shared" si="0"/>
        <v>2044</v>
      </c>
      <c r="AB4" s="249">
        <f t="shared" si="0"/>
        <v>2045</v>
      </c>
      <c r="AC4" s="249">
        <f t="shared" si="0"/>
        <v>2046</v>
      </c>
      <c r="AD4" s="249">
        <f t="shared" si="0"/>
        <v>2047</v>
      </c>
      <c r="AE4" s="249">
        <f t="shared" si="0"/>
        <v>2048</v>
      </c>
      <c r="AF4" s="250">
        <f t="shared" si="0"/>
        <v>2049</v>
      </c>
      <c r="AG4" s="458"/>
      <c r="AH4" s="8"/>
    </row>
    <row r="5" spans="1:34">
      <c r="A5" s="1699" t="s">
        <v>806</v>
      </c>
      <c r="B5" s="665">
        <v>1</v>
      </c>
      <c r="C5" s="680" t="s">
        <v>749</v>
      </c>
      <c r="D5" s="671">
        <v>0.68329406944586712</v>
      </c>
      <c r="E5" s="257">
        <v>0.43610806863818907</v>
      </c>
      <c r="F5" s="291">
        <v>-3.9023770179229644E-2</v>
      </c>
      <c r="G5" s="305">
        <f>G6/F6-1</f>
        <v>0.25153747795414461</v>
      </c>
      <c r="H5" s="306">
        <f t="shared" ref="H5:AE5" si="1">H6/G6-1</f>
        <v>0.30860144506562825</v>
      </c>
      <c r="I5" s="306">
        <f t="shared" si="1"/>
        <v>0.45335834588663371</v>
      </c>
      <c r="J5" s="307">
        <f t="shared" si="1"/>
        <v>0.47036499850859892</v>
      </c>
      <c r="K5" s="305">
        <f t="shared" si="1"/>
        <v>0.41509238995999787</v>
      </c>
      <c r="L5" s="306">
        <f t="shared" si="1"/>
        <v>0.32067464950199631</v>
      </c>
      <c r="M5" s="306">
        <f t="shared" si="1"/>
        <v>0.27732053954220781</v>
      </c>
      <c r="N5" s="306">
        <f t="shared" si="1"/>
        <v>0.28609367179021206</v>
      </c>
      <c r="O5" s="306">
        <f t="shared" si="1"/>
        <v>0.29394240696880281</v>
      </c>
      <c r="P5" s="306">
        <f t="shared" si="1"/>
        <v>0.26727321757692324</v>
      </c>
      <c r="Q5" s="306">
        <f t="shared" si="1"/>
        <v>0.27007752433425658</v>
      </c>
      <c r="R5" s="306">
        <f t="shared" si="1"/>
        <v>0.18632632079363565</v>
      </c>
      <c r="S5" s="306">
        <f t="shared" si="1"/>
        <v>0.1869592392125623</v>
      </c>
      <c r="T5" s="306">
        <f t="shared" si="1"/>
        <v>0.18756382375148006</v>
      </c>
      <c r="U5" s="306">
        <f t="shared" si="1"/>
        <v>0.18814107895060372</v>
      </c>
      <c r="V5" s="306">
        <f t="shared" si="1"/>
        <v>0.18869201292780158</v>
      </c>
      <c r="W5" s="306">
        <f t="shared" si="1"/>
        <v>0.14826703116575946</v>
      </c>
      <c r="X5" s="306">
        <f t="shared" si="1"/>
        <v>0.10300209585162601</v>
      </c>
      <c r="Y5" s="306">
        <f t="shared" si="1"/>
        <v>0.10313001239286335</v>
      </c>
      <c r="Z5" s="306">
        <f t="shared" si="1"/>
        <v>0.10326300092587015</v>
      </c>
      <c r="AA5" s="306">
        <f t="shared" si="1"/>
        <v>0.10340122986232791</v>
      </c>
      <c r="AB5" s="306">
        <f t="shared" si="1"/>
        <v>0.10183470089941604</v>
      </c>
      <c r="AC5" s="306">
        <f t="shared" si="1"/>
        <v>0.1020235502625273</v>
      </c>
      <c r="AD5" s="306">
        <f t="shared" si="1"/>
        <v>0.1022181217217013</v>
      </c>
      <c r="AE5" s="306">
        <f t="shared" si="1"/>
        <v>0.10241860890361321</v>
      </c>
      <c r="AF5" s="307">
        <v>2.5000000000000001E-2</v>
      </c>
      <c r="AG5" s="367"/>
      <c r="AH5" s="8"/>
    </row>
    <row r="6" spans="1:34" ht="14.4">
      <c r="A6" s="1699"/>
      <c r="B6" s="665">
        <v>2</v>
      </c>
      <c r="C6" s="666" t="s">
        <v>807</v>
      </c>
      <c r="D6" s="672">
        <v>16434</v>
      </c>
      <c r="E6" s="616">
        <v>23601</v>
      </c>
      <c r="F6" s="292">
        <v>22680</v>
      </c>
      <c r="G6" s="299">
        <f>Assumptions!G127</f>
        <v>28384.87</v>
      </c>
      <c r="H6" s="297">
        <f>Assumptions!H127</f>
        <v>37144.481899999999</v>
      </c>
      <c r="I6" s="297">
        <f>Assumptions!I127</f>
        <v>53984.242773000005</v>
      </c>
      <c r="J6" s="300">
        <f>Assumptions!J127</f>
        <v>79376.541044409998</v>
      </c>
      <c r="K6" s="299">
        <f>Assumptions!K127</f>
        <v>112325.139173292</v>
      </c>
      <c r="L6" s="297">
        <f>Assumptions!L127</f>
        <v>148344.96380795038</v>
      </c>
      <c r="M6" s="297">
        <f>Assumptions!M127</f>
        <v>189484.06920954047</v>
      </c>
      <c r="N6" s="297">
        <f>Assumptions!N127</f>
        <v>243694.26231544858</v>
      </c>
      <c r="O6" s="297">
        <f>Assumptions!O127</f>
        <v>315326.34034493833</v>
      </c>
      <c r="P6" s="297">
        <f>Assumptions!P127</f>
        <v>399604.62591568602</v>
      </c>
      <c r="Q6" s="297">
        <f>Assumptions!Q127</f>
        <v>507528.85399551119</v>
      </c>
      <c r="R6" s="297">
        <f>Assumptions!R127</f>
        <v>602094.83805710508</v>
      </c>
      <c r="S6" s="297">
        <f>Assumptions!S127</f>
        <v>714662.03091407241</v>
      </c>
      <c r="T6" s="297">
        <f>Assumptions!T127</f>
        <v>848706.77412231429</v>
      </c>
      <c r="U6" s="297">
        <f>Assumptions!U127</f>
        <v>1008383.3823183728</v>
      </c>
      <c r="V6" s="297">
        <f>Assumptions!V127</f>
        <v>1198657.2725309716</v>
      </c>
      <c r="W6" s="297">
        <f>Assumptions!W127</f>
        <v>1376378.6277143853</v>
      </c>
      <c r="X6" s="297">
        <f>Assumptions!X127</f>
        <v>1518148.5110543519</v>
      </c>
      <c r="Y6" s="297">
        <f>Assumptions!Y127</f>
        <v>1674715.1858135944</v>
      </c>
      <c r="Z6" s="297">
        <f>Assumptions!Z127</f>
        <v>1847651.3015968322</v>
      </c>
      <c r="AA6" s="297">
        <f>Assumptions!AA127</f>
        <v>2038700.7185386755</v>
      </c>
      <c r="AB6" s="297">
        <f>Assumptions!AB127</f>
        <v>2246311.1964344862</v>
      </c>
      <c r="AC6" s="297">
        <f>Assumptions!AC127</f>
        <v>2475487.839689198</v>
      </c>
      <c r="AD6" s="297">
        <f>Assumptions!AD127</f>
        <v>2728527.55700714</v>
      </c>
      <c r="AE6" s="297">
        <f>Assumptions!AE127</f>
        <v>3007979.5537509853</v>
      </c>
      <c r="AF6" s="300">
        <f>Assumptions!AF127</f>
        <v>3299290.7549642604</v>
      </c>
      <c r="AG6" s="459"/>
      <c r="AH6" s="8"/>
    </row>
    <row r="7" spans="1:34">
      <c r="A7" s="1699"/>
      <c r="B7" s="665">
        <v>3</v>
      </c>
      <c r="C7" s="667" t="s">
        <v>808</v>
      </c>
      <c r="D7" s="673">
        <f>D8/D6</f>
        <v>0.22130948034562492</v>
      </c>
      <c r="E7" s="673">
        <f t="shared" ref="E7:F7" si="2">E8/E6</f>
        <v>5.2752002033812126E-2</v>
      </c>
      <c r="F7" s="673">
        <f t="shared" si="2"/>
        <v>1.7328042328042328E-2</v>
      </c>
      <c r="G7" s="308">
        <f>G8/G6</f>
        <v>0.1245027386068705</v>
      </c>
      <c r="H7" s="309">
        <f t="shared" ref="H7:AF7" si="3">H8/H6</f>
        <v>0.1545268894570313</v>
      </c>
      <c r="I7" s="309">
        <f t="shared" si="3"/>
        <v>0.20808891440287827</v>
      </c>
      <c r="J7" s="310">
        <f t="shared" si="3"/>
        <v>0.23918770078891227</v>
      </c>
      <c r="K7" s="308">
        <f t="shared" si="3"/>
        <v>0.28000052831508293</v>
      </c>
      <c r="L7" s="309">
        <f t="shared" si="3"/>
        <v>0.28319855212808265</v>
      </c>
      <c r="M7" s="309">
        <f t="shared" si="3"/>
        <v>0.29314186502539252</v>
      </c>
      <c r="N7" s="309">
        <f t="shared" si="3"/>
        <v>0.26639045125931754</v>
      </c>
      <c r="O7" s="309">
        <f t="shared" si="3"/>
        <v>0.27257077487223713</v>
      </c>
      <c r="P7" s="309">
        <f t="shared" si="3"/>
        <v>0.27748940380470249</v>
      </c>
      <c r="Q7" s="309">
        <f t="shared" si="3"/>
        <v>0.28597844009838946</v>
      </c>
      <c r="R7" s="309">
        <f t="shared" si="3"/>
        <v>0.30113963501402763</v>
      </c>
      <c r="S7" s="309">
        <f t="shared" si="3"/>
        <v>0.30135910039060243</v>
      </c>
      <c r="T7" s="309">
        <f t="shared" si="3"/>
        <v>0.30156620895665165</v>
      </c>
      <c r="U7" s="309">
        <f t="shared" si="3"/>
        <v>0.30176156127839066</v>
      </c>
      <c r="V7" s="309">
        <f t="shared" si="3"/>
        <v>0.30194574400891777</v>
      </c>
      <c r="W7" s="309">
        <f t="shared" si="3"/>
        <v>0.30035647064578364</v>
      </c>
      <c r="X7" s="309">
        <f t="shared" si="3"/>
        <v>0.29737518427384935</v>
      </c>
      <c r="Y7" s="309">
        <f t="shared" si="3"/>
        <v>0.29739681886582675</v>
      </c>
      <c r="Z7" s="309">
        <f t="shared" si="3"/>
        <v>0.29741930596732435</v>
      </c>
      <c r="AA7" s="309">
        <f t="shared" si="3"/>
        <v>0.29744267342625341</v>
      </c>
      <c r="AB7" s="309">
        <f t="shared" si="3"/>
        <v>0.2975328629147696</v>
      </c>
      <c r="AC7" s="309">
        <f t="shared" si="3"/>
        <v>0.29376172731098771</v>
      </c>
      <c r="AD7" s="309">
        <f t="shared" si="3"/>
        <v>0.29368372257887088</v>
      </c>
      <c r="AE7" s="309">
        <f t="shared" si="3"/>
        <v>0.29359885391364837</v>
      </c>
      <c r="AF7" s="310">
        <f t="shared" si="3"/>
        <v>0.29370984074845702</v>
      </c>
      <c r="AG7" s="367"/>
      <c r="AH7" s="8"/>
    </row>
    <row r="8" spans="1:34" ht="14.4">
      <c r="A8" s="1699"/>
      <c r="B8" s="665">
        <v>4</v>
      </c>
      <c r="C8" s="668" t="s">
        <v>58</v>
      </c>
      <c r="D8" s="674">
        <v>3637</v>
      </c>
      <c r="E8" s="289">
        <v>1245</v>
      </c>
      <c r="F8" s="293">
        <v>393</v>
      </c>
      <c r="G8" s="299">
        <f>Assumptions!G131</f>
        <v>3533.9940500000002</v>
      </c>
      <c r="H8" s="297">
        <f>Assumptions!H131</f>
        <v>5739.8212485000004</v>
      </c>
      <c r="I8" s="297">
        <f>Assumptions!I131</f>
        <v>11233.522473494999</v>
      </c>
      <c r="J8" s="300">
        <f>Assumptions!J131</f>
        <v>18985.892348989153</v>
      </c>
      <c r="K8" s="299">
        <f>Assumptions!K131</f>
        <v>31451.098311586979</v>
      </c>
      <c r="L8" s="297">
        <f>Assumptions!L131</f>
        <v>42011.078965904373</v>
      </c>
      <c r="M8" s="297">
        <f>Assumptions!M131</f>
        <v>55545.713440685249</v>
      </c>
      <c r="N8" s="297">
        <f>Assumptions!N131</f>
        <v>64917.824507518846</v>
      </c>
      <c r="O8" s="297">
        <f>Assumptions!O131</f>
        <v>85948.744925446605</v>
      </c>
      <c r="P8" s="297">
        <f>Assumptions!P131</f>
        <v>110886.04940294489</v>
      </c>
      <c r="Q8" s="297">
        <f>Assumptions!Q131</f>
        <v>145142.30997055955</v>
      </c>
      <c r="R8" s="297">
        <f>Assumptions!R131</f>
        <v>181314.61977634669</v>
      </c>
      <c r="S8" s="297">
        <f>Assumptions!S131</f>
        <v>215369.90671958576</v>
      </c>
      <c r="T8" s="297">
        <f>Assumptions!T131</f>
        <v>255941.28438789558</v>
      </c>
      <c r="U8" s="297">
        <f>Assumptions!U131</f>
        <v>304291.34381557652</v>
      </c>
      <c r="V8" s="297">
        <f>Assumptions!V131</f>
        <v>361929.46196606429</v>
      </c>
      <c r="W8" s="297">
        <f>Assumptions!W131</f>
        <v>413404.2268925797</v>
      </c>
      <c r="X8" s="297">
        <f>Assumptions!X131</f>
        <v>451459.69322985795</v>
      </c>
      <c r="Y8" s="297">
        <f>Assumptions!Y131</f>
        <v>498054.96876725496</v>
      </c>
      <c r="Z8" s="297">
        <f>Assumptions!Z131</f>
        <v>549527.1677905533</v>
      </c>
      <c r="AA8" s="297">
        <f>Assumptions!AA131</f>
        <v>606396.59203816741</v>
      </c>
      <c r="AB8" s="297">
        <f>Assumptions!AB131</f>
        <v>668351.40127265407</v>
      </c>
      <c r="AC8" s="297">
        <f>Assumptions!AC131</f>
        <v>727203.58372444427</v>
      </c>
      <c r="AD8" s="297">
        <f>Assumptions!AD131</f>
        <v>801324.13010088925</v>
      </c>
      <c r="AE8" s="297">
        <f>Assumptions!AE131</f>
        <v>883139.34957697673</v>
      </c>
      <c r="AF8" s="300">
        <f>Assumptions!AF131</f>
        <v>969034.16222340951</v>
      </c>
      <c r="AG8" s="446"/>
      <c r="AH8" s="4"/>
    </row>
    <row r="9" spans="1:34" ht="14.4">
      <c r="A9" s="1699"/>
      <c r="B9" s="665" t="s">
        <v>809</v>
      </c>
      <c r="C9" s="666" t="s">
        <v>810</v>
      </c>
      <c r="D9" s="675">
        <v>-407</v>
      </c>
      <c r="E9" s="434">
        <v>-626</v>
      </c>
      <c r="F9" s="435">
        <v>-642</v>
      </c>
      <c r="G9" s="436">
        <f>$D$54*Pessimistic!F41</f>
        <v>-641.44000000000005</v>
      </c>
      <c r="H9" s="437">
        <f>$D$54*Pessimistic!G41</f>
        <v>-740.32570854995345</v>
      </c>
      <c r="I9" s="437">
        <f>$D$54*Pessimistic!H41</f>
        <v>-853.63158315052192</v>
      </c>
      <c r="J9" s="438">
        <f>$D$54*Pessimistic!I41</f>
        <v>-983.76317240762683</v>
      </c>
      <c r="K9" s="439">
        <f>$E$54*Pessimistic!J41</f>
        <v>-1062.9970721412894</v>
      </c>
      <c r="L9" s="440">
        <f>$E$54*Pessimistic!K41</f>
        <v>-1282.5363370826035</v>
      </c>
      <c r="M9" s="440">
        <f>$E$54*Pessimistic!L41</f>
        <v>-1540.1220785031853</v>
      </c>
      <c r="N9" s="440">
        <f>$E$54*Pessimistic!M41</f>
        <v>-1834.8721387146993</v>
      </c>
      <c r="O9" s="440">
        <f>$E$54*Pessimistic!N41</f>
        <v>-2173.3095478513546</v>
      </c>
      <c r="P9" s="440">
        <f>$F$54*Pessimistic!O41</f>
        <v>-2563.1876215706052</v>
      </c>
      <c r="Q9" s="440">
        <f>$F$54*Pessimistic!P41</f>
        <v>-2912.2794234323574</v>
      </c>
      <c r="R9" s="440">
        <f>$F$54*Pessimistic!Q41</f>
        <v>-3320.521908687052</v>
      </c>
      <c r="S9" s="440">
        <f>$F$54*Pessimistic!R41</f>
        <v>-3782.5872761476262</v>
      </c>
      <c r="T9" s="440">
        <f>$F$54*Pessimistic!S41</f>
        <v>-4305.8076090867289</v>
      </c>
      <c r="U9" s="440">
        <f>$F$54*Pessimistic!T41</f>
        <v>-4898.5406683620849</v>
      </c>
      <c r="V9" s="440">
        <f>$F$54*Pessimistic!U41</f>
        <v>-5559.9202371230731</v>
      </c>
      <c r="W9" s="440">
        <f>$F$54*Pessimistic!V41</f>
        <v>-6298.2169468519724</v>
      </c>
      <c r="X9" s="440">
        <f>$F$54*Pessimistic!W41</f>
        <v>-7122.7393892593464</v>
      </c>
      <c r="Y9" s="440">
        <f>$F$54*Pessimistic!X41</f>
        <v>-8041.8694103399521</v>
      </c>
      <c r="Z9" s="440">
        <f>$F$54*Pessimistic!Y41</f>
        <v>-9067.0380776830152</v>
      </c>
      <c r="AA9" s="440">
        <f>$F$54*Pessimistic!Z41</f>
        <v>-10211.126872859526</v>
      </c>
      <c r="AB9" s="440">
        <f>$F$54*Pessimistic!AA41</f>
        <v>-11488.659769765012</v>
      </c>
      <c r="AC9" s="440">
        <f>$F$54*Pessimistic!AB41</f>
        <v>-12916.021651607172</v>
      </c>
      <c r="AD9" s="440">
        <f>$F$54*Pessimistic!AC41</f>
        <v>-14511.706776045939</v>
      </c>
      <c r="AE9" s="440">
        <f>$F$54*Pessimistic!AD41</f>
        <v>-16293.268878040093</v>
      </c>
      <c r="AF9" s="441">
        <f>$F$54*Pessimistic!AE41</f>
        <v>-18283.84180260374</v>
      </c>
      <c r="AG9" s="447">
        <f>SUM(D9:AF9)</f>
        <v>-154365.33195786655</v>
      </c>
      <c r="AH9" s="4"/>
    </row>
    <row r="10" spans="1:34" ht="14.4">
      <c r="A10" s="1699"/>
      <c r="B10" s="665" t="s">
        <v>811</v>
      </c>
      <c r="C10" s="666" t="s">
        <v>812</v>
      </c>
      <c r="D10" s="675">
        <v>0</v>
      </c>
      <c r="E10" s="434">
        <v>-3548</v>
      </c>
      <c r="F10" s="435">
        <v>-2811</v>
      </c>
      <c r="G10" s="436">
        <f>F39*$D$55</f>
        <v>-3603.86</v>
      </c>
      <c r="H10" s="442">
        <f t="shared" ref="H10:J10" si="4">G39*$D$55</f>
        <v>-3603.86</v>
      </c>
      <c r="I10" s="442">
        <f t="shared" si="4"/>
        <v>-3603.86</v>
      </c>
      <c r="J10" s="443">
        <f t="shared" si="4"/>
        <v>-4504.8249999999998</v>
      </c>
      <c r="K10" s="439">
        <f t="shared" ref="K10:AF10" si="5">J39*$F$55</f>
        <v>-5197.875</v>
      </c>
      <c r="L10" s="440">
        <f t="shared" si="5"/>
        <v>-6497.34375</v>
      </c>
      <c r="M10" s="440">
        <f t="shared" si="5"/>
        <v>-8121.6796875</v>
      </c>
      <c r="N10" s="440">
        <f t="shared" si="5"/>
        <v>-10152.099609375</v>
      </c>
      <c r="O10" s="440">
        <f t="shared" si="5"/>
        <v>-12690.12451171875</v>
      </c>
      <c r="P10" s="440">
        <f t="shared" si="5"/>
        <v>-15862.655639648438</v>
      </c>
      <c r="Q10" s="440">
        <f t="shared" si="5"/>
        <v>-19828.319549560547</v>
      </c>
      <c r="R10" s="440">
        <f t="shared" si="5"/>
        <v>-24785.399436950684</v>
      </c>
      <c r="S10" s="440">
        <f t="shared" si="5"/>
        <v>-28503.209352493282</v>
      </c>
      <c r="T10" s="440">
        <f t="shared" si="5"/>
        <v>-32778.690755367272</v>
      </c>
      <c r="U10" s="440">
        <f t="shared" si="5"/>
        <v>-37695.494368672356</v>
      </c>
      <c r="V10" s="440">
        <f t="shared" si="5"/>
        <v>-43349.818523973205</v>
      </c>
      <c r="W10" s="440">
        <f t="shared" si="5"/>
        <v>-49852.291302569181</v>
      </c>
      <c r="X10" s="440">
        <f t="shared" si="5"/>
        <v>-57330.134997954556</v>
      </c>
      <c r="Y10" s="440">
        <f t="shared" si="5"/>
        <v>-65929.655247647737</v>
      </c>
      <c r="Z10" s="440">
        <f t="shared" si="5"/>
        <v>-75819.103534794893</v>
      </c>
      <c r="AA10" s="440">
        <f t="shared" si="5"/>
        <v>-87191.969065014127</v>
      </c>
      <c r="AB10" s="440">
        <f t="shared" si="5"/>
        <v>-100270.76442476624</v>
      </c>
      <c r="AC10" s="440">
        <f t="shared" si="5"/>
        <v>-115311.37908848115</v>
      </c>
      <c r="AD10" s="440">
        <f t="shared" si="5"/>
        <v>-132608.08595175331</v>
      </c>
      <c r="AE10" s="440">
        <f t="shared" si="5"/>
        <v>-152499.29884451628</v>
      </c>
      <c r="AF10" s="441">
        <f t="shared" si="5"/>
        <v>-175374.19367119373</v>
      </c>
      <c r="AG10" s="446"/>
      <c r="AH10" s="4"/>
    </row>
    <row r="11" spans="1:34" ht="14.4">
      <c r="A11" s="1699"/>
      <c r="B11" s="665" t="s">
        <v>813</v>
      </c>
      <c r="C11" s="666" t="s">
        <v>814</v>
      </c>
      <c r="D11" s="675">
        <v>-379</v>
      </c>
      <c r="E11" s="434">
        <v>-1081</v>
      </c>
      <c r="F11" s="435">
        <v>-1384</v>
      </c>
      <c r="G11" s="436">
        <f>G6*$D$56</f>
        <v>-1419.2435</v>
      </c>
      <c r="H11" s="442">
        <f t="shared" ref="H11:J11" si="6">H6*$D$56</f>
        <v>-1857.224095</v>
      </c>
      <c r="I11" s="442">
        <f t="shared" si="6"/>
        <v>-2699.2121386500003</v>
      </c>
      <c r="J11" s="443">
        <f t="shared" si="6"/>
        <v>-3968.8270522205003</v>
      </c>
      <c r="K11" s="436">
        <f>K6*$E$56</f>
        <v>-6739.5083503975202</v>
      </c>
      <c r="L11" s="442">
        <f t="shared" ref="L11:Q11" si="7">L6*$E$56</f>
        <v>-8900.697828477023</v>
      </c>
      <c r="M11" s="442">
        <f t="shared" si="7"/>
        <v>-11369.044152572427</v>
      </c>
      <c r="N11" s="442">
        <f t="shared" si="7"/>
        <v>-14621.655738926915</v>
      </c>
      <c r="O11" s="442">
        <f t="shared" si="7"/>
        <v>-18919.5804206963</v>
      </c>
      <c r="P11" s="442">
        <f t="shared" si="7"/>
        <v>-23976.27755494116</v>
      </c>
      <c r="Q11" s="442">
        <f t="shared" si="7"/>
        <v>-30451.73123973067</v>
      </c>
      <c r="R11" s="442">
        <f>R6*$F$56</f>
        <v>-24083.793522284202</v>
      </c>
      <c r="S11" s="442">
        <f t="shared" ref="S11:AF11" si="8">S6*$F$56</f>
        <v>-28586.481236562897</v>
      </c>
      <c r="T11" s="442">
        <f t="shared" si="8"/>
        <v>-33948.270964892574</v>
      </c>
      <c r="U11" s="442">
        <f t="shared" si="8"/>
        <v>-40335.335292734911</v>
      </c>
      <c r="V11" s="442">
        <f t="shared" si="8"/>
        <v>-47946.290901238863</v>
      </c>
      <c r="W11" s="442">
        <f t="shared" si="8"/>
        <v>-55055.145108575409</v>
      </c>
      <c r="X11" s="442">
        <f t="shared" si="8"/>
        <v>-60725.940442174076</v>
      </c>
      <c r="Y11" s="442">
        <f t="shared" si="8"/>
        <v>-66988.60743254378</v>
      </c>
      <c r="Z11" s="442">
        <f t="shared" si="8"/>
        <v>-73906.052063873285</v>
      </c>
      <c r="AA11" s="442">
        <f t="shared" si="8"/>
        <v>-81548.028741547023</v>
      </c>
      <c r="AB11" s="442">
        <f t="shared" si="8"/>
        <v>-89852.447857379448</v>
      </c>
      <c r="AC11" s="442">
        <f t="shared" si="8"/>
        <v>-99019.513587567926</v>
      </c>
      <c r="AD11" s="442">
        <f t="shared" si="8"/>
        <v>-109141.1022802856</v>
      </c>
      <c r="AE11" s="442">
        <f t="shared" si="8"/>
        <v>-120319.18215003941</v>
      </c>
      <c r="AF11" s="443">
        <f t="shared" si="8"/>
        <v>-131971.6301985704</v>
      </c>
      <c r="AG11" s="446"/>
      <c r="AH11" s="4"/>
    </row>
    <row r="12" spans="1:34" ht="14.4">
      <c r="A12" s="1699"/>
      <c r="B12" s="665">
        <v>6</v>
      </c>
      <c r="C12" s="668" t="s">
        <v>50</v>
      </c>
      <c r="D12" s="289">
        <f>D8-D9-D10</f>
        <v>4044</v>
      </c>
      <c r="E12" s="289">
        <f t="shared" ref="E12:F12" si="9">E8-E9-E10</f>
        <v>5419</v>
      </c>
      <c r="F12" s="289">
        <f t="shared" si="9"/>
        <v>3846</v>
      </c>
      <c r="G12" s="311">
        <f>G8-G9-G10</f>
        <v>7779.2940500000004</v>
      </c>
      <c r="H12" s="312">
        <f t="shared" ref="H12:AF12" si="10">H8-H9-H10</f>
        <v>10084.006957049955</v>
      </c>
      <c r="I12" s="312">
        <f t="shared" si="10"/>
        <v>15691.014056645521</v>
      </c>
      <c r="J12" s="313">
        <f>J8-J9-J10</f>
        <v>24474.480521396781</v>
      </c>
      <c r="K12" s="311">
        <f t="shared" si="10"/>
        <v>37711.970383728272</v>
      </c>
      <c r="L12" s="312">
        <f t="shared" si="10"/>
        <v>49790.959052986975</v>
      </c>
      <c r="M12" s="312">
        <f t="shared" si="10"/>
        <v>65207.515206688433</v>
      </c>
      <c r="N12" s="312">
        <f t="shared" si="10"/>
        <v>76904.79625560854</v>
      </c>
      <c r="O12" s="312">
        <f t="shared" si="10"/>
        <v>100812.17898501671</v>
      </c>
      <c r="P12" s="312">
        <f t="shared" si="10"/>
        <v>129311.89266416393</v>
      </c>
      <c r="Q12" s="312">
        <f t="shared" si="10"/>
        <v>167882.90894355247</v>
      </c>
      <c r="R12" s="312">
        <f t="shared" si="10"/>
        <v>209420.54112198442</v>
      </c>
      <c r="S12" s="312">
        <f t="shared" si="10"/>
        <v>247655.70334822667</v>
      </c>
      <c r="T12" s="312">
        <f t="shared" si="10"/>
        <v>293025.78275234957</v>
      </c>
      <c r="U12" s="312">
        <f t="shared" si="10"/>
        <v>346885.378852611</v>
      </c>
      <c r="V12" s="312">
        <f t="shared" si="10"/>
        <v>410839.20072716061</v>
      </c>
      <c r="W12" s="312">
        <f t="shared" si="10"/>
        <v>469554.73514200083</v>
      </c>
      <c r="X12" s="312">
        <f t="shared" si="10"/>
        <v>515912.56761707185</v>
      </c>
      <c r="Y12" s="312">
        <f t="shared" si="10"/>
        <v>572026.49342524272</v>
      </c>
      <c r="Z12" s="312">
        <f t="shared" si="10"/>
        <v>634413.30940303125</v>
      </c>
      <c r="AA12" s="312">
        <f t="shared" si="10"/>
        <v>703799.68797604111</v>
      </c>
      <c r="AB12" s="312">
        <f t="shared" si="10"/>
        <v>780110.82546718535</v>
      </c>
      <c r="AC12" s="312">
        <f t="shared" si="10"/>
        <v>855430.98446453258</v>
      </c>
      <c r="AD12" s="312">
        <f t="shared" si="10"/>
        <v>948443.92282868852</v>
      </c>
      <c r="AE12" s="312">
        <f t="shared" si="10"/>
        <v>1051931.9172995333</v>
      </c>
      <c r="AF12" s="313">
        <f t="shared" si="10"/>
        <v>1162692.1976972069</v>
      </c>
      <c r="AG12" s="282"/>
      <c r="AH12" s="4"/>
    </row>
    <row r="13" spans="1:34" ht="14.4">
      <c r="A13" s="1699"/>
      <c r="B13" s="665">
        <v>7</v>
      </c>
      <c r="C13" s="666" t="s">
        <v>815</v>
      </c>
      <c r="D13" s="676">
        <v>30</v>
      </c>
      <c r="E13" s="432">
        <v>-85</v>
      </c>
      <c r="F13" s="433">
        <v>99</v>
      </c>
      <c r="G13" s="439">
        <f>F44*$D$59+F45*$D$58</f>
        <v>117.078</v>
      </c>
      <c r="H13" s="440">
        <f t="shared" ref="H13:AF13" si="11">G44*$D$59+G45*$D$58</f>
        <v>290.99187646500002</v>
      </c>
      <c r="I13" s="440">
        <f t="shared" si="11"/>
        <v>757.39771607623152</v>
      </c>
      <c r="J13" s="441">
        <f t="shared" si="11"/>
        <v>1151.5069752224317</v>
      </c>
      <c r="K13" s="439">
        <f t="shared" si="11"/>
        <v>1704.6344782755764</v>
      </c>
      <c r="L13" s="440">
        <f t="shared" si="11"/>
        <v>2444.9640743867526</v>
      </c>
      <c r="M13" s="440">
        <f t="shared" si="11"/>
        <v>1285.0943220384654</v>
      </c>
      <c r="N13" s="440">
        <f t="shared" si="11"/>
        <v>1700.7031751827994</v>
      </c>
      <c r="O13" s="440">
        <f t="shared" si="11"/>
        <v>2288.4762533126009</v>
      </c>
      <c r="P13" s="440">
        <f t="shared" si="11"/>
        <v>2935.4954876009051</v>
      </c>
      <c r="Q13" s="440">
        <f t="shared" si="11"/>
        <v>3689.8179678483093</v>
      </c>
      <c r="R13" s="440">
        <f t="shared" si="11"/>
        <v>4636.8130263970679</v>
      </c>
      <c r="S13" s="440">
        <f t="shared" si="11"/>
        <v>5325.2765155846128</v>
      </c>
      <c r="T13" s="440">
        <f t="shared" si="11"/>
        <v>6339.5500938647092</v>
      </c>
      <c r="U13" s="440">
        <f t="shared" si="11"/>
        <v>7543.8794136699435</v>
      </c>
      <c r="V13" s="440">
        <f t="shared" si="11"/>
        <v>8981.7439157253484</v>
      </c>
      <c r="W13" s="440">
        <f t="shared" si="11"/>
        <v>10698.907414489244</v>
      </c>
      <c r="X13" s="440">
        <f t="shared" si="11"/>
        <v>12282.2651342477</v>
      </c>
      <c r="Y13" s="440">
        <f t="shared" si="11"/>
        <v>13511.840993402624</v>
      </c>
      <c r="Z13" s="440">
        <f t="shared" si="11"/>
        <v>14820.867244963578</v>
      </c>
      <c r="AA13" s="440">
        <f t="shared" si="11"/>
        <v>16262.432920561778</v>
      </c>
      <c r="AB13" s="440">
        <f t="shared" si="11"/>
        <v>17846.415167261814</v>
      </c>
      <c r="AC13" s="440">
        <f t="shared" si="11"/>
        <v>19548.611977774461</v>
      </c>
      <c r="AD13" s="440">
        <f t="shared" si="11"/>
        <v>21558.130763643327</v>
      </c>
      <c r="AE13" s="440">
        <f t="shared" si="11"/>
        <v>23622.87857983528</v>
      </c>
      <c r="AF13" s="441">
        <f t="shared" si="11"/>
        <v>25895.184398889447</v>
      </c>
      <c r="AG13" s="446"/>
      <c r="AH13" s="4"/>
    </row>
    <row r="14" spans="1:34" ht="14.4">
      <c r="A14" s="1699"/>
      <c r="B14" s="665">
        <v>8</v>
      </c>
      <c r="C14" s="666" t="s">
        <v>816</v>
      </c>
      <c r="D14" s="677">
        <v>4</v>
      </c>
      <c r="E14" s="290">
        <v>19</v>
      </c>
      <c r="F14" s="295">
        <v>8</v>
      </c>
      <c r="G14" s="299">
        <f>AVERAGE(D14:F14)*(1+G5)</f>
        <v>12.932553938859495</v>
      </c>
      <c r="H14" s="297">
        <f t="shared" ref="H14:AF14" si="12">AVERAGE(E14:G14)*(1+H5)</f>
        <v>17.41859926318423</v>
      </c>
      <c r="I14" s="297">
        <f t="shared" si="12"/>
        <v>18.579322860189048</v>
      </c>
      <c r="J14" s="300">
        <f t="shared" si="12"/>
        <v>23.981886454089974</v>
      </c>
      <c r="K14" s="299">
        <f t="shared" si="12"/>
        <v>28.292323556408551</v>
      </c>
      <c r="L14" s="297">
        <f t="shared" si="12"/>
        <v>31.191488229991162</v>
      </c>
      <c r="M14" s="297">
        <f t="shared" si="12"/>
        <v>35.537483569936462</v>
      </c>
      <c r="N14" s="297">
        <f t="shared" si="12"/>
        <v>40.73542888103087</v>
      </c>
      <c r="O14" s="297">
        <f t="shared" si="12"/>
        <v>46.350915093526432</v>
      </c>
      <c r="P14" s="297">
        <f t="shared" si="12"/>
        <v>51.799297494636122</v>
      </c>
      <c r="Q14" s="297">
        <f t="shared" si="12"/>
        <v>58.798510560922786</v>
      </c>
      <c r="R14" s="297">
        <f t="shared" si="12"/>
        <v>62.06413376223778</v>
      </c>
      <c r="S14" s="297">
        <f t="shared" si="12"/>
        <v>68.314229033671893</v>
      </c>
      <c r="T14" s="297">
        <f t="shared" si="12"/>
        <v>74.886537029663145</v>
      </c>
      <c r="U14" s="297">
        <f t="shared" si="12"/>
        <v>81.294553183147897</v>
      </c>
      <c r="V14" s="297">
        <f t="shared" si="12"/>
        <v>88.951930975990408</v>
      </c>
      <c r="W14" s="297">
        <f t="shared" si="12"/>
        <v>93.826055493719437</v>
      </c>
      <c r="X14" s="297">
        <f t="shared" si="12"/>
        <v>97.090854897987896</v>
      </c>
      <c r="Y14" s="297">
        <f t="shared" si="12"/>
        <v>102.91057281544158</v>
      </c>
      <c r="Z14" s="297">
        <f t="shared" si="12"/>
        <v>108.05633029253828</v>
      </c>
      <c r="AA14" s="297">
        <f t="shared" si="12"/>
        <v>113.30376968413873</v>
      </c>
      <c r="AB14" s="297">
        <f t="shared" si="12"/>
        <v>119.0975599221188</v>
      </c>
      <c r="AC14" s="297">
        <f t="shared" si="12"/>
        <v>125.06411969191436</v>
      </c>
      <c r="AD14" s="297">
        <f t="shared" si="12"/>
        <v>131.33496536861171</v>
      </c>
      <c r="AE14" s="297">
        <f t="shared" si="12"/>
        <v>137.98482966991375</v>
      </c>
      <c r="AF14" s="300">
        <f t="shared" si="12"/>
        <v>134.74783753290026</v>
      </c>
      <c r="AG14" s="446"/>
      <c r="AH14" s="4"/>
    </row>
    <row r="15" spans="1:34" ht="14.4">
      <c r="A15" s="1699"/>
      <c r="B15" s="665">
        <v>9</v>
      </c>
      <c r="C15" s="668" t="s">
        <v>817</v>
      </c>
      <c r="D15" s="674">
        <f>D8+D13+D14</f>
        <v>3671</v>
      </c>
      <c r="E15" s="264">
        <f t="shared" ref="E15:AF15" si="13">E8+E13+E14</f>
        <v>1179</v>
      </c>
      <c r="F15" s="294">
        <f t="shared" si="13"/>
        <v>500</v>
      </c>
      <c r="G15" s="311">
        <f t="shared" si="13"/>
        <v>3664.0046039388599</v>
      </c>
      <c r="H15" s="312">
        <f t="shared" si="13"/>
        <v>6048.2317242281852</v>
      </c>
      <c r="I15" s="312">
        <f t="shared" si="13"/>
        <v>12009.499512431419</v>
      </c>
      <c r="J15" s="313">
        <f t="shared" si="13"/>
        <v>20161.381210665673</v>
      </c>
      <c r="K15" s="311">
        <f t="shared" si="13"/>
        <v>33184.02511341896</v>
      </c>
      <c r="L15" s="312">
        <f t="shared" si="13"/>
        <v>44487.234528521112</v>
      </c>
      <c r="M15" s="312">
        <f t="shared" si="13"/>
        <v>56866.345246293648</v>
      </c>
      <c r="N15" s="312">
        <f t="shared" si="13"/>
        <v>66659.263111582681</v>
      </c>
      <c r="O15" s="312">
        <f t="shared" si="13"/>
        <v>88283.572093852737</v>
      </c>
      <c r="P15" s="312">
        <f t="shared" si="13"/>
        <v>113873.34418804043</v>
      </c>
      <c r="Q15" s="312">
        <f t="shared" si="13"/>
        <v>148890.92644896876</v>
      </c>
      <c r="R15" s="312">
        <f t="shared" si="13"/>
        <v>186013.49693650601</v>
      </c>
      <c r="S15" s="312">
        <f t="shared" si="13"/>
        <v>220763.49746420406</v>
      </c>
      <c r="T15" s="312">
        <f t="shared" si="13"/>
        <v>262355.72101878992</v>
      </c>
      <c r="U15" s="312">
        <f t="shared" si="13"/>
        <v>311916.51778242958</v>
      </c>
      <c r="V15" s="312">
        <f t="shared" si="13"/>
        <v>371000.15781276562</v>
      </c>
      <c r="W15" s="312">
        <f t="shared" si="13"/>
        <v>424196.96036256268</v>
      </c>
      <c r="X15" s="312">
        <f t="shared" si="13"/>
        <v>463839.04921900365</v>
      </c>
      <c r="Y15" s="312">
        <f t="shared" si="13"/>
        <v>511669.72033347306</v>
      </c>
      <c r="Z15" s="312">
        <f t="shared" si="13"/>
        <v>564456.09136580932</v>
      </c>
      <c r="AA15" s="312">
        <f t="shared" si="13"/>
        <v>622772.32872841333</v>
      </c>
      <c r="AB15" s="312">
        <f t="shared" si="13"/>
        <v>686316.91399983806</v>
      </c>
      <c r="AC15" s="312">
        <f t="shared" si="13"/>
        <v>746877.25982191064</v>
      </c>
      <c r="AD15" s="312">
        <f t="shared" si="13"/>
        <v>823013.59582990117</v>
      </c>
      <c r="AE15" s="312">
        <f t="shared" si="13"/>
        <v>906900.21298648196</v>
      </c>
      <c r="AF15" s="313">
        <f t="shared" si="13"/>
        <v>995064.09445983183</v>
      </c>
      <c r="AG15" s="446"/>
      <c r="AH15" s="4"/>
    </row>
    <row r="16" spans="1:34" ht="14.4">
      <c r="A16" s="1699"/>
      <c r="B16" s="665">
        <v>10</v>
      </c>
      <c r="C16" s="666" t="s">
        <v>818</v>
      </c>
      <c r="D16" s="1318">
        <v>-513</v>
      </c>
      <c r="E16" s="1319">
        <v>122</v>
      </c>
      <c r="F16" s="1320">
        <v>346</v>
      </c>
      <c r="G16" s="410">
        <f>$D$57*-G15</f>
        <v>183.20023019694301</v>
      </c>
      <c r="H16" s="380">
        <f t="shared" ref="H16:J16" si="14">$D$57*-H15</f>
        <v>302.41158621140926</v>
      </c>
      <c r="I16" s="380">
        <f t="shared" si="14"/>
        <v>600.47497562157093</v>
      </c>
      <c r="J16" s="380">
        <f t="shared" si="14"/>
        <v>1008.0690605332837</v>
      </c>
      <c r="K16" s="379">
        <f>K15*-$E$57</f>
        <v>-663.6805022683792</v>
      </c>
      <c r="L16" s="380">
        <f t="shared" ref="L16:Q16" si="15">L15*-$E$57</f>
        <v>-889.74469057042222</v>
      </c>
      <c r="M16" s="380">
        <f t="shared" si="15"/>
        <v>-1137.3269049258729</v>
      </c>
      <c r="N16" s="380">
        <f t="shared" si="15"/>
        <v>-1333.1852622316537</v>
      </c>
      <c r="O16" s="380">
        <f t="shared" si="15"/>
        <v>-1765.6714418770548</v>
      </c>
      <c r="P16" s="380">
        <f t="shared" si="15"/>
        <v>-2277.4668837608087</v>
      </c>
      <c r="Q16" s="380">
        <f t="shared" si="15"/>
        <v>-2977.8185289793755</v>
      </c>
      <c r="R16" s="380">
        <f>$F$57*-R15</f>
        <v>-29762.159509840963</v>
      </c>
      <c r="S16" s="380">
        <f t="shared" ref="S16:AF16" si="16">$F$57*-S15</f>
        <v>-35322.159594272649</v>
      </c>
      <c r="T16" s="380">
        <f t="shared" si="16"/>
        <v>-41976.915363006388</v>
      </c>
      <c r="U16" s="380">
        <f t="shared" si="16"/>
        <v>-49906.642845188733</v>
      </c>
      <c r="V16" s="380">
        <f t="shared" si="16"/>
        <v>-59360.025250042498</v>
      </c>
      <c r="W16" s="380">
        <f t="shared" si="16"/>
        <v>-67871.513658010022</v>
      </c>
      <c r="X16" s="380">
        <f t="shared" si="16"/>
        <v>-74214.247875040586</v>
      </c>
      <c r="Y16" s="380">
        <f t="shared" si="16"/>
        <v>-81867.155253355697</v>
      </c>
      <c r="Z16" s="380">
        <f t="shared" si="16"/>
        <v>-90312.974618529493</v>
      </c>
      <c r="AA16" s="380">
        <f t="shared" si="16"/>
        <v>-99643.572596546132</v>
      </c>
      <c r="AB16" s="380">
        <f t="shared" si="16"/>
        <v>-109810.7062399741</v>
      </c>
      <c r="AC16" s="380">
        <f t="shared" si="16"/>
        <v>-119500.36157150571</v>
      </c>
      <c r="AD16" s="380">
        <f t="shared" si="16"/>
        <v>-131682.17533278419</v>
      </c>
      <c r="AE16" s="380">
        <f t="shared" si="16"/>
        <v>-145104.0340778371</v>
      </c>
      <c r="AF16" s="381">
        <f t="shared" si="16"/>
        <v>-159210.2551135731</v>
      </c>
      <c r="AG16" s="446"/>
      <c r="AH16" s="4"/>
    </row>
    <row r="17" spans="1:34" ht="15" thickBot="1">
      <c r="A17" s="1699"/>
      <c r="B17" s="669">
        <v>11</v>
      </c>
      <c r="C17" s="670" t="s">
        <v>819</v>
      </c>
      <c r="D17" s="1425">
        <f>D15+D16+D14</f>
        <v>3162</v>
      </c>
      <c r="E17" s="615">
        <f t="shared" ref="E17:F17" si="17">E15+E16+E14</f>
        <v>1320</v>
      </c>
      <c r="F17" s="296">
        <f t="shared" si="17"/>
        <v>854</v>
      </c>
      <c r="G17" s="302">
        <f t="shared" ref="G17:AF17" si="18">G16+G15</f>
        <v>3847.2048341358027</v>
      </c>
      <c r="H17" s="303">
        <f t="shared" si="18"/>
        <v>6350.6433104395946</v>
      </c>
      <c r="I17" s="303">
        <f t="shared" si="18"/>
        <v>12609.974488052991</v>
      </c>
      <c r="J17" s="304">
        <f t="shared" si="18"/>
        <v>21169.450271198955</v>
      </c>
      <c r="K17" s="302">
        <f t="shared" si="18"/>
        <v>32520.34461115058</v>
      </c>
      <c r="L17" s="303">
        <f t="shared" si="18"/>
        <v>43597.489837950692</v>
      </c>
      <c r="M17" s="303">
        <f t="shared" si="18"/>
        <v>55729.018341367773</v>
      </c>
      <c r="N17" s="303">
        <f t="shared" si="18"/>
        <v>65326.07784935103</v>
      </c>
      <c r="O17" s="303">
        <f t="shared" si="18"/>
        <v>86517.90065197568</v>
      </c>
      <c r="P17" s="303">
        <f t="shared" si="18"/>
        <v>111595.87730427962</v>
      </c>
      <c r="Q17" s="303">
        <f t="shared" si="18"/>
        <v>145913.10791998939</v>
      </c>
      <c r="R17" s="303">
        <f t="shared" si="18"/>
        <v>156251.33742666504</v>
      </c>
      <c r="S17" s="303">
        <f t="shared" si="18"/>
        <v>185441.33786993142</v>
      </c>
      <c r="T17" s="303">
        <f t="shared" si="18"/>
        <v>220378.80565578354</v>
      </c>
      <c r="U17" s="303">
        <f t="shared" si="18"/>
        <v>262009.87493724085</v>
      </c>
      <c r="V17" s="303">
        <f t="shared" si="18"/>
        <v>311640.13256272313</v>
      </c>
      <c r="W17" s="303">
        <f t="shared" si="18"/>
        <v>356325.44670455263</v>
      </c>
      <c r="X17" s="303">
        <f t="shared" si="18"/>
        <v>389624.80134396307</v>
      </c>
      <c r="Y17" s="303">
        <f t="shared" si="18"/>
        <v>429802.56508011738</v>
      </c>
      <c r="Z17" s="303">
        <f t="shared" si="18"/>
        <v>474143.11674727983</v>
      </c>
      <c r="AA17" s="303">
        <f t="shared" si="18"/>
        <v>523128.75613186718</v>
      </c>
      <c r="AB17" s="303">
        <f t="shared" si="18"/>
        <v>576506.20775986393</v>
      </c>
      <c r="AC17" s="303">
        <f t="shared" si="18"/>
        <v>627376.89825040498</v>
      </c>
      <c r="AD17" s="303">
        <f t="shared" si="18"/>
        <v>691331.42049711698</v>
      </c>
      <c r="AE17" s="303">
        <f t="shared" si="18"/>
        <v>761796.17890864483</v>
      </c>
      <c r="AF17" s="304">
        <f t="shared" si="18"/>
        <v>835853.83934625867</v>
      </c>
      <c r="AG17" s="446"/>
      <c r="AH17" s="4"/>
    </row>
    <row r="18" spans="1:34" ht="15" thickBot="1">
      <c r="A18" s="229"/>
      <c r="B18" s="241"/>
      <c r="C18" s="242" t="s">
        <v>447</v>
      </c>
      <c r="D18" s="246" t="s">
        <v>447</v>
      </c>
      <c r="E18" s="246" t="s">
        <v>447</v>
      </c>
      <c r="F18" s="246" t="s">
        <v>447</v>
      </c>
      <c r="G18" s="243" t="s">
        <v>447</v>
      </c>
      <c r="H18" s="243" t="s">
        <v>447</v>
      </c>
      <c r="I18" s="243" t="s">
        <v>447</v>
      </c>
      <c r="J18" s="243" t="s">
        <v>447</v>
      </c>
      <c r="K18" s="243" t="s">
        <v>447</v>
      </c>
      <c r="L18" s="243" t="s">
        <v>447</v>
      </c>
      <c r="M18" s="243" t="s">
        <v>447</v>
      </c>
      <c r="N18" s="243" t="s">
        <v>447</v>
      </c>
      <c r="O18" s="243" t="s">
        <v>447</v>
      </c>
      <c r="P18" s="243" t="s">
        <v>447</v>
      </c>
      <c r="Q18" s="243" t="s">
        <v>447</v>
      </c>
      <c r="R18" s="243" t="s">
        <v>447</v>
      </c>
      <c r="S18" s="243" t="s">
        <v>447</v>
      </c>
      <c r="T18" s="243" t="s">
        <v>447</v>
      </c>
      <c r="U18" s="243" t="s">
        <v>447</v>
      </c>
      <c r="V18" s="243" t="s">
        <v>447</v>
      </c>
      <c r="W18" s="243" t="s">
        <v>447</v>
      </c>
      <c r="X18" s="243" t="s">
        <v>447</v>
      </c>
      <c r="Y18" s="243" t="s">
        <v>447</v>
      </c>
      <c r="Z18" s="243" t="s">
        <v>447</v>
      </c>
      <c r="AA18" s="243" t="s">
        <v>447</v>
      </c>
      <c r="AB18" s="243" t="s">
        <v>447</v>
      </c>
      <c r="AC18" s="243" t="s">
        <v>447</v>
      </c>
      <c r="AD18" s="243" t="s">
        <v>447</v>
      </c>
      <c r="AE18" s="243" t="s">
        <v>447</v>
      </c>
      <c r="AF18" s="251" t="s">
        <v>447</v>
      </c>
      <c r="AG18" s="446"/>
      <c r="AH18" s="4"/>
    </row>
    <row r="19" spans="1:34" ht="14.4">
      <c r="A19" s="1927" t="s">
        <v>820</v>
      </c>
      <c r="B19" s="219">
        <v>12</v>
      </c>
      <c r="C19" s="393" t="s">
        <v>821</v>
      </c>
      <c r="D19" s="378">
        <v>4674</v>
      </c>
      <c r="E19" s="258">
        <v>6492</v>
      </c>
      <c r="F19" s="658">
        <v>6100</v>
      </c>
      <c r="G19" s="638">
        <f>G17-G10-G9-G11</f>
        <v>9511.7483341358038</v>
      </c>
      <c r="H19" s="639">
        <f t="shared" ref="H19:AF19" si="19">H17-H10-H9-H11</f>
        <v>12552.053113989548</v>
      </c>
      <c r="I19" s="639">
        <f t="shared" si="19"/>
        <v>19766.678209853515</v>
      </c>
      <c r="J19" s="640">
        <f t="shared" si="19"/>
        <v>30626.865495827085</v>
      </c>
      <c r="K19" s="641">
        <f t="shared" si="19"/>
        <v>45520.725033689385</v>
      </c>
      <c r="L19" s="639">
        <f t="shared" si="19"/>
        <v>60278.067753510317</v>
      </c>
      <c r="M19" s="639">
        <f t="shared" si="19"/>
        <v>76759.864259943381</v>
      </c>
      <c r="N19" s="639">
        <f t="shared" si="19"/>
        <v>91934.705336367639</v>
      </c>
      <c r="O19" s="639">
        <f t="shared" si="19"/>
        <v>120300.91513224208</v>
      </c>
      <c r="P19" s="639">
        <f t="shared" si="19"/>
        <v>153997.99812043982</v>
      </c>
      <c r="Q19" s="639">
        <f t="shared" si="19"/>
        <v>199105.43813271297</v>
      </c>
      <c r="R19" s="639">
        <f t="shared" si="19"/>
        <v>208441.05229458696</v>
      </c>
      <c r="S19" s="639">
        <f t="shared" si="19"/>
        <v>246313.61573513522</v>
      </c>
      <c r="T19" s="639">
        <f t="shared" si="19"/>
        <v>291411.57498513011</v>
      </c>
      <c r="U19" s="639">
        <f t="shared" si="19"/>
        <v>344939.24526701024</v>
      </c>
      <c r="V19" s="639">
        <f t="shared" si="19"/>
        <v>408496.1622250583</v>
      </c>
      <c r="W19" s="639">
        <f t="shared" si="19"/>
        <v>467531.10006254923</v>
      </c>
      <c r="X19" s="639">
        <f t="shared" si="19"/>
        <v>514803.61617335107</v>
      </c>
      <c r="Y19" s="639">
        <f t="shared" si="19"/>
        <v>570762.69717064884</v>
      </c>
      <c r="Z19" s="639">
        <f t="shared" si="19"/>
        <v>632935.3104236311</v>
      </c>
      <c r="AA19" s="639">
        <f t="shared" si="19"/>
        <v>702079.88081128791</v>
      </c>
      <c r="AB19" s="639">
        <f t="shared" si="19"/>
        <v>778118.07981177454</v>
      </c>
      <c r="AC19" s="639">
        <f t="shared" si="19"/>
        <v>854623.81257806125</v>
      </c>
      <c r="AD19" s="639">
        <f t="shared" si="19"/>
        <v>947592.31550520181</v>
      </c>
      <c r="AE19" s="639">
        <f t="shared" si="19"/>
        <v>1050907.9287812407</v>
      </c>
      <c r="AF19" s="642">
        <f t="shared" si="19"/>
        <v>1161483.5050186266</v>
      </c>
      <c r="AG19" s="446"/>
      <c r="AH19" s="4"/>
    </row>
    <row r="20" spans="1:34" ht="14.4">
      <c r="A20" s="1928"/>
      <c r="B20" s="219">
        <v>13</v>
      </c>
      <c r="C20" s="239" t="s">
        <v>822</v>
      </c>
      <c r="D20" s="259">
        <v>-379</v>
      </c>
      <c r="E20" s="260">
        <v>-1081</v>
      </c>
      <c r="F20" s="659">
        <v>-1384</v>
      </c>
      <c r="G20" s="643">
        <f>G11</f>
        <v>-1419.2435</v>
      </c>
      <c r="H20" s="444">
        <f t="shared" ref="H20:AF20" si="20">H11</f>
        <v>-1857.224095</v>
      </c>
      <c r="I20" s="444">
        <f t="shared" si="20"/>
        <v>-2699.2121386500003</v>
      </c>
      <c r="J20" s="445">
        <f t="shared" si="20"/>
        <v>-3968.8270522205003</v>
      </c>
      <c r="K20" s="429">
        <f t="shared" si="20"/>
        <v>-6739.5083503975202</v>
      </c>
      <c r="L20" s="444">
        <f t="shared" si="20"/>
        <v>-8900.697828477023</v>
      </c>
      <c r="M20" s="444">
        <f t="shared" si="20"/>
        <v>-11369.044152572427</v>
      </c>
      <c r="N20" s="444">
        <f t="shared" si="20"/>
        <v>-14621.655738926915</v>
      </c>
      <c r="O20" s="444">
        <f t="shared" si="20"/>
        <v>-18919.5804206963</v>
      </c>
      <c r="P20" s="444">
        <f t="shared" si="20"/>
        <v>-23976.27755494116</v>
      </c>
      <c r="Q20" s="444">
        <f t="shared" si="20"/>
        <v>-30451.73123973067</v>
      </c>
      <c r="R20" s="444">
        <f t="shared" si="20"/>
        <v>-24083.793522284202</v>
      </c>
      <c r="S20" s="444">
        <f t="shared" si="20"/>
        <v>-28586.481236562897</v>
      </c>
      <c r="T20" s="444">
        <f t="shared" si="20"/>
        <v>-33948.270964892574</v>
      </c>
      <c r="U20" s="444">
        <f t="shared" si="20"/>
        <v>-40335.335292734911</v>
      </c>
      <c r="V20" s="444">
        <f t="shared" si="20"/>
        <v>-47946.290901238863</v>
      </c>
      <c r="W20" s="444">
        <f t="shared" si="20"/>
        <v>-55055.145108575409</v>
      </c>
      <c r="X20" s="444">
        <f t="shared" si="20"/>
        <v>-60725.940442174076</v>
      </c>
      <c r="Y20" s="444">
        <f t="shared" si="20"/>
        <v>-66988.60743254378</v>
      </c>
      <c r="Z20" s="444">
        <f t="shared" si="20"/>
        <v>-73906.052063873285</v>
      </c>
      <c r="AA20" s="444">
        <f t="shared" si="20"/>
        <v>-81548.028741547023</v>
      </c>
      <c r="AB20" s="444">
        <f t="shared" si="20"/>
        <v>-89852.447857379448</v>
      </c>
      <c r="AC20" s="444">
        <f t="shared" si="20"/>
        <v>-99019.513587567926</v>
      </c>
      <c r="AD20" s="444">
        <f t="shared" si="20"/>
        <v>-109141.1022802856</v>
      </c>
      <c r="AE20" s="444">
        <f t="shared" si="20"/>
        <v>-120319.18215003941</v>
      </c>
      <c r="AF20" s="644">
        <f t="shared" si="20"/>
        <v>-131971.6301985704</v>
      </c>
      <c r="AG20" s="446"/>
      <c r="AH20" s="4"/>
    </row>
    <row r="21" spans="1:34" ht="14.4">
      <c r="A21" s="1928"/>
      <c r="B21" s="219">
        <v>14</v>
      </c>
      <c r="C21" s="239" t="s">
        <v>823</v>
      </c>
      <c r="D21" s="263">
        <v>-774</v>
      </c>
      <c r="E21" s="262">
        <v>-1846</v>
      </c>
      <c r="F21" s="660">
        <v>-3049</v>
      </c>
      <c r="G21" s="645">
        <f>G6*$D$61</f>
        <v>-2838.4870000000001</v>
      </c>
      <c r="H21" s="404">
        <f t="shared" ref="H21:J21" si="21">H6*$D$61</f>
        <v>-3714.4481900000001</v>
      </c>
      <c r="I21" s="404">
        <f t="shared" si="21"/>
        <v>-5398.4242773000005</v>
      </c>
      <c r="J21" s="405">
        <f t="shared" si="21"/>
        <v>-7937.6541044410005</v>
      </c>
      <c r="K21" s="301">
        <f t="shared" ref="K21:Q21" si="22">K6*$E$61</f>
        <v>-7862.7597421304408</v>
      </c>
      <c r="L21" s="298">
        <f t="shared" si="22"/>
        <v>-10384.147466556527</v>
      </c>
      <c r="M21" s="298">
        <f t="shared" si="22"/>
        <v>-13263.884844667833</v>
      </c>
      <c r="N21" s="298">
        <f t="shared" si="22"/>
        <v>-17058.5983620814</v>
      </c>
      <c r="O21" s="298">
        <f t="shared" si="22"/>
        <v>-22072.843824145686</v>
      </c>
      <c r="P21" s="298">
        <f t="shared" si="22"/>
        <v>-27972.323814098025</v>
      </c>
      <c r="Q21" s="298">
        <f t="shared" si="22"/>
        <v>-35527.01977968579</v>
      </c>
      <c r="R21" s="298">
        <f>R6*$F$61</f>
        <v>-36125.690283426302</v>
      </c>
      <c r="S21" s="298">
        <f t="shared" ref="S21:AF21" si="23">S6*$F$61</f>
        <v>-42879.721854844342</v>
      </c>
      <c r="T21" s="298">
        <f t="shared" si="23"/>
        <v>-50922.406447338857</v>
      </c>
      <c r="U21" s="298">
        <f t="shared" si="23"/>
        <v>-60503.002939102371</v>
      </c>
      <c r="V21" s="298">
        <f t="shared" si="23"/>
        <v>-71919.436351858298</v>
      </c>
      <c r="W21" s="298">
        <f t="shared" si="23"/>
        <v>-82582.717662863113</v>
      </c>
      <c r="X21" s="298">
        <f t="shared" si="23"/>
        <v>-91088.910663261107</v>
      </c>
      <c r="Y21" s="298">
        <f t="shared" si="23"/>
        <v>-100482.91114881566</v>
      </c>
      <c r="Z21" s="298">
        <f t="shared" si="23"/>
        <v>-110859.07809580993</v>
      </c>
      <c r="AA21" s="298">
        <f t="shared" si="23"/>
        <v>-122322.04311232052</v>
      </c>
      <c r="AB21" s="298">
        <f t="shared" si="23"/>
        <v>-134778.67178606917</v>
      </c>
      <c r="AC21" s="298">
        <f t="shared" si="23"/>
        <v>-148529.27038135187</v>
      </c>
      <c r="AD21" s="298">
        <f t="shared" si="23"/>
        <v>-163711.6534204284</v>
      </c>
      <c r="AE21" s="298">
        <f t="shared" si="23"/>
        <v>-180478.77322505912</v>
      </c>
      <c r="AF21" s="298">
        <f t="shared" si="23"/>
        <v>-197957.44529785562</v>
      </c>
      <c r="AG21" s="446"/>
      <c r="AH21" s="4"/>
    </row>
    <row r="22" spans="1:34" ht="14.4">
      <c r="A22" s="1928"/>
      <c r="B22" s="219">
        <v>15</v>
      </c>
      <c r="C22" s="244" t="s">
        <v>824</v>
      </c>
      <c r="D22" s="1426">
        <f>D19+D20+D21</f>
        <v>3521</v>
      </c>
      <c r="E22" s="261">
        <f t="shared" ref="E22:F22" si="24">E19+E20+E21</f>
        <v>3565</v>
      </c>
      <c r="F22" s="661">
        <f t="shared" si="24"/>
        <v>1667</v>
      </c>
      <c r="G22" s="647">
        <f>G19+G20+G21</f>
        <v>5254.0178341358032</v>
      </c>
      <c r="H22" s="402">
        <f t="shared" ref="H22:AF22" si="25">H19+H20+H21</f>
        <v>6980.3808289895487</v>
      </c>
      <c r="I22" s="402">
        <f t="shared" si="25"/>
        <v>11669.041793903514</v>
      </c>
      <c r="J22" s="403">
        <f t="shared" si="25"/>
        <v>18720.384339165586</v>
      </c>
      <c r="K22" s="401">
        <f t="shared" si="25"/>
        <v>30918.456941161425</v>
      </c>
      <c r="L22" s="402">
        <f t="shared" si="25"/>
        <v>40993.222458476768</v>
      </c>
      <c r="M22" s="402">
        <f t="shared" si="25"/>
        <v>52126.935262703118</v>
      </c>
      <c r="N22" s="402">
        <f t="shared" si="25"/>
        <v>60254.451235359324</v>
      </c>
      <c r="O22" s="402">
        <f t="shared" si="25"/>
        <v>79308.490887400098</v>
      </c>
      <c r="P22" s="402">
        <f t="shared" si="25"/>
        <v>102049.39675140064</v>
      </c>
      <c r="Q22" s="402">
        <f t="shared" si="25"/>
        <v>133126.6871132965</v>
      </c>
      <c r="R22" s="402">
        <f t="shared" si="25"/>
        <v>148231.56848887645</v>
      </c>
      <c r="S22" s="402">
        <f t="shared" si="25"/>
        <v>174847.41264372799</v>
      </c>
      <c r="T22" s="402">
        <f t="shared" si="25"/>
        <v>206540.89757289866</v>
      </c>
      <c r="U22" s="402">
        <f t="shared" si="25"/>
        <v>244100.90703517298</v>
      </c>
      <c r="V22" s="402">
        <f t="shared" si="25"/>
        <v>288630.43497196113</v>
      </c>
      <c r="W22" s="402">
        <f t="shared" si="25"/>
        <v>329893.23729111068</v>
      </c>
      <c r="X22" s="402">
        <f t="shared" si="25"/>
        <v>362988.7650679159</v>
      </c>
      <c r="Y22" s="402">
        <f t="shared" si="25"/>
        <v>403291.17858928943</v>
      </c>
      <c r="Z22" s="402">
        <f t="shared" si="25"/>
        <v>448170.18026394793</v>
      </c>
      <c r="AA22" s="402">
        <f t="shared" si="25"/>
        <v>498209.80895742035</v>
      </c>
      <c r="AB22" s="402">
        <f t="shared" si="25"/>
        <v>553486.96016832592</v>
      </c>
      <c r="AC22" s="402">
        <f t="shared" si="25"/>
        <v>607075.02860914147</v>
      </c>
      <c r="AD22" s="402">
        <f t="shared" si="25"/>
        <v>674739.55980448786</v>
      </c>
      <c r="AE22" s="402">
        <f t="shared" si="25"/>
        <v>750109.97340614221</v>
      </c>
      <c r="AF22" s="648">
        <f t="shared" si="25"/>
        <v>831554.42952220049</v>
      </c>
      <c r="AG22" s="446"/>
      <c r="AH22" s="4"/>
    </row>
    <row r="23" spans="1:34" ht="14.4">
      <c r="A23" s="1928"/>
      <c r="B23" s="219">
        <v>16</v>
      </c>
      <c r="C23" s="239" t="s">
        <v>825</v>
      </c>
      <c r="D23" s="263">
        <v>-301</v>
      </c>
      <c r="E23" s="262">
        <v>-450</v>
      </c>
      <c r="F23" s="662">
        <v>-546</v>
      </c>
      <c r="G23" s="649">
        <f>G6*$D$63</f>
        <v>-669.32786211356301</v>
      </c>
      <c r="H23" s="298">
        <f t="shared" ref="H23:J23" si="26">H6*$D$63</f>
        <v>-875.88340758449613</v>
      </c>
      <c r="I23" s="298">
        <f t="shared" si="26"/>
        <v>-1272.9724604365515</v>
      </c>
      <c r="J23" s="392">
        <f t="shared" si="26"/>
        <v>-1871.7341498912776</v>
      </c>
      <c r="K23" s="301">
        <f>K6*$E$63</f>
        <v>-3369.7541751987601</v>
      </c>
      <c r="L23" s="298">
        <f t="shared" ref="L23:O23" si="27">L6*$E$63</f>
        <v>-4450.3489142385115</v>
      </c>
      <c r="M23" s="298">
        <f t="shared" si="27"/>
        <v>-5684.5220762862136</v>
      </c>
      <c r="N23" s="298">
        <f t="shared" si="27"/>
        <v>-7310.8278694634573</v>
      </c>
      <c r="O23" s="298">
        <f t="shared" si="27"/>
        <v>-9459.7902103481501</v>
      </c>
      <c r="P23" s="298">
        <f>P6*$F$63</f>
        <v>-7992.0925183137206</v>
      </c>
      <c r="Q23" s="298">
        <f t="shared" ref="Q23:AF23" si="28">Q6*$F$63</f>
        <v>-10150.577079910225</v>
      </c>
      <c r="R23" s="298">
        <f t="shared" si="28"/>
        <v>-12041.896761142101</v>
      </c>
      <c r="S23" s="298">
        <f t="shared" si="28"/>
        <v>-14293.240618281448</v>
      </c>
      <c r="T23" s="298">
        <f t="shared" si="28"/>
        <v>-16974.135482446287</v>
      </c>
      <c r="U23" s="298">
        <f t="shared" si="28"/>
        <v>-20167.667646367456</v>
      </c>
      <c r="V23" s="298">
        <f t="shared" si="28"/>
        <v>-23973.145450619431</v>
      </c>
      <c r="W23" s="298">
        <f t="shared" si="28"/>
        <v>-27527.572554287704</v>
      </c>
      <c r="X23" s="298">
        <f t="shared" si="28"/>
        <v>-30362.970221087038</v>
      </c>
      <c r="Y23" s="298">
        <f t="shared" si="28"/>
        <v>-33494.30371627189</v>
      </c>
      <c r="Z23" s="298">
        <f t="shared" si="28"/>
        <v>-36953.026031936643</v>
      </c>
      <c r="AA23" s="298">
        <f t="shared" si="28"/>
        <v>-40774.014370773511</v>
      </c>
      <c r="AB23" s="298">
        <f t="shared" si="28"/>
        <v>-44926.223928689724</v>
      </c>
      <c r="AC23" s="298">
        <f t="shared" si="28"/>
        <v>-49509.756793783963</v>
      </c>
      <c r="AD23" s="298">
        <f t="shared" si="28"/>
        <v>-54570.551140142801</v>
      </c>
      <c r="AE23" s="298">
        <f t="shared" si="28"/>
        <v>-60159.591075019707</v>
      </c>
      <c r="AF23" s="646">
        <f t="shared" si="28"/>
        <v>-65985.815099285202</v>
      </c>
      <c r="AG23" s="447">
        <f>SUM(D23:AF23)</f>
        <v>-586118.74161391985</v>
      </c>
      <c r="AH23" s="4"/>
    </row>
    <row r="24" spans="1:34" ht="14.4">
      <c r="A24" s="1928"/>
      <c r="B24" s="219">
        <v>17</v>
      </c>
      <c r="C24" s="239" t="s">
        <v>826</v>
      </c>
      <c r="D24" s="263">
        <v>-378</v>
      </c>
      <c r="E24" s="262">
        <v>2465</v>
      </c>
      <c r="F24" s="660">
        <v>-866</v>
      </c>
      <c r="G24" s="649">
        <f>G6*$D$64</f>
        <v>-141.92435</v>
      </c>
      <c r="H24" s="298">
        <f t="shared" ref="H24:J24" si="29">H6*$D$64</f>
        <v>-185.7224095</v>
      </c>
      <c r="I24" s="298">
        <f t="shared" si="29"/>
        <v>-269.92121386500003</v>
      </c>
      <c r="J24" s="392">
        <f t="shared" si="29"/>
        <v>-396.88270522204999</v>
      </c>
      <c r="K24" s="301">
        <f>K6*$E$64</f>
        <v>-561.62569586645998</v>
      </c>
      <c r="L24" s="298">
        <f t="shared" ref="L24:M24" si="30">L6*$E$64</f>
        <v>-741.72481903975188</v>
      </c>
      <c r="M24" s="298">
        <f t="shared" si="30"/>
        <v>-947.42034604770231</v>
      </c>
      <c r="N24" s="298">
        <f t="shared" ref="N24:AF24" si="31">N6*$F$64</f>
        <v>-10966.241804195186</v>
      </c>
      <c r="O24" s="298">
        <f t="shared" si="31"/>
        <v>-14189.685315522225</v>
      </c>
      <c r="P24" s="298">
        <f t="shared" si="31"/>
        <v>-17982.20816620587</v>
      </c>
      <c r="Q24" s="298">
        <f t="shared" si="31"/>
        <v>-22838.798429798004</v>
      </c>
      <c r="R24" s="298">
        <f t="shared" si="31"/>
        <v>-27094.267712569726</v>
      </c>
      <c r="S24" s="298">
        <f t="shared" si="31"/>
        <v>-32159.791391133258</v>
      </c>
      <c r="T24" s="298">
        <f t="shared" si="31"/>
        <v>-38191.804835504139</v>
      </c>
      <c r="U24" s="298">
        <f t="shared" si="31"/>
        <v>-45377.252204326775</v>
      </c>
      <c r="V24" s="298">
        <f t="shared" si="31"/>
        <v>-53939.57726389372</v>
      </c>
      <c r="W24" s="298">
        <f t="shared" si="31"/>
        <v>-61937.038247147335</v>
      </c>
      <c r="X24" s="298">
        <f t="shared" si="31"/>
        <v>-68316.682997445838</v>
      </c>
      <c r="Y24" s="298">
        <f t="shared" si="31"/>
        <v>-75362.183361611751</v>
      </c>
      <c r="Z24" s="298">
        <f t="shared" si="31"/>
        <v>-83144.308571857444</v>
      </c>
      <c r="AA24" s="298">
        <f t="shared" si="31"/>
        <v>-91741.532334240386</v>
      </c>
      <c r="AB24" s="298">
        <f t="shared" si="31"/>
        <v>-101084.00383955188</v>
      </c>
      <c r="AC24" s="298">
        <f t="shared" si="31"/>
        <v>-111396.95278601391</v>
      </c>
      <c r="AD24" s="298">
        <f t="shared" si="31"/>
        <v>-122783.7400653213</v>
      </c>
      <c r="AE24" s="298">
        <f t="shared" si="31"/>
        <v>-135359.07991879433</v>
      </c>
      <c r="AF24" s="646">
        <f t="shared" si="31"/>
        <v>-148468.08397339171</v>
      </c>
      <c r="AG24" s="446"/>
      <c r="AH24" s="448">
        <f>AG9-AG23</f>
        <v>431753.40965605329</v>
      </c>
    </row>
    <row r="25" spans="1:34" ht="14.4">
      <c r="A25" s="1928"/>
      <c r="B25" s="219"/>
      <c r="C25" s="239" t="s">
        <v>827</v>
      </c>
      <c r="D25" s="263">
        <v>-7</v>
      </c>
      <c r="E25" s="262">
        <v>-16</v>
      </c>
      <c r="F25" s="660">
        <v>-11</v>
      </c>
      <c r="G25" s="649"/>
      <c r="H25" s="298"/>
      <c r="I25" s="298"/>
      <c r="J25" s="392"/>
      <c r="K25" s="301"/>
      <c r="L25" s="298"/>
      <c r="M25" s="298"/>
      <c r="N25" s="298"/>
      <c r="O25" s="298"/>
      <c r="P25" s="298"/>
      <c r="Q25" s="298"/>
      <c r="R25" s="298"/>
      <c r="S25" s="298"/>
      <c r="T25" s="298"/>
      <c r="U25" s="298"/>
      <c r="V25" s="298"/>
      <c r="W25" s="298"/>
      <c r="X25" s="298"/>
      <c r="Y25" s="298"/>
      <c r="Z25" s="298"/>
      <c r="AA25" s="298"/>
      <c r="AB25" s="298"/>
      <c r="AC25" s="298"/>
      <c r="AD25" s="298"/>
      <c r="AE25" s="298"/>
      <c r="AF25" s="646"/>
      <c r="AG25" s="282"/>
      <c r="AH25" s="4"/>
    </row>
    <row r="26" spans="1:34" ht="14.4">
      <c r="A26" s="1928"/>
      <c r="B26" s="219">
        <v>18</v>
      </c>
      <c r="C26" s="239" t="s">
        <v>828</v>
      </c>
      <c r="D26" s="263">
        <v>-7</v>
      </c>
      <c r="E26" s="262">
        <v>-16</v>
      </c>
      <c r="F26" s="660">
        <v>-11</v>
      </c>
      <c r="G26" s="649"/>
      <c r="H26" s="298">
        <f t="shared" ref="H26:AF26" si="32">(1+H5)*AVERAGE(E26:G26)</f>
        <v>-17.666119508385982</v>
      </c>
      <c r="I26" s="298">
        <f t="shared" si="32"/>
        <v>-20.831072015848207</v>
      </c>
      <c r="J26" s="392">
        <f t="shared" si="32"/>
        <v>-28.302461479057925</v>
      </c>
      <c r="K26" s="301">
        <f>(1+K5)*AVERAGE(H26:J26)</f>
        <v>-31.509226872309064</v>
      </c>
      <c r="L26" s="298">
        <f t="shared" si="32"/>
        <v>-35.500949760948473</v>
      </c>
      <c r="M26" s="298">
        <f t="shared" si="32"/>
        <v>-40.581596779604659</v>
      </c>
      <c r="N26" s="298">
        <f t="shared" si="32"/>
        <v>-46.124366307656153</v>
      </c>
      <c r="O26" s="298">
        <f t="shared" si="32"/>
        <v>-52.709568986346206</v>
      </c>
      <c r="P26" s="298">
        <f t="shared" si="32"/>
        <v>-58.892523303706234</v>
      </c>
      <c r="Q26" s="298">
        <f t="shared" si="32"/>
        <v>-66.774943352595784</v>
      </c>
      <c r="R26" s="298">
        <f t="shared" si="32"/>
        <v>-70.537790802672689</v>
      </c>
      <c r="S26" s="298">
        <f t="shared" si="32"/>
        <v>-77.629214374336499</v>
      </c>
      <c r="T26" s="298">
        <f t="shared" si="32"/>
        <v>-85.085760760137163</v>
      </c>
      <c r="U26" s="298">
        <f t="shared" si="32"/>
        <v>-92.37906432959123</v>
      </c>
      <c r="V26" s="298">
        <f t="shared" si="32"/>
        <v>-101.0760824188078</v>
      </c>
      <c r="W26" s="298">
        <f t="shared" si="32"/>
        <v>-106.61311364101442</v>
      </c>
      <c r="X26" s="298">
        <f t="shared" si="32"/>
        <v>-110.32530670269149</v>
      </c>
      <c r="Y26" s="298">
        <f t="shared" si="32"/>
        <v>-116.93711412450733</v>
      </c>
      <c r="Z26" s="298">
        <f t="shared" si="32"/>
        <v>-122.78417469770991</v>
      </c>
      <c r="AA26" s="298">
        <f t="shared" si="32"/>
        <v>-128.74728133710173</v>
      </c>
      <c r="AB26" s="298">
        <f t="shared" si="32"/>
        <v>-135.3304855974429</v>
      </c>
      <c r="AC26" s="298">
        <f t="shared" si="32"/>
        <v>-142.11032345967726</v>
      </c>
      <c r="AD26" s="298">
        <f t="shared" si="32"/>
        <v>-149.23595802001461</v>
      </c>
      <c r="AE26" s="298">
        <f t="shared" si="32"/>
        <v>-156.79213600422199</v>
      </c>
      <c r="AF26" s="646">
        <f t="shared" si="32"/>
        <v>-153.11395930700388</v>
      </c>
      <c r="AG26" s="446"/>
      <c r="AH26" s="4"/>
    </row>
    <row r="27" spans="1:34" ht="14.4">
      <c r="A27" s="1928"/>
      <c r="B27" s="219">
        <v>19</v>
      </c>
      <c r="C27" s="244" t="s">
        <v>829</v>
      </c>
      <c r="D27" s="1426">
        <f>SUM(D23:D26)</f>
        <v>-693</v>
      </c>
      <c r="E27" s="261">
        <f t="shared" ref="E27:F27" si="33">SUM(E23:E26)</f>
        <v>1983</v>
      </c>
      <c r="F27" s="661">
        <f t="shared" si="33"/>
        <v>-1434</v>
      </c>
      <c r="G27" s="650">
        <f>G23+G24+G26</f>
        <v>-811.25221211356302</v>
      </c>
      <c r="H27" s="314">
        <f t="shared" ref="H27:AF27" si="34">H23+H24+H26</f>
        <v>-1079.271936592882</v>
      </c>
      <c r="I27" s="314">
        <f t="shared" si="34"/>
        <v>-1563.7247463173996</v>
      </c>
      <c r="J27" s="391">
        <f t="shared" si="34"/>
        <v>-2296.9193165923857</v>
      </c>
      <c r="K27" s="315">
        <f t="shared" si="34"/>
        <v>-3962.8890979375292</v>
      </c>
      <c r="L27" s="314">
        <f t="shared" si="34"/>
        <v>-5227.5746830392118</v>
      </c>
      <c r="M27" s="314">
        <f t="shared" si="34"/>
        <v>-6672.5240191135199</v>
      </c>
      <c r="N27" s="314">
        <f t="shared" si="34"/>
        <v>-18323.1940399663</v>
      </c>
      <c r="O27" s="314">
        <f t="shared" si="34"/>
        <v>-23702.185094856719</v>
      </c>
      <c r="P27" s="314">
        <f t="shared" si="34"/>
        <v>-26033.1932078233</v>
      </c>
      <c r="Q27" s="314">
        <f t="shared" si="34"/>
        <v>-33056.150453060829</v>
      </c>
      <c r="R27" s="314">
        <f t="shared" si="34"/>
        <v>-39206.702264514497</v>
      </c>
      <c r="S27" s="314">
        <f t="shared" si="34"/>
        <v>-46530.661223789037</v>
      </c>
      <c r="T27" s="314">
        <f t="shared" si="34"/>
        <v>-55251.026078710565</v>
      </c>
      <c r="U27" s="314">
        <f t="shared" si="34"/>
        <v>-65637.298915023828</v>
      </c>
      <c r="V27" s="314">
        <f t="shared" si="34"/>
        <v>-78013.798796931951</v>
      </c>
      <c r="W27" s="314">
        <f t="shared" si="34"/>
        <v>-89571.223915076058</v>
      </c>
      <c r="X27" s="314">
        <f t="shared" si="34"/>
        <v>-98789.97852523558</v>
      </c>
      <c r="Y27" s="314">
        <f t="shared" si="34"/>
        <v>-108973.42419200815</v>
      </c>
      <c r="Z27" s="314">
        <f t="shared" si="34"/>
        <v>-120220.1187784918</v>
      </c>
      <c r="AA27" s="314">
        <f t="shared" si="34"/>
        <v>-132644.293986351</v>
      </c>
      <c r="AB27" s="314">
        <f t="shared" si="34"/>
        <v>-146145.55825383906</v>
      </c>
      <c r="AC27" s="314">
        <f t="shared" si="34"/>
        <v>-161048.81990325754</v>
      </c>
      <c r="AD27" s="314">
        <f t="shared" si="34"/>
        <v>-177503.52716348413</v>
      </c>
      <c r="AE27" s="314">
        <f t="shared" si="34"/>
        <v>-195675.46312981826</v>
      </c>
      <c r="AF27" s="651">
        <f t="shared" si="34"/>
        <v>-214607.01303198389</v>
      </c>
      <c r="AG27" s="446"/>
      <c r="AH27" s="4"/>
    </row>
    <row r="28" spans="1:34" ht="14.4">
      <c r="A28" s="1928"/>
      <c r="B28" s="219">
        <v>20</v>
      </c>
      <c r="C28" s="239" t="s">
        <v>830</v>
      </c>
      <c r="D28" s="263">
        <v>0</v>
      </c>
      <c r="E28" s="262">
        <v>0</v>
      </c>
      <c r="F28" s="660">
        <v>0</v>
      </c>
      <c r="G28" s="1102">
        <v>0</v>
      </c>
      <c r="H28" s="1103">
        <v>0</v>
      </c>
      <c r="I28" s="1103">
        <v>0</v>
      </c>
      <c r="J28" s="1104">
        <v>0</v>
      </c>
      <c r="K28" s="1105">
        <v>0</v>
      </c>
      <c r="L28" s="1103">
        <v>0</v>
      </c>
      <c r="M28" s="1103">
        <v>0</v>
      </c>
      <c r="N28" s="1103">
        <v>0</v>
      </c>
      <c r="O28" s="1103">
        <v>0</v>
      </c>
      <c r="P28" s="1103">
        <v>0</v>
      </c>
      <c r="Q28" s="1103">
        <v>0</v>
      </c>
      <c r="R28" s="1103">
        <v>0</v>
      </c>
      <c r="S28" s="1103">
        <v>0</v>
      </c>
      <c r="T28" s="1103">
        <v>0</v>
      </c>
      <c r="U28" s="1103">
        <v>0</v>
      </c>
      <c r="V28" s="1103">
        <v>0</v>
      </c>
      <c r="W28" s="1103">
        <v>0</v>
      </c>
      <c r="X28" s="1103">
        <v>0</v>
      </c>
      <c r="Y28" s="1103">
        <v>0</v>
      </c>
      <c r="Z28" s="1103">
        <v>0</v>
      </c>
      <c r="AA28" s="1103">
        <v>0</v>
      </c>
      <c r="AB28" s="1103">
        <v>0</v>
      </c>
      <c r="AC28" s="1103">
        <v>0</v>
      </c>
      <c r="AD28" s="1103">
        <v>0</v>
      </c>
      <c r="AE28" s="1103">
        <v>0</v>
      </c>
      <c r="AF28" s="1106">
        <v>0</v>
      </c>
      <c r="AG28" s="446"/>
      <c r="AH28" s="4"/>
    </row>
    <row r="29" spans="1:34" ht="14.4">
      <c r="A29" s="1928"/>
      <c r="B29" s="219">
        <v>21</v>
      </c>
      <c r="C29" s="239" t="s">
        <v>831</v>
      </c>
      <c r="D29" s="263"/>
      <c r="E29" s="262">
        <v>679</v>
      </c>
      <c r="F29" s="660"/>
      <c r="G29" s="649">
        <f>G45-F45</f>
        <v>0</v>
      </c>
      <c r="H29" s="298">
        <f t="shared" ref="H29:AF29" si="35">H45-G45</f>
        <v>537.89134529794956</v>
      </c>
      <c r="I29" s="298">
        <f t="shared" si="35"/>
        <v>752.96362996814923</v>
      </c>
      <c r="J29" s="392">
        <f t="shared" si="35"/>
        <v>1172.7531564236292</v>
      </c>
      <c r="K29" s="301">
        <f t="shared" si="35"/>
        <v>1582.9092222282807</v>
      </c>
      <c r="L29" s="298">
        <f t="shared" si="35"/>
        <v>2126.1428018277857</v>
      </c>
      <c r="M29" s="298">
        <f t="shared" si="35"/>
        <v>-297.67062182540485</v>
      </c>
      <c r="N29" s="298">
        <f t="shared" si="35"/>
        <v>2162.0220558967767</v>
      </c>
      <c r="O29" s="298">
        <f t="shared" si="35"/>
        <v>2933.8722000501948</v>
      </c>
      <c r="P29" s="298">
        <f t="shared" si="35"/>
        <v>3575.4527825261557</v>
      </c>
      <c r="Q29" s="298">
        <f t="shared" si="35"/>
        <v>4118.9110266889293</v>
      </c>
      <c r="R29" s="298">
        <f t="shared" si="35"/>
        <v>5149.1976476610507</v>
      </c>
      <c r="S29" s="298">
        <f t="shared" si="35"/>
        <v>4237.9223833850738</v>
      </c>
      <c r="T29" s="298">
        <f t="shared" si="35"/>
        <v>5143.307685811149</v>
      </c>
      <c r="U29" s="298">
        <f t="shared" si="35"/>
        <v>6019.2656012044463</v>
      </c>
      <c r="V29" s="298">
        <f t="shared" si="35"/>
        <v>7047.9500166404832</v>
      </c>
      <c r="W29" s="298">
        <f t="shared" si="35"/>
        <v>8256.5805156953429</v>
      </c>
      <c r="X29" s="298">
        <f t="shared" si="35"/>
        <v>8940.1839631698167</v>
      </c>
      <c r="Y29" s="298">
        <f t="shared" si="35"/>
        <v>9319.7974848535669</v>
      </c>
      <c r="Z29" s="298">
        <f t="shared" si="35"/>
        <v>10422.84547796697</v>
      </c>
      <c r="AA29" s="298">
        <f t="shared" si="35"/>
        <v>11771.625633488831</v>
      </c>
      <c r="AB29" s="298">
        <f t="shared" si="35"/>
        <v>13301.258145721702</v>
      </c>
      <c r="AC29" s="298">
        <f t="shared" si="35"/>
        <v>14977.296604063115</v>
      </c>
      <c r="AD29" s="298">
        <f t="shared" si="35"/>
        <v>17132.242322668317</v>
      </c>
      <c r="AE29" s="298">
        <f t="shared" si="35"/>
        <v>19180.44869035983</v>
      </c>
      <c r="AF29" s="646">
        <f t="shared" si="35"/>
        <v>21705.232346769481</v>
      </c>
      <c r="AG29" s="446"/>
      <c r="AH29" s="4"/>
    </row>
    <row r="30" spans="1:34" s="4" customFormat="1" ht="14.4">
      <c r="A30" s="1928"/>
      <c r="B30" s="219">
        <v>22</v>
      </c>
      <c r="C30" s="239" t="s">
        <v>832</v>
      </c>
      <c r="D30" s="263">
        <v>-1762</v>
      </c>
      <c r="E30" s="262">
        <v>-3702</v>
      </c>
      <c r="F30" s="660">
        <v>-985</v>
      </c>
      <c r="G30" s="649">
        <f>IF(F44+G35&gt;(G6-G8)*0.3,-G35-F44+(G6-G8)*0.3,G6*-0.1)</f>
        <v>-670.31198678708461</v>
      </c>
      <c r="H30" s="298">
        <f t="shared" ref="H30:AF30" si="36">IF(G44+H35&gt;(H6-H8)*0.3,-H35-G44+(H6-H8)*0.3,H6*-0.1)</f>
        <v>-4200.1562772247726</v>
      </c>
      <c r="I30" s="298">
        <f t="shared" si="36"/>
        <v>-15050.830508454694</v>
      </c>
      <c r="J30" s="392">
        <f t="shared" si="36"/>
        <v>-24966.144530453304</v>
      </c>
      <c r="K30" s="301">
        <v>2</v>
      </c>
      <c r="L30" s="298">
        <f t="shared" si="36"/>
        <v>-59609.382536004254</v>
      </c>
      <c r="M30" s="298">
        <f t="shared" si="36"/>
        <v>-36284.715309936037</v>
      </c>
      <c r="N30" s="298">
        <f t="shared" si="36"/>
        <v>-29964.950062412427</v>
      </c>
      <c r="O30" s="298">
        <f t="shared" si="36"/>
        <v>-42588.246022598876</v>
      </c>
      <c r="P30" s="298">
        <f t="shared" si="36"/>
        <v>-60927.965429502874</v>
      </c>
      <c r="Q30" s="298">
        <f t="shared" si="36"/>
        <v>-81111.146073464435</v>
      </c>
      <c r="R30" s="298">
        <f t="shared" si="36"/>
        <v>-95623.50471865444</v>
      </c>
      <c r="S30" s="298">
        <f t="shared" si="36"/>
        <v>-107864.87943980595</v>
      </c>
      <c r="T30" s="298">
        <f t="shared" si="36"/>
        <v>-127145.57704038764</v>
      </c>
      <c r="U30" s="298">
        <f t="shared" si="36"/>
        <v>-149732.69684051737</v>
      </c>
      <c r="V30" s="298">
        <f t="shared" si="36"/>
        <v>-176394.31842363853</v>
      </c>
      <c r="W30" s="298">
        <f t="shared" si="36"/>
        <v>-209143.99144656432</v>
      </c>
      <c r="X30" s="298">
        <f t="shared" si="36"/>
        <v>-240409.71291448822</v>
      </c>
      <c r="Y30" s="298">
        <f t="shared" si="36"/>
        <v>-268934.4074786515</v>
      </c>
      <c r="Z30" s="298">
        <f t="shared" si="36"/>
        <v>-300136.41261795891</v>
      </c>
      <c r="AA30" s="298">
        <f t="shared" si="36"/>
        <v>-335198.54215923516</v>
      </c>
      <c r="AB30" s="298">
        <f t="shared" si="36"/>
        <v>-374964.99120341259</v>
      </c>
      <c r="AC30" s="298">
        <f t="shared" si="36"/>
        <v>-407825.95501135092</v>
      </c>
      <c r="AD30" s="298">
        <f t="shared" si="36"/>
        <v>-458508.00784309802</v>
      </c>
      <c r="AE30" s="298">
        <f t="shared" si="36"/>
        <v>-512028.8018976911</v>
      </c>
      <c r="AF30" s="646">
        <f t="shared" si="36"/>
        <v>-574786.44957389275</v>
      </c>
      <c r="AG30" s="446"/>
    </row>
    <row r="31" spans="1:34" s="2" customFormat="1" ht="14.4">
      <c r="A31" s="1928"/>
      <c r="B31" s="219">
        <v>23</v>
      </c>
      <c r="C31" s="239" t="s">
        <v>833</v>
      </c>
      <c r="D31" s="263">
        <v>0</v>
      </c>
      <c r="E31" s="262">
        <v>0</v>
      </c>
      <c r="F31" s="660">
        <v>0</v>
      </c>
      <c r="G31" s="649">
        <f>-$D$65*G17</f>
        <v>0</v>
      </c>
      <c r="H31" s="298">
        <f t="shared" ref="H31:J31" si="37">-$D$65*H17</f>
        <v>0</v>
      </c>
      <c r="I31" s="298">
        <f t="shared" si="37"/>
        <v>0</v>
      </c>
      <c r="J31" s="392">
        <f t="shared" si="37"/>
        <v>0</v>
      </c>
      <c r="K31" s="301">
        <f t="shared" ref="K31:AF31" si="38">-$F$65*K17</f>
        <v>0</v>
      </c>
      <c r="L31" s="298">
        <f t="shared" si="38"/>
        <v>0</v>
      </c>
      <c r="M31" s="298">
        <f t="shared" si="38"/>
        <v>0</v>
      </c>
      <c r="N31" s="298">
        <f t="shared" si="38"/>
        <v>0</v>
      </c>
      <c r="O31" s="298">
        <f t="shared" si="38"/>
        <v>0</v>
      </c>
      <c r="P31" s="298">
        <f t="shared" si="38"/>
        <v>0</v>
      </c>
      <c r="Q31" s="298">
        <f t="shared" si="38"/>
        <v>0</v>
      </c>
      <c r="R31" s="298">
        <f t="shared" si="38"/>
        <v>0</v>
      </c>
      <c r="S31" s="298">
        <f t="shared" si="38"/>
        <v>0</v>
      </c>
      <c r="T31" s="298">
        <f t="shared" si="38"/>
        <v>0</v>
      </c>
      <c r="U31" s="298">
        <f t="shared" si="38"/>
        <v>0</v>
      </c>
      <c r="V31" s="298">
        <f t="shared" si="38"/>
        <v>0</v>
      </c>
      <c r="W31" s="298">
        <f t="shared" si="38"/>
        <v>0</v>
      </c>
      <c r="X31" s="298">
        <f t="shared" si="38"/>
        <v>0</v>
      </c>
      <c r="Y31" s="298">
        <f t="shared" si="38"/>
        <v>0</v>
      </c>
      <c r="Z31" s="298">
        <f t="shared" si="38"/>
        <v>0</v>
      </c>
      <c r="AA31" s="298">
        <f t="shared" si="38"/>
        <v>0</v>
      </c>
      <c r="AB31" s="298">
        <f t="shared" si="38"/>
        <v>0</v>
      </c>
      <c r="AC31" s="298">
        <f t="shared" si="38"/>
        <v>0</v>
      </c>
      <c r="AD31" s="298">
        <f t="shared" si="38"/>
        <v>0</v>
      </c>
      <c r="AE31" s="298">
        <f t="shared" si="38"/>
        <v>0</v>
      </c>
      <c r="AF31" s="646">
        <f t="shared" si="38"/>
        <v>0</v>
      </c>
      <c r="AG31" s="446"/>
      <c r="AH31" s="460"/>
    </row>
    <row r="32" spans="1:34" s="4" customFormat="1" ht="16.5" customHeight="1">
      <c r="A32" s="1928"/>
      <c r="B32" s="219">
        <v>24</v>
      </c>
      <c r="C32" s="239" t="s">
        <v>834</v>
      </c>
      <c r="D32" s="338">
        <v>-133</v>
      </c>
      <c r="E32" s="337">
        <v>-241</v>
      </c>
      <c r="F32" s="663">
        <v>-161</v>
      </c>
      <c r="G32" s="649">
        <f>(1+G5)*AVERAGE(D32:F32)</f>
        <v>-223.19085023515581</v>
      </c>
      <c r="H32" s="298">
        <f t="shared" ref="H32:AF32" si="39">(1+H5)*AVERAGE(E32:G32)</f>
        <v>-272.70855001984455</v>
      </c>
      <c r="I32" s="298">
        <f t="shared" si="39"/>
        <v>-318.23674192284301</v>
      </c>
      <c r="J32" s="392">
        <f t="shared" si="39"/>
        <v>-399.02576249304036</v>
      </c>
      <c r="K32" s="427">
        <f t="shared" si="39"/>
        <v>-466.96683513755778</v>
      </c>
      <c r="L32" s="428">
        <f t="shared" si="39"/>
        <v>-521.32722264824042</v>
      </c>
      <c r="M32" s="428">
        <f t="shared" si="39"/>
        <v>-590.68403378538824</v>
      </c>
      <c r="N32" s="428">
        <f t="shared" si="39"/>
        <v>-676.90457715502964</v>
      </c>
      <c r="O32" s="428">
        <f t="shared" si="39"/>
        <v>-771.58468652610361</v>
      </c>
      <c r="P32" s="428">
        <f t="shared" si="39"/>
        <v>-861.39656862578113</v>
      </c>
      <c r="Q32" s="428">
        <f t="shared" si="39"/>
        <v>-977.91135979704643</v>
      </c>
      <c r="R32" s="428">
        <f t="shared" si="39"/>
        <v>-1032.4568766265465</v>
      </c>
      <c r="S32" s="428">
        <f t="shared" si="39"/>
        <v>-1136.2225893996058</v>
      </c>
      <c r="T32" s="428">
        <f t="shared" si="39"/>
        <v>-1245.592477631975</v>
      </c>
      <c r="U32" s="428">
        <f t="shared" si="39"/>
        <v>-1352.2122503229141</v>
      </c>
      <c r="V32" s="428">
        <f t="shared" si="39"/>
        <v>-1479.5361493978378</v>
      </c>
      <c r="W32" s="428">
        <f t="shared" si="39"/>
        <v>-1560.6253680962031</v>
      </c>
      <c r="X32" s="428">
        <f t="shared" si="39"/>
        <v>-1614.932490555268</v>
      </c>
      <c r="Y32" s="428">
        <f t="shared" si="39"/>
        <v>-1711.724636929793</v>
      </c>
      <c r="Z32" s="428">
        <f t="shared" si="39"/>
        <v>-1797.3193174824869</v>
      </c>
      <c r="AA32" s="428">
        <f t="shared" si="39"/>
        <v>-1884.6006370542636</v>
      </c>
      <c r="AB32" s="428">
        <f t="shared" si="39"/>
        <v>-1980.968258398764</v>
      </c>
      <c r="AC32" s="428">
        <f t="shared" si="39"/>
        <v>-2080.2120577196711</v>
      </c>
      <c r="AD32" s="428">
        <f t="shared" si="39"/>
        <v>-2184.515838124893</v>
      </c>
      <c r="AE32" s="428">
        <f t="shared" si="39"/>
        <v>-2295.1238886651922</v>
      </c>
      <c r="AF32" s="652">
        <f t="shared" si="39"/>
        <v>-2241.2826930408332</v>
      </c>
      <c r="AG32" s="446"/>
    </row>
    <row r="33" spans="1:33" ht="15" thickBot="1">
      <c r="A33" s="1928"/>
      <c r="B33" s="220">
        <v>25</v>
      </c>
      <c r="C33" s="245" t="s">
        <v>835</v>
      </c>
      <c r="D33" s="386">
        <f>D28+D29+D30+D31+D32</f>
        <v>-1895</v>
      </c>
      <c r="E33" s="387">
        <f>E28+E29+E30+E31+E32</f>
        <v>-3264</v>
      </c>
      <c r="F33" s="388">
        <f>F28+F29+F30+F31+F32</f>
        <v>-1146</v>
      </c>
      <c r="G33" s="653">
        <f>G28+G29+G30+G31+G32</f>
        <v>-893.50283702224044</v>
      </c>
      <c r="H33" s="654">
        <f t="shared" ref="H33:AF33" si="40">H28+H29+H30+H31+H32</f>
        <v>-3934.9734819466676</v>
      </c>
      <c r="I33" s="654">
        <f t="shared" si="40"/>
        <v>-14616.103620409387</v>
      </c>
      <c r="J33" s="655">
        <f t="shared" si="40"/>
        <v>-24192.417136522716</v>
      </c>
      <c r="K33" s="656">
        <f t="shared" si="40"/>
        <v>1117.9423870907228</v>
      </c>
      <c r="L33" s="654">
        <f t="shared" si="40"/>
        <v>-58004.56695682471</v>
      </c>
      <c r="M33" s="654">
        <f t="shared" si="40"/>
        <v>-37173.069965546827</v>
      </c>
      <c r="N33" s="654">
        <f t="shared" si="40"/>
        <v>-28479.832583670679</v>
      </c>
      <c r="O33" s="654">
        <f t="shared" si="40"/>
        <v>-40425.958509074786</v>
      </c>
      <c r="P33" s="654">
        <f t="shared" si="40"/>
        <v>-58213.9092156025</v>
      </c>
      <c r="Q33" s="654">
        <f t="shared" si="40"/>
        <v>-77970.146406572545</v>
      </c>
      <c r="R33" s="654">
        <f t="shared" si="40"/>
        <v>-91506.763947619926</v>
      </c>
      <c r="S33" s="654">
        <f t="shared" si="40"/>
        <v>-104763.17964582049</v>
      </c>
      <c r="T33" s="654">
        <f t="shared" si="40"/>
        <v>-123247.86183220847</v>
      </c>
      <c r="U33" s="654">
        <f t="shared" si="40"/>
        <v>-145065.64348963584</v>
      </c>
      <c r="V33" s="654">
        <f t="shared" si="40"/>
        <v>-170825.90455639589</v>
      </c>
      <c r="W33" s="654">
        <f t="shared" si="40"/>
        <v>-202448.03629896519</v>
      </c>
      <c r="X33" s="654">
        <f t="shared" si="40"/>
        <v>-233084.46144187369</v>
      </c>
      <c r="Y33" s="654">
        <f t="shared" si="40"/>
        <v>-261326.33463072771</v>
      </c>
      <c r="Z33" s="654">
        <f t="shared" si="40"/>
        <v>-291510.88645747438</v>
      </c>
      <c r="AA33" s="654">
        <f t="shared" si="40"/>
        <v>-325311.51716280059</v>
      </c>
      <c r="AB33" s="654">
        <f t="shared" si="40"/>
        <v>-363644.70131608966</v>
      </c>
      <c r="AC33" s="654">
        <f t="shared" si="40"/>
        <v>-394928.87046500744</v>
      </c>
      <c r="AD33" s="654">
        <f t="shared" si="40"/>
        <v>-443560.28135855461</v>
      </c>
      <c r="AE33" s="654">
        <f t="shared" si="40"/>
        <v>-495143.47709599644</v>
      </c>
      <c r="AF33" s="657">
        <f t="shared" si="40"/>
        <v>-555322.499920164</v>
      </c>
      <c r="AG33" s="4"/>
    </row>
    <row r="34" spans="1:33" ht="15" thickBot="1">
      <c r="A34" s="1929"/>
      <c r="B34" s="1930"/>
      <c r="C34" s="1930"/>
      <c r="D34" s="1930"/>
      <c r="E34" s="1930"/>
      <c r="F34" s="1930"/>
      <c r="G34" s="1931"/>
      <c r="H34" s="1931"/>
      <c r="I34" s="1931"/>
      <c r="J34" s="1931"/>
      <c r="K34" s="1931"/>
      <c r="L34" s="1931"/>
      <c r="M34" s="1931"/>
      <c r="N34" s="1931"/>
      <c r="O34" s="1931"/>
      <c r="P34" s="1931"/>
      <c r="Q34" s="1931"/>
      <c r="R34" s="1931"/>
      <c r="S34" s="1931"/>
      <c r="T34" s="1931"/>
      <c r="U34" s="1931"/>
      <c r="V34" s="1931"/>
      <c r="W34" s="1931"/>
      <c r="X34" s="1931"/>
      <c r="Y34" s="1931"/>
      <c r="Z34" s="1931"/>
      <c r="AA34" s="1931"/>
      <c r="AB34" s="1931"/>
      <c r="AC34" s="1931"/>
      <c r="AD34" s="1931"/>
      <c r="AE34" s="1931"/>
      <c r="AF34" s="1932"/>
      <c r="AG34" s="446"/>
    </row>
    <row r="35" spans="1:33" s="2" customFormat="1" ht="14.4">
      <c r="A35" s="1933" t="s">
        <v>836</v>
      </c>
      <c r="B35" s="219">
        <v>26</v>
      </c>
      <c r="C35" s="223" t="s">
        <v>837</v>
      </c>
      <c r="D35" s="382">
        <f t="shared" ref="D35:AF35" si="41">D22+D27+D28+D29+D32</f>
        <v>2695</v>
      </c>
      <c r="E35" s="383">
        <f t="shared" si="41"/>
        <v>5986</v>
      </c>
      <c r="F35" s="407">
        <f t="shared" si="41"/>
        <v>72</v>
      </c>
      <c r="G35" s="513">
        <f t="shared" si="41"/>
        <v>4219.5747717870836</v>
      </c>
      <c r="H35" s="384">
        <f t="shared" si="41"/>
        <v>6166.2916876747722</v>
      </c>
      <c r="I35" s="384">
        <f t="shared" si="41"/>
        <v>10540.043935631422</v>
      </c>
      <c r="J35" s="385">
        <f t="shared" si="41"/>
        <v>17197.192416503789</v>
      </c>
      <c r="K35" s="406">
        <f t="shared" si="41"/>
        <v>28071.51023031462</v>
      </c>
      <c r="L35" s="384">
        <f t="shared" si="41"/>
        <v>37370.46335461711</v>
      </c>
      <c r="M35" s="384">
        <f t="shared" si="41"/>
        <v>44566.056587978805</v>
      </c>
      <c r="N35" s="384">
        <f t="shared" si="41"/>
        <v>43416.374674134771</v>
      </c>
      <c r="O35" s="384">
        <f t="shared" si="41"/>
        <v>57768.593306067472</v>
      </c>
      <c r="P35" s="384">
        <f t="shared" si="41"/>
        <v>78730.259757477717</v>
      </c>
      <c r="Q35" s="384">
        <f t="shared" si="41"/>
        <v>103211.53632712756</v>
      </c>
      <c r="R35" s="384">
        <f t="shared" si="41"/>
        <v>113141.60699539648</v>
      </c>
      <c r="S35" s="384">
        <f t="shared" si="41"/>
        <v>131418.45121392442</v>
      </c>
      <c r="T35" s="384">
        <f t="shared" si="41"/>
        <v>155187.58670236726</v>
      </c>
      <c r="U35" s="384">
        <f t="shared" si="41"/>
        <v>183130.66147103067</v>
      </c>
      <c r="V35" s="384">
        <f t="shared" si="41"/>
        <v>216185.05004227182</v>
      </c>
      <c r="W35" s="384">
        <f t="shared" si="41"/>
        <v>247017.96852363375</v>
      </c>
      <c r="X35" s="384">
        <f t="shared" si="41"/>
        <v>271524.03801529488</v>
      </c>
      <c r="Y35" s="384">
        <f t="shared" si="41"/>
        <v>301925.82724520506</v>
      </c>
      <c r="Z35" s="384">
        <f t="shared" si="41"/>
        <v>336575.58764594066</v>
      </c>
      <c r="AA35" s="384">
        <f t="shared" si="41"/>
        <v>375452.53996750392</v>
      </c>
      <c r="AB35" s="384">
        <f t="shared" si="41"/>
        <v>418661.69180180982</v>
      </c>
      <c r="AC35" s="384">
        <f t="shared" si="41"/>
        <v>458923.29325222742</v>
      </c>
      <c r="AD35" s="384">
        <f t="shared" si="41"/>
        <v>512183.75912554713</v>
      </c>
      <c r="AE35" s="384">
        <f t="shared" si="41"/>
        <v>571319.83507801848</v>
      </c>
      <c r="AF35" s="385">
        <f t="shared" si="41"/>
        <v>636411.36614394537</v>
      </c>
      <c r="AG35" s="446"/>
    </row>
    <row r="36" spans="1:33" s="4" customFormat="1" ht="14.4">
      <c r="A36" s="1933"/>
      <c r="B36" s="219">
        <v>27</v>
      </c>
      <c r="C36" s="223" t="s">
        <v>838</v>
      </c>
      <c r="D36" s="319">
        <v>1762</v>
      </c>
      <c r="E36" s="316">
        <v>3702</v>
      </c>
      <c r="F36" s="321">
        <v>985</v>
      </c>
      <c r="G36" s="329">
        <f t="shared" ref="G36:AF36" si="42">-1*(G30+G31)</f>
        <v>670.31198678708461</v>
      </c>
      <c r="H36" s="280">
        <f t="shared" ref="H36:J36" si="43">IF(H35&lt;0.2*(H6-H8),H6*-0.1,H35-0.2*(H6-H8))</f>
        <v>-3714.4481900000001</v>
      </c>
      <c r="I36" s="280">
        <f t="shared" si="43"/>
        <v>1989.8998757304216</v>
      </c>
      <c r="J36" s="330">
        <f t="shared" si="43"/>
        <v>5119.0626774196189</v>
      </c>
      <c r="K36" s="280">
        <f>IF(K35&lt;0.2*(K6-K8),K6*-0.1,K35-0.2*(K6-K8))</f>
        <v>11896.702057973613</v>
      </c>
      <c r="L36" s="280">
        <f t="shared" si="42"/>
        <v>59609.382536004254</v>
      </c>
      <c r="M36" s="280">
        <f>-1*(M30+M31)</f>
        <v>36284.715309936037</v>
      </c>
      <c r="N36" s="280">
        <f t="shared" si="42"/>
        <v>29964.950062412427</v>
      </c>
      <c r="O36" s="280">
        <f t="shared" si="42"/>
        <v>42588.246022598876</v>
      </c>
      <c r="P36" s="280">
        <f t="shared" si="42"/>
        <v>60927.965429502874</v>
      </c>
      <c r="Q36" s="280">
        <f t="shared" si="42"/>
        <v>81111.146073464435</v>
      </c>
      <c r="R36" s="280">
        <f t="shared" si="42"/>
        <v>95623.50471865444</v>
      </c>
      <c r="S36" s="280">
        <f t="shared" si="42"/>
        <v>107864.87943980595</v>
      </c>
      <c r="T36" s="280">
        <f t="shared" si="42"/>
        <v>127145.57704038764</v>
      </c>
      <c r="U36" s="280">
        <f t="shared" si="42"/>
        <v>149732.69684051737</v>
      </c>
      <c r="V36" s="280">
        <f t="shared" si="42"/>
        <v>176394.31842363853</v>
      </c>
      <c r="W36" s="280">
        <f t="shared" si="42"/>
        <v>209143.99144656432</v>
      </c>
      <c r="X36" s="280">
        <f t="shared" si="42"/>
        <v>240409.71291448822</v>
      </c>
      <c r="Y36" s="280">
        <f t="shared" si="42"/>
        <v>268934.4074786515</v>
      </c>
      <c r="Z36" s="280">
        <f t="shared" si="42"/>
        <v>300136.41261795891</v>
      </c>
      <c r="AA36" s="280">
        <f t="shared" si="42"/>
        <v>335198.54215923516</v>
      </c>
      <c r="AB36" s="280">
        <f t="shared" si="42"/>
        <v>374964.99120341259</v>
      </c>
      <c r="AC36" s="280">
        <f t="shared" si="42"/>
        <v>407825.95501135092</v>
      </c>
      <c r="AD36" s="280">
        <f t="shared" si="42"/>
        <v>458508.00784309802</v>
      </c>
      <c r="AE36" s="280">
        <f t="shared" si="42"/>
        <v>512028.8018976911</v>
      </c>
      <c r="AF36" s="330">
        <f t="shared" si="42"/>
        <v>574786.44957389275</v>
      </c>
      <c r="AG36" s="446"/>
    </row>
    <row r="37" spans="1:33" ht="15" thickBot="1">
      <c r="A37" s="1933"/>
      <c r="B37" s="220">
        <v>28</v>
      </c>
      <c r="C37" s="218" t="s">
        <v>839</v>
      </c>
      <c r="D37" s="370">
        <f>D35-D36</f>
        <v>933</v>
      </c>
      <c r="E37" s="371">
        <f t="shared" ref="E37:F37" si="44">E35-E36</f>
        <v>2284</v>
      </c>
      <c r="F37" s="322">
        <f t="shared" si="44"/>
        <v>-913</v>
      </c>
      <c r="G37" s="331">
        <f>G35-G36</f>
        <v>3549.262784999999</v>
      </c>
      <c r="H37" s="332">
        <f t="shared" ref="H37:AF37" si="45">H35-H36</f>
        <v>9880.7398776747723</v>
      </c>
      <c r="I37" s="332">
        <f t="shared" si="45"/>
        <v>8550.1440599010002</v>
      </c>
      <c r="J37" s="333">
        <f t="shared" si="45"/>
        <v>12078.12973908417</v>
      </c>
      <c r="K37" s="332">
        <f t="shared" si="45"/>
        <v>16174.808172341007</v>
      </c>
      <c r="L37" s="332">
        <f t="shared" si="45"/>
        <v>-22238.919181387144</v>
      </c>
      <c r="M37" s="332">
        <f t="shared" si="45"/>
        <v>8281.341278042768</v>
      </c>
      <c r="N37" s="332">
        <f t="shared" si="45"/>
        <v>13451.424611722345</v>
      </c>
      <c r="O37" s="332">
        <f t="shared" si="45"/>
        <v>15180.347283468596</v>
      </c>
      <c r="P37" s="332">
        <f t="shared" si="45"/>
        <v>17802.294327974843</v>
      </c>
      <c r="Q37" s="332">
        <f t="shared" si="45"/>
        <v>22100.390253663121</v>
      </c>
      <c r="R37" s="332">
        <f t="shared" si="45"/>
        <v>17518.102276742036</v>
      </c>
      <c r="S37" s="332">
        <f t="shared" si="45"/>
        <v>23553.571774118464</v>
      </c>
      <c r="T37" s="332">
        <f t="shared" si="45"/>
        <v>28042.009661979624</v>
      </c>
      <c r="U37" s="332">
        <f t="shared" si="45"/>
        <v>33397.964630513306</v>
      </c>
      <c r="V37" s="332">
        <f t="shared" si="45"/>
        <v>39790.73161863329</v>
      </c>
      <c r="W37" s="332">
        <f t="shared" si="45"/>
        <v>37873.97707706943</v>
      </c>
      <c r="X37" s="332">
        <f t="shared" si="45"/>
        <v>31114.325100806658</v>
      </c>
      <c r="Y37" s="332">
        <f t="shared" si="45"/>
        <v>32991.419766553561</v>
      </c>
      <c r="Z37" s="332">
        <f t="shared" si="45"/>
        <v>36439.17502798175</v>
      </c>
      <c r="AA37" s="332">
        <f t="shared" si="45"/>
        <v>40253.997808268759</v>
      </c>
      <c r="AB37" s="332">
        <f t="shared" si="45"/>
        <v>43696.700598397234</v>
      </c>
      <c r="AC37" s="332">
        <f t="shared" si="45"/>
        <v>51097.338240876503</v>
      </c>
      <c r="AD37" s="332">
        <f t="shared" si="45"/>
        <v>53675.751282449113</v>
      </c>
      <c r="AE37" s="332">
        <f t="shared" si="45"/>
        <v>59291.033180327388</v>
      </c>
      <c r="AF37" s="333">
        <f t="shared" si="45"/>
        <v>61624.916570052621</v>
      </c>
      <c r="AG37" s="446"/>
    </row>
    <row r="38" spans="1:33" ht="15" thickBot="1">
      <c r="A38" s="228"/>
      <c r="B38" s="226"/>
      <c r="C38" s="227"/>
      <c r="D38" s="389"/>
      <c r="E38" s="389"/>
      <c r="F38" s="389"/>
      <c r="G38" s="389"/>
      <c r="H38" s="389"/>
      <c r="I38" s="389"/>
      <c r="J38" s="389"/>
      <c r="K38" s="389"/>
      <c r="L38" s="389"/>
      <c r="M38" s="389"/>
      <c r="N38" s="389"/>
      <c r="O38" s="389"/>
      <c r="P38" s="389"/>
      <c r="Q38" s="389"/>
      <c r="R38" s="389"/>
      <c r="S38" s="389"/>
      <c r="T38" s="389"/>
      <c r="U38" s="389"/>
      <c r="V38" s="389"/>
      <c r="W38" s="389"/>
      <c r="X38" s="389"/>
      <c r="Y38" s="389"/>
      <c r="Z38" s="389"/>
      <c r="AA38" s="389"/>
      <c r="AB38" s="389"/>
      <c r="AC38" s="389"/>
      <c r="AD38" s="389"/>
      <c r="AE38" s="389"/>
      <c r="AF38" s="390"/>
      <c r="AG38" s="447">
        <f>SUM(G38:AF38)</f>
        <v>0</v>
      </c>
    </row>
    <row r="39" spans="1:33" ht="14.4">
      <c r="A39" s="1934" t="s">
        <v>840</v>
      </c>
      <c r="B39" s="221">
        <v>29</v>
      </c>
      <c r="C39" s="223" t="s">
        <v>841</v>
      </c>
      <c r="D39" s="317">
        <v>328</v>
      </c>
      <c r="E39" s="318">
        <v>28028</v>
      </c>
      <c r="F39" s="320">
        <v>27722</v>
      </c>
      <c r="G39" s="324">
        <f>Assumptions!C329</f>
        <v>27722</v>
      </c>
      <c r="H39" s="325">
        <f>Assumptions!D329</f>
        <v>27722</v>
      </c>
      <c r="I39" s="325">
        <f>Assumptions!E329</f>
        <v>34652.5</v>
      </c>
      <c r="J39" s="326">
        <f>Assumptions!F329</f>
        <v>43315.625</v>
      </c>
      <c r="K39" s="408">
        <f>Assumptions!G329</f>
        <v>54144.53125</v>
      </c>
      <c r="L39" s="325">
        <f>Assumptions!H329</f>
        <v>67680.6640625</v>
      </c>
      <c r="M39" s="325">
        <f>Assumptions!I329</f>
        <v>84600.830078125</v>
      </c>
      <c r="N39" s="325">
        <f>Assumptions!J329</f>
        <v>105751.03759765625</v>
      </c>
      <c r="O39" s="325">
        <f>Assumptions!K329</f>
        <v>132188.79699707031</v>
      </c>
      <c r="P39" s="325">
        <f>Assumptions!L329</f>
        <v>165235.99624633789</v>
      </c>
      <c r="Q39" s="325">
        <f>Assumptions!M329</f>
        <v>206544.99530792236</v>
      </c>
      <c r="R39" s="325">
        <f>Assumptions!N329</f>
        <v>237526.74460411069</v>
      </c>
      <c r="S39" s="325">
        <f>Assumptions!O329</f>
        <v>273155.75629472727</v>
      </c>
      <c r="T39" s="325">
        <f>Assumptions!P329</f>
        <v>314129.11973893631</v>
      </c>
      <c r="U39" s="325">
        <f>Assumptions!Q329</f>
        <v>361248.48769977671</v>
      </c>
      <c r="V39" s="325">
        <f>Assumptions!R329</f>
        <v>415435.76085474319</v>
      </c>
      <c r="W39" s="325">
        <f>Assumptions!S329</f>
        <v>477751.12498295464</v>
      </c>
      <c r="X39" s="325">
        <f>Assumptions!T329</f>
        <v>549413.79373039783</v>
      </c>
      <c r="Y39" s="325">
        <f>Assumptions!U329</f>
        <v>631825.86278995743</v>
      </c>
      <c r="Z39" s="325">
        <f>Assumptions!V329</f>
        <v>726599.74220845103</v>
      </c>
      <c r="AA39" s="325">
        <f>Assumptions!W329</f>
        <v>835589.70353971864</v>
      </c>
      <c r="AB39" s="325">
        <f>Assumptions!X329</f>
        <v>960928.15907067631</v>
      </c>
      <c r="AC39" s="325">
        <f>Assumptions!Y329</f>
        <v>1105067.3829312776</v>
      </c>
      <c r="AD39" s="325">
        <f>Assumptions!Z329</f>
        <v>1270827.4903709691</v>
      </c>
      <c r="AE39" s="325">
        <f>Assumptions!AA329</f>
        <v>1461451.6139266144</v>
      </c>
      <c r="AF39" s="326">
        <f>Assumptions!AB329</f>
        <v>1680669.3560156063</v>
      </c>
      <c r="AG39" s="447">
        <f>SUM(G39:AF39)</f>
        <v>12251179.075298527</v>
      </c>
    </row>
    <row r="40" spans="1:33" ht="14.4">
      <c r="A40" s="1933"/>
      <c r="B40" s="221">
        <v>30</v>
      </c>
      <c r="C40" s="223" t="s">
        <v>842</v>
      </c>
      <c r="D40" s="319">
        <v>0</v>
      </c>
      <c r="E40" s="316">
        <v>-3548</v>
      </c>
      <c r="F40" s="321">
        <v>-6359</v>
      </c>
      <c r="G40" s="327">
        <f>F40-G10</f>
        <v>-2755.14</v>
      </c>
      <c r="H40" s="323">
        <f t="shared" ref="H40:AF40" si="46">G40-H10</f>
        <v>848.72000000000025</v>
      </c>
      <c r="I40" s="323">
        <f t="shared" si="46"/>
        <v>4452.58</v>
      </c>
      <c r="J40" s="328">
        <f t="shared" si="46"/>
        <v>8957.4049999999988</v>
      </c>
      <c r="K40" s="409">
        <f t="shared" si="46"/>
        <v>14155.279999999999</v>
      </c>
      <c r="L40" s="323">
        <f t="shared" si="46"/>
        <v>20652.623749999999</v>
      </c>
      <c r="M40" s="323">
        <f t="shared" si="46"/>
        <v>28774.303437499999</v>
      </c>
      <c r="N40" s="323">
        <f t="shared" si="46"/>
        <v>38926.403046874999</v>
      </c>
      <c r="O40" s="323">
        <f t="shared" si="46"/>
        <v>51616.527558593749</v>
      </c>
      <c r="P40" s="323">
        <f t="shared" si="46"/>
        <v>67479.183198242186</v>
      </c>
      <c r="Q40" s="323">
        <f t="shared" si="46"/>
        <v>87307.502747802733</v>
      </c>
      <c r="R40" s="323">
        <f t="shared" si="46"/>
        <v>112092.90218475342</v>
      </c>
      <c r="S40" s="323">
        <f t="shared" si="46"/>
        <v>140596.1115372467</v>
      </c>
      <c r="T40" s="323">
        <f t="shared" si="46"/>
        <v>173374.80229261398</v>
      </c>
      <c r="U40" s="323">
        <f t="shared" si="46"/>
        <v>211070.29666128632</v>
      </c>
      <c r="V40" s="323">
        <f t="shared" si="46"/>
        <v>254420.11518525952</v>
      </c>
      <c r="W40" s="323">
        <f t="shared" si="46"/>
        <v>304272.4064878287</v>
      </c>
      <c r="X40" s="323">
        <f t="shared" si="46"/>
        <v>361602.54148578324</v>
      </c>
      <c r="Y40" s="323">
        <f t="shared" si="46"/>
        <v>427532.19673343096</v>
      </c>
      <c r="Z40" s="323">
        <f t="shared" si="46"/>
        <v>503351.30026822584</v>
      </c>
      <c r="AA40" s="323">
        <f t="shared" si="46"/>
        <v>590543.26933323999</v>
      </c>
      <c r="AB40" s="323">
        <f t="shared" si="46"/>
        <v>690814.03375800629</v>
      </c>
      <c r="AC40" s="323">
        <f t="shared" si="46"/>
        <v>806125.41284648748</v>
      </c>
      <c r="AD40" s="323">
        <f t="shared" si="46"/>
        <v>938733.49879824079</v>
      </c>
      <c r="AE40" s="323">
        <f t="shared" si="46"/>
        <v>1091232.7976427572</v>
      </c>
      <c r="AF40" s="328">
        <f t="shared" si="46"/>
        <v>1266606.9913139509</v>
      </c>
      <c r="AG40" s="447">
        <f>SUM(G40:AF40)</f>
        <v>8192784.0652681254</v>
      </c>
    </row>
    <row r="41" spans="1:33" ht="14.4">
      <c r="A41" s="1933"/>
      <c r="B41" s="221">
        <v>31</v>
      </c>
      <c r="C41" s="223" t="s">
        <v>843</v>
      </c>
      <c r="D41" s="319">
        <v>2203</v>
      </c>
      <c r="E41" s="316">
        <v>3480</v>
      </c>
      <c r="F41" s="321">
        <v>4009</v>
      </c>
      <c r="G41" s="327">
        <f>F41+(-G23)</f>
        <v>4678.3278621135632</v>
      </c>
      <c r="H41" s="323">
        <f t="shared" ref="H41:AF41" si="47">G41+(-H23)</f>
        <v>5554.2112696980594</v>
      </c>
      <c r="I41" s="323">
        <f t="shared" si="47"/>
        <v>6827.1837301346113</v>
      </c>
      <c r="J41" s="328">
        <f t="shared" si="47"/>
        <v>8698.9178800258887</v>
      </c>
      <c r="K41" s="409">
        <f t="shared" si="47"/>
        <v>12068.672055224648</v>
      </c>
      <c r="L41" s="323">
        <f t="shared" si="47"/>
        <v>16519.020969463159</v>
      </c>
      <c r="M41" s="323">
        <f t="shared" si="47"/>
        <v>22203.543045749371</v>
      </c>
      <c r="N41" s="323">
        <f t="shared" si="47"/>
        <v>29514.370915212829</v>
      </c>
      <c r="O41" s="323">
        <f t="shared" si="47"/>
        <v>38974.161125560975</v>
      </c>
      <c r="P41" s="323">
        <f t="shared" si="47"/>
        <v>46966.253643874697</v>
      </c>
      <c r="Q41" s="323">
        <f t="shared" si="47"/>
        <v>57116.830723784922</v>
      </c>
      <c r="R41" s="323">
        <f t="shared" si="47"/>
        <v>69158.727484927018</v>
      </c>
      <c r="S41" s="323">
        <f t="shared" si="47"/>
        <v>83451.968103208463</v>
      </c>
      <c r="T41" s="323">
        <f t="shared" si="47"/>
        <v>100426.10358565475</v>
      </c>
      <c r="U41" s="323">
        <f t="shared" si="47"/>
        <v>120593.77123202221</v>
      </c>
      <c r="V41" s="323">
        <f t="shared" si="47"/>
        <v>144566.91668264163</v>
      </c>
      <c r="W41" s="323">
        <f t="shared" si="47"/>
        <v>172094.48923692934</v>
      </c>
      <c r="X41" s="323">
        <f t="shared" si="47"/>
        <v>202457.45945801638</v>
      </c>
      <c r="Y41" s="323">
        <f t="shared" si="47"/>
        <v>235951.76317428827</v>
      </c>
      <c r="Z41" s="323">
        <f t="shared" si="47"/>
        <v>272904.7892062249</v>
      </c>
      <c r="AA41" s="323">
        <f t="shared" si="47"/>
        <v>313678.80357699841</v>
      </c>
      <c r="AB41" s="323">
        <f t="shared" si="47"/>
        <v>358605.02750568814</v>
      </c>
      <c r="AC41" s="323">
        <f t="shared" si="47"/>
        <v>408114.78429947211</v>
      </c>
      <c r="AD41" s="323">
        <f t="shared" si="47"/>
        <v>462685.33543961489</v>
      </c>
      <c r="AE41" s="323">
        <f t="shared" si="47"/>
        <v>522844.92651463463</v>
      </c>
      <c r="AF41" s="328">
        <f t="shared" si="47"/>
        <v>588830.74161391985</v>
      </c>
      <c r="AG41" s="447">
        <f>SUM(G41:AF41)</f>
        <v>4305487.1003350839</v>
      </c>
    </row>
    <row r="42" spans="1:33" s="4" customFormat="1" ht="15" thickBot="1">
      <c r="A42" s="1933"/>
      <c r="B42" s="222">
        <v>32</v>
      </c>
      <c r="C42" s="218" t="s">
        <v>844</v>
      </c>
      <c r="D42" s="514" t="s">
        <v>845</v>
      </c>
      <c r="E42" s="515" t="s">
        <v>846</v>
      </c>
      <c r="F42" s="516">
        <v>-1787</v>
      </c>
      <c r="G42" s="517">
        <f>F42-G9</f>
        <v>-1145.56</v>
      </c>
      <c r="H42" s="518">
        <f t="shared" ref="H42:AF42" si="48">G42-H9</f>
        <v>-405.2342914500465</v>
      </c>
      <c r="I42" s="518">
        <f t="shared" si="48"/>
        <v>448.39729170047542</v>
      </c>
      <c r="J42" s="519">
        <f t="shared" si="48"/>
        <v>1432.1604641081021</v>
      </c>
      <c r="K42" s="520">
        <f t="shared" si="48"/>
        <v>2495.1575362493913</v>
      </c>
      <c r="L42" s="518">
        <f t="shared" si="48"/>
        <v>3777.6938733319948</v>
      </c>
      <c r="M42" s="518">
        <f t="shared" si="48"/>
        <v>5317.8159518351804</v>
      </c>
      <c r="N42" s="518">
        <f t="shared" si="48"/>
        <v>7152.6880905498801</v>
      </c>
      <c r="O42" s="518">
        <f t="shared" si="48"/>
        <v>9325.9976384012352</v>
      </c>
      <c r="P42" s="518">
        <f t="shared" si="48"/>
        <v>11889.18525997184</v>
      </c>
      <c r="Q42" s="518">
        <f t="shared" si="48"/>
        <v>14801.464683404198</v>
      </c>
      <c r="R42" s="518">
        <f t="shared" si="48"/>
        <v>18121.986592091249</v>
      </c>
      <c r="S42" s="518">
        <f t="shared" si="48"/>
        <v>21904.573868238876</v>
      </c>
      <c r="T42" s="518">
        <f t="shared" si="48"/>
        <v>26210.381477325605</v>
      </c>
      <c r="U42" s="518">
        <f t="shared" si="48"/>
        <v>31108.922145687691</v>
      </c>
      <c r="V42" s="518">
        <f t="shared" si="48"/>
        <v>36668.842382810763</v>
      </c>
      <c r="W42" s="518">
        <f t="shared" si="48"/>
        <v>42967.059329662734</v>
      </c>
      <c r="X42" s="518">
        <f t="shared" si="48"/>
        <v>50089.79871892208</v>
      </c>
      <c r="Y42" s="518">
        <f t="shared" si="48"/>
        <v>58131.668129262034</v>
      </c>
      <c r="Z42" s="518">
        <f t="shared" si="48"/>
        <v>67198.706206945048</v>
      </c>
      <c r="AA42" s="518">
        <f t="shared" si="48"/>
        <v>77409.833079804579</v>
      </c>
      <c r="AB42" s="518">
        <f t="shared" si="48"/>
        <v>88898.492849569593</v>
      </c>
      <c r="AC42" s="518">
        <f t="shared" si="48"/>
        <v>101814.51450117676</v>
      </c>
      <c r="AD42" s="518">
        <f t="shared" si="48"/>
        <v>116326.22127722271</v>
      </c>
      <c r="AE42" s="518">
        <f t="shared" si="48"/>
        <v>132619.49015526281</v>
      </c>
      <c r="AF42" s="519">
        <f t="shared" si="48"/>
        <v>150903.33195786655</v>
      </c>
      <c r="AG42" s="446"/>
    </row>
    <row r="43" spans="1:33" ht="15" customHeight="1" thickBot="1">
      <c r="A43" s="1935"/>
      <c r="B43" s="1936"/>
      <c r="C43" s="1936"/>
      <c r="D43" s="1936"/>
      <c r="E43" s="1936"/>
      <c r="F43" s="1936"/>
      <c r="G43" s="1936"/>
      <c r="H43" s="1936"/>
      <c r="I43" s="1936"/>
      <c r="J43" s="1936"/>
      <c r="K43" s="1936"/>
      <c r="L43" s="1936"/>
      <c r="M43" s="1936"/>
      <c r="N43" s="1936"/>
      <c r="O43" s="1936"/>
      <c r="P43" s="1936"/>
      <c r="Q43" s="1936"/>
      <c r="R43" s="1936"/>
      <c r="S43" s="1936"/>
      <c r="T43" s="1936"/>
      <c r="U43" s="1936"/>
      <c r="V43" s="1936"/>
      <c r="W43" s="1936"/>
      <c r="X43" s="1936"/>
      <c r="Y43" s="1936"/>
      <c r="Z43" s="1936"/>
      <c r="AA43" s="1936"/>
      <c r="AB43" s="1936"/>
      <c r="AC43" s="1936"/>
      <c r="AD43" s="1936"/>
      <c r="AE43" s="1936"/>
      <c r="AF43" s="1937"/>
      <c r="AG43" s="446"/>
    </row>
    <row r="44" spans="1:33" ht="14.7" customHeight="1">
      <c r="A44" s="1928" t="s">
        <v>847</v>
      </c>
      <c r="B44" s="219">
        <v>33</v>
      </c>
      <c r="C44" s="223" t="s">
        <v>848</v>
      </c>
      <c r="D44" s="507">
        <f>'Fin. Data'!D39</f>
        <v>2535</v>
      </c>
      <c r="E44" s="287">
        <f t="shared" ref="E44:F44" si="49">E37+D44</f>
        <v>4819</v>
      </c>
      <c r="F44" s="521">
        <f t="shared" si="49"/>
        <v>3906</v>
      </c>
      <c r="G44" s="522">
        <f>G37+F44</f>
        <v>7455.262784999999</v>
      </c>
      <c r="H44" s="523">
        <f t="shared" ref="H44:AF44" si="50">H37+G44</f>
        <v>17336.002662674771</v>
      </c>
      <c r="I44" s="523">
        <f t="shared" si="50"/>
        <v>25886.146722575773</v>
      </c>
      <c r="J44" s="524">
        <f t="shared" si="50"/>
        <v>37964.276461659945</v>
      </c>
      <c r="K44" s="627">
        <f t="shared" si="50"/>
        <v>54139.084634000952</v>
      </c>
      <c r="L44" s="628">
        <f t="shared" si="50"/>
        <v>31900.165452613808</v>
      </c>
      <c r="M44" s="628">
        <f t="shared" si="50"/>
        <v>40181.506730656576</v>
      </c>
      <c r="N44" s="628">
        <f t="shared" si="50"/>
        <v>53632.931342378921</v>
      </c>
      <c r="O44" s="628">
        <f t="shared" si="50"/>
        <v>68813.27862584751</v>
      </c>
      <c r="P44" s="628">
        <f t="shared" si="50"/>
        <v>86615.572953822353</v>
      </c>
      <c r="Q44" s="628">
        <f t="shared" si="50"/>
        <v>108715.96320748547</v>
      </c>
      <c r="R44" s="628">
        <f t="shared" si="50"/>
        <v>126234.06548422751</v>
      </c>
      <c r="S44" s="628">
        <f t="shared" si="50"/>
        <v>149787.63725834596</v>
      </c>
      <c r="T44" s="628">
        <f t="shared" si="50"/>
        <v>177829.64692032558</v>
      </c>
      <c r="U44" s="628">
        <f t="shared" si="50"/>
        <v>211227.61155083889</v>
      </c>
      <c r="V44" s="628">
        <f t="shared" si="50"/>
        <v>251018.34316947218</v>
      </c>
      <c r="W44" s="628">
        <f t="shared" si="50"/>
        <v>288892.32024654164</v>
      </c>
      <c r="X44" s="628">
        <f t="shared" si="50"/>
        <v>320006.6453473483</v>
      </c>
      <c r="Y44" s="628">
        <f t="shared" si="50"/>
        <v>352998.06511390186</v>
      </c>
      <c r="Z44" s="628">
        <f t="shared" si="50"/>
        <v>389437.24014188361</v>
      </c>
      <c r="AA44" s="628">
        <f t="shared" si="50"/>
        <v>429691.23795015237</v>
      </c>
      <c r="AB44" s="628">
        <f t="shared" si="50"/>
        <v>473387.9385485496</v>
      </c>
      <c r="AC44" s="628">
        <f t="shared" si="50"/>
        <v>524485.27678942611</v>
      </c>
      <c r="AD44" s="628">
        <f t="shared" si="50"/>
        <v>578161.02807187522</v>
      </c>
      <c r="AE44" s="628">
        <f t="shared" si="50"/>
        <v>637452.06125220261</v>
      </c>
      <c r="AF44" s="629">
        <f t="shared" si="50"/>
        <v>699076.97782225523</v>
      </c>
      <c r="AG44" s="459"/>
    </row>
    <row r="45" spans="1:33" ht="14.4">
      <c r="A45" s="1928"/>
      <c r="B45" s="219">
        <v>34</v>
      </c>
      <c r="C45" s="223" t="s">
        <v>304</v>
      </c>
      <c r="D45" s="507">
        <f>'Fin. Data'!D58</f>
        <v>349</v>
      </c>
      <c r="E45" s="286">
        <f>'Fin. Data'!C58</f>
        <v>2863</v>
      </c>
      <c r="F45" s="508">
        <f>'Fin. Data'!B58</f>
        <v>2252</v>
      </c>
      <c r="G45" s="626">
        <f>F45</f>
        <v>2252</v>
      </c>
      <c r="H45" s="1099">
        <f>(G39+G44+G41)*0.07</f>
        <v>2789.8913452979496</v>
      </c>
      <c r="I45" s="1099">
        <f t="shared" ref="I45:AF45" si="51">(H39+H44+H41)*0.07</f>
        <v>3542.8549752660988</v>
      </c>
      <c r="J45" s="1100">
        <f t="shared" si="51"/>
        <v>4715.608131689728</v>
      </c>
      <c r="K45" s="1101">
        <f t="shared" si="51"/>
        <v>6298.5173539180087</v>
      </c>
      <c r="L45" s="1099">
        <f t="shared" si="51"/>
        <v>8424.6601557457943</v>
      </c>
      <c r="M45" s="1099">
        <f t="shared" si="51"/>
        <v>8126.9895339203895</v>
      </c>
      <c r="N45" s="1099">
        <f t="shared" si="51"/>
        <v>10289.011589817166</v>
      </c>
      <c r="O45" s="1099">
        <f t="shared" si="51"/>
        <v>13222.883789867361</v>
      </c>
      <c r="P45" s="1099">
        <f t="shared" si="51"/>
        <v>16798.336572393517</v>
      </c>
      <c r="Q45" s="1099">
        <f t="shared" si="51"/>
        <v>20917.247599082446</v>
      </c>
      <c r="R45" s="1099">
        <f t="shared" si="51"/>
        <v>26066.445246743497</v>
      </c>
      <c r="S45" s="1099">
        <f t="shared" si="51"/>
        <v>30304.36763012857</v>
      </c>
      <c r="T45" s="1099">
        <f t="shared" si="51"/>
        <v>35447.675315939719</v>
      </c>
      <c r="U45" s="1099">
        <f t="shared" si="51"/>
        <v>41466.940917144166</v>
      </c>
      <c r="V45" s="1099">
        <f t="shared" si="51"/>
        <v>48514.890933784649</v>
      </c>
      <c r="W45" s="1099">
        <f t="shared" si="51"/>
        <v>56771.471449479992</v>
      </c>
      <c r="X45" s="1099">
        <f t="shared" si="51"/>
        <v>65711.655412649809</v>
      </c>
      <c r="Y45" s="1099">
        <f t="shared" si="51"/>
        <v>75031.452897503375</v>
      </c>
      <c r="Z45" s="1099">
        <f t="shared" si="51"/>
        <v>85454.298375470345</v>
      </c>
      <c r="AA45" s="1099">
        <f t="shared" si="51"/>
        <v>97225.924008959177</v>
      </c>
      <c r="AB45" s="1099">
        <f t="shared" si="51"/>
        <v>110527.18215468088</v>
      </c>
      <c r="AC45" s="1099">
        <f t="shared" si="51"/>
        <v>125504.47875874399</v>
      </c>
      <c r="AD45" s="1099">
        <f t="shared" si="51"/>
        <v>142636.72108141231</v>
      </c>
      <c r="AE45" s="1099">
        <f t="shared" si="51"/>
        <v>161817.16977177214</v>
      </c>
      <c r="AF45" s="1100">
        <f t="shared" si="51"/>
        <v>183522.40211854162</v>
      </c>
      <c r="AG45" s="459"/>
    </row>
    <row r="46" spans="1:33" ht="14.4">
      <c r="A46" s="1928"/>
      <c r="B46" s="219">
        <v>35</v>
      </c>
      <c r="C46" s="223" t="s">
        <v>849</v>
      </c>
      <c r="D46" s="509"/>
      <c r="E46" s="377"/>
      <c r="F46" s="510">
        <f>1/((1+$F$51)^G51)</f>
        <v>1</v>
      </c>
      <c r="G46" s="334">
        <f t="shared" ref="G46:AE46" si="52">1/((1+$F$51)^G50)</f>
        <v>0.87749259053182771</v>
      </c>
      <c r="H46" s="281">
        <f t="shared" si="52"/>
        <v>0.76999324643825784</v>
      </c>
      <c r="I46" s="281">
        <f t="shared" si="52"/>
        <v>0.6756633685091189</v>
      </c>
      <c r="J46" s="335">
        <f t="shared" si="52"/>
        <v>0.59288959956052767</v>
      </c>
      <c r="K46" s="334">
        <f t="shared" si="52"/>
        <v>0.52025623061774529</v>
      </c>
      <c r="L46" s="281">
        <f t="shared" si="52"/>
        <v>0.45652098754508941</v>
      </c>
      <c r="M46" s="281">
        <f t="shared" si="52"/>
        <v>0.4005937839930887</v>
      </c>
      <c r="N46" s="281">
        <f t="shared" si="52"/>
        <v>0.35151807726704282</v>
      </c>
      <c r="O46" s="281">
        <f t="shared" si="52"/>
        <v>0.30845450823982457</v>
      </c>
      <c r="P46" s="281">
        <f t="shared" si="52"/>
        <v>0.27066654549658464</v>
      </c>
      <c r="Q46" s="281">
        <f t="shared" si="52"/>
        <v>0.23750788817809884</v>
      </c>
      <c r="R46" s="281">
        <f t="shared" si="52"/>
        <v>0.20841141206914363</v>
      </c>
      <c r="S46" s="281">
        <f t="shared" si="52"/>
        <v>0.18287946987294906</v>
      </c>
      <c r="T46" s="281">
        <f t="shared" si="52"/>
        <v>0.16047537977390142</v>
      </c>
      <c r="U46" s="281">
        <f t="shared" si="52"/>
        <v>0.14081595671437963</v>
      </c>
      <c r="V46" s="281">
        <f t="shared" si="52"/>
        <v>0.12356495864551867</v>
      </c>
      <c r="W46" s="281">
        <f t="shared" si="52"/>
        <v>0.10842733566081433</v>
      </c>
      <c r="X46" s="281">
        <f t="shared" si="52"/>
        <v>9.5144183653472006E-2</v>
      </c>
      <c r="Y46" s="281">
        <f t="shared" si="52"/>
        <v>8.3488316188121109E-2</v>
      </c>
      <c r="Z46" s="281">
        <f t="shared" si="52"/>
        <v>7.3260378851054728E-2</v>
      </c>
      <c r="AA46" s="281">
        <f t="shared" si="52"/>
        <v>6.428543962135512E-2</v>
      </c>
      <c r="AB46" s="281">
        <f t="shared" si="52"/>
        <v>5.6409996946820307E-2</v>
      </c>
      <c r="AC46" s="281">
        <f t="shared" si="52"/>
        <v>4.9499354352757846E-2</v>
      </c>
      <c r="AD46" s="281">
        <f t="shared" si="52"/>
        <v>4.3435316680654382E-2</v>
      </c>
      <c r="AE46" s="281">
        <f t="shared" si="52"/>
        <v>3.8114168554677717E-2</v>
      </c>
      <c r="AF46" s="1107">
        <f>1/((1+$F$51)^25)</f>
        <v>3.8114168554677717E-2</v>
      </c>
      <c r="AG46" s="459"/>
    </row>
    <row r="47" spans="1:33" ht="14.4">
      <c r="A47" s="1928"/>
      <c r="B47" s="219">
        <v>36</v>
      </c>
      <c r="C47" s="223" t="s">
        <v>850</v>
      </c>
      <c r="D47" s="511"/>
      <c r="E47" s="512" t="s">
        <v>851</v>
      </c>
      <c r="F47" s="335">
        <f>1/((1+$F$51+0.001)^G51)</f>
        <v>1</v>
      </c>
      <c r="G47" s="334">
        <f>1/((1+$F$51+0.001)^G50)</f>
        <v>0.87672327235638825</v>
      </c>
      <c r="H47" s="281">
        <f t="shared" ref="H47:AE47" si="53">1/((1+$F$51+0.001)^H50)</f>
        <v>0.7686436962912937</v>
      </c>
      <c r="I47" s="281">
        <f t="shared" si="53"/>
        <v>0.67388781668861286</v>
      </c>
      <c r="J47" s="335">
        <f t="shared" si="53"/>
        <v>0.5908131318483425</v>
      </c>
      <c r="K47" s="334">
        <f t="shared" si="53"/>
        <v>0.51797962230520511</v>
      </c>
      <c r="L47" s="281">
        <f t="shared" si="53"/>
        <v>0.45412478948134544</v>
      </c>
      <c r="M47" s="281">
        <f t="shared" si="53"/>
        <v>0.39814177149224106</v>
      </c>
      <c r="N47" s="281">
        <f t="shared" si="53"/>
        <v>0.34906015676444696</v>
      </c>
      <c r="O47" s="281">
        <f t="shared" si="53"/>
        <v>0.30602916288775983</v>
      </c>
      <c r="P47" s="281">
        <f t="shared" si="53"/>
        <v>0.26830288912344291</v>
      </c>
      <c r="Q47" s="281">
        <f t="shared" si="53"/>
        <v>0.23522738693497808</v>
      </c>
      <c r="R47" s="281">
        <f t="shared" si="53"/>
        <v>0.20622932442147629</v>
      </c>
      <c r="S47" s="281">
        <f t="shared" si="53"/>
        <v>0.18080604816264392</v>
      </c>
      <c r="T47" s="281">
        <f t="shared" si="53"/>
        <v>0.15851687020697991</v>
      </c>
      <c r="U47" s="281">
        <f t="shared" si="53"/>
        <v>0.13897542917155628</v>
      </c>
      <c r="V47" s="281">
        <f t="shared" si="53"/>
        <v>0.12184299304042029</v>
      </c>
      <c r="W47" s="281">
        <f>1/((1+$F$51+0.001)^W50)</f>
        <v>0.10682258757209391</v>
      </c>
      <c r="X47" s="281">
        <f t="shared" si="53"/>
        <v>9.3653848537783024E-2</v>
      </c>
      <c r="Y47" s="281">
        <f t="shared" si="53"/>
        <v>8.2108508558814672E-2</v>
      </c>
      <c r="Z47" s="281">
        <f t="shared" si="53"/>
        <v>7.1986440311986505E-2</v>
      </c>
      <c r="AA47" s="281">
        <f t="shared" si="53"/>
        <v>6.3112187515612636E-2</v>
      </c>
      <c r="AB47" s="281">
        <f t="shared" si="53"/>
        <v>5.5331923564257902E-2</v>
      </c>
      <c r="AC47" s="281">
        <f t="shared" si="53"/>
        <v>4.851078509302973E-2</v>
      </c>
      <c r="AD47" s="281">
        <f t="shared" si="53"/>
        <v>4.2530534251338521E-2</v>
      </c>
      <c r="AE47" s="281">
        <f t="shared" si="53"/>
        <v>3.728750916389896E-2</v>
      </c>
      <c r="AF47" s="1107">
        <f t="shared" ref="AF47:AF48" si="54">1/((1+$F$51)^25)</f>
        <v>3.8114168554677717E-2</v>
      </c>
      <c r="AG47" s="459"/>
    </row>
    <row r="48" spans="1:33" ht="15" thickBot="1">
      <c r="A48" s="1928"/>
      <c r="B48" s="220">
        <v>37</v>
      </c>
      <c r="C48" s="218" t="s">
        <v>852</v>
      </c>
      <c r="D48" s="511"/>
      <c r="E48" s="512" t="s">
        <v>853</v>
      </c>
      <c r="F48" s="525">
        <f>1/((1+$F$51+0.005)^G51)</f>
        <v>1</v>
      </c>
      <c r="G48" s="526">
        <f t="shared" ref="G48:AE48" si="55">1/((1+$F$51+0.005)^G50)</f>
        <v>0.87365944209638902</v>
      </c>
      <c r="H48" s="527">
        <f t="shared" si="55"/>
        <v>0.7632808207641737</v>
      </c>
      <c r="I48" s="527">
        <f t="shared" si="55"/>
        <v>0.6668474960317019</v>
      </c>
      <c r="J48" s="525">
        <f t="shared" si="55"/>
        <v>0.58259761134643062</v>
      </c>
      <c r="K48" s="630">
        <f t="shared" si="55"/>
        <v>0.50899190409561146</v>
      </c>
      <c r="L48" s="631">
        <f t="shared" si="55"/>
        <v>0.4446855829637506</v>
      </c>
      <c r="M48" s="631">
        <f t="shared" si="55"/>
        <v>0.38850375832041795</v>
      </c>
      <c r="N48" s="631">
        <f t="shared" si="55"/>
        <v>0.33941997674656665</v>
      </c>
      <c r="O48" s="631">
        <f t="shared" si="55"/>
        <v>0.29653746752077476</v>
      </c>
      <c r="P48" s="631">
        <f t="shared" si="55"/>
        <v>0.25907275843487615</v>
      </c>
      <c r="Q48" s="631">
        <f t="shared" si="55"/>
        <v>0.22634136159658644</v>
      </c>
      <c r="R48" s="631">
        <f t="shared" si="55"/>
        <v>0.19774526769581077</v>
      </c>
      <c r="S48" s="631">
        <f t="shared" si="55"/>
        <v>0.17276202025232312</v>
      </c>
      <c r="T48" s="631">
        <f t="shared" si="55"/>
        <v>0.15093517022908964</v>
      </c>
      <c r="U48" s="631">
        <f t="shared" si="55"/>
        <v>0.13186593661506998</v>
      </c>
      <c r="V48" s="631">
        <f t="shared" si="55"/>
        <v>0.11520592061463984</v>
      </c>
      <c r="W48" s="631">
        <f t="shared" si="55"/>
        <v>0.10065074033038714</v>
      </c>
      <c r="X48" s="631">
        <f t="shared" si="55"/>
        <v>8.793446964363455E-2</v>
      </c>
      <c r="Y48" s="631">
        <f t="shared" si="55"/>
        <v>7.6824779689899605E-2</v>
      </c>
      <c r="Z48" s="631">
        <f t="shared" si="55"/>
        <v>6.7118694163055687E-2</v>
      </c>
      <c r="AA48" s="631">
        <f t="shared" si="55"/>
        <v>5.86388808967334E-2</v>
      </c>
      <c r="AB48" s="631">
        <f t="shared" si="55"/>
        <v>5.1230411969396691E-2</v>
      </c>
      <c r="AC48" s="631">
        <f t="shared" si="55"/>
        <v>4.4757933139551287E-2</v>
      </c>
      <c r="AD48" s="631">
        <f t="shared" si="55"/>
        <v>3.910319089608786E-2</v>
      </c>
      <c r="AE48" s="631">
        <f t="shared" si="55"/>
        <v>3.4162871942464715E-2</v>
      </c>
      <c r="AF48" s="1107">
        <f t="shared" si="54"/>
        <v>3.8114168554677717E-2</v>
      </c>
      <c r="AG48" s="459"/>
    </row>
    <row r="49" spans="1:32" ht="15" thickBot="1">
      <c r="A49" s="1938" t="s">
        <v>447</v>
      </c>
      <c r="B49" s="1939"/>
      <c r="C49" s="1939"/>
      <c r="D49" s="1939"/>
      <c r="E49" s="1939"/>
      <c r="F49" s="1939"/>
      <c r="G49" s="1939"/>
      <c r="H49" s="1939"/>
      <c r="I49" s="1939"/>
      <c r="J49" s="1939"/>
      <c r="K49" s="1939"/>
      <c r="L49" s="1939"/>
      <c r="M49" s="1939"/>
      <c r="N49" s="1939"/>
      <c r="O49" s="1939"/>
      <c r="P49" s="1939"/>
      <c r="Q49" s="1939"/>
      <c r="R49" s="1939"/>
      <c r="S49" s="1939"/>
      <c r="T49" s="1939"/>
      <c r="U49" s="1939"/>
      <c r="V49" s="1939"/>
      <c r="W49" s="1939"/>
      <c r="X49" s="1939"/>
      <c r="Y49" s="1939"/>
      <c r="Z49" s="1939"/>
      <c r="AA49" s="1939"/>
      <c r="AB49" s="1939"/>
      <c r="AC49" s="1939"/>
      <c r="AD49" s="1939"/>
      <c r="AE49" s="1939"/>
      <c r="AF49" s="1940"/>
    </row>
    <row r="50" spans="1:32" ht="13.2" customHeight="1" thickBot="1">
      <c r="A50" s="1917" t="s">
        <v>854</v>
      </c>
      <c r="C50" s="234" t="s">
        <v>855</v>
      </c>
      <c r="D50" s="224" t="s">
        <v>856</v>
      </c>
      <c r="E50" s="225" t="s">
        <v>857</v>
      </c>
      <c r="F50" s="235" t="s">
        <v>858</v>
      </c>
      <c r="G50" s="282">
        <v>1</v>
      </c>
      <c r="H50" s="283">
        <v>2</v>
      </c>
      <c r="I50" s="283">
        <v>3</v>
      </c>
      <c r="J50" s="282">
        <v>4</v>
      </c>
      <c r="K50" s="283">
        <v>5</v>
      </c>
      <c r="L50" s="283">
        <v>6</v>
      </c>
      <c r="M50" s="282">
        <v>7</v>
      </c>
      <c r="N50" s="283">
        <v>8</v>
      </c>
      <c r="O50" s="283">
        <v>9</v>
      </c>
      <c r="P50" s="282">
        <v>10</v>
      </c>
      <c r="Q50" s="283">
        <v>11</v>
      </c>
      <c r="R50" s="283">
        <v>12</v>
      </c>
      <c r="S50" s="282">
        <v>13</v>
      </c>
      <c r="T50" s="283">
        <v>14</v>
      </c>
      <c r="U50" s="283">
        <v>15</v>
      </c>
      <c r="V50" s="282">
        <v>16</v>
      </c>
      <c r="W50" s="283">
        <v>17</v>
      </c>
      <c r="X50" s="283">
        <v>18</v>
      </c>
      <c r="Y50" s="282">
        <v>19</v>
      </c>
      <c r="Z50" s="283">
        <v>20</v>
      </c>
      <c r="AA50" s="283">
        <v>21</v>
      </c>
      <c r="AB50" s="282">
        <v>22</v>
      </c>
      <c r="AC50" s="283">
        <v>23</v>
      </c>
      <c r="AD50" s="283">
        <v>24</v>
      </c>
      <c r="AE50" s="282">
        <v>25</v>
      </c>
    </row>
    <row r="51" spans="1:32" ht="13.95" customHeight="1" thickBot="1">
      <c r="A51" s="1918"/>
      <c r="C51" s="230"/>
      <c r="D51" s="231"/>
      <c r="E51" s="232"/>
      <c r="F51" s="233">
        <f>Assumptions!C587</f>
        <v>0.13961076229022445</v>
      </c>
      <c r="G51" s="282">
        <v>0</v>
      </c>
      <c r="H51"/>
      <c r="I51" s="1919" t="s">
        <v>859</v>
      </c>
      <c r="J51" s="1892"/>
      <c r="K51" s="1109">
        <f t="shared" ref="K51:AF51" si="56">K45/K12</f>
        <v>0.16701639532034779</v>
      </c>
      <c r="L51" s="1109">
        <f t="shared" si="56"/>
        <v>0.16920060018888905</v>
      </c>
      <c r="M51" s="1109">
        <f t="shared" si="56"/>
        <v>0.12463271308775145</v>
      </c>
      <c r="N51" s="1109">
        <f t="shared" si="56"/>
        <v>0.13378894543351458</v>
      </c>
      <c r="O51" s="1109">
        <f t="shared" si="56"/>
        <v>0.13116355506840718</v>
      </c>
      <c r="P51" s="1109">
        <f t="shared" si="56"/>
        <v>0.1299055811983241</v>
      </c>
      <c r="Q51" s="1109">
        <f t="shared" si="56"/>
        <v>0.12459426472122594</v>
      </c>
      <c r="R51" s="1109">
        <f t="shared" si="56"/>
        <v>0.12446938159499918</v>
      </c>
      <c r="S51" s="1109">
        <f t="shared" si="56"/>
        <v>0.12236490910737415</v>
      </c>
      <c r="T51" s="1109">
        <f t="shared" si="56"/>
        <v>0.12097118206795572</v>
      </c>
      <c r="U51" s="1109">
        <f t="shared" si="56"/>
        <v>0.119540757394572</v>
      </c>
      <c r="V51" s="1109">
        <f t="shared" si="56"/>
        <v>0.1180872975312877</v>
      </c>
      <c r="W51" s="1109">
        <f t="shared" si="56"/>
        <v>0.12090490671404132</v>
      </c>
      <c r="X51" s="1109">
        <f t="shared" si="56"/>
        <v>0.12736975126650388</v>
      </c>
      <c r="Y51" s="1109">
        <f t="shared" si="56"/>
        <v>0.1311677933800266</v>
      </c>
      <c r="Z51" s="1109">
        <f t="shared" si="56"/>
        <v>0.13469814883909187</v>
      </c>
      <c r="AA51" s="1109">
        <f t="shared" si="56"/>
        <v>0.13814431246560735</v>
      </c>
      <c r="AB51" s="1109">
        <f t="shared" si="56"/>
        <v>0.14168138493462054</v>
      </c>
      <c r="AC51" s="1109">
        <f t="shared" si="56"/>
        <v>0.14671490866946449</v>
      </c>
      <c r="AD51" s="1109">
        <f t="shared" si="56"/>
        <v>0.15039025254756774</v>
      </c>
      <c r="AE51" s="1109">
        <f t="shared" si="56"/>
        <v>0.15382855782832508</v>
      </c>
      <c r="AF51" s="1110">
        <f t="shared" si="56"/>
        <v>0.1578426366686046</v>
      </c>
    </row>
    <row r="52" spans="1:32" ht="15" customHeight="1" thickBot="1">
      <c r="A52" s="217"/>
      <c r="C52" s="217"/>
      <c r="D52" s="217"/>
      <c r="G52"/>
      <c r="H52"/>
      <c r="I52"/>
      <c r="J52"/>
      <c r="K52"/>
      <c r="L52"/>
      <c r="M52"/>
      <c r="N52"/>
      <c r="O52"/>
      <c r="P52"/>
      <c r="S52" s="217"/>
      <c r="T52" s="217"/>
      <c r="U52" s="217"/>
      <c r="V52" s="217"/>
      <c r="W52" s="217"/>
      <c r="X52" s="217"/>
      <c r="Y52" s="217"/>
      <c r="Z52" s="217"/>
      <c r="AA52" s="217"/>
      <c r="AB52" s="217"/>
      <c r="AC52" s="217"/>
      <c r="AD52" s="217"/>
      <c r="AE52" s="217"/>
      <c r="AF52" s="217"/>
    </row>
    <row r="53" spans="1:32" ht="15" customHeight="1" thickBot="1">
      <c r="A53" s="1946" t="s">
        <v>860</v>
      </c>
      <c r="C53" s="397" t="s">
        <v>447</v>
      </c>
      <c r="D53" s="1391" t="s">
        <v>798</v>
      </c>
      <c r="E53" s="1392" t="s">
        <v>861</v>
      </c>
      <c r="F53" s="1393" t="s">
        <v>799</v>
      </c>
      <c r="G53" s="1392" t="s">
        <v>862</v>
      </c>
      <c r="H53"/>
      <c r="I53" s="1919" t="s">
        <v>863</v>
      </c>
      <c r="J53" s="1892"/>
      <c r="K53" s="1003">
        <f t="shared" ref="K53" si="57">K44/(K6-K8)</f>
        <v>0.66942475060172935</v>
      </c>
      <c r="L53" s="1421">
        <v>0.3</v>
      </c>
      <c r="M53" s="1421">
        <v>0.3</v>
      </c>
      <c r="N53" s="1421">
        <v>0.25</v>
      </c>
      <c r="O53" s="1421">
        <v>0.25</v>
      </c>
      <c r="P53" s="1421">
        <v>0.25</v>
      </c>
      <c r="Q53" s="1421">
        <v>0.25</v>
      </c>
      <c r="R53" s="1421">
        <f>Assumptions!$G$600</f>
        <v>0.20494458941735325</v>
      </c>
      <c r="S53" s="1421">
        <f>Assumptions!$G$600</f>
        <v>0.20494458941735325</v>
      </c>
      <c r="T53" s="1421">
        <f>Assumptions!$G$600</f>
        <v>0.20494458941735325</v>
      </c>
      <c r="U53" s="1421">
        <f>Assumptions!$G$600</f>
        <v>0.20494458941735325</v>
      </c>
      <c r="V53" s="1421">
        <f>Assumptions!$G$600</f>
        <v>0.20494458941735325</v>
      </c>
      <c r="W53" s="1421">
        <f>Assumptions!$G$600</f>
        <v>0.20494458941735325</v>
      </c>
      <c r="X53" s="1421">
        <f>Assumptions!$G$600</f>
        <v>0.20494458941735325</v>
      </c>
      <c r="Y53" s="1421">
        <f>Assumptions!$G$600</f>
        <v>0.20494458941735325</v>
      </c>
      <c r="Z53" s="1421">
        <f>Assumptions!$G$600</f>
        <v>0.20494458941735325</v>
      </c>
      <c r="AA53" s="1421">
        <f>Assumptions!$G$600</f>
        <v>0.20494458941735325</v>
      </c>
      <c r="AB53" s="1421">
        <f>Assumptions!$G$600</f>
        <v>0.20494458941735325</v>
      </c>
      <c r="AC53" s="1421">
        <f>Assumptions!$G$600</f>
        <v>0.20494458941735325</v>
      </c>
      <c r="AD53" s="1421">
        <f>Assumptions!$G$600</f>
        <v>0.20494458941735325</v>
      </c>
      <c r="AE53" s="1421">
        <f>Assumptions!$G$600</f>
        <v>0.20494458941735325</v>
      </c>
      <c r="AF53" s="1422">
        <f>Assumptions!$G$600</f>
        <v>0.20494458941735325</v>
      </c>
    </row>
    <row r="54" spans="1:32" ht="15" customHeight="1" thickBot="1">
      <c r="A54" s="1946"/>
      <c r="C54" s="1386" t="s">
        <v>618</v>
      </c>
      <c r="D54" s="1115">
        <f>Assumptions!K302</f>
        <v>-0.16</v>
      </c>
      <c r="E54" s="1115">
        <f>Assumptions!L302</f>
        <v>-0.15</v>
      </c>
      <c r="F54" s="1115">
        <f>Assumptions!M302</f>
        <v>-0.15</v>
      </c>
      <c r="G54" s="398" t="s">
        <v>864</v>
      </c>
      <c r="H54"/>
      <c r="I54"/>
      <c r="J54"/>
      <c r="K54"/>
      <c r="L54"/>
      <c r="S54" s="217"/>
      <c r="T54" s="217"/>
      <c r="U54" s="217"/>
      <c r="V54" s="217"/>
      <c r="W54" s="217"/>
      <c r="X54" s="217"/>
      <c r="Y54" s="217"/>
      <c r="Z54" s="217"/>
      <c r="AA54" s="217"/>
      <c r="AB54" s="217"/>
      <c r="AC54" s="217"/>
      <c r="AD54" s="217"/>
      <c r="AE54" s="217"/>
      <c r="AF54" s="217"/>
    </row>
    <row r="55" spans="1:32" ht="15" customHeight="1" thickBot="1">
      <c r="A55" s="1946"/>
      <c r="C55" s="1387" t="s">
        <v>865</v>
      </c>
      <c r="D55" s="1115">
        <f>Assumptions!L316</f>
        <v>-0.13</v>
      </c>
      <c r="E55" s="1115">
        <f>Assumptions!$M$316</f>
        <v>-0.12</v>
      </c>
      <c r="F55" s="1403">
        <f>Assumptions!$M$316</f>
        <v>-0.12</v>
      </c>
      <c r="G55" s="632" t="s">
        <v>866</v>
      </c>
      <c r="H55"/>
      <c r="I55" s="1947" t="s">
        <v>867</v>
      </c>
      <c r="J55" s="1948"/>
      <c r="K55" s="1111">
        <f t="shared" ref="K55:AF55" si="58">K44/K6</f>
        <v>0.48198546676605247</v>
      </c>
      <c r="L55" s="1111">
        <f t="shared" si="58"/>
        <v>0.21504043436157524</v>
      </c>
      <c r="M55" s="1111">
        <f t="shared" si="58"/>
        <v>0.21205744049238229</v>
      </c>
      <c r="N55" s="1111">
        <f t="shared" si="58"/>
        <v>0.22008286462220475</v>
      </c>
      <c r="O55" s="1111">
        <f t="shared" si="58"/>
        <v>0.21822876753832884</v>
      </c>
      <c r="P55" s="1111">
        <f t="shared" si="58"/>
        <v>0.21675317885858927</v>
      </c>
      <c r="Q55" s="1111">
        <f t="shared" si="58"/>
        <v>0.21420646797048312</v>
      </c>
      <c r="R55" s="1111">
        <f t="shared" si="58"/>
        <v>0.20965810949579169</v>
      </c>
      <c r="S55" s="1111">
        <f t="shared" si="58"/>
        <v>0.20959226988281923</v>
      </c>
      <c r="T55" s="1111">
        <f t="shared" si="58"/>
        <v>0.20953013731300446</v>
      </c>
      <c r="U55" s="1111">
        <f t="shared" si="58"/>
        <v>0.2094715316164828</v>
      </c>
      <c r="V55" s="1111">
        <f t="shared" si="58"/>
        <v>0.20941627679732466</v>
      </c>
      <c r="W55" s="1111">
        <f t="shared" si="58"/>
        <v>0.20989305880626488</v>
      </c>
      <c r="X55" s="1111">
        <f t="shared" si="58"/>
        <v>0.21078744471784525</v>
      </c>
      <c r="Y55" s="1111">
        <f t="shared" si="58"/>
        <v>0.21078095434025199</v>
      </c>
      <c r="Z55" s="1111">
        <f t="shared" si="58"/>
        <v>0.21077420820980267</v>
      </c>
      <c r="AA55" s="1111">
        <f t="shared" si="58"/>
        <v>0.21076719797212395</v>
      </c>
      <c r="AB55" s="1111">
        <f t="shared" si="58"/>
        <v>0.2107401411255691</v>
      </c>
      <c r="AC55" s="1111">
        <f t="shared" si="58"/>
        <v>0.21187148180670368</v>
      </c>
      <c r="AD55" s="1111">
        <f t="shared" si="58"/>
        <v>0.21189488322633873</v>
      </c>
      <c r="AE55" s="1111">
        <f t="shared" si="58"/>
        <v>0.21192034382590549</v>
      </c>
      <c r="AF55" s="1112">
        <f t="shared" si="58"/>
        <v>0.21188704777546288</v>
      </c>
    </row>
    <row r="56" spans="1:32" ht="15" customHeight="1">
      <c r="A56" s="1946"/>
      <c r="C56" s="1388" t="s">
        <v>599</v>
      </c>
      <c r="D56" s="1115">
        <f>Assumptions!C525</f>
        <v>-0.05</v>
      </c>
      <c r="E56" s="1115">
        <f>Assumptions!D525</f>
        <v>-0.06</v>
      </c>
      <c r="F56" s="1115">
        <f>Assumptions!E525</f>
        <v>-0.04</v>
      </c>
      <c r="G56" s="398" t="s">
        <v>868</v>
      </c>
    </row>
    <row r="57" spans="1:32" ht="15" customHeight="1">
      <c r="A57" s="1946"/>
      <c r="C57" s="1387" t="s">
        <v>789</v>
      </c>
      <c r="D57" s="1115">
        <f>Assumptions!C365</f>
        <v>-0.05</v>
      </c>
      <c r="E57" s="1115">
        <f>Assumptions!D365</f>
        <v>0.02</v>
      </c>
      <c r="F57" s="1115">
        <f>Assumptions!E365</f>
        <v>0.16</v>
      </c>
      <c r="G57" s="398" t="s">
        <v>869</v>
      </c>
      <c r="I57" s="217"/>
      <c r="J57" s="217"/>
      <c r="K57" s="217"/>
      <c r="L57" s="217"/>
      <c r="M57" s="217"/>
      <c r="N57" s="217"/>
      <c r="O57" s="217"/>
      <c r="P57" s="217"/>
      <c r="Q57" s="217"/>
      <c r="R57" s="217"/>
      <c r="S57" s="217"/>
      <c r="T57" s="217"/>
      <c r="U57" s="217"/>
      <c r="V57" s="217"/>
      <c r="W57" s="217"/>
      <c r="X57" s="217"/>
      <c r="Y57" s="217"/>
      <c r="Z57" s="217"/>
      <c r="AA57" s="217"/>
      <c r="AB57" s="217"/>
      <c r="AC57" s="217"/>
      <c r="AD57" s="217"/>
      <c r="AE57" s="217"/>
      <c r="AF57" s="217"/>
    </row>
    <row r="58" spans="1:32" ht="15" customHeight="1">
      <c r="A58" s="1946"/>
      <c r="C58" s="1388" t="s">
        <v>870</v>
      </c>
      <c r="D58" s="1115">
        <f>Assumptions!$F$401</f>
        <v>-3.3000000000000002E-2</v>
      </c>
      <c r="E58" s="368">
        <f>Assumptions!$F$401</f>
        <v>-3.3000000000000002E-2</v>
      </c>
      <c r="F58" s="369">
        <f>Assumptions!$F$401</f>
        <v>-3.3000000000000002E-2</v>
      </c>
      <c r="G58" s="398" t="s">
        <v>871</v>
      </c>
      <c r="I58" s="217" t="s">
        <v>872</v>
      </c>
      <c r="J58" s="217"/>
      <c r="K58" s="217"/>
      <c r="L58" s="217"/>
      <c r="M58" s="217"/>
      <c r="N58" s="217"/>
      <c r="O58" s="217"/>
      <c r="P58" s="217"/>
      <c r="Q58" s="217"/>
      <c r="R58" s="217"/>
      <c r="S58" s="217"/>
      <c r="T58" s="217"/>
      <c r="U58" s="217"/>
      <c r="V58" s="217"/>
      <c r="W58" s="217"/>
      <c r="X58" s="217"/>
      <c r="Y58" s="217"/>
      <c r="Z58" s="217"/>
      <c r="AA58" s="217"/>
      <c r="AB58" s="217"/>
      <c r="AC58" s="217"/>
      <c r="AD58" s="217"/>
      <c r="AE58" s="217"/>
      <c r="AF58" s="283">
        <f>AF44/AF6</f>
        <v>0.21188704777546288</v>
      </c>
    </row>
    <row r="59" spans="1:32" ht="15" customHeight="1">
      <c r="A59" s="1946"/>
      <c r="C59" s="1387" t="s">
        <v>873</v>
      </c>
      <c r="D59" s="1115">
        <f>Assumptions!C418</f>
        <v>4.9000000000000002E-2</v>
      </c>
      <c r="E59" s="368">
        <f>Assumptions!$D$418</f>
        <v>0.04</v>
      </c>
      <c r="F59" s="368">
        <f>Assumptions!$D$418</f>
        <v>0.04</v>
      </c>
      <c r="G59" s="398" t="s">
        <v>874</v>
      </c>
      <c r="H59" s="217"/>
      <c r="I59" s="218"/>
      <c r="J59" s="237"/>
      <c r="K59" s="237"/>
      <c r="L59" s="237"/>
      <c r="M59" s="237"/>
      <c r="N59" s="237"/>
      <c r="O59" s="217"/>
      <c r="P59" s="217"/>
      <c r="Q59" s="217"/>
      <c r="R59" s="217"/>
      <c r="S59" s="217"/>
      <c r="T59" s="217"/>
      <c r="U59" s="217"/>
      <c r="V59" s="217"/>
      <c r="W59" s="217"/>
      <c r="X59" s="217"/>
      <c r="Y59" s="217"/>
      <c r="Z59" s="217"/>
      <c r="AA59" s="217"/>
      <c r="AB59" s="217"/>
      <c r="AC59" s="217"/>
      <c r="AD59" s="217"/>
      <c r="AE59" s="217"/>
      <c r="AF59" s="217"/>
    </row>
    <row r="60" spans="1:32" ht="15" customHeight="1">
      <c r="A60" s="1946"/>
      <c r="C60" s="1388" t="s">
        <v>875</v>
      </c>
      <c r="D60" s="1115">
        <f>Assumptions!S23</f>
        <v>0</v>
      </c>
      <c r="E60" s="368">
        <f>Assumptions!S23</f>
        <v>0</v>
      </c>
      <c r="F60" s="369">
        <f>Assumptions!T23</f>
        <v>0</v>
      </c>
      <c r="G60" s="398" t="s">
        <v>876</v>
      </c>
      <c r="H60" s="217"/>
      <c r="I60" s="217"/>
      <c r="J60" s="238"/>
      <c r="K60" s="238"/>
      <c r="L60" s="238"/>
      <c r="M60" s="238"/>
      <c r="N60" s="237"/>
      <c r="O60" s="217"/>
      <c r="P60" s="217"/>
      <c r="Q60" s="217"/>
      <c r="R60" s="217"/>
      <c r="S60" s="217"/>
      <c r="T60" s="217"/>
      <c r="U60" s="217"/>
      <c r="V60" s="217"/>
      <c r="W60" s="217"/>
      <c r="X60" s="217"/>
      <c r="Y60" s="217"/>
      <c r="Z60" s="217"/>
      <c r="AA60" s="217"/>
      <c r="AB60" s="217"/>
      <c r="AC60" s="217"/>
      <c r="AD60" s="217"/>
      <c r="AE60" s="217"/>
      <c r="AF60" s="217"/>
    </row>
    <row r="61" spans="1:32" ht="15" customHeight="1" thickBot="1">
      <c r="A61" s="1946"/>
      <c r="C61" s="1389" t="s">
        <v>877</v>
      </c>
      <c r="D61" s="1115">
        <f>Assumptions!C509</f>
        <v>-0.1</v>
      </c>
      <c r="E61" s="368">
        <f>Assumptions!D509</f>
        <v>-7.0000000000000007E-2</v>
      </c>
      <c r="F61" s="369">
        <f>Assumptions!E509</f>
        <v>-0.06</v>
      </c>
      <c r="G61" s="398" t="s">
        <v>868</v>
      </c>
      <c r="H61" s="217"/>
      <c r="I61" s="217"/>
      <c r="J61" s="237"/>
      <c r="K61"/>
      <c r="L61"/>
      <c r="M61"/>
      <c r="N61"/>
      <c r="O61"/>
      <c r="P61" s="217"/>
      <c r="Q61" s="217"/>
      <c r="R61" s="217"/>
      <c r="S61" s="217"/>
      <c r="T61" s="217"/>
      <c r="U61" s="217"/>
      <c r="V61" s="217"/>
      <c r="W61" s="217"/>
      <c r="X61" s="217"/>
      <c r="Y61" s="217"/>
      <c r="Z61" s="217"/>
      <c r="AA61" s="217"/>
      <c r="AB61" s="217"/>
      <c r="AC61" s="217"/>
      <c r="AD61" s="217"/>
      <c r="AE61" s="217"/>
      <c r="AF61" s="217"/>
    </row>
    <row r="62" spans="1:32" ht="15" customHeight="1" thickBot="1">
      <c r="A62" s="1946"/>
      <c r="C62" s="1390" t="s">
        <v>878</v>
      </c>
      <c r="D62" s="1115">
        <f>Assumptions!S25</f>
        <v>0</v>
      </c>
      <c r="E62" s="368">
        <f>Assumptions!S25</f>
        <v>0</v>
      </c>
      <c r="F62" s="369">
        <f>Assumptions!T25</f>
        <v>0</v>
      </c>
      <c r="G62" s="398" t="s">
        <v>879</v>
      </c>
      <c r="H62" s="217"/>
      <c r="I62" s="217"/>
      <c r="J62" s="217"/>
      <c r="K62"/>
      <c r="L62"/>
      <c r="M62"/>
      <c r="N62"/>
      <c r="O62" s="1908" t="s">
        <v>880</v>
      </c>
      <c r="P62" s="1909"/>
      <c r="Q62" s="1909"/>
      <c r="R62" s="1909"/>
      <c r="S62" s="1909"/>
      <c r="T62" s="1909"/>
      <c r="U62" s="1909"/>
      <c r="V62" s="1909"/>
      <c r="W62" s="1909"/>
      <c r="X62" s="1910"/>
      <c r="Y62" s="217"/>
      <c r="Z62"/>
      <c r="AA62"/>
      <c r="AB62" s="217"/>
      <c r="AC62" s="217"/>
      <c r="AD62" s="217"/>
      <c r="AE62" s="217"/>
      <c r="AF62" s="217"/>
    </row>
    <row r="63" spans="1:32" ht="15" customHeight="1" thickBot="1">
      <c r="A63" s="1946"/>
      <c r="C63" s="1390" t="s">
        <v>881</v>
      </c>
      <c r="D63" s="1115">
        <f>Assumptions!$G$338</f>
        <v>-2.3580444867760994E-2</v>
      </c>
      <c r="E63" s="1115">
        <f>Assumptions!C340</f>
        <v>-0.03</v>
      </c>
      <c r="F63" s="1115">
        <f>Assumptions!I336</f>
        <v>-0.02</v>
      </c>
      <c r="G63" s="398" t="s">
        <v>882</v>
      </c>
      <c r="H63" s="217"/>
      <c r="I63" s="217"/>
      <c r="J63" s="1450"/>
      <c r="K63"/>
      <c r="L63"/>
      <c r="M63"/>
      <c r="N63"/>
      <c r="O63" s="1911" t="s">
        <v>676</v>
      </c>
      <c r="P63" s="1912"/>
      <c r="Q63" s="1912"/>
      <c r="R63" s="1912"/>
      <c r="S63" s="1912"/>
      <c r="T63" s="1912"/>
      <c r="U63" s="1912"/>
      <c r="V63" s="1912"/>
      <c r="W63" s="1912"/>
      <c r="X63" s="1913"/>
      <c r="Y63" s="217"/>
      <c r="Z63"/>
      <c r="AA63"/>
      <c r="AB63" s="217"/>
      <c r="AC63" s="217"/>
      <c r="AD63" s="217"/>
      <c r="AE63" s="217"/>
      <c r="AF63" s="217"/>
    </row>
    <row r="64" spans="1:32" ht="15" customHeight="1" thickBot="1">
      <c r="A64" s="1946"/>
      <c r="C64" s="1390" t="s">
        <v>883</v>
      </c>
      <c r="D64" s="1115">
        <f>Assumptions!$C$446</f>
        <v>-5.0000000000000001E-3</v>
      </c>
      <c r="E64" s="1115">
        <f>Assumptions!$C$446</f>
        <v>-5.0000000000000001E-3</v>
      </c>
      <c r="F64" s="1403">
        <f>Assumptions!B453</f>
        <v>-4.4999999999999998E-2</v>
      </c>
      <c r="G64" s="632" t="s">
        <v>868</v>
      </c>
      <c r="H64" s="217"/>
      <c r="I64" s="217"/>
      <c r="J64" s="217"/>
      <c r="K64"/>
      <c r="L64"/>
      <c r="M64"/>
      <c r="O64" s="1328">
        <f ca="1">D76</f>
        <v>407.05300369256253</v>
      </c>
      <c r="P64" s="1339">
        <v>0.12</v>
      </c>
      <c r="Q64" s="1339">
        <f>P64+1%</f>
        <v>0.13</v>
      </c>
      <c r="R64" s="1339">
        <f t="shared" ref="R64:X64" si="59">Q64+1%</f>
        <v>0.14000000000000001</v>
      </c>
      <c r="S64" s="1341">
        <f t="shared" si="59"/>
        <v>0.15000000000000002</v>
      </c>
      <c r="T64" s="1341">
        <f t="shared" si="59"/>
        <v>0.16000000000000003</v>
      </c>
      <c r="U64" s="1341">
        <f t="shared" si="59"/>
        <v>0.17000000000000004</v>
      </c>
      <c r="V64" s="1339">
        <f t="shared" si="59"/>
        <v>0.18000000000000005</v>
      </c>
      <c r="W64" s="1339">
        <f t="shared" si="59"/>
        <v>0.19000000000000006</v>
      </c>
      <c r="X64" s="1340">
        <f t="shared" si="59"/>
        <v>0.20000000000000007</v>
      </c>
      <c r="Y64" s="217"/>
      <c r="Z64"/>
      <c r="AA64"/>
      <c r="AB64" s="217"/>
      <c r="AC64" s="217"/>
      <c r="AD64" s="217"/>
      <c r="AE64" s="217"/>
      <c r="AF64" s="217"/>
    </row>
    <row r="65" spans="1:32" ht="15" customHeight="1">
      <c r="A65" s="1946"/>
      <c r="C65" s="1390" t="s">
        <v>131</v>
      </c>
      <c r="D65" s="1115">
        <f>Assumptions!S29</f>
        <v>0</v>
      </c>
      <c r="E65" s="368">
        <f>Assumptions!S29</f>
        <v>0</v>
      </c>
      <c r="F65" s="369">
        <f>Assumptions!T29</f>
        <v>0</v>
      </c>
      <c r="G65" s="398" t="s">
        <v>868</v>
      </c>
      <c r="I65" s="217"/>
      <c r="J65" s="1450"/>
      <c r="K65"/>
      <c r="L65"/>
      <c r="M65"/>
      <c r="N65" s="1914" t="s">
        <v>108</v>
      </c>
      <c r="O65" s="1321">
        <v>0.16961076229022448</v>
      </c>
      <c r="P65" s="896">
        <f t="dataTable" ref="P65:X71" dt2D="1" dtr="1" r1="F51" r2="F57"/>
        <v>605.16496453638945</v>
      </c>
      <c r="Q65" s="896">
        <v>487.79934336521654</v>
      </c>
      <c r="R65" s="1327">
        <v>398.40207494664679</v>
      </c>
      <c r="S65" s="1327">
        <v>329.18344805514039</v>
      </c>
      <c r="T65" s="1327">
        <v>274.82565369267087</v>
      </c>
      <c r="U65" s="1327">
        <v>231.60458007820668</v>
      </c>
      <c r="V65" s="1327">
        <v>196.85568252814548</v>
      </c>
      <c r="W65" s="1327">
        <v>168.6373071721504</v>
      </c>
      <c r="X65" s="1329">
        <v>145.51197071698064</v>
      </c>
      <c r="Y65" s="217"/>
      <c r="Z65" s="217"/>
      <c r="AA65" s="217"/>
      <c r="AB65" s="217"/>
      <c r="AC65" s="217"/>
      <c r="AD65" s="217"/>
      <c r="AE65" s="217"/>
      <c r="AF65" s="217"/>
    </row>
    <row r="66" spans="1:32" ht="15" customHeight="1">
      <c r="A66" s="1946"/>
      <c r="C66" s="1390" t="s">
        <v>884</v>
      </c>
      <c r="D66" s="1115" t="s">
        <v>661</v>
      </c>
      <c r="E66" s="368" t="s">
        <v>661</v>
      </c>
      <c r="F66" s="1405" t="s">
        <v>661</v>
      </c>
      <c r="G66" s="398" t="s">
        <v>885</v>
      </c>
      <c r="K66"/>
      <c r="L66"/>
      <c r="M66"/>
      <c r="N66" s="1915"/>
      <c r="O66" s="1321">
        <v>0.15961076229022447</v>
      </c>
      <c r="P66" s="896">
        <v>614.20575233314469</v>
      </c>
      <c r="Q66" s="896">
        <v>494.97991103656477</v>
      </c>
      <c r="R66" s="896">
        <v>404.17002729793683</v>
      </c>
      <c r="S66" s="896">
        <v>333.86203198349887</v>
      </c>
      <c r="T66" s="896">
        <v>278.65308976193535</v>
      </c>
      <c r="U66" s="896">
        <v>234.7594470022174</v>
      </c>
      <c r="V66" s="896">
        <v>199.47381502332095</v>
      </c>
      <c r="W66" s="896">
        <v>170.8233410641534</v>
      </c>
      <c r="X66" s="1323">
        <v>147.34740780131062</v>
      </c>
    </row>
    <row r="67" spans="1:32" ht="15.75" customHeight="1">
      <c r="A67" s="1946"/>
      <c r="C67" s="1390" t="s">
        <v>773</v>
      </c>
      <c r="D67" s="1115">
        <v>0</v>
      </c>
      <c r="E67" s="1115">
        <v>0</v>
      </c>
      <c r="F67" s="1115">
        <v>0</v>
      </c>
      <c r="G67" s="398" t="s">
        <v>886</v>
      </c>
      <c r="K67"/>
      <c r="L67"/>
      <c r="M67"/>
      <c r="N67" s="1915"/>
      <c r="O67" s="1326">
        <v>0.14961076229022446</v>
      </c>
      <c r="P67" s="896">
        <v>623.24654012990015</v>
      </c>
      <c r="Q67" s="896">
        <v>502.16047870791311</v>
      </c>
      <c r="R67" s="1330">
        <v>409.93797964922686</v>
      </c>
      <c r="S67" s="1086">
        <v>338.54061591185757</v>
      </c>
      <c r="T67" s="1086">
        <v>282.48052583119994</v>
      </c>
      <c r="U67" s="1086">
        <v>237.91431392622815</v>
      </c>
      <c r="V67" s="896">
        <v>202.09194751849643</v>
      </c>
      <c r="W67" s="896">
        <v>173.00937495615653</v>
      </c>
      <c r="X67" s="1323">
        <v>149.18284488564058</v>
      </c>
    </row>
    <row r="68" spans="1:32" ht="14.4">
      <c r="A68" s="1946"/>
      <c r="C68" s="1387" t="s">
        <v>304</v>
      </c>
      <c r="D68" s="1116" t="s">
        <v>661</v>
      </c>
      <c r="E68" s="1114" t="s">
        <v>661</v>
      </c>
      <c r="F68" s="1406" t="s">
        <v>661</v>
      </c>
      <c r="G68" s="632" t="s">
        <v>887</v>
      </c>
      <c r="H68" s="1419">
        <f>Assumptions!L403</f>
        <v>7.0270919200224324E-2</v>
      </c>
      <c r="N68" s="1915"/>
      <c r="O68" s="1326">
        <v>0.13961076229022445</v>
      </c>
      <c r="P68" s="896">
        <v>632.28732792665551</v>
      </c>
      <c r="Q68" s="896">
        <v>509.34104637926134</v>
      </c>
      <c r="R68" s="1330">
        <v>415.70593200051684</v>
      </c>
      <c r="S68" s="1086">
        <v>343.21919984021616</v>
      </c>
      <c r="T68" s="1331">
        <v>286.30796190046465</v>
      </c>
      <c r="U68" s="1086">
        <v>241.06918085023884</v>
      </c>
      <c r="V68" s="896">
        <v>204.71008001367193</v>
      </c>
      <c r="W68" s="896">
        <v>175.19540884815956</v>
      </c>
      <c r="X68" s="1323">
        <v>151.01828196997053</v>
      </c>
    </row>
    <row r="69" spans="1:32" ht="13.95" customHeight="1" thickBot="1">
      <c r="A69" s="217"/>
      <c r="C69" s="217"/>
      <c r="D69" s="217"/>
      <c r="E69" s="217"/>
      <c r="F69" s="217"/>
      <c r="N69" s="1915"/>
      <c r="O69" s="1326">
        <v>0.12961076229022445</v>
      </c>
      <c r="P69" s="896">
        <v>641.32811572341086</v>
      </c>
      <c r="Q69" s="896">
        <v>516.52161405060951</v>
      </c>
      <c r="R69" s="1330">
        <v>421.47388435180699</v>
      </c>
      <c r="S69" s="1086">
        <v>347.8977837685747</v>
      </c>
      <c r="T69" s="1086">
        <v>290.13539796972918</v>
      </c>
      <c r="U69" s="1086">
        <v>244.22404777424961</v>
      </c>
      <c r="V69" s="896">
        <v>207.32821250884746</v>
      </c>
      <c r="W69" s="896">
        <v>177.38144274016267</v>
      </c>
      <c r="X69" s="1323">
        <v>152.85371905430048</v>
      </c>
    </row>
    <row r="70" spans="1:32" ht="13.95" customHeight="1" thickBot="1">
      <c r="A70" s="1941" t="s">
        <v>106</v>
      </c>
      <c r="C70" s="284"/>
      <c r="D70" s="372" t="s">
        <v>888</v>
      </c>
      <c r="E70" s="1"/>
      <c r="F70" s="1566" t="s">
        <v>889</v>
      </c>
      <c r="G70" s="1232">
        <f>'Multiples valuation'!$J$9</f>
        <v>276200.63060054003</v>
      </c>
      <c r="N70" s="1915"/>
      <c r="O70" s="1321">
        <v>0.11961076229022445</v>
      </c>
      <c r="P70" s="896">
        <v>650.3689035201661</v>
      </c>
      <c r="Q70" s="896">
        <v>523.70218172195803</v>
      </c>
      <c r="R70" s="896">
        <v>427.24183670309702</v>
      </c>
      <c r="S70" s="896">
        <v>352.57636769693329</v>
      </c>
      <c r="T70" s="896">
        <v>293.96283403899383</v>
      </c>
      <c r="U70" s="896">
        <v>247.37891469826033</v>
      </c>
      <c r="V70" s="896">
        <v>209.9463450040229</v>
      </c>
      <c r="W70" s="896">
        <v>179.56747663216566</v>
      </c>
      <c r="X70" s="1323">
        <v>154.68915613863047</v>
      </c>
    </row>
    <row r="71" spans="1:32" ht="13.95" customHeight="1" thickBot="1">
      <c r="A71" s="1942"/>
      <c r="C71" s="284" t="s">
        <v>890</v>
      </c>
      <c r="D71" s="373">
        <f>SUMPRODUCT(G36:AF36,G46:AF46)+((AF44-AF45)*AF46)</f>
        <v>446277.95235847635</v>
      </c>
      <c r="E71" s="336">
        <f>D71/D73</f>
        <v>0.67831793651964423</v>
      </c>
      <c r="N71" s="1916"/>
      <c r="O71" s="1322">
        <v>0.10961076229022446</v>
      </c>
      <c r="P71" s="1324">
        <v>659.40969131692157</v>
      </c>
      <c r="Q71" s="1324">
        <v>530.88274939330609</v>
      </c>
      <c r="R71" s="1324">
        <v>433.009789054387</v>
      </c>
      <c r="S71" s="1324">
        <v>357.25495162529188</v>
      </c>
      <c r="T71" s="1324">
        <v>297.79027010825831</v>
      </c>
      <c r="U71" s="1324">
        <v>250.53378162227108</v>
      </c>
      <c r="V71" s="1324">
        <v>212.56447749919835</v>
      </c>
      <c r="W71" s="1324">
        <v>181.75351052416877</v>
      </c>
      <c r="X71" s="1325">
        <v>156.52459322296042</v>
      </c>
    </row>
    <row r="72" spans="1:32" ht="13.95" customHeight="1" thickBot="1">
      <c r="A72" s="1942"/>
      <c r="C72" s="284" t="s">
        <v>891</v>
      </c>
      <c r="D72" s="373">
        <f>(AF35/(F51-AF5))*AF46</f>
        <v>211640.59635080144</v>
      </c>
      <c r="E72" s="336">
        <f>D72/D73</f>
        <v>0.32168206348035577</v>
      </c>
      <c r="F72" s="1424" t="s">
        <v>892</v>
      </c>
      <c r="G72" s="1547">
        <v>2023</v>
      </c>
      <c r="H72" s="1547">
        <v>2024</v>
      </c>
      <c r="I72" s="1547">
        <v>2025</v>
      </c>
      <c r="J72" s="1550">
        <v>2026</v>
      </c>
    </row>
    <row r="73" spans="1:32" ht="15" thickBot="1">
      <c r="A73" s="1942"/>
      <c r="C73" s="284" t="s">
        <v>893</v>
      </c>
      <c r="D73" s="373">
        <f>D71+D72</f>
        <v>657918.54870927776</v>
      </c>
      <c r="E73" s="1"/>
      <c r="F73" s="1423" t="s">
        <v>894</v>
      </c>
      <c r="G73" s="1229">
        <f>$G$70/(F22+F23)</f>
        <v>246.38771686042821</v>
      </c>
      <c r="H73" s="1230">
        <f t="shared" ref="H73:J73" si="60">$G$70/(G22+G23)</f>
        <v>60.244123874468208</v>
      </c>
      <c r="I73" s="1230">
        <f t="shared" si="60"/>
        <v>45.245433249272764</v>
      </c>
      <c r="J73" s="1231">
        <f t="shared" si="60"/>
        <v>26.567794205777048</v>
      </c>
    </row>
    <row r="74" spans="1:32" ht="15" thickBot="1">
      <c r="A74" s="1942"/>
      <c r="C74" s="622" t="s">
        <v>895</v>
      </c>
      <c r="D74" s="623">
        <f ca="1">OP!C20</f>
        <v>78.209999999999994</v>
      </c>
      <c r="E74" s="285"/>
      <c r="F74" s="1225" t="s">
        <v>896</v>
      </c>
      <c r="G74" s="1222"/>
      <c r="H74" s="1223">
        <f>H73/((G22+G23)/(F22+F23)-1)</f>
        <v>19.49760613934221</v>
      </c>
      <c r="I74" s="1223">
        <f t="shared" ref="I74:J74" si="61">I73/((H22+H23)/(G22+G23)-1)</f>
        <v>136.48852963708094</v>
      </c>
      <c r="J74" s="1224">
        <f t="shared" si="61"/>
        <v>37.791055246156724</v>
      </c>
    </row>
    <row r="75" spans="1:32" ht="15" thickBot="1">
      <c r="A75" s="1942"/>
      <c r="C75" s="622" t="s">
        <v>897</v>
      </c>
      <c r="D75" s="1399">
        <f ca="1">D76/D74-1</f>
        <v>4.2046158252469317</v>
      </c>
      <c r="N75"/>
      <c r="O75" s="1908" t="s">
        <v>880</v>
      </c>
      <c r="P75" s="1909"/>
      <c r="Q75" s="1909"/>
      <c r="R75" s="1909"/>
      <c r="S75" s="1909"/>
      <c r="T75" s="1909"/>
      <c r="U75" s="1909"/>
      <c r="V75" s="1909"/>
      <c r="W75" s="1909"/>
      <c r="X75" s="1910"/>
    </row>
    <row r="76" spans="1:32" ht="15" thickBot="1">
      <c r="A76" s="1943"/>
      <c r="C76" s="374" t="s">
        <v>898</v>
      </c>
      <c r="D76" s="375">
        <f ca="1">D73*1000000/OP!C21</f>
        <v>407.05300369256253</v>
      </c>
      <c r="G76" s="1449"/>
      <c r="N76"/>
      <c r="O76" s="1911" t="s">
        <v>676</v>
      </c>
      <c r="P76" s="1912"/>
      <c r="Q76" s="1912"/>
      <c r="R76" s="1912"/>
      <c r="S76" s="1912"/>
      <c r="T76" s="1912"/>
      <c r="U76" s="1912"/>
      <c r="V76" s="1912"/>
      <c r="W76" s="1912"/>
      <c r="X76" s="1913"/>
    </row>
    <row r="77" spans="1:32" ht="15" thickBot="1">
      <c r="A77" s="356"/>
      <c r="C77" s="285"/>
      <c r="D77" s="624"/>
      <c r="O77" s="1338" t="s">
        <v>899</v>
      </c>
      <c r="P77" s="1339">
        <v>0.12</v>
      </c>
      <c r="Q77" s="1339">
        <f>P77+1%</f>
        <v>0.13</v>
      </c>
      <c r="R77" s="1339">
        <f t="shared" ref="R77:X77" si="62">Q77+1%</f>
        <v>0.14000000000000001</v>
      </c>
      <c r="S77" s="1341">
        <f t="shared" si="62"/>
        <v>0.15000000000000002</v>
      </c>
      <c r="T77" s="1341">
        <f t="shared" si="62"/>
        <v>0.16000000000000003</v>
      </c>
      <c r="U77" s="1341">
        <f t="shared" si="62"/>
        <v>0.17000000000000004</v>
      </c>
      <c r="V77" s="1339">
        <f t="shared" si="62"/>
        <v>0.18000000000000005</v>
      </c>
      <c r="W77" s="1339">
        <f t="shared" si="62"/>
        <v>0.19000000000000006</v>
      </c>
      <c r="X77" s="1340">
        <f t="shared" si="62"/>
        <v>0.20000000000000007</v>
      </c>
    </row>
    <row r="78" spans="1:32" ht="14.4">
      <c r="A78" s="1944" t="s">
        <v>900</v>
      </c>
      <c r="C78" s="396" t="s">
        <v>901</v>
      </c>
      <c r="D78" s="623">
        <f ca="1">(SUMPRODUCT(G36:AF36,G46:AF46)+((AF44-AF45)*AF46)+(AF35/(F51+0.001-AF5))*AF46)*1000000/OP!C21</f>
        <v>405.92039590086762</v>
      </c>
      <c r="E78" s="376">
        <f ca="1">D78/D76-1</f>
        <v>-2.782457766975055E-3</v>
      </c>
      <c r="N78" s="1914" t="s">
        <v>108</v>
      </c>
      <c r="O78" s="1321">
        <v>0.16961076229022448</v>
      </c>
      <c r="P78" s="532">
        <f ca="1">P65/$D$74-1</f>
        <v>6.7376929361512534</v>
      </c>
      <c r="Q78" s="532">
        <f t="shared" ref="Q78:X78" ca="1" si="63">Q65/$D$74-1</f>
        <v>5.2370456893647432</v>
      </c>
      <c r="R78" s="1335">
        <f t="shared" ca="1" si="63"/>
        <v>4.094004282657548</v>
      </c>
      <c r="S78" s="1335">
        <f t="shared" ca="1" si="63"/>
        <v>3.208968777076338</v>
      </c>
      <c r="T78" s="1335">
        <f t="shared" ca="1" si="63"/>
        <v>2.5139451948941427</v>
      </c>
      <c r="U78" s="1335">
        <f t="shared" ca="1" si="63"/>
        <v>1.9613167124179349</v>
      </c>
      <c r="V78" s="1335">
        <f t="shared" ca="1" si="63"/>
        <v>1.5170142248835892</v>
      </c>
      <c r="W78" s="1335">
        <f t="shared" ca="1" si="63"/>
        <v>1.156211573611436</v>
      </c>
      <c r="X78" s="1336">
        <f t="shared" ca="1" si="63"/>
        <v>0.86052896965836401</v>
      </c>
    </row>
    <row r="79" spans="1:32" ht="14.4">
      <c r="A79" s="1945"/>
      <c r="C79" s="396" t="s">
        <v>902</v>
      </c>
      <c r="D79" s="623">
        <f ca="1">(SUMPRODUCT(G36:AF36,G46:AF46)+((AF44-AF45)*AF46)+(AF35/(F51+0.005-AF5))*AF46)*1000000/OP!C21</f>
        <v>401.57934698866228</v>
      </c>
      <c r="E79" s="376">
        <f ca="1">D79/D76-1</f>
        <v>-1.3447036759945852E-2</v>
      </c>
      <c r="N79" s="1915"/>
      <c r="O79" s="1321">
        <v>0.15961076229022447</v>
      </c>
      <c r="P79" s="532">
        <f t="shared" ref="P79:X84" ca="1" si="64">P66/$D$74-1</f>
        <v>6.8532892511589916</v>
      </c>
      <c r="Q79" s="532">
        <f t="shared" ca="1" si="64"/>
        <v>5.3288570647815474</v>
      </c>
      <c r="R79" s="532">
        <f t="shared" ca="1" si="64"/>
        <v>4.1677538332430233</v>
      </c>
      <c r="S79" s="532">
        <f t="shared" ca="1" si="64"/>
        <v>3.2687895663406072</v>
      </c>
      <c r="T79" s="532">
        <f t="shared" ca="1" si="64"/>
        <v>2.5628831321050423</v>
      </c>
      <c r="U79" s="532">
        <f t="shared" ca="1" si="64"/>
        <v>2.0016551208568907</v>
      </c>
      <c r="V79" s="532">
        <f t="shared" ca="1" si="64"/>
        <v>1.5504898992880829</v>
      </c>
      <c r="W79" s="532">
        <f t="shared" ca="1" si="64"/>
        <v>1.1841623969333002</v>
      </c>
      <c r="X79" s="1332">
        <f t="shared" ca="1" si="64"/>
        <v>0.8839970310869536</v>
      </c>
    </row>
    <row r="80" spans="1:32" ht="14.4">
      <c r="A80" s="394"/>
      <c r="C80" s="395"/>
      <c r="D80" s="624"/>
      <c r="E80" s="376"/>
      <c r="N80" s="1915"/>
      <c r="O80" s="1326">
        <v>0.14961076229022446</v>
      </c>
      <c r="P80" s="532">
        <f t="shared" ca="1" si="64"/>
        <v>6.9688855661667333</v>
      </c>
      <c r="Q80" s="532">
        <f t="shared" ca="1" si="64"/>
        <v>5.4206684401983525</v>
      </c>
      <c r="R80" s="1337">
        <f t="shared" ca="1" si="64"/>
        <v>4.2415033838284986</v>
      </c>
      <c r="S80" s="1400">
        <f t="shared" ca="1" si="64"/>
        <v>3.3286103556048792</v>
      </c>
      <c r="T80" s="1400">
        <f t="shared" ca="1" si="64"/>
        <v>2.6118210693159436</v>
      </c>
      <c r="U80" s="1400">
        <f t="shared" ca="1" si="64"/>
        <v>2.0419935292958464</v>
      </c>
      <c r="V80" s="532">
        <f t="shared" ca="1" si="64"/>
        <v>1.5839655736925771</v>
      </c>
      <c r="W80" s="532">
        <f t="shared" ca="1" si="64"/>
        <v>1.2121132202551661</v>
      </c>
      <c r="X80" s="1332">
        <f t="shared" ca="1" si="64"/>
        <v>0.90746509251554253</v>
      </c>
    </row>
    <row r="81" spans="1:24" ht="14.4">
      <c r="A81" s="664" t="s">
        <v>505</v>
      </c>
      <c r="C81" s="1428" t="s">
        <v>903</v>
      </c>
      <c r="D81" s="1429">
        <f ca="1">D76/1.1</f>
        <v>370.0481851750568</v>
      </c>
      <c r="G81"/>
      <c r="H81"/>
      <c r="I81"/>
      <c r="J81"/>
      <c r="N81" s="1915"/>
      <c r="O81" s="1326">
        <v>0.13961076229022445</v>
      </c>
      <c r="P81" s="532">
        <f t="shared" ca="1" si="64"/>
        <v>7.0844818811744741</v>
      </c>
      <c r="Q81" s="532">
        <f t="shared" ca="1" si="64"/>
        <v>5.5124798156151567</v>
      </c>
      <c r="R81" s="1337">
        <f t="shared" ca="1" si="64"/>
        <v>4.3152529344139738</v>
      </c>
      <c r="S81" s="1400">
        <f t="shared" ca="1" si="64"/>
        <v>3.3884311448691493</v>
      </c>
      <c r="T81" s="1401">
        <f t="shared" ca="1" si="64"/>
        <v>2.6607590065268467</v>
      </c>
      <c r="U81" s="1400">
        <f t="shared" ca="1" si="64"/>
        <v>2.0823319377348017</v>
      </c>
      <c r="V81" s="532">
        <f t="shared" ca="1" si="64"/>
        <v>1.6174412480970712</v>
      </c>
      <c r="W81" s="532">
        <f t="shared" ca="1" si="64"/>
        <v>1.2400640435770307</v>
      </c>
      <c r="X81" s="1332">
        <f t="shared" ca="1" si="64"/>
        <v>0.93093315394413167</v>
      </c>
    </row>
    <row r="82" spans="1:24">
      <c r="G82"/>
      <c r="H82"/>
      <c r="I82"/>
      <c r="J82"/>
      <c r="N82" s="1915"/>
      <c r="O82" s="1326">
        <v>0.12961076229022445</v>
      </c>
      <c r="P82" s="532">
        <f t="shared" ca="1" si="64"/>
        <v>7.2000781961822131</v>
      </c>
      <c r="Q82" s="532">
        <f t="shared" ca="1" si="64"/>
        <v>5.6042911910319599</v>
      </c>
      <c r="R82" s="1337">
        <f t="shared" ca="1" si="64"/>
        <v>4.3890024849994509</v>
      </c>
      <c r="S82" s="1400">
        <f t="shared" ca="1" si="64"/>
        <v>3.4482519341334195</v>
      </c>
      <c r="T82" s="1400">
        <f t="shared" ca="1" si="64"/>
        <v>2.7096969437377472</v>
      </c>
      <c r="U82" s="1400">
        <f t="shared" ca="1" si="64"/>
        <v>2.1226703461737584</v>
      </c>
      <c r="V82" s="532">
        <f t="shared" ca="1" si="64"/>
        <v>1.6509169225015659</v>
      </c>
      <c r="W82" s="532">
        <f t="shared" ca="1" si="64"/>
        <v>1.2680148668988962</v>
      </c>
      <c r="X82" s="1332">
        <f t="shared" ca="1" si="64"/>
        <v>0.95440121537272082</v>
      </c>
    </row>
    <row r="83" spans="1:24">
      <c r="G83"/>
      <c r="H83"/>
      <c r="I83"/>
      <c r="J83"/>
      <c r="N83" s="1915"/>
      <c r="O83" s="1321">
        <v>0.11961076229022445</v>
      </c>
      <c r="P83" s="532">
        <f t="shared" ca="1" si="64"/>
        <v>7.3156745111899522</v>
      </c>
      <c r="Q83" s="532">
        <f t="shared" ca="1" si="64"/>
        <v>5.6961025664487668</v>
      </c>
      <c r="R83" s="532">
        <f t="shared" ca="1" si="64"/>
        <v>4.4627520355849262</v>
      </c>
      <c r="S83" s="532">
        <f t="shared" ca="1" si="64"/>
        <v>3.5080727233976896</v>
      </c>
      <c r="T83" s="532">
        <f t="shared" ca="1" si="64"/>
        <v>2.7586348809486494</v>
      </c>
      <c r="U83" s="532">
        <f t="shared" ca="1" si="64"/>
        <v>2.1630087546127137</v>
      </c>
      <c r="V83" s="532">
        <f t="shared" ca="1" si="64"/>
        <v>1.6843925969060596</v>
      </c>
      <c r="W83" s="532">
        <f t="shared" ca="1" si="64"/>
        <v>1.2959656902207604</v>
      </c>
      <c r="X83" s="1332">
        <f t="shared" ca="1" si="64"/>
        <v>0.97786927680131019</v>
      </c>
    </row>
    <row r="84" spans="1:24" ht="13.8" thickBot="1">
      <c r="G84"/>
      <c r="H84"/>
      <c r="I84"/>
      <c r="J84"/>
      <c r="N84" s="1916"/>
      <c r="O84" s="1322">
        <v>0.10961076229022446</v>
      </c>
      <c r="P84" s="1333">
        <f t="shared" ca="1" si="64"/>
        <v>7.431270826197693</v>
      </c>
      <c r="Q84" s="1333">
        <f t="shared" ca="1" si="64"/>
        <v>5.7879139418655683</v>
      </c>
      <c r="R84" s="1333">
        <f t="shared" ca="1" si="64"/>
        <v>4.5365015861704006</v>
      </c>
      <c r="S84" s="1333">
        <f t="shared" ca="1" si="64"/>
        <v>3.5678935126619606</v>
      </c>
      <c r="T84" s="1333">
        <f t="shared" ca="1" si="64"/>
        <v>2.807572818159549</v>
      </c>
      <c r="U84" s="1333">
        <f t="shared" ca="1" si="64"/>
        <v>2.2033471630516699</v>
      </c>
      <c r="V84" s="1333">
        <f t="shared" ca="1" si="64"/>
        <v>1.7178682713105533</v>
      </c>
      <c r="W84" s="1333">
        <f t="shared" ca="1" si="64"/>
        <v>1.3239165135426263</v>
      </c>
      <c r="X84" s="1334">
        <f t="shared" ca="1" si="64"/>
        <v>1.0013373382298996</v>
      </c>
    </row>
    <row r="85" spans="1:24">
      <c r="G85"/>
      <c r="H85"/>
      <c r="I85"/>
      <c r="J85"/>
    </row>
  </sheetData>
  <mergeCells count="24">
    <mergeCell ref="A53:A68"/>
    <mergeCell ref="I53:J53"/>
    <mergeCell ref="I55:J55"/>
    <mergeCell ref="A43:AF43"/>
    <mergeCell ref="A44:A48"/>
    <mergeCell ref="A49:AF49"/>
    <mergeCell ref="A50:A51"/>
    <mergeCell ref="I51:J51"/>
    <mergeCell ref="O76:X76"/>
    <mergeCell ref="N78:N84"/>
    <mergeCell ref="A70:A76"/>
    <mergeCell ref="A78:A79"/>
    <mergeCell ref="A1:AF2"/>
    <mergeCell ref="G3:J3"/>
    <mergeCell ref="K3:AF3"/>
    <mergeCell ref="A5:A17"/>
    <mergeCell ref="O75:X75"/>
    <mergeCell ref="O62:X62"/>
    <mergeCell ref="O63:X63"/>
    <mergeCell ref="N65:N71"/>
    <mergeCell ref="A19:A33"/>
    <mergeCell ref="A34:AF34"/>
    <mergeCell ref="A35:A37"/>
    <mergeCell ref="A39:A42"/>
  </mergeCells>
  <phoneticPr fontId="0" type="noConversion"/>
  <conditionalFormatting sqref="D75">
    <cfRule type="cellIs" dxfId="3" priority="1" operator="lessThan">
      <formula>0</formula>
    </cfRule>
    <cfRule type="cellIs" dxfId="2" priority="2" operator="greaterThan">
      <formula>0%</formula>
    </cfRule>
  </conditionalFormatting>
  <hyperlinks>
    <hyperlink ref="H68" location="Assumptions!A1" display="Assumptions!A1" xr:uid="{42EA35C1-EF04-4D6F-84CC-6680551EE201}"/>
  </hyperlinks>
  <pageMargins left="0.75" right="0.75" top="1" bottom="1" header="0" footer="0"/>
  <pageSetup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508-60BD-47EF-8FBA-2E4F88567901}">
  <sheetPr>
    <tabColor rgb="FFFFFF00"/>
  </sheetPr>
  <dimension ref="A1:AH103"/>
  <sheetViews>
    <sheetView showGridLines="0" topLeftCell="A46" zoomScale="80" zoomScaleNormal="80" workbookViewId="0">
      <selection activeCell="L61" sqref="L61"/>
    </sheetView>
  </sheetViews>
  <sheetFormatPr defaultColWidth="11.44140625" defaultRowHeight="13.2" outlineLevelCol="1"/>
  <cols>
    <col min="1" max="1" width="24.44140625" bestFit="1" customWidth="1"/>
    <col min="2" max="2" width="11.44140625" customWidth="1" outlineLevel="1"/>
    <col min="3" max="3" width="32.109375" customWidth="1" outlineLevel="1"/>
    <col min="4" max="4" width="20" customWidth="1" outlineLevel="1"/>
    <col min="5" max="5" width="24" customWidth="1"/>
    <col min="6" max="6" width="27.33203125" customWidth="1"/>
    <col min="7" max="7" width="18.5546875" style="1" customWidth="1"/>
    <col min="8" max="8" width="12.44140625" style="1" customWidth="1"/>
    <col min="9" max="9" width="13.33203125" style="1" bestFit="1" customWidth="1"/>
    <col min="10" max="10" width="14.109375" style="1" customWidth="1"/>
    <col min="11" max="11" width="12.44140625" style="1" customWidth="1"/>
    <col min="12" max="13" width="11.109375" style="1" customWidth="1"/>
    <col min="14" max="14" width="12.6640625" style="1" bestFit="1" customWidth="1"/>
    <col min="15" max="15" width="14.5546875" style="1" bestFit="1" customWidth="1"/>
    <col min="16" max="25" width="11.109375" style="1" customWidth="1"/>
    <col min="26" max="26" width="13.5546875" style="1" bestFit="1" customWidth="1"/>
    <col min="27" max="27" width="8.44140625" style="1" bestFit="1" customWidth="1"/>
    <col min="28" max="32" width="11.109375" style="1" customWidth="1"/>
    <col min="33" max="33" width="14.44140625" customWidth="1"/>
  </cols>
  <sheetData>
    <row r="1" spans="1:34" ht="21" customHeight="1">
      <c r="A1" s="1920" t="s">
        <v>797</v>
      </c>
      <c r="B1" s="1920"/>
      <c r="C1" s="1920"/>
      <c r="D1" s="1920"/>
      <c r="E1" s="1920"/>
      <c r="F1" s="1920"/>
      <c r="G1" s="1920"/>
      <c r="H1" s="1920"/>
      <c r="I1" s="1920"/>
      <c r="J1" s="1920"/>
      <c r="K1" s="1920"/>
      <c r="L1" s="1920"/>
      <c r="M1" s="1920"/>
      <c r="N1" s="1920"/>
      <c r="O1" s="1920"/>
      <c r="P1" s="1920"/>
      <c r="Q1" s="1920"/>
      <c r="R1" s="1920"/>
      <c r="S1" s="1920"/>
      <c r="T1" s="1920"/>
      <c r="U1" s="1920"/>
      <c r="V1" s="1920"/>
      <c r="W1" s="1920"/>
      <c r="X1" s="1920"/>
      <c r="Y1" s="1920"/>
      <c r="Z1" s="1920"/>
      <c r="AA1" s="1920"/>
      <c r="AB1" s="1920"/>
      <c r="AC1" s="1920"/>
      <c r="AD1" s="1920"/>
      <c r="AE1" s="1920"/>
      <c r="AF1" s="1920"/>
      <c r="AG1" s="8"/>
      <c r="AH1" s="8"/>
    </row>
    <row r="2" spans="1:34" ht="3.75" customHeight="1" thickBot="1">
      <c r="A2" s="1921"/>
      <c r="B2" s="1921"/>
      <c r="C2" s="1921"/>
      <c r="D2" s="1921"/>
      <c r="E2" s="1921"/>
      <c r="F2" s="1921"/>
      <c r="G2" s="1921"/>
      <c r="H2" s="1921"/>
      <c r="I2" s="1921"/>
      <c r="J2" s="1921"/>
      <c r="K2" s="1921"/>
      <c r="L2" s="1921"/>
      <c r="M2" s="1921"/>
      <c r="N2" s="1921"/>
      <c r="O2" s="1921"/>
      <c r="P2" s="1921"/>
      <c r="Q2" s="1921"/>
      <c r="R2" s="1921"/>
      <c r="S2" s="1921"/>
      <c r="T2" s="1921"/>
      <c r="U2" s="1921"/>
      <c r="V2" s="1921"/>
      <c r="W2" s="1921"/>
      <c r="X2" s="1921"/>
      <c r="Y2" s="1921"/>
      <c r="Z2" s="1921"/>
      <c r="AA2" s="1921"/>
      <c r="AB2" s="1921"/>
      <c r="AC2" s="1921"/>
      <c r="AD2" s="1921"/>
      <c r="AE2" s="1921"/>
      <c r="AF2" s="1921"/>
      <c r="AG2" s="458"/>
      <c r="AH2" s="8"/>
    </row>
    <row r="3" spans="1:34" ht="18.600000000000001" thickBot="1">
      <c r="A3" s="217"/>
      <c r="B3" s="217"/>
      <c r="C3" s="217"/>
      <c r="D3" s="217"/>
      <c r="E3" s="217"/>
      <c r="F3" s="217"/>
      <c r="G3" s="1922" t="s">
        <v>798</v>
      </c>
      <c r="H3" s="1923"/>
      <c r="I3" s="1923"/>
      <c r="J3" s="1923"/>
      <c r="K3" s="1924" t="s">
        <v>799</v>
      </c>
      <c r="L3" s="1925"/>
      <c r="M3" s="1925"/>
      <c r="N3" s="1925"/>
      <c r="O3" s="1925"/>
      <c r="P3" s="1925"/>
      <c r="Q3" s="1925"/>
      <c r="R3" s="1925"/>
      <c r="S3" s="1925"/>
      <c r="T3" s="1925"/>
      <c r="U3" s="1925"/>
      <c r="V3" s="1925"/>
      <c r="W3" s="1925"/>
      <c r="X3" s="1925"/>
      <c r="Y3" s="1925"/>
      <c r="Z3" s="1925"/>
      <c r="AA3" s="1925"/>
      <c r="AB3" s="1925"/>
      <c r="AC3" s="1925"/>
      <c r="AD3" s="1925"/>
      <c r="AE3" s="1925"/>
      <c r="AF3" s="1926"/>
      <c r="AG3" s="458"/>
      <c r="AH3" s="8"/>
    </row>
    <row r="4" spans="1:34" ht="15" thickBot="1">
      <c r="A4" s="240" t="s">
        <v>800</v>
      </c>
      <c r="B4" s="678" t="s">
        <v>801</v>
      </c>
      <c r="C4" s="679" t="s">
        <v>802</v>
      </c>
      <c r="D4" s="247" t="s">
        <v>803</v>
      </c>
      <c r="E4" s="247" t="s">
        <v>804</v>
      </c>
      <c r="F4" s="248" t="s">
        <v>805</v>
      </c>
      <c r="G4" s="247">
        <v>2024</v>
      </c>
      <c r="H4" s="247">
        <f>G4+1</f>
        <v>2025</v>
      </c>
      <c r="I4" s="247">
        <f t="shared" ref="I4:AF4" si="0">H4+1</f>
        <v>2026</v>
      </c>
      <c r="J4" s="248">
        <f t="shared" si="0"/>
        <v>2027</v>
      </c>
      <c r="K4" s="249">
        <f t="shared" si="0"/>
        <v>2028</v>
      </c>
      <c r="L4" s="249">
        <f t="shared" si="0"/>
        <v>2029</v>
      </c>
      <c r="M4" s="249">
        <f t="shared" si="0"/>
        <v>2030</v>
      </c>
      <c r="N4" s="249">
        <f t="shared" si="0"/>
        <v>2031</v>
      </c>
      <c r="O4" s="249">
        <f t="shared" si="0"/>
        <v>2032</v>
      </c>
      <c r="P4" s="249">
        <f t="shared" si="0"/>
        <v>2033</v>
      </c>
      <c r="Q4" s="249">
        <f t="shared" si="0"/>
        <v>2034</v>
      </c>
      <c r="R4" s="249">
        <f t="shared" si="0"/>
        <v>2035</v>
      </c>
      <c r="S4" s="249">
        <f t="shared" si="0"/>
        <v>2036</v>
      </c>
      <c r="T4" s="249">
        <f t="shared" si="0"/>
        <v>2037</v>
      </c>
      <c r="U4" s="249">
        <f t="shared" si="0"/>
        <v>2038</v>
      </c>
      <c r="V4" s="249">
        <f t="shared" si="0"/>
        <v>2039</v>
      </c>
      <c r="W4" s="249">
        <f t="shared" si="0"/>
        <v>2040</v>
      </c>
      <c r="X4" s="249">
        <f t="shared" si="0"/>
        <v>2041</v>
      </c>
      <c r="Y4" s="249">
        <f t="shared" si="0"/>
        <v>2042</v>
      </c>
      <c r="Z4" s="249">
        <f t="shared" si="0"/>
        <v>2043</v>
      </c>
      <c r="AA4" s="249">
        <f t="shared" si="0"/>
        <v>2044</v>
      </c>
      <c r="AB4" s="249">
        <f t="shared" si="0"/>
        <v>2045</v>
      </c>
      <c r="AC4" s="249">
        <f t="shared" si="0"/>
        <v>2046</v>
      </c>
      <c r="AD4" s="249">
        <f t="shared" si="0"/>
        <v>2047</v>
      </c>
      <c r="AE4" s="249">
        <f t="shared" si="0"/>
        <v>2048</v>
      </c>
      <c r="AF4" s="250">
        <f t="shared" si="0"/>
        <v>2049</v>
      </c>
      <c r="AG4" s="458"/>
      <c r="AH4" s="8"/>
    </row>
    <row r="5" spans="1:34">
      <c r="A5" s="1699" t="s">
        <v>806</v>
      </c>
      <c r="B5" s="665">
        <v>1</v>
      </c>
      <c r="C5" s="680" t="s">
        <v>749</v>
      </c>
      <c r="D5" s="671">
        <v>0.68329406944586712</v>
      </c>
      <c r="E5" s="257">
        <v>0.43610806863818907</v>
      </c>
      <c r="F5" s="291">
        <v>-3.9023770179229644E-2</v>
      </c>
      <c r="G5" s="305">
        <f>G6/F6-1</f>
        <v>0.17767504409171075</v>
      </c>
      <c r="H5" s="306">
        <f t="shared" ref="H5:AE5" si="1">H6/G6-1</f>
        <v>0.22354195690175138</v>
      </c>
      <c r="I5" s="306">
        <f t="shared" si="1"/>
        <v>0.24617602309841846</v>
      </c>
      <c r="J5" s="307">
        <f t="shared" si="1"/>
        <v>0.22145645487199372</v>
      </c>
      <c r="K5" s="305">
        <f t="shared" si="1"/>
        <v>0.27303275945156646</v>
      </c>
      <c r="L5" s="306">
        <f t="shared" si="1"/>
        <v>0.2177688226335095</v>
      </c>
      <c r="M5" s="306">
        <f t="shared" si="1"/>
        <v>0.18241783402061795</v>
      </c>
      <c r="N5" s="306">
        <f t="shared" si="1"/>
        <v>0.18747189833412392</v>
      </c>
      <c r="O5" s="306">
        <f t="shared" si="1"/>
        <v>0.19216976110698192</v>
      </c>
      <c r="P5" s="306">
        <f t="shared" si="1"/>
        <v>0.20476620296227144</v>
      </c>
      <c r="Q5" s="306">
        <f t="shared" si="1"/>
        <v>0.19619358612722504</v>
      </c>
      <c r="R5" s="306">
        <f t="shared" si="1"/>
        <v>0.16614045471236394</v>
      </c>
      <c r="S5" s="306">
        <f t="shared" si="1"/>
        <v>0.16720364814245925</v>
      </c>
      <c r="T5" s="306">
        <f t="shared" si="1"/>
        <v>0.14383654308113458</v>
      </c>
      <c r="U5" s="306">
        <f t="shared" si="1"/>
        <v>0.11953040551187577</v>
      </c>
      <c r="V5" s="306">
        <f t="shared" si="1"/>
        <v>0.12006195296534905</v>
      </c>
      <c r="W5" s="306">
        <f t="shared" si="1"/>
        <v>0.1205981873137203</v>
      </c>
      <c r="X5" s="306">
        <f t="shared" si="1"/>
        <v>0.11015283426333466</v>
      </c>
      <c r="Y5" s="306">
        <f t="shared" si="1"/>
        <v>0.11051725405951229</v>
      </c>
      <c r="Z5" s="306">
        <f t="shared" si="1"/>
        <v>0.11089117897468581</v>
      </c>
      <c r="AA5" s="306">
        <f t="shared" si="1"/>
        <v>0.11127460192135907</v>
      </c>
      <c r="AB5" s="306">
        <f t="shared" si="1"/>
        <v>0.10744021210652432</v>
      </c>
      <c r="AC5" s="306">
        <f t="shared" si="1"/>
        <v>0.10799334692129436</v>
      </c>
      <c r="AD5" s="306">
        <f t="shared" si="1"/>
        <v>0.10855684449952463</v>
      </c>
      <c r="AE5" s="306">
        <f t="shared" si="1"/>
        <v>0.10913048180623974</v>
      </c>
      <c r="AF5" s="307">
        <v>0.03</v>
      </c>
      <c r="AG5" s="367"/>
      <c r="AH5" s="8"/>
    </row>
    <row r="6" spans="1:34" ht="14.4">
      <c r="A6" s="1699"/>
      <c r="B6" s="665">
        <v>2</v>
      </c>
      <c r="C6" s="666" t="s">
        <v>807</v>
      </c>
      <c r="D6" s="672">
        <v>16434</v>
      </c>
      <c r="E6" s="616">
        <v>23601</v>
      </c>
      <c r="F6" s="292">
        <v>22680</v>
      </c>
      <c r="G6" s="299">
        <f>Assumptions!G198</f>
        <v>26709.67</v>
      </c>
      <c r="H6" s="297">
        <f>Assumptions!H198</f>
        <v>32680.401900000001</v>
      </c>
      <c r="I6" s="297">
        <f>Assumptions!I198</f>
        <v>40725.533273000001</v>
      </c>
      <c r="J6" s="300">
        <f>Assumptions!J198</f>
        <v>49744.465494410004</v>
      </c>
      <c r="K6" s="299">
        <f>Assumptions!K198</f>
        <v>63326.334175791999</v>
      </c>
      <c r="L6" s="297">
        <f>Assumptions!L198</f>
        <v>77116.8354109504</v>
      </c>
      <c r="M6" s="297">
        <f>Assumptions!M198</f>
        <v>91184.321493140465</v>
      </c>
      <c r="N6" s="297">
        <f>Assumptions!N198</f>
        <v>108278.81934176857</v>
      </c>
      <c r="O6" s="297">
        <f>Assumptions!O198</f>
        <v>129086.73418762229</v>
      </c>
      <c r="P6" s="297">
        <f>Assumptions!P198</f>
        <v>155519.33460002174</v>
      </c>
      <c r="Q6" s="297">
        <f>Assumptions!Q198</f>
        <v>186031.23056731984</v>
      </c>
      <c r="R6" s="297">
        <f>Assumptions!R198</f>
        <v>216938.54380447499</v>
      </c>
      <c r="S6" s="297">
        <f>Assumptions!S198</f>
        <v>253211.45975129589</v>
      </c>
      <c r="T6" s="297">
        <f>Assumptions!T198</f>
        <v>289632.52079045016</v>
      </c>
      <c r="U6" s="297">
        <f>Assumptions!U198</f>
        <v>324252.41344995948</v>
      </c>
      <c r="V6" s="297">
        <f>Assumptions!V198</f>
        <v>363182.7914624894</v>
      </c>
      <c r="W6" s="297">
        <f>Assumptions!W198</f>
        <v>406981.97777640249</v>
      </c>
      <c r="X6" s="297">
        <f>Assumptions!X198</f>
        <v>451812.19612257066</v>
      </c>
      <c r="Y6" s="297">
        <f>Assumptions!Y198</f>
        <v>501745.23938863497</v>
      </c>
      <c r="Z6" s="297">
        <f>Assumptions!Z198</f>
        <v>557384.36052937666</v>
      </c>
      <c r="AA6" s="297">
        <f>Assumptions!AA198</f>
        <v>619407.08336447435</v>
      </c>
      <c r="AB6" s="297">
        <f>Assumptions!AB198</f>
        <v>685956.31178143714</v>
      </c>
      <c r="AC6" s="297">
        <f>Assumptions!AC198</f>
        <v>760035.02973250137</v>
      </c>
      <c r="AD6" s="297">
        <f>Assumptions!AD198</f>
        <v>842542.03426936409</v>
      </c>
      <c r="AE6" s="297">
        <f>Assumptions!AE198</f>
        <v>934489.05241118919</v>
      </c>
      <c r="AF6" s="300">
        <f>Assumptions!AF198</f>
        <v>1020813.322621481</v>
      </c>
      <c r="AG6" s="459"/>
      <c r="AH6" s="8"/>
    </row>
    <row r="7" spans="1:34">
      <c r="A7" s="1699"/>
      <c r="B7" s="665">
        <v>3</v>
      </c>
      <c r="C7" s="667" t="s">
        <v>808</v>
      </c>
      <c r="D7" s="673">
        <f>D8/D6</f>
        <v>0.22130948034562492</v>
      </c>
      <c r="E7" s="673">
        <f t="shared" ref="E7:F7" si="2">E8/E6</f>
        <v>5.2752002033812126E-2</v>
      </c>
      <c r="F7" s="673">
        <f t="shared" si="2"/>
        <v>1.7328042328042328E-2</v>
      </c>
      <c r="G7" s="308">
        <f>G8/G6</f>
        <v>0.11700279524232236</v>
      </c>
      <c r="H7" s="309">
        <f t="shared" ref="H7:AF7" si="3">H8/H6</f>
        <v>0.14429852065252602</v>
      </c>
      <c r="I7" s="309">
        <f t="shared" si="3"/>
        <v>0.20427575681398003</v>
      </c>
      <c r="J7" s="310">
        <f t="shared" si="3"/>
        <v>0.23532504345743982</v>
      </c>
      <c r="K7" s="308">
        <f t="shared" si="3"/>
        <v>0.23809550929308804</v>
      </c>
      <c r="L7" s="309">
        <f t="shared" si="3"/>
        <v>0.20973787216186343</v>
      </c>
      <c r="M7" s="309">
        <f t="shared" si="3"/>
        <v>0.22329235127193364</v>
      </c>
      <c r="N7" s="309">
        <f t="shared" si="3"/>
        <v>0.20971922464221862</v>
      </c>
      <c r="O7" s="309">
        <f t="shared" si="3"/>
        <v>0.2192203513600868</v>
      </c>
      <c r="P7" s="309">
        <f t="shared" si="3"/>
        <v>0.23952427742846802</v>
      </c>
      <c r="Q7" s="309">
        <f t="shared" si="3"/>
        <v>0.23344827560938747</v>
      </c>
      <c r="R7" s="309">
        <f t="shared" si="3"/>
        <v>0.22145210107996841</v>
      </c>
      <c r="S7" s="309">
        <f t="shared" si="3"/>
        <v>0.21983863999831338</v>
      </c>
      <c r="T7" s="309">
        <f t="shared" si="3"/>
        <v>0.21967611831275502</v>
      </c>
      <c r="U7" s="309">
        <f t="shared" si="3"/>
        <v>0.22104301132875004</v>
      </c>
      <c r="V7" s="309">
        <f t="shared" si="3"/>
        <v>0.22242195686020896</v>
      </c>
      <c r="W7" s="309">
        <f t="shared" si="3"/>
        <v>0.21819733650168444</v>
      </c>
      <c r="X7" s="309">
        <f t="shared" si="3"/>
        <v>0.20888547557063522</v>
      </c>
      <c r="Y7" s="309">
        <f t="shared" si="3"/>
        <v>0.20974838391216005</v>
      </c>
      <c r="Z7" s="309">
        <f t="shared" si="3"/>
        <v>0.21063321090707285</v>
      </c>
      <c r="AA7" s="309">
        <f t="shared" si="3"/>
        <v>0.2115398949708234</v>
      </c>
      <c r="AB7" s="309">
        <f t="shared" si="3"/>
        <v>0.21232506254935493</v>
      </c>
      <c r="AC7" s="309">
        <f t="shared" si="3"/>
        <v>0.20056837911295339</v>
      </c>
      <c r="AD7" s="309">
        <f t="shared" si="3"/>
        <v>0.20094993707760694</v>
      </c>
      <c r="AE7" s="309">
        <f t="shared" si="3"/>
        <v>0.2013537224882995</v>
      </c>
      <c r="AF7" s="310">
        <f t="shared" si="3"/>
        <v>0.20101420206355702</v>
      </c>
      <c r="AG7" s="367"/>
      <c r="AH7" s="8"/>
    </row>
    <row r="8" spans="1:34" ht="14.4">
      <c r="A8" s="1699"/>
      <c r="B8" s="665">
        <v>4</v>
      </c>
      <c r="C8" s="668" t="s">
        <v>58</v>
      </c>
      <c r="D8" s="674">
        <v>3637</v>
      </c>
      <c r="E8" s="289">
        <v>1245</v>
      </c>
      <c r="F8" s="293">
        <v>393</v>
      </c>
      <c r="G8" s="299">
        <f>Assumptions!G202</f>
        <v>3125.1060500000003</v>
      </c>
      <c r="H8" s="297">
        <f>Assumptions!H202</f>
        <v>4715.7336485000005</v>
      </c>
      <c r="I8" s="297">
        <f>Assumptions!I202</f>
        <v>8319.2391309949999</v>
      </c>
      <c r="J8" s="300">
        <f>Assumptions!J202</f>
        <v>11706.11850423915</v>
      </c>
      <c r="K8" s="299">
        <f>Assumptions!K202</f>
        <v>15077.715787249483</v>
      </c>
      <c r="L8" s="297">
        <f>Assumptions!L202</f>
        <v>16174.320966949379</v>
      </c>
      <c r="M8" s="297">
        <f>Assumptions!M202</f>
        <v>20360.76154533925</v>
      </c>
      <c r="N8" s="297">
        <f>Assumptions!N202</f>
        <v>22708.15003753057</v>
      </c>
      <c r="O8" s="297">
        <f>Assumptions!O202</f>
        <v>28298.439224536687</v>
      </c>
      <c r="P8" s="297">
        <f>Assumptions!P202</f>
        <v>37250.656246226354</v>
      </c>
      <c r="Q8" s="297">
        <f>Assumptions!Q202</f>
        <v>43428.669985433189</v>
      </c>
      <c r="R8" s="297">
        <f>Assumptions!R202</f>
        <v>48041.496330729751</v>
      </c>
      <c r="S8" s="297">
        <f>Assumptions!S202</f>
        <v>55665.662943712552</v>
      </c>
      <c r="T8" s="297">
        <f>Assumptions!T202</f>
        <v>63625.347904384405</v>
      </c>
      <c r="U8" s="297">
        <f>Assumptions!U202</f>
        <v>71673.729899593935</v>
      </c>
      <c r="V8" s="297">
        <f>Assumptions!V202</f>
        <v>80779.827175040089</v>
      </c>
      <c r="W8" s="297">
        <f>Assumptions!W202</f>
        <v>88802.383554998756</v>
      </c>
      <c r="X8" s="297">
        <f>Assumptions!X202</f>
        <v>94377.005455676277</v>
      </c>
      <c r="Y8" s="297">
        <f>Assumptions!Y202</f>
        <v>105240.25309738606</v>
      </c>
      <c r="Z8" s="297">
        <f>Assumptions!Z202</f>
        <v>117403.65756768812</v>
      </c>
      <c r="AA8" s="297">
        <f>Assumptions!AA202</f>
        <v>131029.30935910495</v>
      </c>
      <c r="AB8" s="297">
        <f>Assumptions!AB202</f>
        <v>145645.71680511846</v>
      </c>
      <c r="AC8" s="297">
        <f>Assumptions!AC202</f>
        <v>152438.99398251314</v>
      </c>
      <c r="AD8" s="297">
        <f>Assumptions!AD202</f>
        <v>169308.76877166767</v>
      </c>
      <c r="AE8" s="297">
        <f>Assumptions!AE202</f>
        <v>188162.84932755656</v>
      </c>
      <c r="AF8" s="300">
        <f>Assumptions!AF202</f>
        <v>205197.9755026054</v>
      </c>
      <c r="AG8" s="446"/>
      <c r="AH8" s="4"/>
    </row>
    <row r="9" spans="1:34" ht="14.4">
      <c r="A9" s="1699"/>
      <c r="B9" s="665" t="s">
        <v>809</v>
      </c>
      <c r="C9" s="666" t="s">
        <v>810</v>
      </c>
      <c r="D9" s="675">
        <v>-407</v>
      </c>
      <c r="E9" s="434">
        <v>-626</v>
      </c>
      <c r="F9" s="435">
        <v>-642</v>
      </c>
      <c r="G9" s="436">
        <f>$D$54*Pessimistic!F41</f>
        <v>-641.44000000000005</v>
      </c>
      <c r="H9" s="437">
        <f>$D$54*Pessimistic!G41</f>
        <v>-740.32570854995345</v>
      </c>
      <c r="I9" s="437">
        <f>$D$54*Pessimistic!H41</f>
        <v>-853.63158315052192</v>
      </c>
      <c r="J9" s="438">
        <f>$D$54*Pessimistic!I41</f>
        <v>-983.76317240762683</v>
      </c>
      <c r="K9" s="439">
        <f>$E$54*Pessimistic!J41</f>
        <v>-1062.9970721412894</v>
      </c>
      <c r="L9" s="440">
        <f>$E$54*Pessimistic!K41</f>
        <v>-1282.5363370826035</v>
      </c>
      <c r="M9" s="440">
        <f>$E$54*Pessimistic!L41</f>
        <v>-1540.1220785031853</v>
      </c>
      <c r="N9" s="440">
        <f>$E$54*Pessimistic!M41</f>
        <v>-1834.8721387146993</v>
      </c>
      <c r="O9" s="440">
        <f>$E$54*Pessimistic!N41</f>
        <v>-2173.3095478513546</v>
      </c>
      <c r="P9" s="440">
        <f>$F$54*Pessimistic!O41</f>
        <v>-2563.1876215706052</v>
      </c>
      <c r="Q9" s="440">
        <f>$F$54*Pessimistic!P41</f>
        <v>-2912.2794234323574</v>
      </c>
      <c r="R9" s="440">
        <f>$F$54*Pessimistic!Q41</f>
        <v>-3320.521908687052</v>
      </c>
      <c r="S9" s="440">
        <f>$F$54*Pessimistic!R41</f>
        <v>-3782.5872761476262</v>
      </c>
      <c r="T9" s="440">
        <f>$F$54*Pessimistic!S41</f>
        <v>-4305.8076090867289</v>
      </c>
      <c r="U9" s="440">
        <f>$F$54*Pessimistic!T41</f>
        <v>-4898.5406683620849</v>
      </c>
      <c r="V9" s="440">
        <f>$F$54*Pessimistic!U41</f>
        <v>-5559.9202371230731</v>
      </c>
      <c r="W9" s="440">
        <f>$F$54*Pessimistic!V41</f>
        <v>-6298.2169468519724</v>
      </c>
      <c r="X9" s="440">
        <f>$F$54*Pessimistic!W41</f>
        <v>-7122.7393892593464</v>
      </c>
      <c r="Y9" s="440">
        <f>$F$54*Pessimistic!X41</f>
        <v>-8041.8694103399521</v>
      </c>
      <c r="Z9" s="440">
        <f>$F$54*Pessimistic!Y41</f>
        <v>-9067.0380776830152</v>
      </c>
      <c r="AA9" s="440">
        <f>$F$54*Pessimistic!Z41</f>
        <v>-10211.126872859526</v>
      </c>
      <c r="AB9" s="440">
        <f>$F$54*Pessimistic!AA41</f>
        <v>-11488.659769765012</v>
      </c>
      <c r="AC9" s="440">
        <f>$F$54*Pessimistic!AB41</f>
        <v>-12916.021651607172</v>
      </c>
      <c r="AD9" s="440">
        <f>$F$54*Pessimistic!AC41</f>
        <v>-14511.706776045939</v>
      </c>
      <c r="AE9" s="440">
        <f>$F$54*Pessimistic!AD41</f>
        <v>-16293.268878040093</v>
      </c>
      <c r="AF9" s="441">
        <f>$F$54*Pessimistic!AE41</f>
        <v>-18283.84180260374</v>
      </c>
      <c r="AG9" s="447">
        <f>SUM(D9:AF9)</f>
        <v>-154365.33195786655</v>
      </c>
      <c r="AH9" s="4"/>
    </row>
    <row r="10" spans="1:34" ht="14.4">
      <c r="A10" s="1699"/>
      <c r="B10" s="665" t="s">
        <v>811</v>
      </c>
      <c r="C10" s="666" t="s">
        <v>812</v>
      </c>
      <c r="D10" s="675">
        <v>0</v>
      </c>
      <c r="E10" s="434">
        <v>-3548</v>
      </c>
      <c r="F10" s="435">
        <v>-2811</v>
      </c>
      <c r="G10" s="436">
        <f>F39*$D$55</f>
        <v>-3603.86</v>
      </c>
      <c r="H10" s="442">
        <f t="shared" ref="H10:J10" si="4">G39*$D$55</f>
        <v>-3603.86</v>
      </c>
      <c r="I10" s="442">
        <f t="shared" si="4"/>
        <v>-3603.86</v>
      </c>
      <c r="J10" s="443">
        <f t="shared" si="4"/>
        <v>-4504.8249999999998</v>
      </c>
      <c r="K10" s="439">
        <f t="shared" ref="K10:AF10" si="5">J39*$F$55</f>
        <v>-5197.875</v>
      </c>
      <c r="L10" s="440">
        <f t="shared" si="5"/>
        <v>-6497.34375</v>
      </c>
      <c r="M10" s="440">
        <f t="shared" si="5"/>
        <v>-8121.6796875</v>
      </c>
      <c r="N10" s="440">
        <f t="shared" si="5"/>
        <v>-10152.099609375</v>
      </c>
      <c r="O10" s="440">
        <f t="shared" si="5"/>
        <v>-12690.12451171875</v>
      </c>
      <c r="P10" s="440">
        <f t="shared" si="5"/>
        <v>-15862.655639648438</v>
      </c>
      <c r="Q10" s="440">
        <f t="shared" si="5"/>
        <v>-19828.319549560547</v>
      </c>
      <c r="R10" s="440">
        <f t="shared" si="5"/>
        <v>-24785.399436950684</v>
      </c>
      <c r="S10" s="440">
        <f t="shared" si="5"/>
        <v>-28503.209352493282</v>
      </c>
      <c r="T10" s="440">
        <f t="shared" si="5"/>
        <v>-32778.690755367272</v>
      </c>
      <c r="U10" s="440">
        <f t="shared" si="5"/>
        <v>-37695.494368672356</v>
      </c>
      <c r="V10" s="440">
        <f t="shared" si="5"/>
        <v>-43349.818523973205</v>
      </c>
      <c r="W10" s="440">
        <f t="shared" si="5"/>
        <v>-49852.291302569181</v>
      </c>
      <c r="X10" s="440">
        <f t="shared" si="5"/>
        <v>-57330.134997954556</v>
      </c>
      <c r="Y10" s="440">
        <f t="shared" si="5"/>
        <v>-65929.655247647737</v>
      </c>
      <c r="Z10" s="440">
        <f t="shared" si="5"/>
        <v>-75819.103534794893</v>
      </c>
      <c r="AA10" s="440">
        <f t="shared" si="5"/>
        <v>-87191.969065014127</v>
      </c>
      <c r="AB10" s="440">
        <f t="shared" si="5"/>
        <v>-100270.76442476624</v>
      </c>
      <c r="AC10" s="440">
        <f t="shared" si="5"/>
        <v>-115311.37908848115</v>
      </c>
      <c r="AD10" s="440">
        <f t="shared" si="5"/>
        <v>-132608.08595175331</v>
      </c>
      <c r="AE10" s="440">
        <f t="shared" si="5"/>
        <v>-152499.29884451628</v>
      </c>
      <c r="AF10" s="441">
        <f t="shared" si="5"/>
        <v>-175374.19367119373</v>
      </c>
      <c r="AG10" s="446"/>
      <c r="AH10" s="4"/>
    </row>
    <row r="11" spans="1:34" ht="14.4">
      <c r="A11" s="1699"/>
      <c r="B11" s="665" t="s">
        <v>813</v>
      </c>
      <c r="C11" s="666" t="s">
        <v>814</v>
      </c>
      <c r="D11" s="675">
        <v>-379</v>
      </c>
      <c r="E11" s="434">
        <v>-1081</v>
      </c>
      <c r="F11" s="435">
        <v>-1384</v>
      </c>
      <c r="G11" s="436">
        <f>G6*$D$56</f>
        <v>-1335.4835</v>
      </c>
      <c r="H11" s="442">
        <f t="shared" ref="H11:J11" si="6">H6*$D$56</f>
        <v>-1634.0200950000001</v>
      </c>
      <c r="I11" s="442">
        <f t="shared" si="6"/>
        <v>-2036.27666365</v>
      </c>
      <c r="J11" s="443">
        <f t="shared" si="6"/>
        <v>-2487.2232747205003</v>
      </c>
      <c r="K11" s="436">
        <f>K6*$E$56</f>
        <v>-3799.5800505475199</v>
      </c>
      <c r="L11" s="442">
        <f t="shared" ref="L11:Q11" si="7">L6*$E$56</f>
        <v>-4627.0101246570239</v>
      </c>
      <c r="M11" s="442">
        <f t="shared" si="7"/>
        <v>-5471.0592895884274</v>
      </c>
      <c r="N11" s="442">
        <f t="shared" si="7"/>
        <v>-6496.7291605061137</v>
      </c>
      <c r="O11" s="442">
        <f t="shared" si="7"/>
        <v>-7745.2040512573376</v>
      </c>
      <c r="P11" s="442">
        <f t="shared" si="7"/>
        <v>-9331.1600760013043</v>
      </c>
      <c r="Q11" s="442">
        <f t="shared" si="7"/>
        <v>-11161.87383403919</v>
      </c>
      <c r="R11" s="442">
        <f>R6*$F$56</f>
        <v>-8677.5417521790005</v>
      </c>
      <c r="S11" s="442">
        <f t="shared" ref="S11:AF11" si="8">S6*$F$56</f>
        <v>-10128.458390051836</v>
      </c>
      <c r="T11" s="442">
        <f t="shared" si="8"/>
        <v>-11585.300831618006</v>
      </c>
      <c r="U11" s="442">
        <f t="shared" si="8"/>
        <v>-12970.096537998379</v>
      </c>
      <c r="V11" s="442">
        <f t="shared" si="8"/>
        <v>-14527.311658499577</v>
      </c>
      <c r="W11" s="442">
        <f t="shared" si="8"/>
        <v>-16279.279111056099</v>
      </c>
      <c r="X11" s="442">
        <f t="shared" si="8"/>
        <v>-18072.487844902826</v>
      </c>
      <c r="Y11" s="442">
        <f t="shared" si="8"/>
        <v>-20069.809575545398</v>
      </c>
      <c r="Z11" s="442">
        <f t="shared" si="8"/>
        <v>-22295.374421175067</v>
      </c>
      <c r="AA11" s="442">
        <f t="shared" si="8"/>
        <v>-24776.283334578973</v>
      </c>
      <c r="AB11" s="442">
        <f t="shared" si="8"/>
        <v>-27438.252471257485</v>
      </c>
      <c r="AC11" s="442">
        <f t="shared" si="8"/>
        <v>-30401.401189300057</v>
      </c>
      <c r="AD11" s="442">
        <f t="shared" si="8"/>
        <v>-33701.68137077456</v>
      </c>
      <c r="AE11" s="442">
        <f t="shared" si="8"/>
        <v>-37379.562096447567</v>
      </c>
      <c r="AF11" s="443">
        <f t="shared" si="8"/>
        <v>-40832.532904859239</v>
      </c>
      <c r="AG11" s="446"/>
      <c r="AH11" s="4"/>
    </row>
    <row r="12" spans="1:34" ht="14.4">
      <c r="A12" s="1699"/>
      <c r="B12" s="665">
        <v>6</v>
      </c>
      <c r="C12" s="668" t="s">
        <v>50</v>
      </c>
      <c r="D12" s="289">
        <f>D8-D9-D10</f>
        <v>4044</v>
      </c>
      <c r="E12" s="289">
        <f t="shared" ref="E12:F12" si="9">E8-E9-E10</f>
        <v>5419</v>
      </c>
      <c r="F12" s="289">
        <f t="shared" si="9"/>
        <v>3846</v>
      </c>
      <c r="G12" s="311">
        <f>G8-G9-G10</f>
        <v>7370.4060500000005</v>
      </c>
      <c r="H12" s="312">
        <f t="shared" ref="H12:AF12" si="10">H8-H9-H10</f>
        <v>9059.9193570499538</v>
      </c>
      <c r="I12" s="312">
        <f t="shared" si="10"/>
        <v>12776.730714145522</v>
      </c>
      <c r="J12" s="313">
        <f>J8-J9-J10</f>
        <v>17194.706676646776</v>
      </c>
      <c r="K12" s="311">
        <f t="shared" si="10"/>
        <v>21338.587859390773</v>
      </c>
      <c r="L12" s="312">
        <f t="shared" si="10"/>
        <v>23954.201054031982</v>
      </c>
      <c r="M12" s="312">
        <f t="shared" si="10"/>
        <v>30022.563311342434</v>
      </c>
      <c r="N12" s="312">
        <f t="shared" si="10"/>
        <v>34695.121785620271</v>
      </c>
      <c r="O12" s="312">
        <f t="shared" si="10"/>
        <v>43161.87328410679</v>
      </c>
      <c r="P12" s="312">
        <f t="shared" si="10"/>
        <v>55676.499507445398</v>
      </c>
      <c r="Q12" s="312">
        <f t="shared" si="10"/>
        <v>66169.268958426095</v>
      </c>
      <c r="R12" s="312">
        <f t="shared" si="10"/>
        <v>76147.417676367477</v>
      </c>
      <c r="S12" s="312">
        <f t="shared" si="10"/>
        <v>87951.459572353458</v>
      </c>
      <c r="T12" s="312">
        <f t="shared" si="10"/>
        <v>100709.84626883842</v>
      </c>
      <c r="U12" s="312">
        <f t="shared" si="10"/>
        <v>114267.76493662837</v>
      </c>
      <c r="V12" s="312">
        <f t="shared" si="10"/>
        <v>129689.56593613638</v>
      </c>
      <c r="W12" s="312">
        <f t="shared" si="10"/>
        <v>144952.89180441992</v>
      </c>
      <c r="X12" s="312">
        <f t="shared" si="10"/>
        <v>158829.87984289019</v>
      </c>
      <c r="Y12" s="312">
        <f t="shared" si="10"/>
        <v>179211.77775537374</v>
      </c>
      <c r="Z12" s="312">
        <f t="shared" si="10"/>
        <v>202289.79918016604</v>
      </c>
      <c r="AA12" s="312">
        <f t="shared" si="10"/>
        <v>228432.4052969786</v>
      </c>
      <c r="AB12" s="312">
        <f t="shared" si="10"/>
        <v>257405.14099964971</v>
      </c>
      <c r="AC12" s="312">
        <f t="shared" si="10"/>
        <v>280666.39472260146</v>
      </c>
      <c r="AD12" s="312">
        <f t="shared" si="10"/>
        <v>316428.56149946689</v>
      </c>
      <c r="AE12" s="312">
        <f t="shared" si="10"/>
        <v>356955.41705011291</v>
      </c>
      <c r="AF12" s="313">
        <f t="shared" si="10"/>
        <v>398856.0109764029</v>
      </c>
      <c r="AG12" s="282"/>
      <c r="AH12" s="4"/>
    </row>
    <row r="13" spans="1:34" ht="14.4">
      <c r="A13" s="1699"/>
      <c r="B13" s="665">
        <v>7</v>
      </c>
      <c r="C13" s="666" t="s">
        <v>815</v>
      </c>
      <c r="D13" s="676">
        <v>30</v>
      </c>
      <c r="E13" s="432">
        <v>-85</v>
      </c>
      <c r="F13" s="433">
        <v>99</v>
      </c>
      <c r="G13" s="439">
        <f>F44*$D$59+F45*$D$58</f>
        <v>117.078</v>
      </c>
      <c r="H13" s="440">
        <f t="shared" ref="H13:AF13" si="11">G44*$D$59+G45*$D$58</f>
        <v>272.37709006499995</v>
      </c>
      <c r="I13" s="440">
        <f t="shared" si="11"/>
        <v>529.64922828133774</v>
      </c>
      <c r="J13" s="441">
        <f t="shared" si="11"/>
        <v>832.53110560154494</v>
      </c>
      <c r="K13" s="439">
        <f t="shared" si="11"/>
        <v>1172.107389707968</v>
      </c>
      <c r="L13" s="440">
        <f t="shared" si="11"/>
        <v>1604.6486926500106</v>
      </c>
      <c r="M13" s="440">
        <f t="shared" si="11"/>
        <v>664.86872265269642</v>
      </c>
      <c r="N13" s="440">
        <f t="shared" si="11"/>
        <v>815.37433100612725</v>
      </c>
      <c r="O13" s="440">
        <f t="shared" si="11"/>
        <v>979.90461703604615</v>
      </c>
      <c r="P13" s="440">
        <f t="shared" si="11"/>
        <v>1137.0232658865937</v>
      </c>
      <c r="Q13" s="440">
        <f t="shared" si="11"/>
        <v>1313.422152256597</v>
      </c>
      <c r="R13" s="440">
        <f t="shared" si="11"/>
        <v>1571.8997951661872</v>
      </c>
      <c r="S13" s="440">
        <f t="shared" si="11"/>
        <v>1833.2496199818661</v>
      </c>
      <c r="T13" s="440">
        <f t="shared" si="11"/>
        <v>2149.5624738133824</v>
      </c>
      <c r="U13" s="440">
        <f t="shared" si="11"/>
        <v>2448.2405477126358</v>
      </c>
      <c r="V13" s="440">
        <f t="shared" si="11"/>
        <v>2704.3980176085529</v>
      </c>
      <c r="W13" s="440">
        <f t="shared" si="11"/>
        <v>2993.0844553117013</v>
      </c>
      <c r="X13" s="440">
        <f t="shared" si="11"/>
        <v>3347.9915203537093</v>
      </c>
      <c r="Y13" s="440">
        <f t="shared" si="11"/>
        <v>3728.1032413621169</v>
      </c>
      <c r="Z13" s="440">
        <f t="shared" si="11"/>
        <v>4078.3737587055175</v>
      </c>
      <c r="AA13" s="440">
        <f t="shared" si="11"/>
        <v>4465.2486007760863</v>
      </c>
      <c r="AB13" s="440">
        <f t="shared" si="11"/>
        <v>4889.0024758241743</v>
      </c>
      <c r="AC13" s="440">
        <f t="shared" si="11"/>
        <v>5324.1840523114734</v>
      </c>
      <c r="AD13" s="440">
        <f t="shared" si="11"/>
        <v>5940.2219820685787</v>
      </c>
      <c r="AE13" s="440">
        <f t="shared" si="11"/>
        <v>6472.8284142252851</v>
      </c>
      <c r="AF13" s="441">
        <f t="shared" si="11"/>
        <v>7060.5139853628316</v>
      </c>
      <c r="AG13" s="446"/>
      <c r="AH13" s="4"/>
    </row>
    <row r="14" spans="1:34" ht="14.4">
      <c r="A14" s="1699"/>
      <c r="B14" s="665">
        <v>8</v>
      </c>
      <c r="C14" s="666" t="s">
        <v>816</v>
      </c>
      <c r="D14" s="677">
        <v>4</v>
      </c>
      <c r="E14" s="290">
        <v>19</v>
      </c>
      <c r="F14" s="295">
        <v>8</v>
      </c>
      <c r="G14" s="299">
        <f>AVERAGE(D14:F14)*(1+G5)</f>
        <v>12.169308788947678</v>
      </c>
      <c r="H14" s="297">
        <f t="shared" ref="H14:AF14" si="12">AVERAGE(E14:G14)*(1+H5)</f>
        <v>15.975097575372669</v>
      </c>
      <c r="I14" s="297">
        <f t="shared" si="12"/>
        <v>15.014097526780633</v>
      </c>
      <c r="J14" s="300">
        <f t="shared" si="12"/>
        <v>17.572077720134448</v>
      </c>
      <c r="K14" s="299">
        <f t="shared" si="12"/>
        <v>20.606697047812446</v>
      </c>
      <c r="L14" s="297">
        <f t="shared" si="12"/>
        <v>21.592207155614989</v>
      </c>
      <c r="M14" s="297">
        <f t="shared" si="12"/>
        <v>23.558091661114517</v>
      </c>
      <c r="N14" s="297">
        <f t="shared" si="12"/>
        <v>26.028194902672254</v>
      </c>
      <c r="O14" s="297">
        <f t="shared" si="12"/>
        <v>28.285615951138002</v>
      </c>
      <c r="P14" s="297">
        <f t="shared" si="12"/>
        <v>31.272478770118024</v>
      </c>
      <c r="Q14" s="297">
        <f t="shared" si="12"/>
        <v>34.125923569523358</v>
      </c>
      <c r="R14" s="297">
        <f t="shared" si="12"/>
        <v>36.416241229630302</v>
      </c>
      <c r="S14" s="297">
        <f t="shared" si="12"/>
        <v>39.612807802792695</v>
      </c>
      <c r="T14" s="297">
        <f t="shared" si="12"/>
        <v>41.99976102140247</v>
      </c>
      <c r="U14" s="297">
        <f t="shared" si="12"/>
        <v>44.045613860547789</v>
      </c>
      <c r="V14" s="297">
        <f t="shared" si="12"/>
        <v>46.914983167983266</v>
      </c>
      <c r="W14" s="297">
        <f t="shared" si="12"/>
        <v>49.665045405112906</v>
      </c>
      <c r="X14" s="297">
        <f t="shared" si="12"/>
        <v>52.038651839270706</v>
      </c>
      <c r="Y14" s="297">
        <f t="shared" si="12"/>
        <v>55.014536291163296</v>
      </c>
      <c r="Z14" s="297">
        <f t="shared" si="12"/>
        <v>58.032301073044621</v>
      </c>
      <c r="AA14" s="297">
        <f t="shared" si="12"/>
        <v>61.15177043252951</v>
      </c>
      <c r="AB14" s="297">
        <f t="shared" si="12"/>
        <v>64.304847722360051</v>
      </c>
      <c r="AC14" s="297">
        <f t="shared" si="12"/>
        <v>67.768167246109954</v>
      </c>
      <c r="AD14" s="297">
        <f t="shared" si="12"/>
        <v>71.400219461076603</v>
      </c>
      <c r="AE14" s="297">
        <f t="shared" si="12"/>
        <v>75.226122179172336</v>
      </c>
      <c r="AF14" s="300">
        <f t="shared" si="12"/>
        <v>73.608781384316558</v>
      </c>
      <c r="AG14" s="446"/>
      <c r="AH14" s="4"/>
    </row>
    <row r="15" spans="1:34" ht="14.4">
      <c r="A15" s="1699"/>
      <c r="B15" s="665">
        <v>9</v>
      </c>
      <c r="C15" s="668" t="s">
        <v>817</v>
      </c>
      <c r="D15" s="674">
        <f>D8+D13+D14</f>
        <v>3671</v>
      </c>
      <c r="E15" s="264">
        <f t="shared" ref="E15:AF15" si="13">E8+E13+E14</f>
        <v>1179</v>
      </c>
      <c r="F15" s="294">
        <f t="shared" si="13"/>
        <v>500</v>
      </c>
      <c r="G15" s="311">
        <f t="shared" si="13"/>
        <v>3254.3533587889478</v>
      </c>
      <c r="H15" s="312">
        <f t="shared" si="13"/>
        <v>5004.0858361403725</v>
      </c>
      <c r="I15" s="312">
        <f t="shared" si="13"/>
        <v>8863.9024568031182</v>
      </c>
      <c r="J15" s="313">
        <f t="shared" si="13"/>
        <v>12556.22168756083</v>
      </c>
      <c r="K15" s="311">
        <f t="shared" si="13"/>
        <v>16270.429874005264</v>
      </c>
      <c r="L15" s="312">
        <f t="shared" si="13"/>
        <v>17800.561866755004</v>
      </c>
      <c r="M15" s="312">
        <f t="shared" si="13"/>
        <v>21049.188359653061</v>
      </c>
      <c r="N15" s="312">
        <f t="shared" si="13"/>
        <v>23549.552563439367</v>
      </c>
      <c r="O15" s="312">
        <f t="shared" si="13"/>
        <v>29306.629457523872</v>
      </c>
      <c r="P15" s="312">
        <f t="shared" si="13"/>
        <v>38418.951990883063</v>
      </c>
      <c r="Q15" s="312">
        <f t="shared" si="13"/>
        <v>44776.218061259315</v>
      </c>
      <c r="R15" s="312">
        <f t="shared" si="13"/>
        <v>49649.812367125567</v>
      </c>
      <c r="S15" s="312">
        <f t="shared" si="13"/>
        <v>57538.525371497206</v>
      </c>
      <c r="T15" s="312">
        <f t="shared" si="13"/>
        <v>65816.910139219195</v>
      </c>
      <c r="U15" s="312">
        <f t="shared" si="13"/>
        <v>74166.016061167116</v>
      </c>
      <c r="V15" s="312">
        <f t="shared" si="13"/>
        <v>83531.140175816618</v>
      </c>
      <c r="W15" s="312">
        <f t="shared" si="13"/>
        <v>91845.133055715574</v>
      </c>
      <c r="X15" s="312">
        <f t="shared" si="13"/>
        <v>97777.035627869263</v>
      </c>
      <c r="Y15" s="312">
        <f t="shared" si="13"/>
        <v>109023.37087503933</v>
      </c>
      <c r="Z15" s="312">
        <f t="shared" si="13"/>
        <v>121540.06362746669</v>
      </c>
      <c r="AA15" s="312">
        <f t="shared" si="13"/>
        <v>135555.70973031357</v>
      </c>
      <c r="AB15" s="312">
        <f t="shared" si="13"/>
        <v>150599.02412866498</v>
      </c>
      <c r="AC15" s="312">
        <f t="shared" si="13"/>
        <v>157830.94620207071</v>
      </c>
      <c r="AD15" s="312">
        <f t="shared" si="13"/>
        <v>175320.39097319733</v>
      </c>
      <c r="AE15" s="312">
        <f t="shared" si="13"/>
        <v>194710.90386396102</v>
      </c>
      <c r="AF15" s="313">
        <f t="shared" si="13"/>
        <v>212332.09826935254</v>
      </c>
      <c r="AG15" s="446"/>
      <c r="AH15" s="4"/>
    </row>
    <row r="16" spans="1:34" ht="14.4">
      <c r="A16" s="1699"/>
      <c r="B16" s="665">
        <v>10</v>
      </c>
      <c r="C16" s="666" t="s">
        <v>818</v>
      </c>
      <c r="D16" s="1318">
        <v>-513</v>
      </c>
      <c r="E16" s="1319">
        <v>122</v>
      </c>
      <c r="F16" s="1320">
        <v>346</v>
      </c>
      <c r="G16" s="410">
        <f>$D$57*-G15</f>
        <v>162.71766793944741</v>
      </c>
      <c r="H16" s="380">
        <f t="shared" ref="H16:J16" si="14">$D$57*-H15</f>
        <v>250.20429180701865</v>
      </c>
      <c r="I16" s="380">
        <f t="shared" si="14"/>
        <v>443.19512284015593</v>
      </c>
      <c r="J16" s="380">
        <f t="shared" si="14"/>
        <v>627.81108437804153</v>
      </c>
      <c r="K16" s="379">
        <f>K15*-$E$57</f>
        <v>-325.4085974801053</v>
      </c>
      <c r="L16" s="380">
        <f t="shared" ref="L16:Q16" si="15">L15*-$E$57</f>
        <v>-356.01123733510008</v>
      </c>
      <c r="M16" s="380">
        <f t="shared" si="15"/>
        <v>-420.98376719306123</v>
      </c>
      <c r="N16" s="380">
        <f t="shared" si="15"/>
        <v>-470.99105126878737</v>
      </c>
      <c r="O16" s="380">
        <f t="shared" si="15"/>
        <v>-586.13258915047743</v>
      </c>
      <c r="P16" s="380">
        <f t="shared" si="15"/>
        <v>-768.37903981766124</v>
      </c>
      <c r="Q16" s="380">
        <f t="shared" si="15"/>
        <v>-895.52436122518634</v>
      </c>
      <c r="R16" s="380">
        <f>$F$57*-R15</f>
        <v>-7943.9699787400905</v>
      </c>
      <c r="S16" s="380">
        <f t="shared" ref="S16:AF16" si="16">$F$57*-S15</f>
        <v>-9206.164059439554</v>
      </c>
      <c r="T16" s="380">
        <f t="shared" si="16"/>
        <v>-10530.705622275071</v>
      </c>
      <c r="U16" s="380">
        <f t="shared" si="16"/>
        <v>-11866.562569786738</v>
      </c>
      <c r="V16" s="380">
        <f t="shared" si="16"/>
        <v>-13364.982428130659</v>
      </c>
      <c r="W16" s="380">
        <f t="shared" si="16"/>
        <v>-14695.221288914492</v>
      </c>
      <c r="X16" s="380">
        <f t="shared" si="16"/>
        <v>-15644.325700459083</v>
      </c>
      <c r="Y16" s="380">
        <f t="shared" si="16"/>
        <v>-17443.739340006294</v>
      </c>
      <c r="Z16" s="380">
        <f t="shared" si="16"/>
        <v>-19446.410180394672</v>
      </c>
      <c r="AA16" s="380">
        <f t="shared" si="16"/>
        <v>-21688.91355685017</v>
      </c>
      <c r="AB16" s="380">
        <f t="shared" si="16"/>
        <v>-24095.843860586399</v>
      </c>
      <c r="AC16" s="380">
        <f t="shared" si="16"/>
        <v>-25252.951392331313</v>
      </c>
      <c r="AD16" s="380">
        <f t="shared" si="16"/>
        <v>-28051.262555711572</v>
      </c>
      <c r="AE16" s="380">
        <f t="shared" si="16"/>
        <v>-31153.744618233763</v>
      </c>
      <c r="AF16" s="381">
        <f t="shared" si="16"/>
        <v>-33973.135723096406</v>
      </c>
      <c r="AG16" s="446"/>
      <c r="AH16" s="4"/>
    </row>
    <row r="17" spans="1:34" ht="15" thickBot="1">
      <c r="A17" s="1699"/>
      <c r="B17" s="669">
        <v>11</v>
      </c>
      <c r="C17" s="670" t="s">
        <v>819</v>
      </c>
      <c r="D17" s="1425">
        <f>D15+D16+D14</f>
        <v>3162</v>
      </c>
      <c r="E17" s="615">
        <f t="shared" ref="E17:F17" si="17">E15+E16+E14</f>
        <v>1320</v>
      </c>
      <c r="F17" s="296">
        <f t="shared" si="17"/>
        <v>854</v>
      </c>
      <c r="G17" s="302">
        <f t="shared" ref="G17:AF17" si="18">G16+G15</f>
        <v>3417.0710267283953</v>
      </c>
      <c r="H17" s="303">
        <f t="shared" si="18"/>
        <v>5254.2901279473908</v>
      </c>
      <c r="I17" s="303">
        <f t="shared" si="18"/>
        <v>9307.097579643274</v>
      </c>
      <c r="J17" s="304">
        <f t="shared" si="18"/>
        <v>13184.032771938872</v>
      </c>
      <c r="K17" s="302">
        <f t="shared" si="18"/>
        <v>15945.021276525158</v>
      </c>
      <c r="L17" s="303">
        <f t="shared" si="18"/>
        <v>17444.550629419904</v>
      </c>
      <c r="M17" s="303">
        <f t="shared" si="18"/>
        <v>20628.204592459999</v>
      </c>
      <c r="N17" s="303">
        <f t="shared" si="18"/>
        <v>23078.561512170581</v>
      </c>
      <c r="O17" s="303">
        <f t="shared" si="18"/>
        <v>28720.496868373393</v>
      </c>
      <c r="P17" s="303">
        <f t="shared" si="18"/>
        <v>37650.572951065398</v>
      </c>
      <c r="Q17" s="303">
        <f t="shared" si="18"/>
        <v>43880.693700034128</v>
      </c>
      <c r="R17" s="303">
        <f t="shared" si="18"/>
        <v>41705.842388385478</v>
      </c>
      <c r="S17" s="303">
        <f t="shared" si="18"/>
        <v>48332.361312057648</v>
      </c>
      <c r="T17" s="303">
        <f t="shared" si="18"/>
        <v>55286.204516944126</v>
      </c>
      <c r="U17" s="303">
        <f t="shared" si="18"/>
        <v>62299.45349138038</v>
      </c>
      <c r="V17" s="303">
        <f t="shared" si="18"/>
        <v>70166.157747685953</v>
      </c>
      <c r="W17" s="303">
        <f t="shared" si="18"/>
        <v>77149.911766801088</v>
      </c>
      <c r="X17" s="303">
        <f t="shared" si="18"/>
        <v>82132.709927410178</v>
      </c>
      <c r="Y17" s="303">
        <f t="shared" si="18"/>
        <v>91579.631535033026</v>
      </c>
      <c r="Z17" s="303">
        <f t="shared" si="18"/>
        <v>102093.65344707202</v>
      </c>
      <c r="AA17" s="303">
        <f t="shared" si="18"/>
        <v>113866.7961734634</v>
      </c>
      <c r="AB17" s="303">
        <f t="shared" si="18"/>
        <v>126503.18026807858</v>
      </c>
      <c r="AC17" s="303">
        <f t="shared" si="18"/>
        <v>132577.99480973941</v>
      </c>
      <c r="AD17" s="303">
        <f t="shared" si="18"/>
        <v>147269.12841748574</v>
      </c>
      <c r="AE17" s="303">
        <f t="shared" si="18"/>
        <v>163557.15924572726</v>
      </c>
      <c r="AF17" s="304">
        <f t="shared" si="18"/>
        <v>178358.96254625614</v>
      </c>
      <c r="AG17" s="446"/>
      <c r="AH17" s="4"/>
    </row>
    <row r="18" spans="1:34" ht="15" thickBot="1">
      <c r="A18" s="229"/>
      <c r="B18" s="241"/>
      <c r="C18" s="242" t="s">
        <v>447</v>
      </c>
      <c r="D18" s="246" t="s">
        <v>447</v>
      </c>
      <c r="E18" s="246" t="s">
        <v>447</v>
      </c>
      <c r="F18" s="246" t="s">
        <v>447</v>
      </c>
      <c r="G18" s="243" t="s">
        <v>447</v>
      </c>
      <c r="H18" s="243" t="s">
        <v>447</v>
      </c>
      <c r="I18" s="243" t="s">
        <v>447</v>
      </c>
      <c r="J18" s="243" t="s">
        <v>447</v>
      </c>
      <c r="K18" s="243" t="s">
        <v>447</v>
      </c>
      <c r="L18" s="243" t="s">
        <v>447</v>
      </c>
      <c r="M18" s="243" t="s">
        <v>447</v>
      </c>
      <c r="N18" s="243" t="s">
        <v>447</v>
      </c>
      <c r="O18" s="243" t="s">
        <v>447</v>
      </c>
      <c r="P18" s="243" t="s">
        <v>447</v>
      </c>
      <c r="Q18" s="243" t="s">
        <v>447</v>
      </c>
      <c r="R18" s="243" t="s">
        <v>447</v>
      </c>
      <c r="S18" s="243" t="s">
        <v>447</v>
      </c>
      <c r="T18" s="243" t="s">
        <v>447</v>
      </c>
      <c r="U18" s="243" t="s">
        <v>447</v>
      </c>
      <c r="V18" s="243" t="s">
        <v>447</v>
      </c>
      <c r="W18" s="243" t="s">
        <v>447</v>
      </c>
      <c r="X18" s="243" t="s">
        <v>447</v>
      </c>
      <c r="Y18" s="243" t="s">
        <v>447</v>
      </c>
      <c r="Z18" s="243" t="s">
        <v>447</v>
      </c>
      <c r="AA18" s="243" t="s">
        <v>447</v>
      </c>
      <c r="AB18" s="243" t="s">
        <v>447</v>
      </c>
      <c r="AC18" s="243" t="s">
        <v>447</v>
      </c>
      <c r="AD18" s="243" t="s">
        <v>447</v>
      </c>
      <c r="AE18" s="243" t="s">
        <v>447</v>
      </c>
      <c r="AF18" s="251" t="s">
        <v>447</v>
      </c>
      <c r="AG18" s="446"/>
      <c r="AH18" s="4"/>
    </row>
    <row r="19" spans="1:34" ht="14.4">
      <c r="A19" s="1927" t="s">
        <v>820</v>
      </c>
      <c r="B19" s="219">
        <v>12</v>
      </c>
      <c r="C19" s="393" t="s">
        <v>821</v>
      </c>
      <c r="D19" s="378">
        <v>4674</v>
      </c>
      <c r="E19" s="258">
        <v>6492</v>
      </c>
      <c r="F19" s="658">
        <v>6100</v>
      </c>
      <c r="G19" s="638">
        <f>G17-G10-G9-G11</f>
        <v>8997.8545267283953</v>
      </c>
      <c r="H19" s="639">
        <f t="shared" ref="H19:AF19" si="19">H17-H10-H9-H11</f>
        <v>11232.495931497344</v>
      </c>
      <c r="I19" s="639">
        <f t="shared" si="19"/>
        <v>15800.865826443796</v>
      </c>
      <c r="J19" s="640">
        <f t="shared" si="19"/>
        <v>21159.844219066999</v>
      </c>
      <c r="K19" s="641">
        <f t="shared" si="19"/>
        <v>26005.473399213966</v>
      </c>
      <c r="L19" s="639">
        <f t="shared" si="19"/>
        <v>29851.440841159532</v>
      </c>
      <c r="M19" s="639">
        <f t="shared" si="19"/>
        <v>35761.065648051612</v>
      </c>
      <c r="N19" s="639">
        <f t="shared" si="19"/>
        <v>41562.26242076639</v>
      </c>
      <c r="O19" s="639">
        <f t="shared" si="19"/>
        <v>51329.134979200833</v>
      </c>
      <c r="P19" s="639">
        <f t="shared" si="19"/>
        <v>65407.576288285745</v>
      </c>
      <c r="Q19" s="639">
        <f t="shared" si="19"/>
        <v>77783.166507066213</v>
      </c>
      <c r="R19" s="639">
        <f t="shared" si="19"/>
        <v>78489.305486202211</v>
      </c>
      <c r="S19" s="639">
        <f t="shared" si="19"/>
        <v>90746.616330750388</v>
      </c>
      <c r="T19" s="639">
        <f t="shared" si="19"/>
        <v>103956.00371301614</v>
      </c>
      <c r="U19" s="639">
        <f t="shared" si="19"/>
        <v>117863.5850664132</v>
      </c>
      <c r="V19" s="639">
        <f t="shared" si="19"/>
        <v>133603.20816728182</v>
      </c>
      <c r="W19" s="639">
        <f t="shared" si="19"/>
        <v>149579.69912727835</v>
      </c>
      <c r="X19" s="639">
        <f t="shared" si="19"/>
        <v>164658.0721595269</v>
      </c>
      <c r="Y19" s="639">
        <f t="shared" si="19"/>
        <v>185620.96576856612</v>
      </c>
      <c r="Z19" s="639">
        <f t="shared" si="19"/>
        <v>209275.16948072499</v>
      </c>
      <c r="AA19" s="639">
        <f t="shared" si="19"/>
        <v>236046.17544591601</v>
      </c>
      <c r="AB19" s="639">
        <f t="shared" si="19"/>
        <v>265700.85693386733</v>
      </c>
      <c r="AC19" s="639">
        <f t="shared" si="19"/>
        <v>291206.79673912778</v>
      </c>
      <c r="AD19" s="639">
        <f t="shared" si="19"/>
        <v>328090.60251605959</v>
      </c>
      <c r="AE19" s="639">
        <f t="shared" si="19"/>
        <v>369729.28906473116</v>
      </c>
      <c r="AF19" s="642">
        <f t="shared" si="19"/>
        <v>412849.53092491283</v>
      </c>
      <c r="AG19" s="446"/>
      <c r="AH19" s="4"/>
    </row>
    <row r="20" spans="1:34" ht="14.4">
      <c r="A20" s="1928"/>
      <c r="B20" s="219">
        <v>13</v>
      </c>
      <c r="C20" s="239" t="s">
        <v>822</v>
      </c>
      <c r="D20" s="259">
        <v>-379</v>
      </c>
      <c r="E20" s="260">
        <v>-1081</v>
      </c>
      <c r="F20" s="659">
        <v>-1384</v>
      </c>
      <c r="G20" s="643">
        <f>G11</f>
        <v>-1335.4835</v>
      </c>
      <c r="H20" s="444">
        <f t="shared" ref="H20:AF20" si="20">H11</f>
        <v>-1634.0200950000001</v>
      </c>
      <c r="I20" s="444">
        <f t="shared" si="20"/>
        <v>-2036.27666365</v>
      </c>
      <c r="J20" s="445">
        <f t="shared" si="20"/>
        <v>-2487.2232747205003</v>
      </c>
      <c r="K20" s="429">
        <f t="shared" si="20"/>
        <v>-3799.5800505475199</v>
      </c>
      <c r="L20" s="444">
        <f t="shared" si="20"/>
        <v>-4627.0101246570239</v>
      </c>
      <c r="M20" s="444">
        <f t="shared" si="20"/>
        <v>-5471.0592895884274</v>
      </c>
      <c r="N20" s="444">
        <f t="shared" si="20"/>
        <v>-6496.7291605061137</v>
      </c>
      <c r="O20" s="444">
        <f t="shared" si="20"/>
        <v>-7745.2040512573376</v>
      </c>
      <c r="P20" s="444">
        <f t="shared" si="20"/>
        <v>-9331.1600760013043</v>
      </c>
      <c r="Q20" s="444">
        <f t="shared" si="20"/>
        <v>-11161.87383403919</v>
      </c>
      <c r="R20" s="444">
        <f t="shared" si="20"/>
        <v>-8677.5417521790005</v>
      </c>
      <c r="S20" s="444">
        <f t="shared" si="20"/>
        <v>-10128.458390051836</v>
      </c>
      <c r="T20" s="444">
        <f t="shared" si="20"/>
        <v>-11585.300831618006</v>
      </c>
      <c r="U20" s="444">
        <f t="shared" si="20"/>
        <v>-12970.096537998379</v>
      </c>
      <c r="V20" s="444">
        <f t="shared" si="20"/>
        <v>-14527.311658499577</v>
      </c>
      <c r="W20" s="444">
        <f t="shared" si="20"/>
        <v>-16279.279111056099</v>
      </c>
      <c r="X20" s="444">
        <f t="shared" si="20"/>
        <v>-18072.487844902826</v>
      </c>
      <c r="Y20" s="444">
        <f t="shared" si="20"/>
        <v>-20069.809575545398</v>
      </c>
      <c r="Z20" s="444">
        <f t="shared" si="20"/>
        <v>-22295.374421175067</v>
      </c>
      <c r="AA20" s="444">
        <f t="shared" si="20"/>
        <v>-24776.283334578973</v>
      </c>
      <c r="AB20" s="444">
        <f t="shared" si="20"/>
        <v>-27438.252471257485</v>
      </c>
      <c r="AC20" s="444">
        <f t="shared" si="20"/>
        <v>-30401.401189300057</v>
      </c>
      <c r="AD20" s="444">
        <f t="shared" si="20"/>
        <v>-33701.68137077456</v>
      </c>
      <c r="AE20" s="444">
        <f t="shared" si="20"/>
        <v>-37379.562096447567</v>
      </c>
      <c r="AF20" s="644">
        <f t="shared" si="20"/>
        <v>-40832.532904859239</v>
      </c>
      <c r="AG20" s="446"/>
      <c r="AH20" s="4"/>
    </row>
    <row r="21" spans="1:34" ht="14.4">
      <c r="A21" s="1928"/>
      <c r="B21" s="219">
        <v>14</v>
      </c>
      <c r="C21" s="239" t="s">
        <v>823</v>
      </c>
      <c r="D21" s="263">
        <v>-774</v>
      </c>
      <c r="E21" s="262">
        <v>-1846</v>
      </c>
      <c r="F21" s="660">
        <v>-3049</v>
      </c>
      <c r="G21" s="645">
        <f>G6*$D$61</f>
        <v>-2670.9670000000001</v>
      </c>
      <c r="H21" s="404">
        <f t="shared" ref="H21:J21" si="21">H6*$D$61</f>
        <v>-3268.0401900000002</v>
      </c>
      <c r="I21" s="404">
        <f t="shared" si="21"/>
        <v>-4072.5533273000001</v>
      </c>
      <c r="J21" s="405">
        <f t="shared" si="21"/>
        <v>-4974.4465494410006</v>
      </c>
      <c r="K21" s="301">
        <f t="shared" ref="K21:Q21" si="22">K6*$E$61</f>
        <v>-4432.8433923054399</v>
      </c>
      <c r="L21" s="298">
        <f t="shared" si="22"/>
        <v>-5398.1784787665283</v>
      </c>
      <c r="M21" s="298">
        <f t="shared" si="22"/>
        <v>-6382.9025045198332</v>
      </c>
      <c r="N21" s="298">
        <f t="shared" si="22"/>
        <v>-7579.5173539238003</v>
      </c>
      <c r="O21" s="298">
        <f t="shared" si="22"/>
        <v>-9036.0713931335613</v>
      </c>
      <c r="P21" s="298">
        <f t="shared" si="22"/>
        <v>-10886.353422001523</v>
      </c>
      <c r="Q21" s="298">
        <f t="shared" si="22"/>
        <v>-13022.18613971239</v>
      </c>
      <c r="R21" s="298">
        <f>R6*$F$61</f>
        <v>-13016.312628268499</v>
      </c>
      <c r="S21" s="298">
        <f t="shared" ref="S21:AF21" si="23">S6*$F$61</f>
        <v>-15192.687585077752</v>
      </c>
      <c r="T21" s="298">
        <f t="shared" si="23"/>
        <v>-17377.951247427009</v>
      </c>
      <c r="U21" s="298">
        <f t="shared" si="23"/>
        <v>-19455.144806997567</v>
      </c>
      <c r="V21" s="298">
        <f t="shared" si="23"/>
        <v>-21790.967487749363</v>
      </c>
      <c r="W21" s="298">
        <f t="shared" si="23"/>
        <v>-24418.918666584148</v>
      </c>
      <c r="X21" s="298">
        <f t="shared" si="23"/>
        <v>-27108.731767354238</v>
      </c>
      <c r="Y21" s="298">
        <f t="shared" si="23"/>
        <v>-30104.714363318097</v>
      </c>
      <c r="Z21" s="298">
        <f t="shared" si="23"/>
        <v>-33443.061631762597</v>
      </c>
      <c r="AA21" s="298">
        <f t="shared" si="23"/>
        <v>-37164.425001868462</v>
      </c>
      <c r="AB21" s="298">
        <f t="shared" si="23"/>
        <v>-41157.378706886229</v>
      </c>
      <c r="AC21" s="298">
        <f t="shared" si="23"/>
        <v>-45602.101783950078</v>
      </c>
      <c r="AD21" s="298">
        <f t="shared" si="23"/>
        <v>-50552.522056161841</v>
      </c>
      <c r="AE21" s="298">
        <f t="shared" si="23"/>
        <v>-56069.343144671351</v>
      </c>
      <c r="AF21" s="298">
        <f t="shared" si="23"/>
        <v>-61248.799357288859</v>
      </c>
      <c r="AG21" s="446"/>
      <c r="AH21" s="4"/>
    </row>
    <row r="22" spans="1:34" ht="14.4">
      <c r="A22" s="1928"/>
      <c r="B22" s="219">
        <v>15</v>
      </c>
      <c r="C22" s="244" t="s">
        <v>824</v>
      </c>
      <c r="D22" s="1426">
        <f>D19+D20+D21</f>
        <v>3521</v>
      </c>
      <c r="E22" s="261">
        <f t="shared" ref="E22:F22" si="24">E19+E20+E21</f>
        <v>3565</v>
      </c>
      <c r="F22" s="661">
        <f t="shared" si="24"/>
        <v>1667</v>
      </c>
      <c r="G22" s="647">
        <f>G19+G20+G21</f>
        <v>4991.4040267283945</v>
      </c>
      <c r="H22" s="402">
        <f t="shared" ref="H22:AF22" si="25">H19+H20+H21</f>
        <v>6330.4356464973444</v>
      </c>
      <c r="I22" s="402">
        <f t="shared" si="25"/>
        <v>9692.0358354937962</v>
      </c>
      <c r="J22" s="403">
        <f t="shared" si="25"/>
        <v>13698.174394905498</v>
      </c>
      <c r="K22" s="401">
        <f t="shared" si="25"/>
        <v>17773.049956361006</v>
      </c>
      <c r="L22" s="402">
        <f t="shared" si="25"/>
        <v>19826.252237735982</v>
      </c>
      <c r="M22" s="402">
        <f t="shared" si="25"/>
        <v>23907.103853943354</v>
      </c>
      <c r="N22" s="402">
        <f t="shared" si="25"/>
        <v>27486.015906336477</v>
      </c>
      <c r="O22" s="402">
        <f t="shared" si="25"/>
        <v>34547.859534809933</v>
      </c>
      <c r="P22" s="402">
        <f t="shared" si="25"/>
        <v>45190.062790282922</v>
      </c>
      <c r="Q22" s="402">
        <f t="shared" si="25"/>
        <v>53599.10653331464</v>
      </c>
      <c r="R22" s="402">
        <f t="shared" si="25"/>
        <v>56795.451105754706</v>
      </c>
      <c r="S22" s="402">
        <f t="shared" si="25"/>
        <v>65425.470355620804</v>
      </c>
      <c r="T22" s="402">
        <f t="shared" si="25"/>
        <v>74992.751633971115</v>
      </c>
      <c r="U22" s="402">
        <f t="shared" si="25"/>
        <v>85438.343721417245</v>
      </c>
      <c r="V22" s="402">
        <f t="shared" si="25"/>
        <v>97284.929021032876</v>
      </c>
      <c r="W22" s="402">
        <f t="shared" si="25"/>
        <v>108881.5013496381</v>
      </c>
      <c r="X22" s="402">
        <f t="shared" si="25"/>
        <v>119476.85254726984</v>
      </c>
      <c r="Y22" s="402">
        <f t="shared" si="25"/>
        <v>135446.44182970264</v>
      </c>
      <c r="Z22" s="402">
        <f t="shared" si="25"/>
        <v>153536.73342778732</v>
      </c>
      <c r="AA22" s="402">
        <f t="shared" si="25"/>
        <v>174105.46710946859</v>
      </c>
      <c r="AB22" s="402">
        <f t="shared" si="25"/>
        <v>197105.2257557236</v>
      </c>
      <c r="AC22" s="402">
        <f t="shared" si="25"/>
        <v>215203.29376587764</v>
      </c>
      <c r="AD22" s="402">
        <f t="shared" si="25"/>
        <v>243836.39908912318</v>
      </c>
      <c r="AE22" s="402">
        <f t="shared" si="25"/>
        <v>276280.38382361224</v>
      </c>
      <c r="AF22" s="648">
        <f t="shared" si="25"/>
        <v>310768.19866276474</v>
      </c>
      <c r="AG22" s="446"/>
      <c r="AH22" s="4"/>
    </row>
    <row r="23" spans="1:34" ht="14.4">
      <c r="A23" s="1928"/>
      <c r="B23" s="219">
        <v>16</v>
      </c>
      <c r="C23" s="239" t="s">
        <v>825</v>
      </c>
      <c r="D23" s="263">
        <v>-301</v>
      </c>
      <c r="E23" s="262">
        <v>-450</v>
      </c>
      <c r="F23" s="662">
        <v>-546</v>
      </c>
      <c r="G23" s="649">
        <f>G6*$D$63</f>
        <v>-629.82590087108974</v>
      </c>
      <c r="H23" s="298">
        <f t="shared" ref="H23:J23" si="26">H6*$D$63</f>
        <v>-770.61841525922171</v>
      </c>
      <c r="I23" s="298">
        <f t="shared" si="26"/>
        <v>-960.32619205414244</v>
      </c>
      <c r="J23" s="392">
        <f t="shared" si="26"/>
        <v>-1172.9966260671742</v>
      </c>
      <c r="K23" s="301">
        <f>K6*$E$63</f>
        <v>-1899.79002527376</v>
      </c>
      <c r="L23" s="298">
        <f t="shared" ref="L23:O23" si="27">L6*$E$63</f>
        <v>-2313.5050623285119</v>
      </c>
      <c r="M23" s="298">
        <f t="shared" si="27"/>
        <v>-2735.5296447942137</v>
      </c>
      <c r="N23" s="298">
        <f t="shared" si="27"/>
        <v>-3248.3645802530568</v>
      </c>
      <c r="O23" s="298">
        <f t="shared" si="27"/>
        <v>-3872.6020256286688</v>
      </c>
      <c r="P23" s="298">
        <f>P6*$F$63</f>
        <v>-4665.5800380006522</v>
      </c>
      <c r="Q23" s="298">
        <f t="shared" ref="Q23:AF23" si="28">Q6*$F$63</f>
        <v>-5580.9369170195951</v>
      </c>
      <c r="R23" s="298">
        <f t="shared" si="28"/>
        <v>-6508.1563141342494</v>
      </c>
      <c r="S23" s="298">
        <f t="shared" si="28"/>
        <v>-7596.3437925388762</v>
      </c>
      <c r="T23" s="298">
        <f t="shared" si="28"/>
        <v>-8688.9756237135043</v>
      </c>
      <c r="U23" s="298">
        <f t="shared" si="28"/>
        <v>-9727.5724034987834</v>
      </c>
      <c r="V23" s="298">
        <f t="shared" si="28"/>
        <v>-10895.483743874682</v>
      </c>
      <c r="W23" s="298">
        <f t="shared" si="28"/>
        <v>-12209.459333292074</v>
      </c>
      <c r="X23" s="298">
        <f t="shared" si="28"/>
        <v>-13554.365883677119</v>
      </c>
      <c r="Y23" s="298">
        <f t="shared" si="28"/>
        <v>-15052.357181659048</v>
      </c>
      <c r="Z23" s="298">
        <f t="shared" si="28"/>
        <v>-16721.530815881299</v>
      </c>
      <c r="AA23" s="298">
        <f t="shared" si="28"/>
        <v>-18582.212500934231</v>
      </c>
      <c r="AB23" s="298">
        <f t="shared" si="28"/>
        <v>-20578.689353443115</v>
      </c>
      <c r="AC23" s="298">
        <f t="shared" si="28"/>
        <v>-22801.050891975039</v>
      </c>
      <c r="AD23" s="298">
        <f t="shared" si="28"/>
        <v>-25276.26102808092</v>
      </c>
      <c r="AE23" s="298">
        <f t="shared" si="28"/>
        <v>-28034.671572335676</v>
      </c>
      <c r="AF23" s="646">
        <f t="shared" si="28"/>
        <v>-30624.39967864443</v>
      </c>
      <c r="AG23" s="447">
        <f>SUM(D23:AF23)</f>
        <v>-275998.60554523306</v>
      </c>
      <c r="AH23" s="4"/>
    </row>
    <row r="24" spans="1:34" ht="14.4">
      <c r="A24" s="1928"/>
      <c r="B24" s="219">
        <v>17</v>
      </c>
      <c r="C24" s="239" t="s">
        <v>826</v>
      </c>
      <c r="D24" s="263">
        <v>-378</v>
      </c>
      <c r="E24" s="262">
        <v>2465</v>
      </c>
      <c r="F24" s="660">
        <v>-866</v>
      </c>
      <c r="G24" s="649">
        <f>G6*$D$64</f>
        <v>-133.54835</v>
      </c>
      <c r="H24" s="298">
        <f t="shared" ref="H24:J24" si="29">H6*$D$64</f>
        <v>-163.40200950000002</v>
      </c>
      <c r="I24" s="298">
        <f t="shared" si="29"/>
        <v>-203.62766636500001</v>
      </c>
      <c r="J24" s="392">
        <f t="shared" si="29"/>
        <v>-248.72232747205001</v>
      </c>
      <c r="K24" s="301">
        <f>K6*$E$64</f>
        <v>-316.63167087895999</v>
      </c>
      <c r="L24" s="298">
        <f t="shared" ref="L24:M24" si="30">L6*$E$64</f>
        <v>-385.58417705475199</v>
      </c>
      <c r="M24" s="298">
        <f t="shared" si="30"/>
        <v>-455.92160746570232</v>
      </c>
      <c r="N24" s="298">
        <f t="shared" ref="N24:AF24" si="31">N6*$F$64</f>
        <v>-2165.5763868353715</v>
      </c>
      <c r="O24" s="298">
        <f t="shared" si="31"/>
        <v>-2581.734683752446</v>
      </c>
      <c r="P24" s="298">
        <f t="shared" si="31"/>
        <v>-3110.3866920004348</v>
      </c>
      <c r="Q24" s="298">
        <f t="shared" si="31"/>
        <v>-3720.6246113463967</v>
      </c>
      <c r="R24" s="298">
        <f t="shared" si="31"/>
        <v>-4338.7708760895002</v>
      </c>
      <c r="S24" s="298">
        <f t="shared" si="31"/>
        <v>-5064.2291950259178</v>
      </c>
      <c r="T24" s="298">
        <f t="shared" si="31"/>
        <v>-5792.6504158090029</v>
      </c>
      <c r="U24" s="298">
        <f t="shared" si="31"/>
        <v>-6485.0482689991895</v>
      </c>
      <c r="V24" s="298">
        <f t="shared" si="31"/>
        <v>-7263.6558292497884</v>
      </c>
      <c r="W24" s="298">
        <f t="shared" si="31"/>
        <v>-8139.6395555280496</v>
      </c>
      <c r="X24" s="298">
        <f t="shared" si="31"/>
        <v>-9036.2439224514128</v>
      </c>
      <c r="Y24" s="298">
        <f t="shared" si="31"/>
        <v>-10034.904787772699</v>
      </c>
      <c r="Z24" s="298">
        <f t="shared" si="31"/>
        <v>-11147.687210587534</v>
      </c>
      <c r="AA24" s="298">
        <f t="shared" si="31"/>
        <v>-12388.141667289487</v>
      </c>
      <c r="AB24" s="298">
        <f t="shared" si="31"/>
        <v>-13719.126235628743</v>
      </c>
      <c r="AC24" s="298">
        <f t="shared" si="31"/>
        <v>-15200.700594650029</v>
      </c>
      <c r="AD24" s="298">
        <f t="shared" si="31"/>
        <v>-16850.84068538728</v>
      </c>
      <c r="AE24" s="298">
        <f t="shared" si="31"/>
        <v>-18689.781048223784</v>
      </c>
      <c r="AF24" s="646">
        <f t="shared" si="31"/>
        <v>-20416.26645242962</v>
      </c>
      <c r="AG24" s="446"/>
      <c r="AH24" s="448">
        <f>AG9-AG23</f>
        <v>121633.27358736651</v>
      </c>
    </row>
    <row r="25" spans="1:34" ht="14.4">
      <c r="A25" s="1928"/>
      <c r="B25" s="219"/>
      <c r="C25" s="239" t="s">
        <v>827</v>
      </c>
      <c r="D25" s="263">
        <v>-7</v>
      </c>
      <c r="E25" s="262">
        <v>-16</v>
      </c>
      <c r="F25" s="660">
        <v>-11</v>
      </c>
      <c r="G25" s="649"/>
      <c r="H25" s="298"/>
      <c r="I25" s="298"/>
      <c r="J25" s="392"/>
      <c r="K25" s="301"/>
      <c r="L25" s="298"/>
      <c r="M25" s="298"/>
      <c r="N25" s="298"/>
      <c r="O25" s="298"/>
      <c r="P25" s="298"/>
      <c r="Q25" s="298"/>
      <c r="R25" s="298"/>
      <c r="S25" s="298"/>
      <c r="T25" s="298"/>
      <c r="U25" s="298"/>
      <c r="V25" s="298"/>
      <c r="W25" s="298"/>
      <c r="X25" s="298"/>
      <c r="Y25" s="298"/>
      <c r="Z25" s="298"/>
      <c r="AA25" s="298"/>
      <c r="AB25" s="298"/>
      <c r="AC25" s="298"/>
      <c r="AD25" s="298"/>
      <c r="AE25" s="298"/>
      <c r="AF25" s="646"/>
      <c r="AG25" s="446"/>
      <c r="AH25" s="448"/>
    </row>
    <row r="26" spans="1:34" ht="14.4">
      <c r="A26" s="1928"/>
      <c r="B26" s="219">
        <v>18</v>
      </c>
      <c r="C26" s="239" t="s">
        <v>828</v>
      </c>
      <c r="D26" s="263">
        <v>-7</v>
      </c>
      <c r="E26" s="262">
        <v>-16</v>
      </c>
      <c r="F26" s="660">
        <v>-11</v>
      </c>
      <c r="G26" s="649"/>
      <c r="H26" s="298">
        <f t="shared" ref="H26:AF26" si="32">(1+H5)*AVERAGE(E26:G26)</f>
        <v>-16.517816418173645</v>
      </c>
      <c r="I26" s="298">
        <f t="shared" si="32"/>
        <v>-17.146021514175999</v>
      </c>
      <c r="J26" s="392">
        <f t="shared" si="32"/>
        <v>-20.559456069116571</v>
      </c>
      <c r="K26" s="301">
        <f>(1+K5)*AVERAGE(H26:J26)</f>
        <v>-23.009343196413372</v>
      </c>
      <c r="L26" s="298">
        <f t="shared" si="32"/>
        <v>-24.645538605769016</v>
      </c>
      <c r="M26" s="298">
        <f t="shared" si="32"/>
        <v>-26.885949878310647</v>
      </c>
      <c r="N26" s="298">
        <f t="shared" si="32"/>
        <v>-29.505047633013156</v>
      </c>
      <c r="O26" s="298">
        <f t="shared" si="32"/>
        <v>-32.203102634550618</v>
      </c>
      <c r="P26" s="298">
        <f t="shared" si="32"/>
        <v>-35.578392545868113</v>
      </c>
      <c r="Q26" s="298">
        <f t="shared" si="32"/>
        <v>-38.791179509972963</v>
      </c>
      <c r="R26" s="298">
        <f t="shared" si="32"/>
        <v>-41.4262357744554</v>
      </c>
      <c r="S26" s="298">
        <f t="shared" si="32"/>
        <v>-45.052429779708397</v>
      </c>
      <c r="T26" s="298">
        <f t="shared" si="32"/>
        <v>-47.762742176823849</v>
      </c>
      <c r="U26" s="298">
        <f t="shared" si="32"/>
        <v>-50.095779211185885</v>
      </c>
      <c r="V26" s="298">
        <f t="shared" si="32"/>
        <v>-53.356373021683339</v>
      </c>
      <c r="W26" s="298">
        <f t="shared" si="32"/>
        <v>-56.483712190112556</v>
      </c>
      <c r="X26" s="298">
        <f t="shared" si="32"/>
        <v>-59.184417729843219</v>
      </c>
      <c r="Y26" s="298">
        <f t="shared" si="32"/>
        <v>-62.568208958507682</v>
      </c>
      <c r="Z26" s="298">
        <f t="shared" si="32"/>
        <v>-66.000392210942636</v>
      </c>
      <c r="AA26" s="298">
        <f t="shared" si="32"/>
        <v>-69.548387112281944</v>
      </c>
      <c r="AB26" s="298">
        <f t="shared" si="32"/>
        <v>-73.134239841542453</v>
      </c>
      <c r="AC26" s="298">
        <f t="shared" si="32"/>
        <v>-77.073132283336946</v>
      </c>
      <c r="AD26" s="298">
        <f t="shared" si="32"/>
        <v>-81.203917006848286</v>
      </c>
      <c r="AE26" s="298">
        <f t="shared" si="32"/>
        <v>-85.555104870025389</v>
      </c>
      <c r="AF26" s="646">
        <f t="shared" si="32"/>
        <v>-83.71570626167231</v>
      </c>
      <c r="AG26" s="282"/>
      <c r="AH26" s="4"/>
    </row>
    <row r="27" spans="1:34" ht="14.4">
      <c r="A27" s="1928"/>
      <c r="B27" s="219">
        <v>19</v>
      </c>
      <c r="C27" s="244" t="s">
        <v>829</v>
      </c>
      <c r="D27" s="1426">
        <f>SUM(D23:D26)</f>
        <v>-693</v>
      </c>
      <c r="E27" s="261">
        <f t="shared" ref="E27:F27" si="33">SUM(E23:E26)</f>
        <v>1983</v>
      </c>
      <c r="F27" s="661">
        <f t="shared" si="33"/>
        <v>-1434</v>
      </c>
      <c r="G27" s="650">
        <f>G23+G24+G26</f>
        <v>-763.37425087108977</v>
      </c>
      <c r="H27" s="314">
        <f t="shared" ref="H27:AF27" si="34">H23+H24+H26</f>
        <v>-950.53824117739532</v>
      </c>
      <c r="I27" s="314">
        <f t="shared" si="34"/>
        <v>-1181.0998799333186</v>
      </c>
      <c r="J27" s="391">
        <f t="shared" si="34"/>
        <v>-1442.2784096083408</v>
      </c>
      <c r="K27" s="315">
        <f t="shared" si="34"/>
        <v>-2239.4310393491332</v>
      </c>
      <c r="L27" s="314">
        <f t="shared" si="34"/>
        <v>-2723.7347779890329</v>
      </c>
      <c r="M27" s="314">
        <f t="shared" si="34"/>
        <v>-3218.337202138227</v>
      </c>
      <c r="N27" s="314">
        <f t="shared" si="34"/>
        <v>-5443.4460147214422</v>
      </c>
      <c r="O27" s="314">
        <f t="shared" si="34"/>
        <v>-6486.5398120156651</v>
      </c>
      <c r="P27" s="314">
        <f t="shared" si="34"/>
        <v>-7811.5451225469551</v>
      </c>
      <c r="Q27" s="314">
        <f t="shared" si="34"/>
        <v>-9340.3527078759653</v>
      </c>
      <c r="R27" s="314">
        <f t="shared" si="34"/>
        <v>-10888.353425998204</v>
      </c>
      <c r="S27" s="314">
        <f t="shared" si="34"/>
        <v>-12705.625417344503</v>
      </c>
      <c r="T27" s="314">
        <f t="shared" si="34"/>
        <v>-14529.38878169933</v>
      </c>
      <c r="U27" s="314">
        <f t="shared" si="34"/>
        <v>-16262.716451709159</v>
      </c>
      <c r="V27" s="314">
        <f t="shared" si="34"/>
        <v>-18212.495946146155</v>
      </c>
      <c r="W27" s="314">
        <f t="shared" si="34"/>
        <v>-20405.582601010236</v>
      </c>
      <c r="X27" s="314">
        <f t="shared" si="34"/>
        <v>-22649.794223858375</v>
      </c>
      <c r="Y27" s="314">
        <f t="shared" si="34"/>
        <v>-25149.830178390253</v>
      </c>
      <c r="Z27" s="314">
        <f t="shared" si="34"/>
        <v>-27935.218418679775</v>
      </c>
      <c r="AA27" s="314">
        <f t="shared" si="34"/>
        <v>-31039.902555336001</v>
      </c>
      <c r="AB27" s="314">
        <f t="shared" si="34"/>
        <v>-34370.949828913399</v>
      </c>
      <c r="AC27" s="314">
        <f t="shared" si="34"/>
        <v>-38078.824618908409</v>
      </c>
      <c r="AD27" s="314">
        <f t="shared" si="34"/>
        <v>-42208.30563047505</v>
      </c>
      <c r="AE27" s="314">
        <f t="shared" si="34"/>
        <v>-46810.007725429488</v>
      </c>
      <c r="AF27" s="651">
        <f t="shared" si="34"/>
        <v>-51124.381837335721</v>
      </c>
      <c r="AG27" s="446"/>
      <c r="AH27" s="4"/>
    </row>
    <row r="28" spans="1:34" ht="14.4">
      <c r="A28" s="1928"/>
      <c r="B28" s="219">
        <v>20</v>
      </c>
      <c r="C28" s="239" t="s">
        <v>830</v>
      </c>
      <c r="D28" s="263">
        <v>0</v>
      </c>
      <c r="E28" s="262">
        <v>0</v>
      </c>
      <c r="F28" s="660">
        <v>0</v>
      </c>
      <c r="G28" s="1102">
        <v>0</v>
      </c>
      <c r="H28" s="1103">
        <v>0</v>
      </c>
      <c r="I28" s="1103">
        <v>0</v>
      </c>
      <c r="J28" s="1104">
        <v>0</v>
      </c>
      <c r="K28" s="1105">
        <v>0</v>
      </c>
      <c r="L28" s="1103">
        <v>0</v>
      </c>
      <c r="M28" s="1103">
        <v>0</v>
      </c>
      <c r="N28" s="1103">
        <v>0</v>
      </c>
      <c r="O28" s="1103">
        <v>0</v>
      </c>
      <c r="P28" s="1103">
        <v>0</v>
      </c>
      <c r="Q28" s="1103">
        <v>0</v>
      </c>
      <c r="R28" s="1103">
        <v>0</v>
      </c>
      <c r="S28" s="1103">
        <v>0</v>
      </c>
      <c r="T28" s="1103">
        <v>0</v>
      </c>
      <c r="U28" s="1103">
        <v>0</v>
      </c>
      <c r="V28" s="1103">
        <v>0</v>
      </c>
      <c r="W28" s="1103">
        <v>0</v>
      </c>
      <c r="X28" s="1103">
        <v>0</v>
      </c>
      <c r="Y28" s="1103">
        <v>0</v>
      </c>
      <c r="Z28" s="1103">
        <v>0</v>
      </c>
      <c r="AA28" s="1103">
        <v>0</v>
      </c>
      <c r="AB28" s="1103">
        <v>0</v>
      </c>
      <c r="AC28" s="1103">
        <v>0</v>
      </c>
      <c r="AD28" s="1103">
        <v>0</v>
      </c>
      <c r="AE28" s="1103">
        <v>0</v>
      </c>
      <c r="AF28" s="1106">
        <v>0</v>
      </c>
      <c r="AG28" s="446"/>
      <c r="AH28" s="4"/>
    </row>
    <row r="29" spans="1:34" ht="14.4">
      <c r="A29" s="1928"/>
      <c r="B29" s="219">
        <v>21</v>
      </c>
      <c r="C29" s="239" t="s">
        <v>831</v>
      </c>
      <c r="D29" s="263"/>
      <c r="E29" s="262">
        <v>679</v>
      </c>
      <c r="F29" s="660"/>
      <c r="G29" s="649">
        <f>G45-F45</f>
        <v>0</v>
      </c>
      <c r="H29" s="298">
        <f t="shared" ref="H29:AF29" si="35">H45-G45</f>
        <v>508.5336560109763</v>
      </c>
      <c r="I29" s="298">
        <f t="shared" si="35"/>
        <v>445.44864458914572</v>
      </c>
      <c r="J29" s="392">
        <f t="shared" si="35"/>
        <v>1006.0459514318595</v>
      </c>
      <c r="K29" s="301">
        <f t="shared" si="35"/>
        <v>1221.0653716870938</v>
      </c>
      <c r="L29" s="298">
        <f t="shared" si="35"/>
        <v>1566.4893967087592</v>
      </c>
      <c r="M29" s="298">
        <f t="shared" si="35"/>
        <v>-159.21937719903872</v>
      </c>
      <c r="N29" s="298">
        <f t="shared" si="35"/>
        <v>1583.4006518091492</v>
      </c>
      <c r="O29" s="298">
        <f t="shared" si="35"/>
        <v>2017.5893434700738</v>
      </c>
      <c r="P29" s="298">
        <f t="shared" si="35"/>
        <v>2441.2954385887915</v>
      </c>
      <c r="Q29" s="298">
        <f t="shared" si="35"/>
        <v>3006.9826013136808</v>
      </c>
      <c r="R29" s="298">
        <f t="shared" si="35"/>
        <v>3793.3070452921984</v>
      </c>
      <c r="S29" s="298">
        <f t="shared" si="35"/>
        <v>3176.4776174516155</v>
      </c>
      <c r="T29" s="298">
        <f t="shared" si="35"/>
        <v>3627.3986198314815</v>
      </c>
      <c r="U29" s="298">
        <f t="shared" si="35"/>
        <v>4074.0526324027051</v>
      </c>
      <c r="V29" s="298">
        <f t="shared" si="35"/>
        <v>4537.2875494540458</v>
      </c>
      <c r="W29" s="298">
        <f t="shared" si="35"/>
        <v>5182.1028783976362</v>
      </c>
      <c r="X29" s="298">
        <f t="shared" si="35"/>
        <v>5968.0468709182896</v>
      </c>
      <c r="Y29" s="298">
        <f t="shared" si="35"/>
        <v>6789.5599495337228</v>
      </c>
      <c r="Z29" s="298">
        <f t="shared" si="35"/>
        <v>7642.9755449967561</v>
      </c>
      <c r="AA29" s="298">
        <f t="shared" si="35"/>
        <v>8717.6687664854835</v>
      </c>
      <c r="AB29" s="298">
        <f t="shared" si="35"/>
        <v>9946.3906601714116</v>
      </c>
      <c r="AC29" s="298">
        <f t="shared" si="35"/>
        <v>11304.789382298011</v>
      </c>
      <c r="AD29" s="298">
        <f t="shared" si="35"/>
        <v>13098.813488927393</v>
      </c>
      <c r="AE29" s="298">
        <f t="shared" si="35"/>
        <v>14750.927617445937</v>
      </c>
      <c r="AF29" s="646">
        <f t="shared" si="35"/>
        <v>16841.067348263328</v>
      </c>
      <c r="AG29" s="446"/>
      <c r="AH29" s="4"/>
    </row>
    <row r="30" spans="1:34" ht="14.4">
      <c r="A30" s="1928"/>
      <c r="B30" s="219">
        <v>22</v>
      </c>
      <c r="C30" s="239" t="s">
        <v>832</v>
      </c>
      <c r="D30" s="263">
        <v>-1762</v>
      </c>
      <c r="E30" s="262">
        <v>-3702</v>
      </c>
      <c r="F30" s="660">
        <v>-985</v>
      </c>
      <c r="G30" s="649">
        <f>IF(F44+G35&gt;(G6-G8)*0.3,-G35-F44+(G6-G8)*0.3,G6*-0.1)</f>
        <v>-848.64187466095154</v>
      </c>
      <c r="H30" s="298">
        <f t="shared" ref="H30:AF30" si="36">IF(G44+H35&gt;(H6-H8)*0.3,-H35-G44+(H6-H8)*0.3,H6*-0.1)</f>
        <v>-4324.7895783224612</v>
      </c>
      <c r="I30" s="298">
        <f t="shared" si="36"/>
        <v>-11644.994904404124</v>
      </c>
      <c r="J30" s="392">
        <f t="shared" si="36"/>
        <v>-20707.895033492779</v>
      </c>
      <c r="K30" s="301">
        <f t="shared" si="36"/>
        <v>-28698.058561776947</v>
      </c>
      <c r="L30" s="298">
        <f t="shared" si="36"/>
        <v>-36432.268689779354</v>
      </c>
      <c r="M30" s="298">
        <f t="shared" si="36"/>
        <v>-17174.123575835401</v>
      </c>
      <c r="N30" s="298">
        <f t="shared" si="36"/>
        <v>-18769.867168290242</v>
      </c>
      <c r="O30" s="298">
        <f t="shared" si="36"/>
        <v>-25043.10407747604</v>
      </c>
      <c r="P30" s="298">
        <f t="shared" si="36"/>
        <v>-34056.203742932754</v>
      </c>
      <c r="Q30" s="298">
        <f t="shared" si="36"/>
        <v>-39398.583093716545</v>
      </c>
      <c r="R30" s="298">
        <f t="shared" si="36"/>
        <v>-41206.831644134436</v>
      </c>
      <c r="S30" s="298">
        <f t="shared" si="36"/>
        <v>-46643.507718316403</v>
      </c>
      <c r="T30" s="298">
        <f t="shared" si="36"/>
        <v>-54854.453666645481</v>
      </c>
      <c r="U30" s="298">
        <f t="shared" si="36"/>
        <v>-64546.310551116374</v>
      </c>
      <c r="V30" s="298">
        <f t="shared" si="36"/>
        <v>-73882.872846799917</v>
      </c>
      <c r="W30" s="298">
        <f t="shared" si="36"/>
        <v>-82099.758889256496</v>
      </c>
      <c r="X30" s="298">
        <f t="shared" si="36"/>
        <v>-90153.708433041014</v>
      </c>
      <c r="Y30" s="298">
        <f t="shared" si="36"/>
        <v>-104451.07171532552</v>
      </c>
      <c r="Z30" s="298">
        <f t="shared" si="36"/>
        <v>-119237.46543436436</v>
      </c>
      <c r="AA30" s="298">
        <f t="shared" si="36"/>
        <v>-136247.96653267744</v>
      </c>
      <c r="AB30" s="298">
        <f t="shared" si="36"/>
        <v>-156032.281951123</v>
      </c>
      <c r="AC30" s="298">
        <f t="shared" si="36"/>
        <v>-167117.53796445724</v>
      </c>
      <c r="AD30" s="298">
        <f t="shared" si="36"/>
        <v>-193849.2968748096</v>
      </c>
      <c r="AE30" s="298">
        <f t="shared" si="36"/>
        <v>-221043.40731098826</v>
      </c>
      <c r="AF30" s="646">
        <f t="shared" si="36"/>
        <v>-254475.00064701191</v>
      </c>
      <c r="AG30" s="446"/>
      <c r="AH30" s="4"/>
    </row>
    <row r="31" spans="1:34" s="4" customFormat="1" ht="14.4">
      <c r="A31" s="1928"/>
      <c r="B31" s="219">
        <v>23</v>
      </c>
      <c r="C31" s="239" t="s">
        <v>833</v>
      </c>
      <c r="D31" s="263">
        <v>0</v>
      </c>
      <c r="E31" s="262">
        <v>0</v>
      </c>
      <c r="F31" s="660">
        <v>0</v>
      </c>
      <c r="G31" s="649">
        <f>-$D$65*G17</f>
        <v>0</v>
      </c>
      <c r="H31" s="298">
        <f t="shared" ref="H31:J31" si="37">-$D$65*H17</f>
        <v>0</v>
      </c>
      <c r="I31" s="298">
        <f t="shared" si="37"/>
        <v>0</v>
      </c>
      <c r="J31" s="392">
        <f t="shared" si="37"/>
        <v>0</v>
      </c>
      <c r="K31" s="301">
        <f t="shared" ref="K31:AF31" si="38">-$F$65*K17</f>
        <v>0</v>
      </c>
      <c r="L31" s="298">
        <f t="shared" si="38"/>
        <v>0</v>
      </c>
      <c r="M31" s="298">
        <f t="shared" si="38"/>
        <v>0</v>
      </c>
      <c r="N31" s="298">
        <f t="shared" si="38"/>
        <v>0</v>
      </c>
      <c r="O31" s="298">
        <f t="shared" si="38"/>
        <v>0</v>
      </c>
      <c r="P31" s="298">
        <f t="shared" si="38"/>
        <v>0</v>
      </c>
      <c r="Q31" s="298">
        <f t="shared" si="38"/>
        <v>0</v>
      </c>
      <c r="R31" s="298">
        <f t="shared" si="38"/>
        <v>0</v>
      </c>
      <c r="S31" s="298">
        <f t="shared" si="38"/>
        <v>0</v>
      </c>
      <c r="T31" s="298">
        <f t="shared" si="38"/>
        <v>0</v>
      </c>
      <c r="U31" s="298">
        <f t="shared" si="38"/>
        <v>0</v>
      </c>
      <c r="V31" s="298">
        <f t="shared" si="38"/>
        <v>0</v>
      </c>
      <c r="W31" s="298">
        <f t="shared" si="38"/>
        <v>0</v>
      </c>
      <c r="X31" s="298">
        <f t="shared" si="38"/>
        <v>0</v>
      </c>
      <c r="Y31" s="298">
        <f t="shared" si="38"/>
        <v>0</v>
      </c>
      <c r="Z31" s="298">
        <f t="shared" si="38"/>
        <v>0</v>
      </c>
      <c r="AA31" s="298">
        <f t="shared" si="38"/>
        <v>0</v>
      </c>
      <c r="AB31" s="298">
        <f t="shared" si="38"/>
        <v>0</v>
      </c>
      <c r="AC31" s="298">
        <f t="shared" si="38"/>
        <v>0</v>
      </c>
      <c r="AD31" s="298">
        <f t="shared" si="38"/>
        <v>0</v>
      </c>
      <c r="AE31" s="298">
        <f t="shared" si="38"/>
        <v>0</v>
      </c>
      <c r="AF31" s="646">
        <f t="shared" si="38"/>
        <v>0</v>
      </c>
      <c r="AG31" s="446"/>
    </row>
    <row r="32" spans="1:34" s="2" customFormat="1" ht="14.4">
      <c r="A32" s="1928"/>
      <c r="B32" s="219">
        <v>24</v>
      </c>
      <c r="C32" s="239" t="s">
        <v>834</v>
      </c>
      <c r="D32" s="338">
        <v>-133</v>
      </c>
      <c r="E32" s="337">
        <v>-241</v>
      </c>
      <c r="F32" s="663">
        <v>-161</v>
      </c>
      <c r="G32" s="649">
        <f>(1+G5)*AVERAGE(D32:F32)</f>
        <v>-210.01871619635509</v>
      </c>
      <c r="H32" s="298">
        <f t="shared" ref="H32:AF32" si="39">(1+H5)*AVERAGE(E32:G32)</f>
        <v>-249.61019255846196</v>
      </c>
      <c r="I32" s="298">
        <f t="shared" si="39"/>
        <v>-257.80428844399637</v>
      </c>
      <c r="J32" s="392">
        <f t="shared" si="39"/>
        <v>-292.1044698859809</v>
      </c>
      <c r="K32" s="427">
        <f t="shared" si="39"/>
        <v>-339.2712720944437</v>
      </c>
      <c r="L32" s="428">
        <f t="shared" si="39"/>
        <v>-360.93857291972506</v>
      </c>
      <c r="M32" s="428">
        <f t="shared" si="39"/>
        <v>-391.11004763062948</v>
      </c>
      <c r="N32" s="428">
        <f t="shared" si="39"/>
        <v>-431.97056820290368</v>
      </c>
      <c r="O32" s="428">
        <f t="shared" si="39"/>
        <v>-470.51729113401814</v>
      </c>
      <c r="P32" s="428">
        <f t="shared" si="39"/>
        <v>-519.49434617907946</v>
      </c>
      <c r="Q32" s="428">
        <f t="shared" si="39"/>
        <v>-566.98866460842873</v>
      </c>
      <c r="R32" s="428">
        <f t="shared" si="39"/>
        <v>-605.22701335668557</v>
      </c>
      <c r="S32" s="428">
        <f t="shared" si="39"/>
        <v>-658.19003726009021</v>
      </c>
      <c r="T32" s="428">
        <f t="shared" si="39"/>
        <v>-697.89498191304983</v>
      </c>
      <c r="U32" s="428">
        <f t="shared" si="39"/>
        <v>-731.91615170447892</v>
      </c>
      <c r="V32" s="428">
        <f t="shared" si="39"/>
        <v>-779.56355641570713</v>
      </c>
      <c r="W32" s="428">
        <f t="shared" si="39"/>
        <v>-825.27375758268568</v>
      </c>
      <c r="X32" s="428">
        <f t="shared" si="39"/>
        <v>-864.71782764157103</v>
      </c>
      <c r="Y32" s="428">
        <f t="shared" si="39"/>
        <v>-914.16119821418761</v>
      </c>
      <c r="Z32" s="428">
        <f t="shared" si="39"/>
        <v>-964.31011860804767</v>
      </c>
      <c r="AA32" s="428">
        <f t="shared" si="39"/>
        <v>-1016.1454748363366</v>
      </c>
      <c r="AB32" s="428">
        <f t="shared" si="39"/>
        <v>-1068.5383445738253</v>
      </c>
      <c r="AC32" s="428">
        <f t="shared" si="39"/>
        <v>-1126.0883327091778</v>
      </c>
      <c r="AD32" s="428">
        <f t="shared" si="39"/>
        <v>-1186.4411484534544</v>
      </c>
      <c r="AE32" s="428">
        <f t="shared" si="39"/>
        <v>-1250.0151288595509</v>
      </c>
      <c r="AF32" s="652">
        <f t="shared" si="39"/>
        <v>-1223.1403161076162</v>
      </c>
      <c r="AG32" s="446"/>
      <c r="AH32" s="460"/>
    </row>
    <row r="33" spans="1:33" s="4" customFormat="1" ht="16.5" customHeight="1" thickBot="1">
      <c r="A33" s="1928"/>
      <c r="B33" s="220">
        <v>25</v>
      </c>
      <c r="C33" s="245" t="s">
        <v>835</v>
      </c>
      <c r="D33" s="386">
        <f>D28+D29+D30+D31+D32</f>
        <v>-1895</v>
      </c>
      <c r="E33" s="387">
        <f>E28+E29+E30+E31+E32</f>
        <v>-3264</v>
      </c>
      <c r="F33" s="388">
        <f>F28+F29+F30+F31+F32</f>
        <v>-1146</v>
      </c>
      <c r="G33" s="653">
        <f>G28+G29+G30+G31+G32</f>
        <v>-1058.6605908573067</v>
      </c>
      <c r="H33" s="654">
        <f t="shared" ref="H33:AF33" si="40">H28+H29+H30+H31+H32</f>
        <v>-4065.8661148699471</v>
      </c>
      <c r="I33" s="654">
        <f t="shared" si="40"/>
        <v>-11457.350548258975</v>
      </c>
      <c r="J33" s="655">
        <f t="shared" si="40"/>
        <v>-19993.953551946899</v>
      </c>
      <c r="K33" s="656">
        <f t="shared" si="40"/>
        <v>-27816.264462184296</v>
      </c>
      <c r="L33" s="654">
        <f t="shared" si="40"/>
        <v>-35226.717865990315</v>
      </c>
      <c r="M33" s="654">
        <f t="shared" si="40"/>
        <v>-17724.453000665071</v>
      </c>
      <c r="N33" s="654">
        <f t="shared" si="40"/>
        <v>-17618.437084683999</v>
      </c>
      <c r="O33" s="654">
        <f t="shared" si="40"/>
        <v>-23496.032025139986</v>
      </c>
      <c r="P33" s="654">
        <f t="shared" si="40"/>
        <v>-32134.402650523039</v>
      </c>
      <c r="Q33" s="654">
        <f t="shared" si="40"/>
        <v>-36958.589157011294</v>
      </c>
      <c r="R33" s="654">
        <f t="shared" si="40"/>
        <v>-38018.751612198925</v>
      </c>
      <c r="S33" s="654">
        <f t="shared" si="40"/>
        <v>-44125.220138124874</v>
      </c>
      <c r="T33" s="654">
        <f t="shared" si="40"/>
        <v>-51924.950028727049</v>
      </c>
      <c r="U33" s="654">
        <f t="shared" si="40"/>
        <v>-61204.17407041815</v>
      </c>
      <c r="V33" s="654">
        <f t="shared" si="40"/>
        <v>-70125.148853761581</v>
      </c>
      <c r="W33" s="654">
        <f t="shared" si="40"/>
        <v>-77742.929768441551</v>
      </c>
      <c r="X33" s="654">
        <f t="shared" si="40"/>
        <v>-85050.37938976429</v>
      </c>
      <c r="Y33" s="654">
        <f t="shared" si="40"/>
        <v>-98575.672964005993</v>
      </c>
      <c r="Z33" s="654">
        <f t="shared" si="40"/>
        <v>-112558.80000797565</v>
      </c>
      <c r="AA33" s="654">
        <f t="shared" si="40"/>
        <v>-128546.44324102829</v>
      </c>
      <c r="AB33" s="654">
        <f t="shared" si="40"/>
        <v>-147154.42963552539</v>
      </c>
      <c r="AC33" s="654">
        <f t="shared" si="40"/>
        <v>-156938.83691486841</v>
      </c>
      <c r="AD33" s="654">
        <f t="shared" si="40"/>
        <v>-181936.92453433567</v>
      </c>
      <c r="AE33" s="654">
        <f t="shared" si="40"/>
        <v>-207542.49482240187</v>
      </c>
      <c r="AF33" s="657">
        <f t="shared" si="40"/>
        <v>-238857.0736148562</v>
      </c>
      <c r="AG33" s="446"/>
    </row>
    <row r="34" spans="1:33" ht="13.8" thickBot="1">
      <c r="A34" s="1929"/>
      <c r="B34" s="1930"/>
      <c r="C34" s="1930"/>
      <c r="D34" s="1930"/>
      <c r="E34" s="1930"/>
      <c r="F34" s="1930"/>
      <c r="G34" s="1931"/>
      <c r="H34" s="1931"/>
      <c r="I34" s="1931"/>
      <c r="J34" s="1931"/>
      <c r="K34" s="1931"/>
      <c r="L34" s="1931"/>
      <c r="M34" s="1931"/>
      <c r="N34" s="1931"/>
      <c r="O34" s="1931"/>
      <c r="P34" s="1931"/>
      <c r="Q34" s="1931"/>
      <c r="R34" s="1931"/>
      <c r="S34" s="1931"/>
      <c r="T34" s="1931"/>
      <c r="U34" s="1931"/>
      <c r="V34" s="1931"/>
      <c r="W34" s="1931"/>
      <c r="X34" s="1931"/>
      <c r="Y34" s="1931"/>
      <c r="Z34" s="1931"/>
      <c r="AA34" s="1931"/>
      <c r="AB34" s="1931"/>
      <c r="AC34" s="1931"/>
      <c r="AD34" s="1931"/>
      <c r="AE34" s="1931"/>
      <c r="AF34" s="1932"/>
      <c r="AG34" s="4"/>
    </row>
    <row r="35" spans="1:33" ht="14.4">
      <c r="A35" s="1933" t="s">
        <v>836</v>
      </c>
      <c r="B35" s="219">
        <v>26</v>
      </c>
      <c r="C35" s="223" t="s">
        <v>837</v>
      </c>
      <c r="D35" s="382">
        <f t="shared" ref="D35:AF35" si="41">D22+D27+D28+D29+D32</f>
        <v>2695</v>
      </c>
      <c r="E35" s="383">
        <f t="shared" si="41"/>
        <v>5986</v>
      </c>
      <c r="F35" s="407">
        <f t="shared" si="41"/>
        <v>72</v>
      </c>
      <c r="G35" s="513">
        <f t="shared" si="41"/>
        <v>4018.0110596609502</v>
      </c>
      <c r="H35" s="384">
        <f t="shared" si="41"/>
        <v>5638.8208687724637</v>
      </c>
      <c r="I35" s="384">
        <f t="shared" si="41"/>
        <v>8698.5803117056257</v>
      </c>
      <c r="J35" s="385">
        <f t="shared" si="41"/>
        <v>12969.837466843035</v>
      </c>
      <c r="K35" s="406">
        <f t="shared" si="41"/>
        <v>16415.413016604525</v>
      </c>
      <c r="L35" s="384">
        <f t="shared" si="41"/>
        <v>18308.068283535984</v>
      </c>
      <c r="M35" s="384">
        <f t="shared" si="41"/>
        <v>20138.437226975457</v>
      </c>
      <c r="N35" s="384">
        <f t="shared" si="41"/>
        <v>23193.999975221279</v>
      </c>
      <c r="O35" s="384">
        <f t="shared" si="41"/>
        <v>29608.391775130323</v>
      </c>
      <c r="P35" s="384">
        <f t="shared" si="41"/>
        <v>39300.318760145681</v>
      </c>
      <c r="Q35" s="384">
        <f t="shared" si="41"/>
        <v>46698.747762143925</v>
      </c>
      <c r="R35" s="384">
        <f t="shared" si="41"/>
        <v>49095.177711692013</v>
      </c>
      <c r="S35" s="384">
        <f t="shared" si="41"/>
        <v>55238.132518467828</v>
      </c>
      <c r="T35" s="384">
        <f t="shared" si="41"/>
        <v>63392.866490190216</v>
      </c>
      <c r="U35" s="384">
        <f t="shared" si="41"/>
        <v>72517.763750406302</v>
      </c>
      <c r="V35" s="384">
        <f t="shared" si="41"/>
        <v>82830.157067925058</v>
      </c>
      <c r="W35" s="384">
        <f t="shared" si="41"/>
        <v>92832.747869442814</v>
      </c>
      <c r="X35" s="384">
        <f t="shared" si="41"/>
        <v>101930.38736668818</v>
      </c>
      <c r="Y35" s="384">
        <f t="shared" si="41"/>
        <v>116172.01040263192</v>
      </c>
      <c r="Z35" s="384">
        <f t="shared" si="41"/>
        <v>132280.18043549624</v>
      </c>
      <c r="AA35" s="384">
        <f t="shared" si="41"/>
        <v>150767.0878457817</v>
      </c>
      <c r="AB35" s="384">
        <f t="shared" si="41"/>
        <v>171612.12824240781</v>
      </c>
      <c r="AC35" s="384">
        <f t="shared" si="41"/>
        <v>187303.17019655806</v>
      </c>
      <c r="AD35" s="384">
        <f t="shared" si="41"/>
        <v>213540.46579912206</v>
      </c>
      <c r="AE35" s="384">
        <f t="shared" si="41"/>
        <v>242971.28858676914</v>
      </c>
      <c r="AF35" s="385">
        <f t="shared" si="41"/>
        <v>275261.74385758478</v>
      </c>
      <c r="AG35" s="446"/>
    </row>
    <row r="36" spans="1:33" s="2" customFormat="1" ht="14.4">
      <c r="A36" s="1933"/>
      <c r="B36" s="219">
        <v>27</v>
      </c>
      <c r="C36" s="223" t="s">
        <v>838</v>
      </c>
      <c r="D36" s="319">
        <v>1762</v>
      </c>
      <c r="E36" s="316">
        <v>3702</v>
      </c>
      <c r="F36" s="321">
        <v>985</v>
      </c>
      <c r="G36" s="329">
        <f t="shared" ref="G36:AF36" si="42">-1*(G30+G31)</f>
        <v>848.64187466095154</v>
      </c>
      <c r="H36" s="280">
        <f t="shared" ref="H36:J36" si="43">IF(H35&lt;0.2*(H6-H8),H6*-0.1,H35-0.2*(H6-H8))</f>
        <v>45.887218472463246</v>
      </c>
      <c r="I36" s="280">
        <f t="shared" si="43"/>
        <v>2217.321483304625</v>
      </c>
      <c r="J36" s="330">
        <f t="shared" si="43"/>
        <v>5362.1680688088645</v>
      </c>
      <c r="K36" s="280">
        <f>IF(K35&lt;0.2*(K6-K8),K6*-0.1,K35-0.2*(K6-K8))</f>
        <v>6765.6893388960216</v>
      </c>
      <c r="L36" s="280">
        <f t="shared" si="42"/>
        <v>36432.268689779354</v>
      </c>
      <c r="M36" s="280">
        <f>-1*(M30+M31)</f>
        <v>17174.123575835401</v>
      </c>
      <c r="N36" s="280">
        <f t="shared" si="42"/>
        <v>18769.867168290242</v>
      </c>
      <c r="O36" s="280">
        <f t="shared" si="42"/>
        <v>25043.10407747604</v>
      </c>
      <c r="P36" s="280">
        <f t="shared" si="42"/>
        <v>34056.203742932754</v>
      </c>
      <c r="Q36" s="280">
        <f t="shared" si="42"/>
        <v>39398.583093716545</v>
      </c>
      <c r="R36" s="280">
        <f t="shared" si="42"/>
        <v>41206.831644134436</v>
      </c>
      <c r="S36" s="280">
        <f t="shared" si="42"/>
        <v>46643.507718316403</v>
      </c>
      <c r="T36" s="280">
        <f t="shared" si="42"/>
        <v>54854.453666645481</v>
      </c>
      <c r="U36" s="280">
        <f t="shared" si="42"/>
        <v>64546.310551116374</v>
      </c>
      <c r="V36" s="280">
        <f t="shared" si="42"/>
        <v>73882.872846799917</v>
      </c>
      <c r="W36" s="280">
        <f t="shared" si="42"/>
        <v>82099.758889256496</v>
      </c>
      <c r="X36" s="280">
        <f t="shared" si="42"/>
        <v>90153.708433041014</v>
      </c>
      <c r="Y36" s="280">
        <f t="shared" si="42"/>
        <v>104451.07171532552</v>
      </c>
      <c r="Z36" s="280">
        <f t="shared" si="42"/>
        <v>119237.46543436436</v>
      </c>
      <c r="AA36" s="280">
        <f t="shared" si="42"/>
        <v>136247.96653267744</v>
      </c>
      <c r="AB36" s="280">
        <f t="shared" si="42"/>
        <v>156032.281951123</v>
      </c>
      <c r="AC36" s="280">
        <f t="shared" si="42"/>
        <v>167117.53796445724</v>
      </c>
      <c r="AD36" s="280">
        <f t="shared" si="42"/>
        <v>193849.2968748096</v>
      </c>
      <c r="AE36" s="280">
        <f t="shared" si="42"/>
        <v>221043.40731098826</v>
      </c>
      <c r="AF36" s="330">
        <f t="shared" si="42"/>
        <v>254475.00064701191</v>
      </c>
      <c r="AG36" s="446"/>
    </row>
    <row r="37" spans="1:33" s="4" customFormat="1" ht="15" thickBot="1">
      <c r="A37" s="1933"/>
      <c r="B37" s="220">
        <v>28</v>
      </c>
      <c r="C37" s="218" t="s">
        <v>839</v>
      </c>
      <c r="D37" s="370">
        <f>D35-D36</f>
        <v>933</v>
      </c>
      <c r="E37" s="371">
        <f t="shared" ref="E37:F37" si="44">E35-E36</f>
        <v>2284</v>
      </c>
      <c r="F37" s="322">
        <f t="shared" si="44"/>
        <v>-913</v>
      </c>
      <c r="G37" s="331">
        <f>G35-G36</f>
        <v>3169.3691849999987</v>
      </c>
      <c r="H37" s="332">
        <f t="shared" ref="H37:AF37" si="45">H35-H36</f>
        <v>5592.9336503000004</v>
      </c>
      <c r="I37" s="332">
        <f t="shared" si="45"/>
        <v>6481.2588284010008</v>
      </c>
      <c r="J37" s="333">
        <f t="shared" si="45"/>
        <v>7607.6693980341706</v>
      </c>
      <c r="K37" s="332">
        <f t="shared" si="45"/>
        <v>9649.7236777085036</v>
      </c>
      <c r="L37" s="332">
        <f t="shared" si="45"/>
        <v>-18124.20040624337</v>
      </c>
      <c r="M37" s="332">
        <f t="shared" si="45"/>
        <v>2964.3136511400553</v>
      </c>
      <c r="N37" s="332">
        <f t="shared" si="45"/>
        <v>4424.1328069310366</v>
      </c>
      <c r="O37" s="332">
        <f t="shared" si="45"/>
        <v>4565.287697654283</v>
      </c>
      <c r="P37" s="332">
        <f t="shared" si="45"/>
        <v>5244.1150172129273</v>
      </c>
      <c r="Q37" s="332">
        <f t="shared" si="45"/>
        <v>7300.1646684273801</v>
      </c>
      <c r="R37" s="332">
        <f t="shared" si="45"/>
        <v>7888.346067557577</v>
      </c>
      <c r="S37" s="332">
        <f t="shared" si="45"/>
        <v>8594.624800151425</v>
      </c>
      <c r="T37" s="332">
        <f t="shared" si="45"/>
        <v>8538.4128235447351</v>
      </c>
      <c r="U37" s="332">
        <f t="shared" si="45"/>
        <v>7971.4531992899283</v>
      </c>
      <c r="V37" s="332">
        <f t="shared" si="45"/>
        <v>8947.2842211251409</v>
      </c>
      <c r="W37" s="332">
        <f t="shared" si="45"/>
        <v>10732.988980186317</v>
      </c>
      <c r="X37" s="332">
        <f t="shared" si="45"/>
        <v>11776.67893364717</v>
      </c>
      <c r="Y37" s="332">
        <f t="shared" si="45"/>
        <v>11720.938687306392</v>
      </c>
      <c r="Z37" s="332">
        <f t="shared" si="45"/>
        <v>13042.715001131874</v>
      </c>
      <c r="AA37" s="332">
        <f t="shared" si="45"/>
        <v>14519.12131310426</v>
      </c>
      <c r="AB37" s="332">
        <f t="shared" si="45"/>
        <v>15579.846291284804</v>
      </c>
      <c r="AC37" s="332">
        <f t="shared" si="45"/>
        <v>20185.632232100819</v>
      </c>
      <c r="AD37" s="332">
        <f t="shared" si="45"/>
        <v>19691.168924312457</v>
      </c>
      <c r="AE37" s="332">
        <f t="shared" si="45"/>
        <v>21927.881275780877</v>
      </c>
      <c r="AF37" s="333">
        <f t="shared" si="45"/>
        <v>20786.743210572866</v>
      </c>
      <c r="AG37" s="446"/>
    </row>
    <row r="38" spans="1:33" ht="15" thickBot="1">
      <c r="A38" s="228"/>
      <c r="B38" s="226"/>
      <c r="C38" s="227"/>
      <c r="D38" s="389"/>
      <c r="E38" s="389"/>
      <c r="F38" s="389"/>
      <c r="G38" s="389"/>
      <c r="H38" s="389"/>
      <c r="I38" s="389"/>
      <c r="J38" s="389"/>
      <c r="K38" s="389"/>
      <c r="L38" s="389"/>
      <c r="M38" s="389"/>
      <c r="N38" s="389"/>
      <c r="O38" s="389"/>
      <c r="P38" s="389"/>
      <c r="Q38" s="389"/>
      <c r="R38" s="389"/>
      <c r="S38" s="389"/>
      <c r="T38" s="389"/>
      <c r="U38" s="389"/>
      <c r="V38" s="389"/>
      <c r="W38" s="389"/>
      <c r="X38" s="389"/>
      <c r="Y38" s="389"/>
      <c r="Z38" s="389"/>
      <c r="AA38" s="389"/>
      <c r="AB38" s="389"/>
      <c r="AC38" s="389"/>
      <c r="AD38" s="389"/>
      <c r="AE38" s="389"/>
      <c r="AF38" s="390"/>
      <c r="AG38" s="446"/>
    </row>
    <row r="39" spans="1:33" ht="14.4">
      <c r="A39" s="1934" t="s">
        <v>840</v>
      </c>
      <c r="B39" s="221">
        <v>29</v>
      </c>
      <c r="C39" s="223" t="s">
        <v>841</v>
      </c>
      <c r="D39" s="317">
        <v>328</v>
      </c>
      <c r="E39" s="318">
        <v>28028</v>
      </c>
      <c r="F39" s="320">
        <v>27722</v>
      </c>
      <c r="G39" s="324">
        <f>Assumptions!C329</f>
        <v>27722</v>
      </c>
      <c r="H39" s="325">
        <f>Assumptions!D329</f>
        <v>27722</v>
      </c>
      <c r="I39" s="325">
        <f>Assumptions!E329</f>
        <v>34652.5</v>
      </c>
      <c r="J39" s="326">
        <f>Assumptions!F329</f>
        <v>43315.625</v>
      </c>
      <c r="K39" s="408">
        <f>Assumptions!G329</f>
        <v>54144.53125</v>
      </c>
      <c r="L39" s="325">
        <f>Assumptions!H329</f>
        <v>67680.6640625</v>
      </c>
      <c r="M39" s="325">
        <f>Assumptions!I329</f>
        <v>84600.830078125</v>
      </c>
      <c r="N39" s="325">
        <f>Assumptions!J329</f>
        <v>105751.03759765625</v>
      </c>
      <c r="O39" s="325">
        <f>Assumptions!K329</f>
        <v>132188.79699707031</v>
      </c>
      <c r="P39" s="325">
        <f>Assumptions!L329</f>
        <v>165235.99624633789</v>
      </c>
      <c r="Q39" s="325">
        <f>Assumptions!M329</f>
        <v>206544.99530792236</v>
      </c>
      <c r="R39" s="325">
        <f>Assumptions!N329</f>
        <v>237526.74460411069</v>
      </c>
      <c r="S39" s="325">
        <f>Assumptions!O329</f>
        <v>273155.75629472727</v>
      </c>
      <c r="T39" s="325">
        <f>Assumptions!P329</f>
        <v>314129.11973893631</v>
      </c>
      <c r="U39" s="325">
        <f>Assumptions!Q329</f>
        <v>361248.48769977671</v>
      </c>
      <c r="V39" s="325">
        <f>Assumptions!R329</f>
        <v>415435.76085474319</v>
      </c>
      <c r="W39" s="325">
        <f>Assumptions!S329</f>
        <v>477751.12498295464</v>
      </c>
      <c r="X39" s="325">
        <f>Assumptions!T329</f>
        <v>549413.79373039783</v>
      </c>
      <c r="Y39" s="325">
        <f>Assumptions!U329</f>
        <v>631825.86278995743</v>
      </c>
      <c r="Z39" s="325">
        <f>Assumptions!V329</f>
        <v>726599.74220845103</v>
      </c>
      <c r="AA39" s="325">
        <f>Assumptions!W329</f>
        <v>835589.70353971864</v>
      </c>
      <c r="AB39" s="325">
        <f>Assumptions!X329</f>
        <v>960928.15907067631</v>
      </c>
      <c r="AC39" s="325">
        <f>Assumptions!Y329</f>
        <v>1105067.3829312776</v>
      </c>
      <c r="AD39" s="325">
        <f>Assumptions!Z329</f>
        <v>1270827.4903709691</v>
      </c>
      <c r="AE39" s="325">
        <f>Assumptions!AA329</f>
        <v>1461451.6139266144</v>
      </c>
      <c r="AF39" s="326">
        <f>Assumptions!AB329</f>
        <v>1680669.3560156063</v>
      </c>
      <c r="AG39" s="447">
        <f>SUM(G39:AF39)</f>
        <v>12251179.075298527</v>
      </c>
    </row>
    <row r="40" spans="1:33" ht="14.4">
      <c r="A40" s="1933"/>
      <c r="B40" s="221">
        <v>30</v>
      </c>
      <c r="C40" s="223" t="s">
        <v>842</v>
      </c>
      <c r="D40" s="319">
        <v>0</v>
      </c>
      <c r="E40" s="316">
        <v>-3548</v>
      </c>
      <c r="F40" s="321">
        <v>-6359</v>
      </c>
      <c r="G40" s="327">
        <f>F40-G10</f>
        <v>-2755.14</v>
      </c>
      <c r="H40" s="323">
        <f t="shared" ref="H40:AF40" si="46">G40-H10</f>
        <v>848.72000000000025</v>
      </c>
      <c r="I40" s="323">
        <f t="shared" si="46"/>
        <v>4452.58</v>
      </c>
      <c r="J40" s="328">
        <f t="shared" si="46"/>
        <v>8957.4049999999988</v>
      </c>
      <c r="K40" s="409">
        <f t="shared" si="46"/>
        <v>14155.279999999999</v>
      </c>
      <c r="L40" s="323">
        <f t="shared" si="46"/>
        <v>20652.623749999999</v>
      </c>
      <c r="M40" s="323">
        <f t="shared" si="46"/>
        <v>28774.303437499999</v>
      </c>
      <c r="N40" s="323">
        <f t="shared" si="46"/>
        <v>38926.403046874999</v>
      </c>
      <c r="O40" s="323">
        <f t="shared" si="46"/>
        <v>51616.527558593749</v>
      </c>
      <c r="P40" s="323">
        <f t="shared" si="46"/>
        <v>67479.183198242186</v>
      </c>
      <c r="Q40" s="323">
        <f t="shared" si="46"/>
        <v>87307.502747802733</v>
      </c>
      <c r="R40" s="323">
        <f t="shared" si="46"/>
        <v>112092.90218475342</v>
      </c>
      <c r="S40" s="323">
        <f t="shared" si="46"/>
        <v>140596.1115372467</v>
      </c>
      <c r="T40" s="323">
        <f t="shared" si="46"/>
        <v>173374.80229261398</v>
      </c>
      <c r="U40" s="323">
        <f t="shared" si="46"/>
        <v>211070.29666128632</v>
      </c>
      <c r="V40" s="323">
        <f t="shared" si="46"/>
        <v>254420.11518525952</v>
      </c>
      <c r="W40" s="323">
        <f t="shared" si="46"/>
        <v>304272.4064878287</v>
      </c>
      <c r="X40" s="323">
        <f t="shared" si="46"/>
        <v>361602.54148578324</v>
      </c>
      <c r="Y40" s="323">
        <f t="shared" si="46"/>
        <v>427532.19673343096</v>
      </c>
      <c r="Z40" s="323">
        <f t="shared" si="46"/>
        <v>503351.30026822584</v>
      </c>
      <c r="AA40" s="323">
        <f t="shared" si="46"/>
        <v>590543.26933323999</v>
      </c>
      <c r="AB40" s="323">
        <f t="shared" si="46"/>
        <v>690814.03375800629</v>
      </c>
      <c r="AC40" s="323">
        <f t="shared" si="46"/>
        <v>806125.41284648748</v>
      </c>
      <c r="AD40" s="323">
        <f t="shared" si="46"/>
        <v>938733.49879824079</v>
      </c>
      <c r="AE40" s="323">
        <f t="shared" si="46"/>
        <v>1091232.7976427572</v>
      </c>
      <c r="AF40" s="328">
        <f t="shared" si="46"/>
        <v>1266606.9913139509</v>
      </c>
      <c r="AG40" s="447">
        <f>SUM(G40:AF40)</f>
        <v>8192784.0652681254</v>
      </c>
    </row>
    <row r="41" spans="1:33" ht="14.4">
      <c r="A41" s="1933"/>
      <c r="B41" s="221">
        <v>31</v>
      </c>
      <c r="C41" s="223" t="s">
        <v>843</v>
      </c>
      <c r="D41" s="319">
        <v>2203</v>
      </c>
      <c r="E41" s="316">
        <v>3480</v>
      </c>
      <c r="F41" s="321">
        <v>4009</v>
      </c>
      <c r="G41" s="327">
        <f>F41+(-G23)</f>
        <v>4638.8259008710902</v>
      </c>
      <c r="H41" s="323">
        <f t="shared" ref="H41:AF41" si="47">G41+(-H23)</f>
        <v>5409.4443161303116</v>
      </c>
      <c r="I41" s="323">
        <f t="shared" si="47"/>
        <v>6369.7705081844542</v>
      </c>
      <c r="J41" s="328">
        <f t="shared" si="47"/>
        <v>7542.7671342516287</v>
      </c>
      <c r="K41" s="409">
        <f t="shared" si="47"/>
        <v>9442.5571595253896</v>
      </c>
      <c r="L41" s="323">
        <f t="shared" si="47"/>
        <v>11756.062221853901</v>
      </c>
      <c r="M41" s="323">
        <f t="shared" si="47"/>
        <v>14491.591866648116</v>
      </c>
      <c r="N41" s="323">
        <f t="shared" si="47"/>
        <v>17739.956446901171</v>
      </c>
      <c r="O41" s="323">
        <f t="shared" si="47"/>
        <v>21612.558472529839</v>
      </c>
      <c r="P41" s="323">
        <f t="shared" si="47"/>
        <v>26278.138510530491</v>
      </c>
      <c r="Q41" s="323">
        <f t="shared" si="47"/>
        <v>31859.075427550088</v>
      </c>
      <c r="R41" s="323">
        <f t="shared" si="47"/>
        <v>38367.231741684336</v>
      </c>
      <c r="S41" s="323">
        <f t="shared" si="47"/>
        <v>45963.575534223215</v>
      </c>
      <c r="T41" s="323">
        <f t="shared" si="47"/>
        <v>54652.551157936716</v>
      </c>
      <c r="U41" s="323">
        <f t="shared" si="47"/>
        <v>64380.123561435496</v>
      </c>
      <c r="V41" s="323">
        <f t="shared" si="47"/>
        <v>75275.607305310172</v>
      </c>
      <c r="W41" s="323">
        <f t="shared" si="47"/>
        <v>87485.066638602249</v>
      </c>
      <c r="X41" s="323">
        <f t="shared" si="47"/>
        <v>101039.43252227937</v>
      </c>
      <c r="Y41" s="323">
        <f t="shared" si="47"/>
        <v>116091.78970393841</v>
      </c>
      <c r="Z41" s="323">
        <f t="shared" si="47"/>
        <v>132813.32051981971</v>
      </c>
      <c r="AA41" s="323">
        <f t="shared" si="47"/>
        <v>151395.53302075394</v>
      </c>
      <c r="AB41" s="323">
        <f t="shared" si="47"/>
        <v>171974.22237419704</v>
      </c>
      <c r="AC41" s="323">
        <f t="shared" si="47"/>
        <v>194775.27326617207</v>
      </c>
      <c r="AD41" s="323">
        <f t="shared" si="47"/>
        <v>220051.53429425298</v>
      </c>
      <c r="AE41" s="323">
        <f t="shared" si="47"/>
        <v>248086.20586658866</v>
      </c>
      <c r="AF41" s="328">
        <f t="shared" si="47"/>
        <v>278710.60554523306</v>
      </c>
      <c r="AG41" s="447">
        <f>SUM(G41:AF41)</f>
        <v>2138202.8210174041</v>
      </c>
    </row>
    <row r="42" spans="1:33" ht="15" thickBot="1">
      <c r="A42" s="1933"/>
      <c r="B42" s="222">
        <v>32</v>
      </c>
      <c r="C42" s="218" t="s">
        <v>844</v>
      </c>
      <c r="D42" s="514" t="s">
        <v>845</v>
      </c>
      <c r="E42" s="515" t="s">
        <v>846</v>
      </c>
      <c r="F42" s="516">
        <v>-1787</v>
      </c>
      <c r="G42" s="517">
        <f>F42-G9</f>
        <v>-1145.56</v>
      </c>
      <c r="H42" s="518">
        <f t="shared" ref="H42:AF42" si="48">G42-H9</f>
        <v>-405.2342914500465</v>
      </c>
      <c r="I42" s="518">
        <f t="shared" si="48"/>
        <v>448.39729170047542</v>
      </c>
      <c r="J42" s="519">
        <f t="shared" si="48"/>
        <v>1432.1604641081021</v>
      </c>
      <c r="K42" s="520">
        <f t="shared" si="48"/>
        <v>2495.1575362493913</v>
      </c>
      <c r="L42" s="518">
        <f t="shared" si="48"/>
        <v>3777.6938733319948</v>
      </c>
      <c r="M42" s="518">
        <f t="shared" si="48"/>
        <v>5317.8159518351804</v>
      </c>
      <c r="N42" s="518">
        <f t="shared" si="48"/>
        <v>7152.6880905498801</v>
      </c>
      <c r="O42" s="518">
        <f t="shared" si="48"/>
        <v>9325.9976384012352</v>
      </c>
      <c r="P42" s="518">
        <f t="shared" si="48"/>
        <v>11889.18525997184</v>
      </c>
      <c r="Q42" s="518">
        <f t="shared" si="48"/>
        <v>14801.464683404198</v>
      </c>
      <c r="R42" s="518">
        <f t="shared" si="48"/>
        <v>18121.986592091249</v>
      </c>
      <c r="S42" s="518">
        <f t="shared" si="48"/>
        <v>21904.573868238876</v>
      </c>
      <c r="T42" s="518">
        <f t="shared" si="48"/>
        <v>26210.381477325605</v>
      </c>
      <c r="U42" s="518">
        <f t="shared" si="48"/>
        <v>31108.922145687691</v>
      </c>
      <c r="V42" s="518">
        <f t="shared" si="48"/>
        <v>36668.842382810763</v>
      </c>
      <c r="W42" s="518">
        <f t="shared" si="48"/>
        <v>42967.059329662734</v>
      </c>
      <c r="X42" s="518">
        <f t="shared" si="48"/>
        <v>50089.79871892208</v>
      </c>
      <c r="Y42" s="518">
        <f t="shared" si="48"/>
        <v>58131.668129262034</v>
      </c>
      <c r="Z42" s="518">
        <f t="shared" si="48"/>
        <v>67198.706206945048</v>
      </c>
      <c r="AA42" s="518">
        <f t="shared" si="48"/>
        <v>77409.833079804579</v>
      </c>
      <c r="AB42" s="518">
        <f t="shared" si="48"/>
        <v>88898.492849569593</v>
      </c>
      <c r="AC42" s="518">
        <f t="shared" si="48"/>
        <v>101814.51450117676</v>
      </c>
      <c r="AD42" s="518">
        <f t="shared" si="48"/>
        <v>116326.22127722271</v>
      </c>
      <c r="AE42" s="518">
        <f t="shared" si="48"/>
        <v>132619.49015526281</v>
      </c>
      <c r="AF42" s="519">
        <f t="shared" si="48"/>
        <v>150903.33195786655</v>
      </c>
      <c r="AG42" s="447">
        <f>SUM(G42:AF42)</f>
        <v>1075463.5891699516</v>
      </c>
    </row>
    <row r="43" spans="1:33" s="4" customFormat="1" ht="15" thickBot="1">
      <c r="A43" s="1935"/>
      <c r="B43" s="1936"/>
      <c r="C43" s="1936"/>
      <c r="D43" s="1936"/>
      <c r="E43" s="1936"/>
      <c r="F43" s="1936"/>
      <c r="G43" s="1936"/>
      <c r="H43" s="1936"/>
      <c r="I43" s="1936"/>
      <c r="J43" s="1936"/>
      <c r="K43" s="1936"/>
      <c r="L43" s="1936"/>
      <c r="M43" s="1936"/>
      <c r="N43" s="1936"/>
      <c r="O43" s="1936"/>
      <c r="P43" s="1936"/>
      <c r="Q43" s="1936"/>
      <c r="R43" s="1936"/>
      <c r="S43" s="1936"/>
      <c r="T43" s="1936"/>
      <c r="U43" s="1936"/>
      <c r="V43" s="1936"/>
      <c r="W43" s="1936"/>
      <c r="X43" s="1936"/>
      <c r="Y43" s="1936"/>
      <c r="Z43" s="1936"/>
      <c r="AA43" s="1936"/>
      <c r="AB43" s="1936"/>
      <c r="AC43" s="1936"/>
      <c r="AD43" s="1936"/>
      <c r="AE43" s="1936"/>
      <c r="AF43" s="1937"/>
      <c r="AG43" s="446"/>
    </row>
    <row r="44" spans="1:33" ht="15" customHeight="1">
      <c r="A44" s="1928" t="s">
        <v>847</v>
      </c>
      <c r="B44" s="219">
        <v>33</v>
      </c>
      <c r="C44" s="223" t="s">
        <v>848</v>
      </c>
      <c r="D44" s="507">
        <f>'Fin. Data'!D39</f>
        <v>2535</v>
      </c>
      <c r="E44" s="287">
        <f t="shared" ref="E44:F44" si="49">E37+D44</f>
        <v>4819</v>
      </c>
      <c r="F44" s="521">
        <f t="shared" si="49"/>
        <v>3906</v>
      </c>
      <c r="G44" s="522">
        <f>G37+F44</f>
        <v>7075.3691849999987</v>
      </c>
      <c r="H44" s="523">
        <f t="shared" ref="H44:AF44" si="50">H37+G44</f>
        <v>12668.302835299999</v>
      </c>
      <c r="I44" s="523">
        <f t="shared" si="50"/>
        <v>19149.561663700999</v>
      </c>
      <c r="J44" s="524">
        <f t="shared" si="50"/>
        <v>26757.231061735169</v>
      </c>
      <c r="K44" s="627">
        <f t="shared" si="50"/>
        <v>36406.954739443674</v>
      </c>
      <c r="L44" s="628">
        <f t="shared" si="50"/>
        <v>18282.754333200304</v>
      </c>
      <c r="M44" s="628">
        <f t="shared" si="50"/>
        <v>21247.06798434036</v>
      </c>
      <c r="N44" s="628">
        <f t="shared" si="50"/>
        <v>25671.200791271396</v>
      </c>
      <c r="O44" s="628">
        <f t="shared" si="50"/>
        <v>30236.488488925679</v>
      </c>
      <c r="P44" s="628">
        <f t="shared" si="50"/>
        <v>35480.603506138606</v>
      </c>
      <c r="Q44" s="628">
        <f t="shared" si="50"/>
        <v>42780.768174565987</v>
      </c>
      <c r="R44" s="628">
        <f t="shared" si="50"/>
        <v>50669.114242123564</v>
      </c>
      <c r="S44" s="628">
        <f t="shared" si="50"/>
        <v>59263.739042274989</v>
      </c>
      <c r="T44" s="628">
        <f t="shared" si="50"/>
        <v>67802.151865819731</v>
      </c>
      <c r="U44" s="628">
        <f t="shared" si="50"/>
        <v>75773.605065109659</v>
      </c>
      <c r="V44" s="628">
        <f t="shared" si="50"/>
        <v>84720.8892862348</v>
      </c>
      <c r="W44" s="628">
        <f t="shared" si="50"/>
        <v>95453.878266421118</v>
      </c>
      <c r="X44" s="628">
        <f t="shared" si="50"/>
        <v>107230.55720006829</v>
      </c>
      <c r="Y44" s="628">
        <f t="shared" si="50"/>
        <v>118951.49588737468</v>
      </c>
      <c r="Z44" s="628">
        <f t="shared" si="50"/>
        <v>131994.21088850655</v>
      </c>
      <c r="AA44" s="628">
        <f t="shared" si="50"/>
        <v>146513.33220161081</v>
      </c>
      <c r="AB44" s="628">
        <f t="shared" si="50"/>
        <v>162093.17849289562</v>
      </c>
      <c r="AC44" s="628">
        <f t="shared" si="50"/>
        <v>182278.81072499644</v>
      </c>
      <c r="AD44" s="628">
        <f t="shared" si="50"/>
        <v>201969.97964930889</v>
      </c>
      <c r="AE44" s="628">
        <f t="shared" si="50"/>
        <v>223897.86092508977</v>
      </c>
      <c r="AF44" s="629">
        <f t="shared" si="50"/>
        <v>244684.60413566264</v>
      </c>
      <c r="AG44" s="446"/>
    </row>
    <row r="45" spans="1:33" ht="14.4">
      <c r="A45" s="1928"/>
      <c r="B45" s="219">
        <v>34</v>
      </c>
      <c r="C45" s="223" t="s">
        <v>304</v>
      </c>
      <c r="D45" s="507">
        <f>'Fin. Data'!D58</f>
        <v>349</v>
      </c>
      <c r="E45" s="286">
        <f>'Fin. Data'!C58</f>
        <v>2863</v>
      </c>
      <c r="F45" s="508">
        <f>'Fin. Data'!B58</f>
        <v>2252</v>
      </c>
      <c r="G45" s="626">
        <f>F45</f>
        <v>2252</v>
      </c>
      <c r="H45" s="1099">
        <f>(G39+G44+G41)*0.07</f>
        <v>2760.5336560109763</v>
      </c>
      <c r="I45" s="1099">
        <f t="shared" ref="I45:AF45" si="51">(H39+H44+H41)*0.07</f>
        <v>3205.982300600122</v>
      </c>
      <c r="J45" s="1100">
        <f t="shared" si="51"/>
        <v>4212.0282520319815</v>
      </c>
      <c r="K45" s="1101">
        <f t="shared" si="51"/>
        <v>5433.0936237190754</v>
      </c>
      <c r="L45" s="1099">
        <f t="shared" si="51"/>
        <v>6999.5830204278345</v>
      </c>
      <c r="M45" s="1099">
        <f t="shared" si="51"/>
        <v>6840.3636432287958</v>
      </c>
      <c r="N45" s="1099">
        <f t="shared" si="51"/>
        <v>8423.764295037945</v>
      </c>
      <c r="O45" s="1099">
        <f t="shared" si="51"/>
        <v>10441.353638508019</v>
      </c>
      <c r="P45" s="1099">
        <f t="shared" si="51"/>
        <v>12882.64907709681</v>
      </c>
      <c r="Q45" s="1099">
        <f t="shared" si="51"/>
        <v>15889.631678410491</v>
      </c>
      <c r="R45" s="1099">
        <f t="shared" si="51"/>
        <v>19682.938723702689</v>
      </c>
      <c r="S45" s="1099">
        <f t="shared" si="51"/>
        <v>22859.416341154305</v>
      </c>
      <c r="T45" s="1099">
        <f t="shared" si="51"/>
        <v>26486.814960985786</v>
      </c>
      <c r="U45" s="1099">
        <f t="shared" si="51"/>
        <v>30560.867593388492</v>
      </c>
      <c r="V45" s="1099">
        <f t="shared" si="51"/>
        <v>35098.155142842537</v>
      </c>
      <c r="W45" s="1099">
        <f t="shared" si="51"/>
        <v>40280.258021240174</v>
      </c>
      <c r="X45" s="1099">
        <f t="shared" si="51"/>
        <v>46248.304892158463</v>
      </c>
      <c r="Y45" s="1099">
        <f t="shared" si="51"/>
        <v>53037.864841692186</v>
      </c>
      <c r="Z45" s="1099">
        <f t="shared" si="51"/>
        <v>60680.840386688942</v>
      </c>
      <c r="AA45" s="1099">
        <f t="shared" si="51"/>
        <v>69398.509153174426</v>
      </c>
      <c r="AB45" s="1099">
        <f t="shared" si="51"/>
        <v>79344.899813345837</v>
      </c>
      <c r="AC45" s="1099">
        <f t="shared" si="51"/>
        <v>90649.689195643849</v>
      </c>
      <c r="AD45" s="1099">
        <f t="shared" si="51"/>
        <v>103748.50268457124</v>
      </c>
      <c r="AE45" s="1099">
        <f t="shared" si="51"/>
        <v>118499.43030201718</v>
      </c>
      <c r="AF45" s="1100">
        <f t="shared" si="51"/>
        <v>135340.49765028051</v>
      </c>
      <c r="AG45" s="459"/>
    </row>
    <row r="46" spans="1:33" ht="14.4">
      <c r="A46" s="1928"/>
      <c r="B46" s="219">
        <v>35</v>
      </c>
      <c r="C46" s="223" t="s">
        <v>849</v>
      </c>
      <c r="D46" s="509"/>
      <c r="E46" s="377"/>
      <c r="F46" s="510">
        <f>1/((1+$F$51)^G51)</f>
        <v>1</v>
      </c>
      <c r="G46" s="334">
        <f t="shared" ref="G46:AE46" si="52">1/((1+$F$51)^G50)</f>
        <v>0.87749259053182771</v>
      </c>
      <c r="H46" s="281">
        <f t="shared" si="52"/>
        <v>0.76999324643825784</v>
      </c>
      <c r="I46" s="281">
        <f t="shared" si="52"/>
        <v>0.6756633685091189</v>
      </c>
      <c r="J46" s="335">
        <f t="shared" si="52"/>
        <v>0.59288959956052767</v>
      </c>
      <c r="K46" s="334">
        <f t="shared" si="52"/>
        <v>0.52025623061774529</v>
      </c>
      <c r="L46" s="281">
        <f t="shared" si="52"/>
        <v>0.45652098754508941</v>
      </c>
      <c r="M46" s="281">
        <f t="shared" si="52"/>
        <v>0.4005937839930887</v>
      </c>
      <c r="N46" s="281">
        <f t="shared" si="52"/>
        <v>0.35151807726704282</v>
      </c>
      <c r="O46" s="281">
        <f t="shared" si="52"/>
        <v>0.30845450823982457</v>
      </c>
      <c r="P46" s="281">
        <f t="shared" si="52"/>
        <v>0.27066654549658464</v>
      </c>
      <c r="Q46" s="281">
        <f t="shared" si="52"/>
        <v>0.23750788817809884</v>
      </c>
      <c r="R46" s="281">
        <f t="shared" si="52"/>
        <v>0.20841141206914363</v>
      </c>
      <c r="S46" s="281">
        <f t="shared" si="52"/>
        <v>0.18287946987294906</v>
      </c>
      <c r="T46" s="281">
        <f t="shared" si="52"/>
        <v>0.16047537977390142</v>
      </c>
      <c r="U46" s="281">
        <f t="shared" si="52"/>
        <v>0.14081595671437963</v>
      </c>
      <c r="V46" s="281">
        <f t="shared" si="52"/>
        <v>0.12356495864551867</v>
      </c>
      <c r="W46" s="281">
        <f t="shared" si="52"/>
        <v>0.10842733566081433</v>
      </c>
      <c r="X46" s="281">
        <f t="shared" si="52"/>
        <v>9.5144183653472006E-2</v>
      </c>
      <c r="Y46" s="281">
        <f t="shared" si="52"/>
        <v>8.3488316188121109E-2</v>
      </c>
      <c r="Z46" s="281">
        <f t="shared" si="52"/>
        <v>7.3260378851054728E-2</v>
      </c>
      <c r="AA46" s="281">
        <f t="shared" si="52"/>
        <v>6.428543962135512E-2</v>
      </c>
      <c r="AB46" s="281">
        <f t="shared" si="52"/>
        <v>5.6409996946820307E-2</v>
      </c>
      <c r="AC46" s="281">
        <f t="shared" si="52"/>
        <v>4.9499354352757846E-2</v>
      </c>
      <c r="AD46" s="281">
        <f t="shared" si="52"/>
        <v>4.3435316680654382E-2</v>
      </c>
      <c r="AE46" s="281">
        <f t="shared" si="52"/>
        <v>3.8114168554677717E-2</v>
      </c>
      <c r="AF46" s="1107">
        <f>1/((1+$F$51)^25)</f>
        <v>3.8114168554677717E-2</v>
      </c>
      <c r="AG46" s="459"/>
    </row>
    <row r="47" spans="1:33" ht="14.4">
      <c r="A47" s="1928"/>
      <c r="B47" s="219">
        <v>36</v>
      </c>
      <c r="C47" s="223" t="s">
        <v>850</v>
      </c>
      <c r="D47" s="511"/>
      <c r="E47" s="512" t="s">
        <v>851</v>
      </c>
      <c r="F47" s="335">
        <f>1/((1+$F$51+0.001)^G51)</f>
        <v>1</v>
      </c>
      <c r="G47" s="334">
        <f>1/((1+$F$51+0.001)^G50)</f>
        <v>0.87672327235638825</v>
      </c>
      <c r="H47" s="281">
        <f t="shared" ref="H47:AE47" si="53">1/((1+$F$51+0.001)^H50)</f>
        <v>0.7686436962912937</v>
      </c>
      <c r="I47" s="281">
        <f t="shared" si="53"/>
        <v>0.67388781668861286</v>
      </c>
      <c r="J47" s="335">
        <f t="shared" si="53"/>
        <v>0.5908131318483425</v>
      </c>
      <c r="K47" s="334">
        <f t="shared" si="53"/>
        <v>0.51797962230520511</v>
      </c>
      <c r="L47" s="281">
        <f t="shared" si="53"/>
        <v>0.45412478948134544</v>
      </c>
      <c r="M47" s="281">
        <f t="shared" si="53"/>
        <v>0.39814177149224106</v>
      </c>
      <c r="N47" s="281">
        <f t="shared" si="53"/>
        <v>0.34906015676444696</v>
      </c>
      <c r="O47" s="281">
        <f t="shared" si="53"/>
        <v>0.30602916288775983</v>
      </c>
      <c r="P47" s="281">
        <f t="shared" si="53"/>
        <v>0.26830288912344291</v>
      </c>
      <c r="Q47" s="281">
        <f t="shared" si="53"/>
        <v>0.23522738693497808</v>
      </c>
      <c r="R47" s="281">
        <f t="shared" si="53"/>
        <v>0.20622932442147629</v>
      </c>
      <c r="S47" s="281">
        <f t="shared" si="53"/>
        <v>0.18080604816264392</v>
      </c>
      <c r="T47" s="281">
        <f t="shared" si="53"/>
        <v>0.15851687020697991</v>
      </c>
      <c r="U47" s="281">
        <f t="shared" si="53"/>
        <v>0.13897542917155628</v>
      </c>
      <c r="V47" s="281">
        <f t="shared" si="53"/>
        <v>0.12184299304042029</v>
      </c>
      <c r="W47" s="281">
        <f>1/((1+$F$51+0.001)^W50)</f>
        <v>0.10682258757209391</v>
      </c>
      <c r="X47" s="281">
        <f t="shared" si="53"/>
        <v>9.3653848537783024E-2</v>
      </c>
      <c r="Y47" s="281">
        <f t="shared" si="53"/>
        <v>8.2108508558814672E-2</v>
      </c>
      <c r="Z47" s="281">
        <f t="shared" si="53"/>
        <v>7.1986440311986505E-2</v>
      </c>
      <c r="AA47" s="281">
        <f t="shared" si="53"/>
        <v>6.3112187515612636E-2</v>
      </c>
      <c r="AB47" s="281">
        <f t="shared" si="53"/>
        <v>5.5331923564257902E-2</v>
      </c>
      <c r="AC47" s="281">
        <f t="shared" si="53"/>
        <v>4.851078509302973E-2</v>
      </c>
      <c r="AD47" s="281">
        <f t="shared" si="53"/>
        <v>4.2530534251338521E-2</v>
      </c>
      <c r="AE47" s="281">
        <f t="shared" si="53"/>
        <v>3.728750916389896E-2</v>
      </c>
      <c r="AF47" s="1107">
        <f t="shared" ref="AF47:AF48" si="54">1/((1+$F$51)^25)</f>
        <v>3.8114168554677717E-2</v>
      </c>
      <c r="AG47" s="459"/>
    </row>
    <row r="48" spans="1:33" ht="15" thickBot="1">
      <c r="A48" s="1928"/>
      <c r="B48" s="220">
        <v>37</v>
      </c>
      <c r="C48" s="218" t="s">
        <v>852</v>
      </c>
      <c r="D48" s="511"/>
      <c r="E48" s="512" t="s">
        <v>853</v>
      </c>
      <c r="F48" s="525">
        <f>1/((1+$F$51+0.005)^G51)</f>
        <v>1</v>
      </c>
      <c r="G48" s="526">
        <f t="shared" ref="G48:AE48" si="55">1/((1+$F$51+0.005)^G50)</f>
        <v>0.87365944209638902</v>
      </c>
      <c r="H48" s="527">
        <f t="shared" si="55"/>
        <v>0.7632808207641737</v>
      </c>
      <c r="I48" s="527">
        <f t="shared" si="55"/>
        <v>0.6668474960317019</v>
      </c>
      <c r="J48" s="525">
        <f t="shared" si="55"/>
        <v>0.58259761134643062</v>
      </c>
      <c r="K48" s="630">
        <f t="shared" si="55"/>
        <v>0.50899190409561146</v>
      </c>
      <c r="L48" s="631">
        <f t="shared" si="55"/>
        <v>0.4446855829637506</v>
      </c>
      <c r="M48" s="631">
        <f t="shared" si="55"/>
        <v>0.38850375832041795</v>
      </c>
      <c r="N48" s="631">
        <f t="shared" si="55"/>
        <v>0.33941997674656665</v>
      </c>
      <c r="O48" s="631">
        <f t="shared" si="55"/>
        <v>0.29653746752077476</v>
      </c>
      <c r="P48" s="631">
        <f t="shared" si="55"/>
        <v>0.25907275843487615</v>
      </c>
      <c r="Q48" s="631">
        <f t="shared" si="55"/>
        <v>0.22634136159658644</v>
      </c>
      <c r="R48" s="631">
        <f t="shared" si="55"/>
        <v>0.19774526769581077</v>
      </c>
      <c r="S48" s="631">
        <f t="shared" si="55"/>
        <v>0.17276202025232312</v>
      </c>
      <c r="T48" s="631">
        <f t="shared" si="55"/>
        <v>0.15093517022908964</v>
      </c>
      <c r="U48" s="631">
        <f t="shared" si="55"/>
        <v>0.13186593661506998</v>
      </c>
      <c r="V48" s="631">
        <f t="shared" si="55"/>
        <v>0.11520592061463984</v>
      </c>
      <c r="W48" s="631">
        <f t="shared" si="55"/>
        <v>0.10065074033038714</v>
      </c>
      <c r="X48" s="631">
        <f t="shared" si="55"/>
        <v>8.793446964363455E-2</v>
      </c>
      <c r="Y48" s="631">
        <f t="shared" si="55"/>
        <v>7.6824779689899605E-2</v>
      </c>
      <c r="Z48" s="631">
        <f t="shared" si="55"/>
        <v>6.7118694163055687E-2</v>
      </c>
      <c r="AA48" s="631">
        <f t="shared" si="55"/>
        <v>5.86388808967334E-2</v>
      </c>
      <c r="AB48" s="631">
        <f t="shared" si="55"/>
        <v>5.1230411969396691E-2</v>
      </c>
      <c r="AC48" s="631">
        <f t="shared" si="55"/>
        <v>4.4757933139551287E-2</v>
      </c>
      <c r="AD48" s="631">
        <f t="shared" si="55"/>
        <v>3.910319089608786E-2</v>
      </c>
      <c r="AE48" s="631">
        <f t="shared" si="55"/>
        <v>3.4162871942464715E-2</v>
      </c>
      <c r="AF48" s="1107">
        <f t="shared" si="54"/>
        <v>3.8114168554677717E-2</v>
      </c>
      <c r="AG48" s="459"/>
    </row>
    <row r="49" spans="1:33" ht="15" thickBot="1">
      <c r="A49" s="1938" t="s">
        <v>447</v>
      </c>
      <c r="B49" s="1939"/>
      <c r="C49" s="1939"/>
      <c r="D49" s="1939"/>
      <c r="E49" s="1939"/>
      <c r="F49" s="1939"/>
      <c r="G49" s="1939"/>
      <c r="H49" s="1939"/>
      <c r="I49" s="1939"/>
      <c r="J49" s="1939"/>
      <c r="K49" s="1939"/>
      <c r="L49" s="1939"/>
      <c r="M49" s="1939"/>
      <c r="N49" s="1939"/>
      <c r="O49" s="1939"/>
      <c r="P49" s="1939"/>
      <c r="Q49" s="1939"/>
      <c r="R49" s="1939"/>
      <c r="S49" s="1939"/>
      <c r="T49" s="1939"/>
      <c r="U49" s="1939"/>
      <c r="V49" s="1939"/>
      <c r="W49" s="1939"/>
      <c r="X49" s="1939"/>
      <c r="Y49" s="1939"/>
      <c r="Z49" s="1939"/>
      <c r="AA49" s="1939"/>
      <c r="AB49" s="1939"/>
      <c r="AC49" s="1939"/>
      <c r="AD49" s="1939"/>
      <c r="AE49" s="1939"/>
      <c r="AF49" s="1940"/>
      <c r="AG49" s="459"/>
    </row>
    <row r="50" spans="1:33" ht="15" thickBot="1">
      <c r="A50" s="1917" t="s">
        <v>854</v>
      </c>
      <c r="C50" s="234" t="s">
        <v>855</v>
      </c>
      <c r="D50" s="224" t="s">
        <v>856</v>
      </c>
      <c r="E50" s="225" t="s">
        <v>857</v>
      </c>
      <c r="F50" s="235" t="s">
        <v>858</v>
      </c>
      <c r="G50" s="282">
        <v>1</v>
      </c>
      <c r="H50" s="283">
        <v>2</v>
      </c>
      <c r="I50" s="283">
        <v>3</v>
      </c>
      <c r="J50" s="282">
        <v>4</v>
      </c>
      <c r="K50" s="283">
        <v>5</v>
      </c>
      <c r="L50" s="283">
        <v>6</v>
      </c>
      <c r="M50" s="282">
        <v>7</v>
      </c>
      <c r="N50" s="283">
        <v>8</v>
      </c>
      <c r="O50" s="283">
        <v>9</v>
      </c>
      <c r="P50" s="282">
        <v>10</v>
      </c>
      <c r="Q50" s="283">
        <v>11</v>
      </c>
      <c r="R50" s="283">
        <v>12</v>
      </c>
      <c r="S50" s="282">
        <v>13</v>
      </c>
      <c r="T50" s="283">
        <v>14</v>
      </c>
      <c r="U50" s="283">
        <v>15</v>
      </c>
      <c r="V50" s="282">
        <v>16</v>
      </c>
      <c r="W50" s="283">
        <v>17</v>
      </c>
      <c r="X50" s="283">
        <v>18</v>
      </c>
      <c r="Y50" s="282">
        <v>19</v>
      </c>
      <c r="Z50" s="283">
        <v>20</v>
      </c>
      <c r="AA50" s="283">
        <v>21</v>
      </c>
      <c r="AB50" s="282">
        <v>22</v>
      </c>
      <c r="AC50" s="283">
        <v>23</v>
      </c>
      <c r="AD50" s="283">
        <v>24</v>
      </c>
      <c r="AE50" s="282">
        <v>25</v>
      </c>
    </row>
    <row r="51" spans="1:33" ht="13.2" customHeight="1" thickBot="1">
      <c r="A51" s="1918"/>
      <c r="C51" s="230"/>
      <c r="D51" s="231"/>
      <c r="E51" s="232"/>
      <c r="F51" s="233">
        <f>Assumptions!C587</f>
        <v>0.13961076229022445</v>
      </c>
      <c r="G51" s="282">
        <v>0</v>
      </c>
      <c r="H51"/>
      <c r="I51" s="1919" t="s">
        <v>859</v>
      </c>
      <c r="J51" s="1892"/>
      <c r="K51" s="1109">
        <f t="shared" ref="K51:AF51" si="56">K45/K12</f>
        <v>0.25461355078977532</v>
      </c>
      <c r="L51" s="1109">
        <f t="shared" si="56"/>
        <v>0.29220690786719689</v>
      </c>
      <c r="M51" s="1109">
        <f t="shared" si="56"/>
        <v>0.2278407600407833</v>
      </c>
      <c r="N51" s="1109">
        <f t="shared" si="56"/>
        <v>0.2427939105413158</v>
      </c>
      <c r="O51" s="1109">
        <f t="shared" si="56"/>
        <v>0.24191150300125572</v>
      </c>
      <c r="P51" s="1109">
        <f t="shared" si="56"/>
        <v>0.23138396255271157</v>
      </c>
      <c r="Q51" s="1109">
        <f t="shared" si="56"/>
        <v>0.24013612253135042</v>
      </c>
      <c r="R51" s="1109">
        <f t="shared" si="56"/>
        <v>0.25848465153942224</v>
      </c>
      <c r="S51" s="1109">
        <f t="shared" si="56"/>
        <v>0.25990945974408708</v>
      </c>
      <c r="T51" s="1109">
        <f t="shared" si="56"/>
        <v>0.26300124508462608</v>
      </c>
      <c r="U51" s="1109">
        <f t="shared" si="56"/>
        <v>0.26744959622109704</v>
      </c>
      <c r="V51" s="1109">
        <f t="shared" si="56"/>
        <v>0.27063206580648191</v>
      </c>
      <c r="W51" s="1109">
        <f t="shared" si="56"/>
        <v>0.27788516337838209</v>
      </c>
      <c r="X51" s="1109">
        <f t="shared" si="56"/>
        <v>0.29118138814879113</v>
      </c>
      <c r="Y51" s="1109">
        <f t="shared" si="56"/>
        <v>0.2959507768183044</v>
      </c>
      <c r="Z51" s="1109">
        <f t="shared" si="56"/>
        <v>0.29996984836909429</v>
      </c>
      <c r="AA51" s="1109">
        <f t="shared" si="56"/>
        <v>0.30380325883690346</v>
      </c>
      <c r="AB51" s="1109">
        <f t="shared" si="56"/>
        <v>0.30824908743160578</v>
      </c>
      <c r="AC51" s="1109">
        <f t="shared" si="56"/>
        <v>0.32298020318833714</v>
      </c>
      <c r="AD51" s="1109">
        <f t="shared" si="56"/>
        <v>0.32787338220335094</v>
      </c>
      <c r="AE51" s="1109">
        <f t="shared" si="56"/>
        <v>0.33197263479372008</v>
      </c>
      <c r="AF51" s="1110">
        <f t="shared" si="56"/>
        <v>0.33932169486167657</v>
      </c>
    </row>
    <row r="52" spans="1:33" ht="15" thickBot="1">
      <c r="A52" s="217"/>
      <c r="C52" s="217"/>
      <c r="D52" s="217"/>
      <c r="G52"/>
      <c r="H52"/>
      <c r="I52"/>
      <c r="J52"/>
      <c r="K52"/>
      <c r="L52"/>
      <c r="M52"/>
      <c r="N52"/>
      <c r="O52"/>
      <c r="P52"/>
      <c r="S52" s="217"/>
      <c r="T52" s="217"/>
      <c r="U52" s="217"/>
      <c r="V52" s="217"/>
      <c r="W52" s="217"/>
      <c r="X52" s="217"/>
      <c r="Y52" s="217"/>
      <c r="Z52" s="217"/>
      <c r="AA52" s="217"/>
      <c r="AB52" s="217"/>
      <c r="AC52" s="217"/>
      <c r="AD52" s="217"/>
      <c r="AE52" s="217"/>
      <c r="AF52" s="217"/>
    </row>
    <row r="53" spans="1:33" ht="15" customHeight="1" thickBot="1">
      <c r="A53" s="1946" t="s">
        <v>860</v>
      </c>
      <c r="C53" s="397" t="s">
        <v>447</v>
      </c>
      <c r="D53" s="1391" t="s">
        <v>798</v>
      </c>
      <c r="E53" s="1392" t="s">
        <v>861</v>
      </c>
      <c r="F53" s="1393" t="s">
        <v>799</v>
      </c>
      <c r="G53" s="1392" t="s">
        <v>862</v>
      </c>
      <c r="H53"/>
      <c r="I53" s="1919" t="s">
        <v>863</v>
      </c>
      <c r="J53" s="1892"/>
      <c r="K53" s="1003">
        <f t="shared" ref="K53" si="57">K44/(K6-K8)</f>
        <v>0.75456989143732967</v>
      </c>
      <c r="L53" s="1421">
        <f>Assumptions!$G$600</f>
        <v>0.20494458941735325</v>
      </c>
      <c r="M53" s="1421">
        <f>Assumptions!$G$600</f>
        <v>0.20494458941735325</v>
      </c>
      <c r="N53" s="1421">
        <f>Assumptions!$G$600</f>
        <v>0.20494458941735325</v>
      </c>
      <c r="O53" s="1421">
        <f>Assumptions!$G$600</f>
        <v>0.20494458941735325</v>
      </c>
      <c r="P53" s="1421">
        <f>Assumptions!$G$600</f>
        <v>0.20494458941735325</v>
      </c>
      <c r="Q53" s="1421">
        <f>Assumptions!$G$600</f>
        <v>0.20494458941735325</v>
      </c>
      <c r="R53" s="1421">
        <f>Assumptions!$G$600</f>
        <v>0.20494458941735325</v>
      </c>
      <c r="S53" s="1421">
        <f>Assumptions!$G$600</f>
        <v>0.20494458941735325</v>
      </c>
      <c r="T53" s="1421">
        <f>Assumptions!$G$600</f>
        <v>0.20494458941735325</v>
      </c>
      <c r="U53" s="1421">
        <f>Assumptions!$G$600</f>
        <v>0.20494458941735325</v>
      </c>
      <c r="V53" s="1421">
        <f>Assumptions!$G$600</f>
        <v>0.20494458941735325</v>
      </c>
      <c r="W53" s="1421">
        <f>Assumptions!$G$600</f>
        <v>0.20494458941735325</v>
      </c>
      <c r="X53" s="1421">
        <f>Assumptions!$G$600</f>
        <v>0.20494458941735325</v>
      </c>
      <c r="Y53" s="1421">
        <f>Assumptions!$G$600</f>
        <v>0.20494458941735325</v>
      </c>
      <c r="Z53" s="1421">
        <f>Assumptions!$G$600</f>
        <v>0.20494458941735325</v>
      </c>
      <c r="AA53" s="1421">
        <f>Assumptions!$G$600</f>
        <v>0.20494458941735325</v>
      </c>
      <c r="AB53" s="1421">
        <f>Assumptions!$G$600</f>
        <v>0.20494458941735325</v>
      </c>
      <c r="AC53" s="1421">
        <f>Assumptions!$G$600</f>
        <v>0.20494458941735325</v>
      </c>
      <c r="AD53" s="1421">
        <f>Assumptions!$G$600</f>
        <v>0.20494458941735325</v>
      </c>
      <c r="AE53" s="1421">
        <f>Assumptions!$G$600</f>
        <v>0.20494458941735325</v>
      </c>
      <c r="AF53" s="1422">
        <f>Assumptions!$G$600</f>
        <v>0.20494458941735325</v>
      </c>
    </row>
    <row r="54" spans="1:33" ht="15" customHeight="1" thickBot="1">
      <c r="A54" s="1946"/>
      <c r="C54" s="1386" t="s">
        <v>618</v>
      </c>
      <c r="D54" s="1115">
        <f>Assumptions!K302</f>
        <v>-0.16</v>
      </c>
      <c r="E54" s="1115">
        <f>Assumptions!L302</f>
        <v>-0.15</v>
      </c>
      <c r="F54" s="1115">
        <f>Assumptions!M302</f>
        <v>-0.15</v>
      </c>
      <c r="G54" s="398" t="s">
        <v>864</v>
      </c>
      <c r="H54"/>
      <c r="I54"/>
      <c r="J54"/>
      <c r="K54"/>
      <c r="L54"/>
      <c r="S54" s="217"/>
      <c r="T54" s="217"/>
      <c r="U54" s="217"/>
      <c r="V54" s="217"/>
      <c r="W54" s="217"/>
      <c r="X54" s="217"/>
      <c r="Y54" s="217"/>
      <c r="Z54" s="217"/>
      <c r="AA54" s="217"/>
      <c r="AB54" s="217"/>
      <c r="AC54" s="217"/>
      <c r="AD54" s="217"/>
      <c r="AE54" s="217"/>
      <c r="AF54" s="217"/>
    </row>
    <row r="55" spans="1:33" ht="15" customHeight="1" thickBot="1">
      <c r="A55" s="1946"/>
      <c r="C55" s="1387" t="s">
        <v>865</v>
      </c>
      <c r="D55" s="1115">
        <f>Assumptions!L316</f>
        <v>-0.13</v>
      </c>
      <c r="E55" s="1115">
        <f>Assumptions!$M$316</f>
        <v>-0.12</v>
      </c>
      <c r="F55" s="1403">
        <f>Assumptions!$M$316</f>
        <v>-0.12</v>
      </c>
      <c r="G55" s="632" t="s">
        <v>866</v>
      </c>
      <c r="H55"/>
      <c r="I55" s="1947" t="s">
        <v>867</v>
      </c>
      <c r="J55" s="1948"/>
      <c r="K55" s="1111">
        <f t="shared" ref="K55:AF55" si="58">K44/K6</f>
        <v>0.57491018883832845</v>
      </c>
      <c r="L55" s="1111">
        <f t="shared" si="58"/>
        <v>0.23707863835144094</v>
      </c>
      <c r="M55" s="1111">
        <f t="shared" si="58"/>
        <v>0.23301229461841985</v>
      </c>
      <c r="N55" s="1111">
        <f t="shared" si="58"/>
        <v>0.23708423260733438</v>
      </c>
      <c r="O55" s="1111">
        <f t="shared" si="58"/>
        <v>0.23423389459197394</v>
      </c>
      <c r="P55" s="1111">
        <f t="shared" si="58"/>
        <v>0.22814271677145953</v>
      </c>
      <c r="Q55" s="1111">
        <f t="shared" si="58"/>
        <v>0.2299655173171837</v>
      </c>
      <c r="R55" s="1111">
        <f t="shared" si="58"/>
        <v>0.23356436967600944</v>
      </c>
      <c r="S55" s="1111">
        <f t="shared" si="58"/>
        <v>0.23404840800050594</v>
      </c>
      <c r="T55" s="1111">
        <f t="shared" si="58"/>
        <v>0.23409716450617352</v>
      </c>
      <c r="U55" s="1111">
        <f t="shared" si="58"/>
        <v>0.23368709660137499</v>
      </c>
      <c r="V55" s="1111">
        <f t="shared" si="58"/>
        <v>0.23327341294193732</v>
      </c>
      <c r="W55" s="1111">
        <f t="shared" si="58"/>
        <v>0.23454079904949465</v>
      </c>
      <c r="X55" s="1111">
        <f t="shared" si="58"/>
        <v>0.23733435732880936</v>
      </c>
      <c r="Y55" s="1111">
        <f t="shared" si="58"/>
        <v>0.23707548482635199</v>
      </c>
      <c r="Z55" s="1111">
        <f t="shared" si="58"/>
        <v>0.23681003672787812</v>
      </c>
      <c r="AA55" s="1111">
        <f t="shared" si="58"/>
        <v>0.23653803150875297</v>
      </c>
      <c r="AB55" s="1111">
        <f t="shared" si="58"/>
        <v>0.23630248123519354</v>
      </c>
      <c r="AC55" s="1111">
        <f t="shared" si="58"/>
        <v>0.23982948626611394</v>
      </c>
      <c r="AD55" s="1111">
        <f t="shared" si="58"/>
        <v>0.23971501887671787</v>
      </c>
      <c r="AE55" s="1111">
        <f t="shared" si="58"/>
        <v>0.23959388325351014</v>
      </c>
      <c r="AF55" s="1112">
        <f t="shared" si="58"/>
        <v>0.23969573938093286</v>
      </c>
    </row>
    <row r="56" spans="1:33" ht="15" customHeight="1">
      <c r="A56" s="1946"/>
      <c r="C56" s="1388" t="s">
        <v>599</v>
      </c>
      <c r="D56" s="1115">
        <f>Assumptions!C525</f>
        <v>-0.05</v>
      </c>
      <c r="E56" s="1115">
        <f>Assumptions!D525</f>
        <v>-0.06</v>
      </c>
      <c r="F56" s="1115">
        <f>Assumptions!E525</f>
        <v>-0.04</v>
      </c>
      <c r="G56" s="398" t="s">
        <v>868</v>
      </c>
    </row>
    <row r="57" spans="1:33" ht="15" customHeight="1">
      <c r="A57" s="1946"/>
      <c r="C57" s="1387" t="s">
        <v>789</v>
      </c>
      <c r="D57" s="1115">
        <f>Assumptions!C365</f>
        <v>-0.05</v>
      </c>
      <c r="E57" s="1115">
        <f>Assumptions!D365</f>
        <v>0.02</v>
      </c>
      <c r="F57" s="1115">
        <v>0.16</v>
      </c>
      <c r="G57" s="398" t="s">
        <v>869</v>
      </c>
      <c r="I57" s="217"/>
      <c r="J57" s="217"/>
      <c r="K57" s="217"/>
      <c r="L57" s="217"/>
      <c r="M57" s="217"/>
      <c r="N57" s="217"/>
      <c r="O57" s="217"/>
      <c r="P57" s="217"/>
      <c r="Q57" s="217"/>
      <c r="R57" s="217"/>
      <c r="S57" s="217"/>
      <c r="T57" s="217"/>
      <c r="U57" s="217"/>
      <c r="V57" s="217"/>
      <c r="W57" s="217"/>
      <c r="X57" s="217"/>
      <c r="Y57" s="217"/>
      <c r="Z57" s="217"/>
      <c r="AA57" s="217"/>
      <c r="AB57" s="217"/>
      <c r="AC57" s="217"/>
      <c r="AD57" s="217"/>
      <c r="AE57" s="217"/>
      <c r="AF57" s="217"/>
    </row>
    <row r="58" spans="1:33" ht="15" customHeight="1">
      <c r="A58" s="1946"/>
      <c r="C58" s="1388" t="s">
        <v>870</v>
      </c>
      <c r="D58" s="1115">
        <f>Assumptions!$F$401</f>
        <v>-3.3000000000000002E-2</v>
      </c>
      <c r="E58" s="368">
        <f>Assumptions!$F$401</f>
        <v>-3.3000000000000002E-2</v>
      </c>
      <c r="F58" s="369">
        <f>Assumptions!$F$401</f>
        <v>-3.3000000000000002E-2</v>
      </c>
      <c r="G58" s="398" t="s">
        <v>871</v>
      </c>
      <c r="I58" s="217" t="s">
        <v>872</v>
      </c>
      <c r="J58" s="217"/>
      <c r="K58" s="217"/>
      <c r="L58" s="217"/>
      <c r="M58" s="217"/>
      <c r="N58" s="217"/>
      <c r="O58" s="217"/>
      <c r="P58" s="217"/>
      <c r="Q58" s="217"/>
      <c r="R58" s="217"/>
      <c r="S58" s="217"/>
      <c r="T58" s="217"/>
      <c r="U58" s="217"/>
      <c r="V58" s="217"/>
      <c r="W58" s="217"/>
      <c r="X58" s="217"/>
      <c r="Y58" s="217"/>
      <c r="Z58" s="217"/>
      <c r="AA58" s="217"/>
      <c r="AB58" s="217"/>
      <c r="AC58" s="217"/>
      <c r="AD58" s="217"/>
      <c r="AE58" s="217"/>
      <c r="AF58" s="283">
        <f>AF44/AF6</f>
        <v>0.23969573938093286</v>
      </c>
    </row>
    <row r="59" spans="1:33" ht="15" customHeight="1">
      <c r="A59" s="1946"/>
      <c r="C59" s="1387" t="s">
        <v>873</v>
      </c>
      <c r="D59" s="1115">
        <f>Assumptions!C418</f>
        <v>4.9000000000000002E-2</v>
      </c>
      <c r="E59" s="368">
        <f>Assumptions!$D$418</f>
        <v>0.04</v>
      </c>
      <c r="F59" s="368">
        <f>Assumptions!$D$418</f>
        <v>0.04</v>
      </c>
      <c r="G59" s="398" t="s">
        <v>874</v>
      </c>
      <c r="H59" s="217"/>
      <c r="I59" s="218"/>
      <c r="J59" s="237"/>
      <c r="K59" s="237"/>
      <c r="L59" s="237"/>
      <c r="M59" s="237"/>
      <c r="N59" s="237"/>
      <c r="O59" s="217"/>
      <c r="P59" s="217"/>
      <c r="Q59" s="217"/>
      <c r="R59" s="217"/>
      <c r="S59" s="217"/>
      <c r="T59" s="217"/>
      <c r="U59" s="217"/>
      <c r="V59" s="217"/>
      <c r="W59" s="217"/>
      <c r="X59" s="217"/>
      <c r="Y59" s="217"/>
      <c r="Z59" s="217"/>
      <c r="AA59" s="217"/>
      <c r="AB59" s="217"/>
      <c r="AC59" s="217"/>
      <c r="AD59" s="217"/>
      <c r="AE59" s="217"/>
      <c r="AF59" s="217"/>
    </row>
    <row r="60" spans="1:33" ht="15" customHeight="1">
      <c r="A60" s="1946"/>
      <c r="C60" s="1388" t="s">
        <v>875</v>
      </c>
      <c r="D60" s="1115">
        <f>Assumptions!S23</f>
        <v>0</v>
      </c>
      <c r="E60" s="368">
        <f>Assumptions!S23</f>
        <v>0</v>
      </c>
      <c r="F60" s="369">
        <f>Assumptions!T23</f>
        <v>0</v>
      </c>
      <c r="G60" s="398" t="s">
        <v>876</v>
      </c>
      <c r="H60" s="217"/>
      <c r="I60" s="217"/>
      <c r="J60" s="238"/>
      <c r="K60" s="238"/>
      <c r="L60" s="238"/>
      <c r="M60" s="238"/>
      <c r="N60" s="237"/>
      <c r="O60" s="217"/>
      <c r="P60" s="217"/>
      <c r="Q60" s="217"/>
      <c r="R60" s="217"/>
      <c r="S60" s="217"/>
      <c r="T60" s="217"/>
      <c r="U60" s="217"/>
      <c r="V60" s="217"/>
      <c r="W60" s="217"/>
      <c r="X60" s="217"/>
      <c r="Y60" s="217"/>
      <c r="Z60" s="217"/>
      <c r="AA60" s="217"/>
      <c r="AB60" s="217"/>
      <c r="AC60" s="217"/>
      <c r="AD60" s="217"/>
      <c r="AE60" s="217"/>
      <c r="AF60" s="217"/>
    </row>
    <row r="61" spans="1:33" ht="15" customHeight="1" thickBot="1">
      <c r="A61" s="1946"/>
      <c r="C61" s="1389" t="s">
        <v>877</v>
      </c>
      <c r="D61" s="1115">
        <f>Assumptions!C509</f>
        <v>-0.1</v>
      </c>
      <c r="E61" s="368">
        <f>Assumptions!D509</f>
        <v>-7.0000000000000007E-2</v>
      </c>
      <c r="F61" s="369">
        <f>Assumptions!E509</f>
        <v>-0.06</v>
      </c>
      <c r="G61" s="398" t="s">
        <v>868</v>
      </c>
      <c r="H61" s="217"/>
      <c r="I61" s="217"/>
      <c r="L61"/>
      <c r="M61"/>
      <c r="N61"/>
      <c r="O61"/>
      <c r="P61" s="217"/>
      <c r="Q61" s="217"/>
      <c r="R61" s="217"/>
      <c r="S61" s="217"/>
      <c r="T61" s="217"/>
      <c r="U61" s="217"/>
      <c r="V61" s="217"/>
      <c r="W61" s="217"/>
      <c r="X61" s="217"/>
      <c r="Y61" s="217"/>
      <c r="Z61" s="217"/>
      <c r="AA61" s="217"/>
      <c r="AB61" s="217"/>
      <c r="AC61" s="217"/>
      <c r="AD61" s="217"/>
      <c r="AE61" s="217"/>
      <c r="AF61" s="217"/>
    </row>
    <row r="62" spans="1:33" ht="15" customHeight="1" thickBot="1">
      <c r="A62" s="1946"/>
      <c r="C62" s="1390" t="s">
        <v>878</v>
      </c>
      <c r="D62" s="1115">
        <f>Assumptions!S25</f>
        <v>0</v>
      </c>
      <c r="E62" s="368">
        <f>Assumptions!S25</f>
        <v>0</v>
      </c>
      <c r="F62" s="369">
        <f>Assumptions!T25</f>
        <v>0</v>
      </c>
      <c r="G62" s="398" t="s">
        <v>879</v>
      </c>
      <c r="H62" s="217"/>
      <c r="I62" s="217"/>
      <c r="L62"/>
      <c r="M62"/>
      <c r="N62"/>
      <c r="O62" s="1908" t="s">
        <v>880</v>
      </c>
      <c r="P62" s="1909"/>
      <c r="Q62" s="1909"/>
      <c r="R62" s="1909"/>
      <c r="S62" s="1909"/>
      <c r="T62" s="1909"/>
      <c r="U62" s="1909"/>
      <c r="V62" s="1909"/>
      <c r="W62" s="1909"/>
      <c r="X62" s="1910"/>
      <c r="Y62" s="217"/>
      <c r="Z62" s="1906" t="s">
        <v>324</v>
      </c>
      <c r="AA62" s="1907"/>
      <c r="AB62" s="217"/>
      <c r="AC62" s="217"/>
      <c r="AD62" s="217"/>
      <c r="AE62" s="217"/>
      <c r="AF62" s="217"/>
    </row>
    <row r="63" spans="1:33" ht="15" customHeight="1" thickBot="1">
      <c r="A63" s="1946"/>
      <c r="C63" s="1390" t="s">
        <v>881</v>
      </c>
      <c r="D63" s="1115">
        <f>Assumptions!$G$338</f>
        <v>-2.3580444867760994E-2</v>
      </c>
      <c r="E63" s="1115">
        <f>Assumptions!C340</f>
        <v>-0.03</v>
      </c>
      <c r="F63" s="1115">
        <f>Assumptions!I337</f>
        <v>-0.03</v>
      </c>
      <c r="G63" s="398" t="s">
        <v>882</v>
      </c>
      <c r="H63" s="217"/>
      <c r="I63" s="217"/>
      <c r="L63"/>
      <c r="M63"/>
      <c r="N63"/>
      <c r="O63" s="1911" t="s">
        <v>676</v>
      </c>
      <c r="P63" s="1912"/>
      <c r="Q63" s="1912"/>
      <c r="R63" s="1912"/>
      <c r="S63" s="1912"/>
      <c r="T63" s="1912"/>
      <c r="U63" s="1912"/>
      <c r="V63" s="1912"/>
      <c r="W63" s="1912"/>
      <c r="X63" s="1913"/>
      <c r="Y63" s="217"/>
      <c r="Z63" s="1452" t="s">
        <v>108</v>
      </c>
      <c r="AA63" s="1453">
        <f>F51</f>
        <v>0.13961076229022445</v>
      </c>
      <c r="AB63" s="217"/>
      <c r="AC63" s="217"/>
      <c r="AD63" s="217"/>
      <c r="AE63" s="217"/>
      <c r="AF63" s="217"/>
    </row>
    <row r="64" spans="1:33" ht="15" customHeight="1" thickBot="1">
      <c r="A64" s="1946"/>
      <c r="C64" s="1390" t="s">
        <v>883</v>
      </c>
      <c r="D64" s="1115">
        <f>Assumptions!$C$446</f>
        <v>-5.0000000000000001E-3</v>
      </c>
      <c r="E64" s="1115">
        <f>Assumptions!$C$446</f>
        <v>-5.0000000000000001E-3</v>
      </c>
      <c r="F64" s="1403">
        <f>Assumptions!B454</f>
        <v>-0.02</v>
      </c>
      <c r="G64" s="632" t="s">
        <v>868</v>
      </c>
      <c r="H64" s="217"/>
      <c r="I64" s="217"/>
      <c r="J64" s="217"/>
      <c r="K64"/>
      <c r="L64"/>
      <c r="M64"/>
      <c r="O64" s="1328">
        <f ca="1">D76</f>
        <v>183.58062727957602</v>
      </c>
      <c r="P64" s="1339">
        <v>0.12</v>
      </c>
      <c r="Q64" s="1339">
        <f>P64+1%</f>
        <v>0.13</v>
      </c>
      <c r="R64" s="1339">
        <f t="shared" ref="R64:X64" si="59">Q64+1%</f>
        <v>0.14000000000000001</v>
      </c>
      <c r="S64" s="1341">
        <f t="shared" si="59"/>
        <v>0.15000000000000002</v>
      </c>
      <c r="T64" s="1341">
        <f t="shared" si="59"/>
        <v>0.16000000000000003</v>
      </c>
      <c r="U64" s="1341">
        <f t="shared" si="59"/>
        <v>0.17000000000000004</v>
      </c>
      <c r="V64" s="1339">
        <f t="shared" si="59"/>
        <v>0.18000000000000005</v>
      </c>
      <c r="W64" s="1339">
        <f t="shared" si="59"/>
        <v>0.19000000000000006</v>
      </c>
      <c r="X64" s="1340">
        <f t="shared" si="59"/>
        <v>0.20000000000000007</v>
      </c>
      <c r="Y64" s="217"/>
      <c r="Z64" s="1454" t="s">
        <v>904</v>
      </c>
      <c r="AA64" s="1455">
        <v>0.16</v>
      </c>
      <c r="AB64" s="217"/>
      <c r="AC64" s="217"/>
      <c r="AD64" s="217"/>
      <c r="AE64" s="217"/>
      <c r="AF64" s="217"/>
    </row>
    <row r="65" spans="1:32" ht="15" customHeight="1">
      <c r="A65" s="1946"/>
      <c r="C65" s="1390" t="s">
        <v>131</v>
      </c>
      <c r="D65" s="1115">
        <f>Assumptions!S29</f>
        <v>0</v>
      </c>
      <c r="E65" s="368">
        <f>Assumptions!S29</f>
        <v>0</v>
      </c>
      <c r="F65" s="369">
        <f>Assumptions!T29</f>
        <v>0</v>
      </c>
      <c r="G65" s="398" t="s">
        <v>868</v>
      </c>
      <c r="I65" s="217"/>
      <c r="J65" s="217"/>
      <c r="K65"/>
      <c r="L65"/>
      <c r="M65"/>
      <c r="N65" s="1914" t="s">
        <v>108</v>
      </c>
      <c r="O65" s="1321">
        <v>0.16961076229022448</v>
      </c>
      <c r="P65" s="896">
        <f t="dataTable" ref="P65:X71" dt2D="1" dtr="1" r1="F51" r2="F57"/>
        <v>272.85423239465376</v>
      </c>
      <c r="Q65" s="896">
        <v>220.56019397295586</v>
      </c>
      <c r="R65" s="1327">
        <v>180.97087861401369</v>
      </c>
      <c r="S65" s="1327">
        <v>150.44037511525681</v>
      </c>
      <c r="T65" s="1327">
        <v>126.51896073768428</v>
      </c>
      <c r="U65" s="1327">
        <v>107.51355161549502</v>
      </c>
      <c r="V65" s="1327">
        <v>92.226084247711114</v>
      </c>
      <c r="W65" s="1327">
        <v>79.791615545638663</v>
      </c>
      <c r="X65" s="1329">
        <v>69.574799062056414</v>
      </c>
      <c r="Y65" s="217"/>
      <c r="Z65" s="217"/>
      <c r="AA65" s="217"/>
      <c r="AB65" s="217"/>
      <c r="AC65" s="217"/>
      <c r="AD65" s="217"/>
      <c r="AE65" s="217"/>
      <c r="AF65" s="217"/>
    </row>
    <row r="66" spans="1:32" ht="15" customHeight="1">
      <c r="A66" s="1946"/>
      <c r="C66" s="1390" t="s">
        <v>884</v>
      </c>
      <c r="D66" s="1115" t="s">
        <v>661</v>
      </c>
      <c r="E66" s="368" t="s">
        <v>661</v>
      </c>
      <c r="F66" s="1405" t="s">
        <v>661</v>
      </c>
      <c r="G66" s="398" t="s">
        <v>885</v>
      </c>
      <c r="K66"/>
      <c r="L66"/>
      <c r="M66"/>
      <c r="N66" s="1915"/>
      <c r="O66" s="1321">
        <v>0.15961076229022447</v>
      </c>
      <c r="P66" s="896">
        <v>274.88872531970566</v>
      </c>
      <c r="Q66" s="896">
        <v>222.17499890442477</v>
      </c>
      <c r="R66" s="896">
        <v>182.26827893160998</v>
      </c>
      <c r="S66" s="896">
        <v>151.49363737203879</v>
      </c>
      <c r="T66" s="896">
        <v>127.38175582972877</v>
      </c>
      <c r="U66" s="896">
        <v>108.22593694695215</v>
      </c>
      <c r="V66" s="896">
        <v>92.818434030381013</v>
      </c>
      <c r="W66" s="896">
        <v>80.28727770117905</v>
      </c>
      <c r="X66" s="1323">
        <v>69.99193522751311</v>
      </c>
    </row>
    <row r="67" spans="1:32" ht="15" customHeight="1">
      <c r="A67" s="1946"/>
      <c r="C67" s="1390" t="s">
        <v>773</v>
      </c>
      <c r="D67" s="1115">
        <v>0</v>
      </c>
      <c r="E67" s="1115">
        <v>0</v>
      </c>
      <c r="F67" s="1115">
        <v>0</v>
      </c>
      <c r="G67" s="398" t="s">
        <v>886</v>
      </c>
      <c r="K67"/>
      <c r="L67"/>
      <c r="M67"/>
      <c r="N67" s="1915"/>
      <c r="O67" s="1326">
        <v>0.14961076229022446</v>
      </c>
      <c r="P67" s="896">
        <v>276.92321824475749</v>
      </c>
      <c r="Q67" s="896">
        <v>223.78980383589376</v>
      </c>
      <c r="R67" s="1330">
        <v>183.56567924920611</v>
      </c>
      <c r="S67" s="1086">
        <v>152.54689962882077</v>
      </c>
      <c r="T67" s="1086">
        <v>128.2445509217732</v>
      </c>
      <c r="U67" s="1086">
        <v>108.93832227840923</v>
      </c>
      <c r="V67" s="896">
        <v>93.410783813050884</v>
      </c>
      <c r="W67" s="896">
        <v>80.782939856719423</v>
      </c>
      <c r="X67" s="1323">
        <v>70.40907139296975</v>
      </c>
    </row>
    <row r="68" spans="1:32" ht="15.75" customHeight="1">
      <c r="A68" s="1946"/>
      <c r="C68" s="1387" t="s">
        <v>304</v>
      </c>
      <c r="D68" s="1116" t="s">
        <v>661</v>
      </c>
      <c r="E68" s="1114" t="s">
        <v>661</v>
      </c>
      <c r="F68" s="1406" t="s">
        <v>661</v>
      </c>
      <c r="G68" s="632" t="s">
        <v>887</v>
      </c>
      <c r="H68" s="1419">
        <f>Assumptions!L403</f>
        <v>7.0270919200224324E-2</v>
      </c>
      <c r="N68" s="1915"/>
      <c r="O68" s="1326">
        <v>0.13961076229022445</v>
      </c>
      <c r="P68" s="896">
        <v>278.95771116980939</v>
      </c>
      <c r="Q68" s="896">
        <v>225.40460876736276</v>
      </c>
      <c r="R68" s="1330">
        <v>184.86307956680236</v>
      </c>
      <c r="S68" s="1086">
        <v>153.60016188560269</v>
      </c>
      <c r="T68" s="1331">
        <v>129.10734601381762</v>
      </c>
      <c r="U68" s="1086">
        <v>109.6507076098663</v>
      </c>
      <c r="V68" s="896">
        <v>94.003133595720769</v>
      </c>
      <c r="W68" s="896">
        <v>81.278602012259782</v>
      </c>
      <c r="X68" s="1323">
        <v>70.826207558426418</v>
      </c>
    </row>
    <row r="69" spans="1:32" ht="15" thickBot="1">
      <c r="A69" s="217"/>
      <c r="C69" s="217"/>
      <c r="D69" s="217"/>
      <c r="E69" s="217"/>
      <c r="F69" s="217"/>
      <c r="N69" s="1915"/>
      <c r="O69" s="1326">
        <v>0.12961076229022445</v>
      </c>
      <c r="P69" s="896">
        <v>280.99220409486128</v>
      </c>
      <c r="Q69" s="896">
        <v>227.01941369883167</v>
      </c>
      <c r="R69" s="1330">
        <v>186.16047988439857</v>
      </c>
      <c r="S69" s="1086">
        <v>154.65342414238469</v>
      </c>
      <c r="T69" s="1086">
        <v>129.97014110586207</v>
      </c>
      <c r="U69" s="1086">
        <v>110.36309294132337</v>
      </c>
      <c r="V69" s="896">
        <v>94.595483378390625</v>
      </c>
      <c r="W69" s="896">
        <v>81.774264167800155</v>
      </c>
      <c r="X69" s="1323">
        <v>71.243343723883086</v>
      </c>
    </row>
    <row r="70" spans="1:32" ht="13.95" customHeight="1" thickBot="1">
      <c r="A70" s="1941" t="s">
        <v>106</v>
      </c>
      <c r="C70" s="284"/>
      <c r="D70" s="372" t="s">
        <v>888</v>
      </c>
      <c r="E70" s="1"/>
      <c r="F70" s="1566" t="s">
        <v>889</v>
      </c>
      <c r="G70" s="1232">
        <f>'Multiples valuation'!$J$9</f>
        <v>276200.63060054003</v>
      </c>
      <c r="N70" s="1915"/>
      <c r="O70" s="1321">
        <v>0.11961076229022445</v>
      </c>
      <c r="P70" s="896">
        <v>283.02669701991317</v>
      </c>
      <c r="Q70" s="896">
        <v>228.63421863030064</v>
      </c>
      <c r="R70" s="896">
        <v>187.4578802019947</v>
      </c>
      <c r="S70" s="896">
        <v>155.70668639916673</v>
      </c>
      <c r="T70" s="896">
        <v>130.83293619790652</v>
      </c>
      <c r="U70" s="896">
        <v>111.07547827278046</v>
      </c>
      <c r="V70" s="896">
        <v>95.187833161060496</v>
      </c>
      <c r="W70" s="896">
        <v>82.269926323340528</v>
      </c>
      <c r="X70" s="1323">
        <v>71.66047988933974</v>
      </c>
    </row>
    <row r="71" spans="1:32" ht="13.95" customHeight="1" thickBot="1">
      <c r="A71" s="1942"/>
      <c r="C71" s="284" t="s">
        <v>890</v>
      </c>
      <c r="D71" s="373">
        <f>SUMPRODUCT(G36:AF36,G46:AF46)+((AF44-AF45)*AF46)</f>
        <v>201006.01428743679</v>
      </c>
      <c r="E71" s="336">
        <f>D71/D73</f>
        <v>0.67742471266957305</v>
      </c>
      <c r="N71" s="1916"/>
      <c r="O71" s="1322">
        <v>0.10961076229022446</v>
      </c>
      <c r="P71" s="1324">
        <v>285.06118994496507</v>
      </c>
      <c r="Q71" s="1324">
        <v>230.24902356176966</v>
      </c>
      <c r="R71" s="1324">
        <v>188.75528051959097</v>
      </c>
      <c r="S71" s="1324">
        <v>156.75994865594868</v>
      </c>
      <c r="T71" s="1324">
        <v>131.69573128995097</v>
      </c>
      <c r="U71" s="1324">
        <v>111.78786360423754</v>
      </c>
      <c r="V71" s="1324">
        <v>95.780182943730367</v>
      </c>
      <c r="W71" s="1324">
        <v>82.765588478880886</v>
      </c>
      <c r="X71" s="1325">
        <v>72.077616054796408</v>
      </c>
    </row>
    <row r="72" spans="1:32" ht="13.95" customHeight="1" thickBot="1">
      <c r="A72" s="1942"/>
      <c r="C72" s="284" t="s">
        <v>891</v>
      </c>
      <c r="D72" s="373">
        <f>(AF35/(F51-AF5))*AF46</f>
        <v>95714.802842660036</v>
      </c>
      <c r="E72" s="336">
        <f>D72/D73</f>
        <v>0.3225752873304269</v>
      </c>
      <c r="F72" s="1424" t="s">
        <v>892</v>
      </c>
      <c r="G72" s="1547">
        <v>2023</v>
      </c>
      <c r="H72" s="1547">
        <v>2024</v>
      </c>
      <c r="I72" s="1547">
        <v>2025</v>
      </c>
      <c r="J72" s="1550">
        <v>2026</v>
      </c>
    </row>
    <row r="73" spans="1:32" ht="15" thickBot="1">
      <c r="A73" s="1942"/>
      <c r="C73" s="284" t="s">
        <v>893</v>
      </c>
      <c r="D73" s="373">
        <f>D71+D72</f>
        <v>296720.81713009684</v>
      </c>
      <c r="E73" s="1"/>
      <c r="F73" s="1423" t="s">
        <v>894</v>
      </c>
      <c r="G73" s="1229">
        <f>$G$70/(F22+F23)</f>
        <v>246.38771686042821</v>
      </c>
      <c r="H73" s="1230">
        <f t="shared" ref="H73:J73" si="60">$G$70/(G22+G23)</f>
        <v>63.325847349404178</v>
      </c>
      <c r="I73" s="1230">
        <f t="shared" si="60"/>
        <v>49.678005429511671</v>
      </c>
      <c r="J73" s="1231">
        <f t="shared" si="60"/>
        <v>31.631907367425612</v>
      </c>
    </row>
    <row r="74" spans="1:32" ht="15" thickBot="1">
      <c r="A74" s="1942"/>
      <c r="C74" s="622" t="s">
        <v>895</v>
      </c>
      <c r="D74" s="623">
        <f ca="1">OP!C20</f>
        <v>78.209999999999994</v>
      </c>
      <c r="E74" s="285"/>
      <c r="F74" s="1225" t="s">
        <v>896</v>
      </c>
      <c r="G74" s="1222"/>
      <c r="H74" s="1223">
        <f>H73/((G22+G23)/(F22+F23)-1)</f>
        <v>21.906052599766262</v>
      </c>
      <c r="I74" s="1223">
        <f t="shared" ref="I74:J74" si="61">I73/((H22+H23)/(G22+G23)-1)</f>
        <v>180.82743322645618</v>
      </c>
      <c r="J74" s="1224">
        <f t="shared" si="61"/>
        <v>55.445645937365121</v>
      </c>
    </row>
    <row r="75" spans="1:32" ht="15" thickBot="1">
      <c r="A75" s="1942"/>
      <c r="C75" s="622" t="s">
        <v>897</v>
      </c>
      <c r="D75" s="1399">
        <f ca="1">D76/D74-1</f>
        <v>1.3472781905073012</v>
      </c>
      <c r="N75"/>
      <c r="O75" s="1908" t="s">
        <v>880</v>
      </c>
      <c r="P75" s="1909"/>
      <c r="Q75" s="1909"/>
      <c r="R75" s="1909"/>
      <c r="S75" s="1909"/>
      <c r="T75" s="1909"/>
      <c r="U75" s="1909"/>
      <c r="V75" s="1909"/>
      <c r="W75" s="1909"/>
      <c r="X75" s="1910"/>
    </row>
    <row r="76" spans="1:32" ht="15" thickBot="1">
      <c r="A76" s="1943"/>
      <c r="C76" s="374" t="s">
        <v>898</v>
      </c>
      <c r="D76" s="375">
        <f ca="1">D73*1000000/OP!C21</f>
        <v>183.58062727957602</v>
      </c>
      <c r="N76"/>
      <c r="O76" s="1911" t="s">
        <v>676</v>
      </c>
      <c r="P76" s="1912"/>
      <c r="Q76" s="1912"/>
      <c r="R76" s="1912"/>
      <c r="S76" s="1912"/>
      <c r="T76" s="1912"/>
      <c r="U76" s="1912"/>
      <c r="V76" s="1912"/>
      <c r="W76" s="1912"/>
      <c r="X76" s="1913"/>
    </row>
    <row r="77" spans="1:32" ht="15" thickBot="1">
      <c r="A77" s="356"/>
      <c r="C77" s="285"/>
      <c r="D77" s="624"/>
      <c r="O77" s="1338" t="s">
        <v>899</v>
      </c>
      <c r="P77" s="1339">
        <v>0.12</v>
      </c>
      <c r="Q77" s="1339">
        <f>P77+1%</f>
        <v>0.13</v>
      </c>
      <c r="R77" s="1339">
        <f t="shared" ref="R77:X77" si="62">Q77+1%</f>
        <v>0.14000000000000001</v>
      </c>
      <c r="S77" s="1341">
        <f t="shared" si="62"/>
        <v>0.15000000000000002</v>
      </c>
      <c r="T77" s="1341">
        <f t="shared" si="62"/>
        <v>0.16000000000000003</v>
      </c>
      <c r="U77" s="1341">
        <f t="shared" si="62"/>
        <v>0.17000000000000004</v>
      </c>
      <c r="V77" s="1339">
        <f t="shared" si="62"/>
        <v>0.18000000000000005</v>
      </c>
      <c r="W77" s="1339">
        <f t="shared" si="62"/>
        <v>0.19000000000000006</v>
      </c>
      <c r="X77" s="1340">
        <f t="shared" si="62"/>
        <v>0.20000000000000007</v>
      </c>
    </row>
    <row r="78" spans="1:32" ht="14.4">
      <c r="A78" s="1944" t="s">
        <v>900</v>
      </c>
      <c r="C78" s="396" t="s">
        <v>901</v>
      </c>
      <c r="D78" s="623">
        <f ca="1">(SUMPRODUCT(G36:AF36,G46:AF46)+((AF44-AF45)*AF46)+(AF35/(F51+0.001-AF5))*AF46)*1000000/OP!C21</f>
        <v>183.04524923528015</v>
      </c>
      <c r="E78" s="376">
        <f ca="1">D78/D76-1</f>
        <v>-2.9163101370197619E-3</v>
      </c>
      <c r="N78" s="1914" t="s">
        <v>108</v>
      </c>
      <c r="O78" s="1321">
        <v>0.16961076229022448</v>
      </c>
      <c r="P78" s="532">
        <f ca="1">P65/$D$74-1</f>
        <v>2.4887384272427284</v>
      </c>
      <c r="Q78" s="532">
        <f t="shared" ref="Q78:X78" ca="1" si="63">Q65/$D$74-1</f>
        <v>1.8201022116475625</v>
      </c>
      <c r="R78" s="1335">
        <f t="shared" ca="1" si="63"/>
        <v>1.3139097124921837</v>
      </c>
      <c r="S78" s="1335">
        <f t="shared" ca="1" si="63"/>
        <v>0.92354398561893403</v>
      </c>
      <c r="T78" s="1335">
        <f t="shared" ca="1" si="63"/>
        <v>0.61768265870968286</v>
      </c>
      <c r="U78" s="1335">
        <f t="shared" ca="1" si="63"/>
        <v>0.37467781121972932</v>
      </c>
      <c r="V78" s="1335">
        <f t="shared" ca="1" si="63"/>
        <v>0.17921089691485892</v>
      </c>
      <c r="W78" s="1335">
        <f t="shared" ca="1" si="63"/>
        <v>2.0222676711912468E-2</v>
      </c>
      <c r="X78" s="1336">
        <f t="shared" ca="1" si="63"/>
        <v>-0.11041044544103795</v>
      </c>
    </row>
    <row r="79" spans="1:32" ht="14.4">
      <c r="A79" s="1945"/>
      <c r="C79" s="396" t="s">
        <v>902</v>
      </c>
      <c r="D79" s="623">
        <f ca="1">(SUMPRODUCT(G36:AF36,G46:AF46)+((AF44-AF45)*AF46)+(AF35/(F51+0.005-AF5))*AF46)*1000000/OP!C21</f>
        <v>180.99716249801159</v>
      </c>
      <c r="E79" s="376">
        <f ca="1">D79/D76-1</f>
        <v>-1.4072643828752507E-2</v>
      </c>
      <c r="N79" s="1915"/>
      <c r="O79" s="1321">
        <v>0.15961076229022447</v>
      </c>
      <c r="P79" s="532">
        <f t="shared" ref="P79:X84" ca="1" si="64">P66/$D$74-1</f>
        <v>2.514751634314099</v>
      </c>
      <c r="Q79" s="532">
        <f t="shared" ca="1" si="64"/>
        <v>1.840749250791776</v>
      </c>
      <c r="R79" s="532">
        <f t="shared" ca="1" si="64"/>
        <v>1.3304983880783787</v>
      </c>
      <c r="S79" s="532">
        <f t="shared" ca="1" si="64"/>
        <v>0.93701109029585483</v>
      </c>
      <c r="T79" s="532">
        <f t="shared" ca="1" si="64"/>
        <v>0.62871443331707955</v>
      </c>
      <c r="U79" s="532">
        <f t="shared" ca="1" si="64"/>
        <v>0.38378643328157724</v>
      </c>
      <c r="V79" s="532">
        <f t="shared" ca="1" si="64"/>
        <v>0.18678473379850424</v>
      </c>
      <c r="W79" s="532">
        <f t="shared" ca="1" si="64"/>
        <v>2.6560257015459054E-2</v>
      </c>
      <c r="X79" s="1332">
        <f t="shared" ca="1" si="64"/>
        <v>-0.10507690541474091</v>
      </c>
    </row>
    <row r="80" spans="1:32" ht="14.4">
      <c r="A80" s="394"/>
      <c r="C80" s="395"/>
      <c r="D80" s="624"/>
      <c r="E80" s="376"/>
      <c r="N80" s="1915"/>
      <c r="O80" s="1326">
        <v>0.14961076229022446</v>
      </c>
      <c r="P80" s="532">
        <f t="shared" ca="1" si="64"/>
        <v>2.5407648413854687</v>
      </c>
      <c r="Q80" s="532">
        <f t="shared" ca="1" si="64"/>
        <v>1.8613962899359899</v>
      </c>
      <c r="R80" s="1337">
        <f t="shared" ca="1" si="64"/>
        <v>1.3470870636645715</v>
      </c>
      <c r="S80" s="1400">
        <f t="shared" ca="1" si="64"/>
        <v>0.95047819497277564</v>
      </c>
      <c r="T80" s="1400">
        <f t="shared" ca="1" si="64"/>
        <v>0.63974620792447512</v>
      </c>
      <c r="U80" s="1400">
        <f t="shared" ca="1" si="64"/>
        <v>0.39289505534342473</v>
      </c>
      <c r="V80" s="532">
        <f t="shared" ca="1" si="64"/>
        <v>0.19435857068214912</v>
      </c>
      <c r="W80" s="532">
        <f t="shared" ca="1" si="64"/>
        <v>3.2897837319005641E-2</v>
      </c>
      <c r="X80" s="1332">
        <f t="shared" ca="1" si="64"/>
        <v>-9.9743365388444527E-2</v>
      </c>
    </row>
    <row r="81" spans="1:24" ht="14.4">
      <c r="A81" s="664" t="s">
        <v>505</v>
      </c>
      <c r="C81" s="1428" t="s">
        <v>903</v>
      </c>
      <c r="D81" s="1429">
        <f ca="1">D76/1.1</f>
        <v>166.89147934506909</v>
      </c>
      <c r="G81"/>
      <c r="H81"/>
      <c r="I81"/>
      <c r="J81"/>
      <c r="N81" s="1915"/>
      <c r="O81" s="1437">
        <v>0.13961076229022445</v>
      </c>
      <c r="P81" s="532">
        <f t="shared" ca="1" si="64"/>
        <v>2.5667780484568392</v>
      </c>
      <c r="Q81" s="532">
        <f t="shared" ca="1" si="64"/>
        <v>1.8820433290802043</v>
      </c>
      <c r="R81" s="1337">
        <f t="shared" ca="1" si="64"/>
        <v>1.3636757392507657</v>
      </c>
      <c r="S81" s="1400">
        <f t="shared" ca="1" si="64"/>
        <v>0.96394529964969577</v>
      </c>
      <c r="T81" s="1401">
        <f t="shared" ca="1" si="64"/>
        <v>0.65077798253187091</v>
      </c>
      <c r="U81" s="1400">
        <f t="shared" ca="1" si="64"/>
        <v>0.40200367740527176</v>
      </c>
      <c r="V81" s="532">
        <f t="shared" ca="1" si="64"/>
        <v>0.20193240756579445</v>
      </c>
      <c r="W81" s="532">
        <f t="shared" ca="1" si="64"/>
        <v>3.9235417622552005E-2</v>
      </c>
      <c r="X81" s="1332">
        <f t="shared" ca="1" si="64"/>
        <v>-9.4409825362147703E-2</v>
      </c>
    </row>
    <row r="82" spans="1:24">
      <c r="G82"/>
      <c r="H82"/>
      <c r="I82"/>
      <c r="J82"/>
      <c r="N82" s="1915"/>
      <c r="O82" s="1326">
        <v>0.12961076229022445</v>
      </c>
      <c r="P82" s="532">
        <f t="shared" ca="1" si="64"/>
        <v>2.5927912555282098</v>
      </c>
      <c r="Q82" s="532">
        <f t="shared" ca="1" si="64"/>
        <v>1.9026903682244174</v>
      </c>
      <c r="R82" s="1337">
        <f t="shared" ca="1" si="64"/>
        <v>1.3802644148369594</v>
      </c>
      <c r="S82" s="1400">
        <f t="shared" ca="1" si="64"/>
        <v>0.9774124043266168</v>
      </c>
      <c r="T82" s="1400">
        <f t="shared" ca="1" si="64"/>
        <v>0.66180975713926715</v>
      </c>
      <c r="U82" s="1400">
        <f t="shared" ca="1" si="64"/>
        <v>0.41111229946711902</v>
      </c>
      <c r="V82" s="532">
        <f t="shared" ca="1" si="64"/>
        <v>0.20950624444943911</v>
      </c>
      <c r="W82" s="532">
        <f t="shared" ca="1" si="64"/>
        <v>4.5572997926098369E-2</v>
      </c>
      <c r="X82" s="1332">
        <f t="shared" ca="1" si="64"/>
        <v>-8.9076285335850991E-2</v>
      </c>
    </row>
    <row r="83" spans="1:24">
      <c r="G83"/>
      <c r="H83"/>
      <c r="I83"/>
      <c r="J83"/>
      <c r="N83" s="1915"/>
      <c r="O83" s="1321">
        <v>0.11961076229022445</v>
      </c>
      <c r="P83" s="532">
        <f t="shared" ca="1" si="64"/>
        <v>2.6188044625995803</v>
      </c>
      <c r="Q83" s="532">
        <f t="shared" ca="1" si="64"/>
        <v>1.9233374073686313</v>
      </c>
      <c r="R83" s="532">
        <f t="shared" ca="1" si="64"/>
        <v>1.3968530904231518</v>
      </c>
      <c r="S83" s="532">
        <f t="shared" ca="1" si="64"/>
        <v>0.99087950900353849</v>
      </c>
      <c r="T83" s="532">
        <f t="shared" ca="1" si="64"/>
        <v>0.67284153174666317</v>
      </c>
      <c r="U83" s="532">
        <f t="shared" ca="1" si="64"/>
        <v>0.42022092152896651</v>
      </c>
      <c r="V83" s="532">
        <f t="shared" ca="1" si="64"/>
        <v>0.21708008133308399</v>
      </c>
      <c r="W83" s="532">
        <f t="shared" ca="1" si="64"/>
        <v>5.1910578229644955E-2</v>
      </c>
      <c r="X83" s="1332">
        <f t="shared" ca="1" si="64"/>
        <v>-8.37427453095545E-2</v>
      </c>
    </row>
    <row r="84" spans="1:24" ht="13.8" thickBot="1">
      <c r="G84"/>
      <c r="H84"/>
      <c r="I84"/>
      <c r="J84"/>
      <c r="N84" s="1916"/>
      <c r="O84" s="1322">
        <v>0.10961076229022446</v>
      </c>
      <c r="P84" s="1333">
        <f t="shared" ca="1" si="64"/>
        <v>2.6448176696709513</v>
      </c>
      <c r="Q84" s="1333">
        <f t="shared" ca="1" si="64"/>
        <v>1.9439844465128457</v>
      </c>
      <c r="R84" s="1333">
        <f t="shared" ca="1" si="64"/>
        <v>1.4134417660093463</v>
      </c>
      <c r="S84" s="1333">
        <f t="shared" ca="1" si="64"/>
        <v>1.0043466136804589</v>
      </c>
      <c r="T84" s="1333">
        <f t="shared" ca="1" si="64"/>
        <v>0.68387330635405941</v>
      </c>
      <c r="U84" s="1333">
        <f t="shared" ca="1" si="64"/>
        <v>0.42932954359081377</v>
      </c>
      <c r="V84" s="1333">
        <f t="shared" ca="1" si="64"/>
        <v>0.22465391821672909</v>
      </c>
      <c r="W84" s="1333">
        <f t="shared" ca="1" si="64"/>
        <v>5.8248158533191319E-2</v>
      </c>
      <c r="X84" s="1334">
        <f t="shared" ca="1" si="64"/>
        <v>-7.8409205283257677E-2</v>
      </c>
    </row>
    <row r="85" spans="1:24">
      <c r="G85"/>
      <c r="H85"/>
      <c r="I85"/>
      <c r="J85"/>
    </row>
    <row r="97" spans="16:23">
      <c r="P97"/>
      <c r="Q97"/>
      <c r="R97"/>
      <c r="S97"/>
      <c r="T97"/>
      <c r="U97"/>
      <c r="V97"/>
      <c r="W97"/>
    </row>
    <row r="98" spans="16:23">
      <c r="P98"/>
      <c r="Q98"/>
      <c r="R98"/>
      <c r="S98"/>
      <c r="T98"/>
      <c r="U98"/>
      <c r="V98"/>
      <c r="W98"/>
    </row>
    <row r="99" spans="16:23">
      <c r="P99"/>
      <c r="Q99"/>
      <c r="R99"/>
      <c r="S99"/>
      <c r="T99"/>
      <c r="U99"/>
      <c r="V99"/>
      <c r="W99"/>
    </row>
    <row r="100" spans="16:23">
      <c r="P100"/>
      <c r="Q100"/>
      <c r="R100"/>
      <c r="S100"/>
      <c r="T100"/>
      <c r="U100"/>
      <c r="V100"/>
      <c r="W100"/>
    </row>
    <row r="101" spans="16:23">
      <c r="P101"/>
      <c r="Q101"/>
      <c r="R101"/>
      <c r="S101"/>
      <c r="T101"/>
      <c r="U101"/>
      <c r="V101"/>
      <c r="W101"/>
    </row>
    <row r="102" spans="16:23">
      <c r="P102"/>
      <c r="Q102"/>
      <c r="R102"/>
      <c r="S102"/>
      <c r="T102"/>
      <c r="U102"/>
      <c r="V102"/>
      <c r="W102"/>
    </row>
    <row r="103" spans="16:23">
      <c r="P103"/>
      <c r="Q103"/>
      <c r="R103"/>
      <c r="S103"/>
      <c r="T103"/>
      <c r="U103"/>
      <c r="V103"/>
      <c r="W103"/>
    </row>
  </sheetData>
  <mergeCells count="25">
    <mergeCell ref="A70:A76"/>
    <mergeCell ref="A78:A79"/>
    <mergeCell ref="A53:A68"/>
    <mergeCell ref="I53:J53"/>
    <mergeCell ref="I55:J55"/>
    <mergeCell ref="Z62:AA62"/>
    <mergeCell ref="A50:A51"/>
    <mergeCell ref="I51:J51"/>
    <mergeCell ref="A1:AF2"/>
    <mergeCell ref="G3:J3"/>
    <mergeCell ref="K3:AF3"/>
    <mergeCell ref="A5:A17"/>
    <mergeCell ref="A19:A33"/>
    <mergeCell ref="A34:AF34"/>
    <mergeCell ref="A35:A37"/>
    <mergeCell ref="A39:A42"/>
    <mergeCell ref="A43:AF43"/>
    <mergeCell ref="A44:A48"/>
    <mergeCell ref="A49:AF49"/>
    <mergeCell ref="N78:N84"/>
    <mergeCell ref="O63:X63"/>
    <mergeCell ref="O62:X62"/>
    <mergeCell ref="O75:X75"/>
    <mergeCell ref="O76:X76"/>
    <mergeCell ref="N65:N71"/>
  </mergeCells>
  <phoneticPr fontId="0" type="noConversion"/>
  <conditionalFormatting sqref="D75">
    <cfRule type="cellIs" dxfId="1" priority="1" operator="lessThan">
      <formula>0</formula>
    </cfRule>
    <cfRule type="cellIs" dxfId="0" priority="2" operator="greaterThan">
      <formula>0%</formula>
    </cfRule>
  </conditionalFormatting>
  <hyperlinks>
    <hyperlink ref="H68" location="Assumptions!A1" display="Assumptions!A1" xr:uid="{C9732F74-F483-4660-B5AE-FC6178756089}"/>
  </hyperlinks>
  <pageMargins left="0.75" right="0.75" top="1" bottom="1" header="0" footer="0"/>
  <pageSetup orientation="portrait"/>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2:AJ155"/>
  <sheetViews>
    <sheetView showGridLines="0" workbookViewId="0">
      <selection activeCell="B1" sqref="B1"/>
    </sheetView>
  </sheetViews>
  <sheetFormatPr defaultColWidth="10.44140625" defaultRowHeight="13.8"/>
  <cols>
    <col min="1" max="1" width="40.109375" style="20" bestFit="1" customWidth="1"/>
    <col min="2" max="5" width="13.44140625" style="20" customWidth="1"/>
    <col min="6" max="6" width="13.109375" style="20" customWidth="1"/>
    <col min="7" max="9" width="13.88671875" style="20" customWidth="1"/>
    <col min="10" max="10" width="14.109375" style="20" customWidth="1"/>
    <col min="11" max="11" width="15.109375" style="21" customWidth="1"/>
    <col min="12" max="12" width="17" style="21" customWidth="1"/>
    <col min="13" max="13" width="14.109375" style="20" customWidth="1"/>
    <col min="14" max="14" width="21.44140625" style="20" bestFit="1" customWidth="1"/>
    <col min="15" max="15" width="32.109375" style="20" customWidth="1"/>
    <col min="16" max="16" width="11.44140625" style="20" customWidth="1"/>
    <col min="17" max="23" width="0" style="20" hidden="1" customWidth="1"/>
    <col min="24" max="24" width="19.33203125" style="20" bestFit="1" customWidth="1"/>
    <col min="25" max="25" width="17.44140625" style="20" bestFit="1" customWidth="1"/>
    <col min="26" max="33" width="0" style="20" hidden="1" customWidth="1"/>
    <col min="34" max="16384" width="10.44140625" style="20"/>
  </cols>
  <sheetData>
    <row r="2" spans="1:33">
      <c r="E2" s="20">
        <f>1369-1315</f>
        <v>54</v>
      </c>
      <c r="G2" s="1969" t="s">
        <v>905</v>
      </c>
      <c r="H2" s="1969"/>
      <c r="I2" s="1969"/>
      <c r="J2" s="1969"/>
      <c r="K2" s="22"/>
      <c r="L2" s="22"/>
      <c r="M2" s="22"/>
      <c r="N2" s="22"/>
      <c r="O2" s="22"/>
    </row>
    <row r="3" spans="1:33">
      <c r="A3" s="20" t="s">
        <v>906</v>
      </c>
      <c r="G3" s="20" t="s">
        <v>907</v>
      </c>
      <c r="H3" s="20" t="e" vm="1">
        <v>#VALUE!</v>
      </c>
      <c r="M3"/>
      <c r="N3"/>
      <c r="O3"/>
    </row>
    <row r="4" spans="1:33">
      <c r="D4" s="1969" t="s">
        <v>908</v>
      </c>
      <c r="E4" s="1969"/>
      <c r="F4" s="1969"/>
      <c r="G4" s="1969"/>
      <c r="H4" s="1969"/>
      <c r="I4" s="1969"/>
      <c r="J4" s="1969"/>
      <c r="K4" s="1969"/>
      <c r="L4" s="1969"/>
      <c r="M4" s="1969"/>
      <c r="N4"/>
      <c r="O4"/>
    </row>
    <row r="5" spans="1:33">
      <c r="A5" s="47" t="s">
        <v>909</v>
      </c>
      <c r="B5" s="340">
        <v>2023</v>
      </c>
      <c r="C5" s="340">
        <f>B5-1</f>
        <v>2022</v>
      </c>
      <c r="D5" s="340">
        <f t="shared" ref="D5:M5" si="0">C5-1</f>
        <v>2021</v>
      </c>
      <c r="E5" s="340">
        <f t="shared" si="0"/>
        <v>2020</v>
      </c>
      <c r="F5" s="340">
        <f t="shared" si="0"/>
        <v>2019</v>
      </c>
      <c r="G5" s="340">
        <f t="shared" si="0"/>
        <v>2018</v>
      </c>
      <c r="H5" s="340">
        <f t="shared" si="0"/>
        <v>2017</v>
      </c>
      <c r="I5" s="340">
        <f t="shared" si="0"/>
        <v>2016</v>
      </c>
      <c r="J5" s="340">
        <f t="shared" si="0"/>
        <v>2015</v>
      </c>
      <c r="K5" s="340">
        <f t="shared" si="0"/>
        <v>2014</v>
      </c>
      <c r="L5" s="340">
        <f t="shared" si="0"/>
        <v>2013</v>
      </c>
      <c r="M5" s="340">
        <f t="shared" si="0"/>
        <v>2012</v>
      </c>
      <c r="N5"/>
      <c r="O5"/>
      <c r="Q5" s="7" t="s">
        <v>910</v>
      </c>
      <c r="R5" s="1970" t="s">
        <v>911</v>
      </c>
      <c r="S5" s="1970"/>
      <c r="T5" s="20" t="s">
        <v>912</v>
      </c>
      <c r="Z5" s="47">
        <v>2016</v>
      </c>
      <c r="AA5" s="47">
        <v>2015</v>
      </c>
      <c r="AB5" s="47">
        <v>2014</v>
      </c>
      <c r="AC5" s="47">
        <v>2013</v>
      </c>
      <c r="AD5" s="47">
        <v>2012</v>
      </c>
      <c r="AE5" s="47">
        <v>2011</v>
      </c>
      <c r="AF5" s="47">
        <v>2010</v>
      </c>
      <c r="AG5" s="47">
        <v>2009</v>
      </c>
    </row>
    <row r="6" spans="1:33">
      <c r="A6" s="23" t="s">
        <v>120</v>
      </c>
      <c r="B6" s="256">
        <v>22680</v>
      </c>
      <c r="C6" s="256">
        <v>23601</v>
      </c>
      <c r="D6" s="256">
        <v>16434</v>
      </c>
      <c r="E6" s="256">
        <v>9763</v>
      </c>
      <c r="F6" s="256">
        <v>6731</v>
      </c>
      <c r="G6" s="256">
        <v>6475</v>
      </c>
      <c r="H6" s="341">
        <v>5253</v>
      </c>
      <c r="I6" s="256">
        <v>4272</v>
      </c>
      <c r="J6" s="256">
        <v>3991</v>
      </c>
      <c r="K6" s="256">
        <v>5506</v>
      </c>
      <c r="L6" s="256">
        <v>5299</v>
      </c>
      <c r="M6" s="256">
        <v>5422</v>
      </c>
      <c r="N6" s="25" t="s">
        <v>913</v>
      </c>
      <c r="O6" t="s">
        <v>641</v>
      </c>
      <c r="P6"/>
      <c r="Q6" s="20" t="s">
        <v>914</v>
      </c>
      <c r="R6" s="20" t="s">
        <v>914</v>
      </c>
      <c r="X6" s="26"/>
      <c r="Y6" s="26"/>
      <c r="Z6" s="24">
        <v>38537</v>
      </c>
      <c r="AA6" s="24">
        <v>47011</v>
      </c>
      <c r="AB6" s="24">
        <v>55184</v>
      </c>
      <c r="AC6" s="24">
        <v>55656</v>
      </c>
      <c r="AD6" s="24">
        <v>65875</v>
      </c>
      <c r="AE6" s="24">
        <v>60138</v>
      </c>
      <c r="AF6" s="24">
        <v>42588</v>
      </c>
      <c r="AG6" s="24">
        <v>32396</v>
      </c>
    </row>
    <row r="7" spans="1:33">
      <c r="A7" s="23" t="s">
        <v>915</v>
      </c>
      <c r="B7" s="256">
        <v>10460</v>
      </c>
      <c r="C7" s="256">
        <v>10603</v>
      </c>
      <c r="D7" s="256">
        <v>7929</v>
      </c>
      <c r="E7" s="256">
        <v>4347</v>
      </c>
      <c r="F7" s="256">
        <v>2868</v>
      </c>
      <c r="G7" s="256">
        <v>2447</v>
      </c>
      <c r="H7" s="342">
        <v>1787</v>
      </c>
      <c r="I7" s="343">
        <v>998</v>
      </c>
      <c r="J7" s="256">
        <v>1080</v>
      </c>
      <c r="K7" s="256">
        <v>1839</v>
      </c>
      <c r="L7" s="256">
        <v>1978</v>
      </c>
      <c r="M7" s="256">
        <v>1235</v>
      </c>
      <c r="N7" s="25" t="s">
        <v>913</v>
      </c>
      <c r="O7" t="str">
        <f>+A7</f>
        <v>Gross Profit</v>
      </c>
      <c r="P7"/>
      <c r="Q7" s="20" t="s">
        <v>914</v>
      </c>
      <c r="R7" s="20" t="s">
        <v>916</v>
      </c>
      <c r="Z7" s="28">
        <f>Z6-28044</f>
        <v>10493</v>
      </c>
      <c r="AA7" s="28">
        <f>AA6-33546</f>
        <v>13465</v>
      </c>
      <c r="AB7" s="28">
        <f>AB6-40718</f>
        <v>14466</v>
      </c>
      <c r="AC7" s="28">
        <f>AC6-40727</f>
        <v>14929</v>
      </c>
      <c r="AD7" s="29">
        <f>+AD6-47055</f>
        <v>18820</v>
      </c>
      <c r="AE7" s="29">
        <f>+AE6-43578</f>
        <v>16560</v>
      </c>
      <c r="AF7" s="29">
        <f>+AF6-30367</f>
        <v>12221</v>
      </c>
      <c r="AG7" s="29">
        <f>+AG6-23886</f>
        <v>8510</v>
      </c>
    </row>
    <row r="8" spans="1:33">
      <c r="A8" s="23" t="s">
        <v>291</v>
      </c>
      <c r="B8" s="256">
        <v>401</v>
      </c>
      <c r="C8" s="256">
        <v>1264</v>
      </c>
      <c r="D8" s="256">
        <v>3641</v>
      </c>
      <c r="E8" s="256">
        <v>1315</v>
      </c>
      <c r="F8" s="256">
        <v>455</v>
      </c>
      <c r="G8" s="256">
        <v>439</v>
      </c>
      <c r="H8" s="342">
        <v>115</v>
      </c>
      <c r="I8" s="343">
        <v>-440</v>
      </c>
      <c r="J8" s="343">
        <v>-481</v>
      </c>
      <c r="K8" s="343">
        <v>-216</v>
      </c>
      <c r="L8" s="343">
        <v>102</v>
      </c>
      <c r="M8" s="343">
        <v>-1060</v>
      </c>
      <c r="N8" s="25" t="s">
        <v>913</v>
      </c>
      <c r="O8" t="s">
        <v>291</v>
      </c>
      <c r="P8"/>
      <c r="Q8" s="20" t="s">
        <v>914</v>
      </c>
      <c r="R8" s="30" t="s">
        <v>917</v>
      </c>
      <c r="Z8" s="28">
        <f>Z7-4383</f>
        <v>6110</v>
      </c>
      <c r="AA8" s="28">
        <f>AA7-4951</f>
        <v>8514</v>
      </c>
      <c r="AB8" s="28">
        <f>AB7-6529</f>
        <v>7937</v>
      </c>
      <c r="AC8" s="28">
        <f>AC7-5547</f>
        <v>9382</v>
      </c>
      <c r="AD8" s="29">
        <f>AD7-5919-2466-797-580-485</f>
        <v>8573</v>
      </c>
      <c r="AE8" s="29">
        <f>+AE7-5203-2297-826-1081</f>
        <v>7153</v>
      </c>
      <c r="AF8" s="29">
        <f>+AF7-4248-1905-914-1191</f>
        <v>3963</v>
      </c>
      <c r="AG8" s="29">
        <f>+AG7-3645-1421-1045-1822</f>
        <v>577</v>
      </c>
    </row>
    <row r="9" spans="1:33">
      <c r="A9" s="23" t="s">
        <v>918</v>
      </c>
      <c r="B9" s="256">
        <v>8</v>
      </c>
      <c r="C9" s="256">
        <v>19</v>
      </c>
      <c r="D9" s="256">
        <v>4</v>
      </c>
      <c r="E9" s="256">
        <v>4</v>
      </c>
      <c r="F9" s="256">
        <f>-3+13</f>
        <v>10</v>
      </c>
      <c r="G9" s="256">
        <f>-5-13</f>
        <v>-18</v>
      </c>
      <c r="H9" s="256">
        <f>-7+1130</f>
        <v>1123</v>
      </c>
      <c r="I9" s="256">
        <v>135</v>
      </c>
      <c r="J9" s="256">
        <v>-2</v>
      </c>
      <c r="K9" s="256">
        <v>-5</v>
      </c>
      <c r="L9" s="256">
        <v>-2</v>
      </c>
      <c r="M9" s="256">
        <v>10</v>
      </c>
      <c r="N9" s="25" t="s">
        <v>913</v>
      </c>
      <c r="O9" t="s">
        <v>919</v>
      </c>
      <c r="P9"/>
      <c r="Q9" s="20" t="s">
        <v>914</v>
      </c>
      <c r="R9" s="20" t="s">
        <v>920</v>
      </c>
      <c r="S9" s="20" t="s">
        <v>921</v>
      </c>
      <c r="T9" s="20" t="s">
        <v>922</v>
      </c>
      <c r="U9" s="20" t="s">
        <v>923</v>
      </c>
      <c r="V9" s="20" t="s">
        <v>924</v>
      </c>
      <c r="Z9" s="28">
        <f>1853+596+595+1904+6+8</f>
        <v>4962</v>
      </c>
      <c r="AA9" s="28">
        <f>2119+587+2023+11</f>
        <v>4740</v>
      </c>
      <c r="AB9" s="28">
        <f>2380+624+1619-8+16</f>
        <v>4631</v>
      </c>
      <c r="AC9" s="28">
        <f>2046+727+981+6+14</f>
        <v>3774</v>
      </c>
      <c r="AD9" s="29">
        <f>-14+41</f>
        <v>27</v>
      </c>
      <c r="AE9" s="28">
        <v>53</v>
      </c>
      <c r="AF9" s="28">
        <f>58+24</f>
        <v>82</v>
      </c>
      <c r="AG9" s="28">
        <f>12-68</f>
        <v>-56</v>
      </c>
    </row>
    <row r="10" spans="1:33">
      <c r="A10" s="23" t="s">
        <v>292</v>
      </c>
      <c r="B10" s="256">
        <v>99</v>
      </c>
      <c r="C10" s="256">
        <v>-85</v>
      </c>
      <c r="D10" s="256">
        <v>30</v>
      </c>
      <c r="E10" s="256">
        <v>-39</v>
      </c>
      <c r="F10" s="256">
        <v>-80</v>
      </c>
      <c r="G10" s="256">
        <v>-106</v>
      </c>
      <c r="H10" s="342">
        <v>-123</v>
      </c>
      <c r="I10" s="343">
        <v>-153</v>
      </c>
      <c r="J10" s="256">
        <v>-163</v>
      </c>
      <c r="K10" s="256">
        <v>-177</v>
      </c>
      <c r="L10" s="256">
        <v>-174</v>
      </c>
      <c r="M10" s="256">
        <v>-167</v>
      </c>
      <c r="N10" s="25" t="s">
        <v>913</v>
      </c>
      <c r="O10" t="s">
        <v>925</v>
      </c>
      <c r="P10"/>
      <c r="Q10" s="20" t="s">
        <v>914</v>
      </c>
      <c r="R10" s="20" t="s">
        <v>926</v>
      </c>
      <c r="Z10" s="28">
        <f>505+518</f>
        <v>1023</v>
      </c>
      <c r="AA10" s="28">
        <f>507-161</f>
        <v>346</v>
      </c>
      <c r="AB10" s="28">
        <f>484-322</f>
        <v>162</v>
      </c>
      <c r="AC10" s="28">
        <f>465+35</f>
        <v>500</v>
      </c>
      <c r="AD10" s="29">
        <f>467-130</f>
        <v>337</v>
      </c>
      <c r="AE10" s="28">
        <f>396+32</f>
        <v>428</v>
      </c>
      <c r="AF10" s="28">
        <f>343-130</f>
        <v>213</v>
      </c>
      <c r="AG10" s="28">
        <f>389-381</f>
        <v>8</v>
      </c>
    </row>
    <row r="11" spans="1:33">
      <c r="A11" s="23" t="s">
        <v>293</v>
      </c>
      <c r="B11" s="256">
        <v>346</v>
      </c>
      <c r="C11" s="256">
        <v>122</v>
      </c>
      <c r="D11" s="256">
        <v>-513</v>
      </c>
      <c r="E11" s="256">
        <v>1210</v>
      </c>
      <c r="F11" s="256">
        <v>-44</v>
      </c>
      <c r="G11" s="256">
        <v>22</v>
      </c>
      <c r="H11" s="342">
        <v>-1148</v>
      </c>
      <c r="I11" s="343">
        <v>-39</v>
      </c>
      <c r="J11" s="256">
        <v>-14</v>
      </c>
      <c r="K11" s="256">
        <v>-5</v>
      </c>
      <c r="L11" s="256">
        <v>-9</v>
      </c>
      <c r="M11" s="256">
        <v>34</v>
      </c>
      <c r="N11" s="25" t="s">
        <v>913</v>
      </c>
      <c r="O11" t="s">
        <v>293</v>
      </c>
      <c r="P11"/>
      <c r="Q11" s="20" t="s">
        <v>914</v>
      </c>
      <c r="R11" s="20" t="s">
        <v>927</v>
      </c>
      <c r="Z11" s="24">
        <v>192</v>
      </c>
      <c r="AA11" s="24">
        <v>916</v>
      </c>
      <c r="AB11" s="24">
        <v>692</v>
      </c>
      <c r="AC11" s="24">
        <v>1319</v>
      </c>
      <c r="AD11" s="27">
        <f>2528</f>
        <v>2528</v>
      </c>
      <c r="AE11" s="24">
        <f>1720</f>
        <v>1720</v>
      </c>
      <c r="AF11" s="24">
        <f>968</f>
        <v>968</v>
      </c>
      <c r="AG11" s="24">
        <f>-270</f>
        <v>-270</v>
      </c>
    </row>
    <row r="12" spans="1:33">
      <c r="A12" s="23" t="s">
        <v>62</v>
      </c>
      <c r="B12" s="256">
        <v>854</v>
      </c>
      <c r="C12" s="256">
        <v>1320</v>
      </c>
      <c r="D12" s="256">
        <v>3162</v>
      </c>
      <c r="E12" s="256">
        <v>2490</v>
      </c>
      <c r="F12" s="256">
        <v>341</v>
      </c>
      <c r="G12" s="256">
        <v>337</v>
      </c>
      <c r="H12" s="341">
        <v>-33</v>
      </c>
      <c r="I12" s="256">
        <v>-497</v>
      </c>
      <c r="J12" s="256">
        <v>-660</v>
      </c>
      <c r="K12" s="256">
        <v>-403</v>
      </c>
      <c r="L12" s="256">
        <v>-83</v>
      </c>
      <c r="M12" s="256">
        <v>-1183</v>
      </c>
      <c r="N12" s="25" t="s">
        <v>913</v>
      </c>
      <c r="O12" t="s">
        <v>62</v>
      </c>
      <c r="P12"/>
      <c r="Q12" s="20" t="s">
        <v>928</v>
      </c>
      <c r="R12" s="20" t="s">
        <v>929</v>
      </c>
      <c r="Z12" s="24">
        <v>-67</v>
      </c>
      <c r="AA12" s="24">
        <v>2512</v>
      </c>
      <c r="AB12" s="24">
        <v>2452</v>
      </c>
      <c r="AC12" s="24">
        <v>3789</v>
      </c>
      <c r="AD12" s="24">
        <v>5681</v>
      </c>
      <c r="AE12" s="24">
        <f>4928+24</f>
        <v>4952</v>
      </c>
      <c r="AF12" s="24">
        <v>2700</v>
      </c>
      <c r="AG12" s="24">
        <v>895</v>
      </c>
    </row>
    <row r="13" spans="1:33">
      <c r="B13" s="272">
        <f>B28/(B6-B8)</f>
        <v>0.17653395574307643</v>
      </c>
      <c r="C13" s="272">
        <f t="shared" ref="C13:F13" si="1">C28/(C6-C8)</f>
        <v>0.21645699959708109</v>
      </c>
      <c r="D13" s="272">
        <f t="shared" si="1"/>
        <v>0.19815524114750255</v>
      </c>
      <c r="E13" s="272">
        <f t="shared" si="1"/>
        <v>0.18880208333333334</v>
      </c>
      <c r="F13" s="272">
        <f t="shared" si="1"/>
        <v>0.23358827278521352</v>
      </c>
      <c r="G13"/>
      <c r="H13"/>
      <c r="I13"/>
      <c r="J13"/>
      <c r="K13"/>
      <c r="L13"/>
      <c r="M13"/>
      <c r="N13"/>
      <c r="O13"/>
      <c r="P13"/>
      <c r="Z13" s="21">
        <f t="shared" ref="Z13:AG13" si="2">Z8-Z10-Z9-Z11</f>
        <v>-67</v>
      </c>
      <c r="AA13" s="21">
        <f t="shared" si="2"/>
        <v>2512</v>
      </c>
      <c r="AB13" s="21">
        <f t="shared" si="2"/>
        <v>2452</v>
      </c>
      <c r="AC13" s="21">
        <f t="shared" si="2"/>
        <v>3789</v>
      </c>
      <c r="AD13" s="21">
        <f t="shared" si="2"/>
        <v>5681</v>
      </c>
      <c r="AE13" s="21">
        <f t="shared" si="2"/>
        <v>4952</v>
      </c>
      <c r="AF13" s="21">
        <f t="shared" si="2"/>
        <v>2700</v>
      </c>
      <c r="AG13" s="21">
        <f t="shared" si="2"/>
        <v>895</v>
      </c>
    </row>
    <row r="14" spans="1:33" ht="26.4">
      <c r="A14" s="47" t="s">
        <v>930</v>
      </c>
      <c r="B14" s="962" t="s">
        <v>604</v>
      </c>
      <c r="C14"/>
      <c r="D14"/>
      <c r="E14"/>
      <c r="F14"/>
      <c r="G14"/>
      <c r="H14"/>
      <c r="I14"/>
      <c r="J14"/>
      <c r="K14"/>
      <c r="L14"/>
      <c r="M14"/>
      <c r="N14"/>
      <c r="O14"/>
      <c r="P14"/>
      <c r="Z14" s="32">
        <f t="shared" ref="Z14:AG14" si="3">Z12-Z13</f>
        <v>0</v>
      </c>
      <c r="AA14" s="32">
        <f t="shared" si="3"/>
        <v>0</v>
      </c>
      <c r="AB14" s="32">
        <f t="shared" si="3"/>
        <v>0</v>
      </c>
      <c r="AC14" s="32">
        <f t="shared" si="3"/>
        <v>0</v>
      </c>
      <c r="AD14" s="32">
        <f t="shared" si="3"/>
        <v>0</v>
      </c>
      <c r="AE14" s="32">
        <f t="shared" si="3"/>
        <v>0</v>
      </c>
      <c r="AF14" s="32">
        <f t="shared" si="3"/>
        <v>0</v>
      </c>
      <c r="AG14" s="32">
        <f t="shared" si="3"/>
        <v>0</v>
      </c>
    </row>
    <row r="15" spans="1:33">
      <c r="A15"/>
      <c r="B15" s="348"/>
      <c r="C15" s="348"/>
      <c r="D15" s="348"/>
      <c r="E15" s="348"/>
      <c r="F15" s="348"/>
      <c r="G15" s="348"/>
      <c r="H15" s="348"/>
      <c r="I15" s="348"/>
      <c r="J15" s="348"/>
      <c r="K15" s="348"/>
      <c r="L15" s="348"/>
      <c r="M15" s="348"/>
      <c r="N15"/>
      <c r="O15"/>
      <c r="P15"/>
      <c r="Z15" s="24"/>
      <c r="AA15" s="24"/>
      <c r="AB15" s="24"/>
      <c r="AC15" s="24"/>
      <c r="AD15" s="24"/>
      <c r="AE15" s="24"/>
      <c r="AF15" s="24"/>
      <c r="AG15" s="24"/>
    </row>
    <row r="16" spans="1:33">
      <c r="A16" s="23" t="s">
        <v>931</v>
      </c>
      <c r="B16" s="345">
        <v>1614</v>
      </c>
      <c r="C16" s="345">
        <v>1561</v>
      </c>
      <c r="D16" s="345">
        <v>1213</v>
      </c>
      <c r="E16" s="345">
        <v>1184</v>
      </c>
      <c r="F16" s="345">
        <v>1091</v>
      </c>
      <c r="G16" s="345">
        <v>982</v>
      </c>
      <c r="H16" s="346">
        <v>952</v>
      </c>
      <c r="I16" s="345">
        <v>835</v>
      </c>
      <c r="J16" s="345">
        <v>783</v>
      </c>
      <c r="K16" s="345">
        <v>768</v>
      </c>
      <c r="L16" s="345">
        <v>754</v>
      </c>
      <c r="M16" s="345">
        <v>741</v>
      </c>
      <c r="N16" s="25"/>
      <c r="O16"/>
      <c r="P16"/>
      <c r="Z16" s="24"/>
      <c r="AA16" s="24"/>
      <c r="AB16" s="24"/>
      <c r="AC16" s="24"/>
      <c r="AD16" s="24"/>
      <c r="AE16" s="24"/>
      <c r="AF16" s="24"/>
      <c r="AG16" s="24"/>
    </row>
    <row r="17" spans="1:33">
      <c r="A17" s="23" t="s">
        <v>932</v>
      </c>
      <c r="B17" s="345">
        <v>1625</v>
      </c>
      <c r="C17" s="345">
        <v>1571</v>
      </c>
      <c r="D17" s="345">
        <v>1229</v>
      </c>
      <c r="E17" s="345">
        <v>1207</v>
      </c>
      <c r="F17" s="345">
        <v>1120</v>
      </c>
      <c r="G17" s="345">
        <v>1064</v>
      </c>
      <c r="H17" s="346">
        <v>952</v>
      </c>
      <c r="I17" s="345">
        <v>835</v>
      </c>
      <c r="J17" s="345">
        <v>783</v>
      </c>
      <c r="K17" s="345">
        <v>768</v>
      </c>
      <c r="L17" s="345">
        <v>754</v>
      </c>
      <c r="M17" s="345">
        <v>741</v>
      </c>
      <c r="N17" s="25"/>
      <c r="O17"/>
      <c r="P17"/>
      <c r="Z17" s="24"/>
      <c r="AA17" s="24"/>
      <c r="AB17" s="24"/>
      <c r="AC17" s="24"/>
      <c r="AD17" s="24"/>
      <c r="AE17" s="24"/>
      <c r="AF17" s="24"/>
      <c r="AG17" s="24"/>
    </row>
    <row r="18" spans="1:33" customFormat="1" ht="13.2">
      <c r="B18" s="348"/>
      <c r="C18" s="348"/>
      <c r="D18" s="348"/>
      <c r="E18" s="348"/>
      <c r="F18" s="348"/>
      <c r="G18" s="348"/>
      <c r="H18" s="348"/>
      <c r="I18" s="348"/>
      <c r="J18" s="348"/>
      <c r="K18" s="348"/>
      <c r="L18" s="348"/>
      <c r="M18" s="348"/>
    </row>
    <row r="19" spans="1:33">
      <c r="A19" s="23" t="s">
        <v>933</v>
      </c>
      <c r="B19" s="256">
        <v>31</v>
      </c>
      <c r="C19" s="256">
        <v>-38</v>
      </c>
      <c r="D19" s="256">
        <v>-20</v>
      </c>
      <c r="E19" s="256">
        <v>17</v>
      </c>
      <c r="F19" s="256">
        <v>8</v>
      </c>
      <c r="G19" s="256">
        <v>-14</v>
      </c>
      <c r="H19" s="341">
        <v>11</v>
      </c>
      <c r="I19" s="256">
        <v>3</v>
      </c>
      <c r="J19" s="256">
        <v>-1</v>
      </c>
      <c r="K19" s="256">
        <v>-3</v>
      </c>
      <c r="L19" s="256">
        <v>0</v>
      </c>
      <c r="M19" s="256">
        <v>1</v>
      </c>
      <c r="N19" s="25"/>
      <c r="O19"/>
      <c r="P19"/>
      <c r="Z19" s="24"/>
      <c r="AA19" s="24"/>
      <c r="AB19" s="24"/>
      <c r="AC19" s="24"/>
      <c r="AD19" s="24"/>
      <c r="AE19" s="24"/>
      <c r="AF19" s="24"/>
      <c r="AG19" s="24"/>
    </row>
    <row r="20" spans="1:33">
      <c r="A20" s="347" t="s">
        <v>934</v>
      </c>
      <c r="B20" s="256">
        <v>885</v>
      </c>
      <c r="C20" s="256">
        <v>1282</v>
      </c>
      <c r="D20" s="256">
        <v>3142</v>
      </c>
      <c r="E20" s="256">
        <v>2507</v>
      </c>
      <c r="F20" s="256">
        <v>349</v>
      </c>
      <c r="G20" s="256">
        <v>325</v>
      </c>
      <c r="H20" s="341">
        <v>-22</v>
      </c>
      <c r="I20" s="256">
        <v>-494</v>
      </c>
      <c r="J20" s="256">
        <v>-663</v>
      </c>
      <c r="K20" s="256">
        <v>-406</v>
      </c>
      <c r="L20" s="256">
        <v>-82</v>
      </c>
      <c r="M20" s="256">
        <v>-1181</v>
      </c>
      <c r="N20" s="25"/>
      <c r="O20"/>
      <c r="P20"/>
      <c r="Z20" s="24"/>
      <c r="AA20" s="24"/>
      <c r="AB20" s="24"/>
      <c r="AC20" s="24"/>
      <c r="AD20" s="24"/>
      <c r="AE20" s="24"/>
      <c r="AF20" s="24"/>
      <c r="AG20" s="24"/>
    </row>
    <row r="21" spans="1:33" customFormat="1" ht="13.2">
      <c r="B21" s="348"/>
      <c r="C21" s="348"/>
      <c r="D21" s="348"/>
      <c r="E21" s="348"/>
      <c r="F21" s="348"/>
      <c r="G21" s="348"/>
      <c r="H21" s="348"/>
      <c r="I21" s="348"/>
      <c r="J21" s="348"/>
      <c r="K21" s="348"/>
      <c r="L21" s="348"/>
      <c r="M21" s="348"/>
    </row>
    <row r="22" spans="1:33">
      <c r="A22" s="20" t="s">
        <v>935</v>
      </c>
      <c r="B22" s="344">
        <f t="shared" ref="B22:J22" si="4">B23-C23</f>
        <v>2331</v>
      </c>
      <c r="C22" s="344">
        <f t="shared" si="4"/>
        <v>2007</v>
      </c>
      <c r="D22" s="344">
        <f>D23-E23</f>
        <v>-323</v>
      </c>
      <c r="E22" s="344">
        <f t="shared" si="4"/>
        <v>1359</v>
      </c>
      <c r="F22" s="344">
        <f t="shared" si="4"/>
        <v>294</v>
      </c>
      <c r="G22" s="344">
        <f t="shared" si="4"/>
        <v>542</v>
      </c>
      <c r="H22" s="344">
        <f t="shared" si="4"/>
        <v>16</v>
      </c>
      <c r="I22" s="344">
        <f>I23-J23</f>
        <v>-212</v>
      </c>
      <c r="J22" s="344">
        <f t="shared" si="4"/>
        <v>-359</v>
      </c>
      <c r="K22" s="344">
        <f>K23-L23</f>
        <v>94</v>
      </c>
      <c r="L22" s="344">
        <f>L23-M23</f>
        <v>78</v>
      </c>
      <c r="M22" s="344">
        <f>M23-N23</f>
        <v>319</v>
      </c>
      <c r="N22" s="31" t="s">
        <v>936</v>
      </c>
      <c r="O22" t="s">
        <v>937</v>
      </c>
      <c r="P22"/>
      <c r="Q22" s="20" t="s">
        <v>928</v>
      </c>
      <c r="Z22" s="24"/>
      <c r="AA22" s="24"/>
      <c r="AB22" s="24"/>
      <c r="AC22" s="24"/>
      <c r="AD22" s="27"/>
      <c r="AE22" s="24"/>
      <c r="AF22" s="24"/>
      <c r="AG22" s="24"/>
    </row>
    <row r="23" spans="1:33">
      <c r="A23" s="23" t="s">
        <v>745</v>
      </c>
      <c r="B23" s="256">
        <f t="shared" ref="B23" si="5">B27-B42-B28</f>
        <v>6146</v>
      </c>
      <c r="C23" s="256">
        <f t="shared" ref="C23:M23" si="6">C27-C42-C28</f>
        <v>3815</v>
      </c>
      <c r="D23" s="256">
        <f t="shared" si="6"/>
        <v>1808</v>
      </c>
      <c r="E23" s="256">
        <f t="shared" si="6"/>
        <v>2131</v>
      </c>
      <c r="F23" s="256">
        <f t="shared" si="6"/>
        <v>772</v>
      </c>
      <c r="G23" s="256">
        <f t="shared" si="6"/>
        <v>478</v>
      </c>
      <c r="H23" s="256">
        <f t="shared" si="6"/>
        <v>-64</v>
      </c>
      <c r="I23" s="256">
        <f t="shared" si="6"/>
        <v>-80</v>
      </c>
      <c r="J23" s="256">
        <f t="shared" si="6"/>
        <v>132</v>
      </c>
      <c r="K23" s="256">
        <f t="shared" si="6"/>
        <v>491</v>
      </c>
      <c r="L23" s="256">
        <f t="shared" si="6"/>
        <v>397</v>
      </c>
      <c r="M23" s="256">
        <f t="shared" si="6"/>
        <v>319</v>
      </c>
      <c r="N23" s="31"/>
      <c r="O23"/>
      <c r="P23"/>
      <c r="Z23" s="24"/>
      <c r="AA23" s="24"/>
      <c r="AB23" s="24"/>
      <c r="AC23" s="24"/>
      <c r="AD23" s="27"/>
      <c r="AE23" s="24"/>
      <c r="AF23" s="24"/>
      <c r="AG23" s="24"/>
    </row>
    <row r="24" spans="1:33">
      <c r="A24" s="4">
        <v>2625</v>
      </c>
      <c r="B24" s="349">
        <v>2625</v>
      </c>
      <c r="C24" s="349">
        <v>2625</v>
      </c>
      <c r="D24" s="349">
        <v>2625</v>
      </c>
      <c r="E24" s="349">
        <v>2625</v>
      </c>
      <c r="F24" s="349">
        <v>2625</v>
      </c>
      <c r="G24" s="349">
        <v>2625</v>
      </c>
      <c r="H24" s="349">
        <v>2625</v>
      </c>
      <c r="I24" s="349">
        <v>2625</v>
      </c>
      <c r="J24" s="349">
        <v>2625</v>
      </c>
      <c r="K24" s="349">
        <v>2625</v>
      </c>
      <c r="L24" s="349">
        <v>2625</v>
      </c>
      <c r="M24" s="349">
        <v>2625</v>
      </c>
      <c r="N24" s="4">
        <v>2625</v>
      </c>
      <c r="O24"/>
      <c r="P24"/>
      <c r="Q24" s="20" t="s">
        <v>928</v>
      </c>
      <c r="R24" s="20" t="s">
        <v>938</v>
      </c>
      <c r="T24" s="20" t="s">
        <v>939</v>
      </c>
      <c r="Z24" s="24">
        <v>1799</v>
      </c>
      <c r="AA24" s="24">
        <v>1757</v>
      </c>
      <c r="AB24" s="24">
        <v>1620</v>
      </c>
      <c r="AC24" s="24">
        <v>1111</v>
      </c>
      <c r="AD24" s="24">
        <v>1617</v>
      </c>
      <c r="AE24" s="24">
        <v>1159</v>
      </c>
      <c r="AF24" s="24">
        <v>1084</v>
      </c>
      <c r="AG24" s="24">
        <v>1029</v>
      </c>
    </row>
    <row r="25" spans="1:33">
      <c r="A25" s="47" t="s">
        <v>840</v>
      </c>
      <c r="B25" s="349">
        <v>2625</v>
      </c>
      <c r="C25" s="349">
        <v>2625</v>
      </c>
      <c r="D25" s="349">
        <v>2625</v>
      </c>
      <c r="E25" s="349">
        <v>2625</v>
      </c>
      <c r="F25" s="349">
        <v>2625</v>
      </c>
      <c r="G25" s="349">
        <v>2625</v>
      </c>
      <c r="H25" s="349">
        <v>2625</v>
      </c>
      <c r="I25" s="349">
        <v>2625</v>
      </c>
      <c r="J25" s="349">
        <v>2625</v>
      </c>
      <c r="K25" s="349">
        <v>2625</v>
      </c>
      <c r="L25" s="349">
        <v>2625</v>
      </c>
      <c r="M25" s="349">
        <v>2625</v>
      </c>
      <c r="N25" s="4">
        <v>2625</v>
      </c>
      <c r="O25"/>
      <c r="P25"/>
      <c r="Q25" s="20" t="s">
        <v>928</v>
      </c>
      <c r="R25" s="20" t="s">
        <v>940</v>
      </c>
      <c r="S25" s="20" t="s">
        <v>941</v>
      </c>
      <c r="T25" s="20" t="s">
        <v>942</v>
      </c>
      <c r="Z25" s="24">
        <v>23</v>
      </c>
      <c r="AA25" s="24">
        <f>-33+2025</f>
        <v>1992</v>
      </c>
      <c r="AB25" s="24">
        <v>3817</v>
      </c>
      <c r="AC25" s="24">
        <v>1776</v>
      </c>
      <c r="AD25" s="24">
        <v>-244</v>
      </c>
      <c r="AE25" s="24">
        <v>-312</v>
      </c>
      <c r="AF25" s="24">
        <v>-449</v>
      </c>
      <c r="AG25" s="24">
        <v>-110</v>
      </c>
    </row>
    <row r="26" spans="1:33">
      <c r="A26" s="95" t="s">
        <v>943</v>
      </c>
      <c r="B26" s="400"/>
      <c r="C26" s="400"/>
      <c r="D26" s="400"/>
      <c r="E26" s="400"/>
      <c r="F26" s="400"/>
      <c r="G26" s="400"/>
      <c r="H26" s="400"/>
      <c r="I26" s="400"/>
      <c r="J26" s="400"/>
      <c r="K26" s="400"/>
      <c r="L26" s="400"/>
      <c r="M26" s="400"/>
      <c r="N26" s="4">
        <v>1922</v>
      </c>
      <c r="O26" s="4">
        <v>2625</v>
      </c>
      <c r="P26"/>
      <c r="Z26" s="24"/>
      <c r="AA26" s="24"/>
      <c r="AB26" s="24"/>
      <c r="AC26" s="24"/>
      <c r="AD26" s="24"/>
      <c r="AE26" s="24"/>
      <c r="AF26" s="24"/>
      <c r="AG26" s="24"/>
    </row>
    <row r="27" spans="1:33">
      <c r="A27" s="7" t="s">
        <v>944</v>
      </c>
      <c r="B27" s="255">
        <f>SUM(B28:B31)</f>
        <v>16768</v>
      </c>
      <c r="C27" s="255">
        <f t="shared" ref="C27:M27" si="7">SUM(C28:C31)</f>
        <v>15019</v>
      </c>
      <c r="D27" s="255">
        <f t="shared" si="7"/>
        <v>8583</v>
      </c>
      <c r="E27" s="255">
        <f t="shared" si="7"/>
        <v>6143</v>
      </c>
      <c r="F27" s="255">
        <f t="shared" si="7"/>
        <v>4597</v>
      </c>
      <c r="G27" s="255">
        <f t="shared" si="7"/>
        <v>3540</v>
      </c>
      <c r="H27" s="255">
        <f t="shared" si="7"/>
        <v>2634</v>
      </c>
      <c r="I27" s="255">
        <f t="shared" si="7"/>
        <v>2530</v>
      </c>
      <c r="J27" s="255">
        <f t="shared" si="7"/>
        <v>2320</v>
      </c>
      <c r="K27" s="255">
        <f t="shared" si="7"/>
        <v>2736</v>
      </c>
      <c r="L27" s="255">
        <f t="shared" si="7"/>
        <v>2884</v>
      </c>
      <c r="M27" s="255">
        <f t="shared" si="7"/>
        <v>2265</v>
      </c>
      <c r="N27" s="4"/>
      <c r="O27" s="4"/>
      <c r="P27"/>
      <c r="Z27" s="24"/>
      <c r="AA27" s="24"/>
      <c r="AB27" s="24"/>
      <c r="AC27" s="24"/>
      <c r="AD27" s="24"/>
      <c r="AE27" s="24"/>
      <c r="AF27" s="24"/>
      <c r="AG27" s="24"/>
    </row>
    <row r="28" spans="1:33">
      <c r="A28" s="92" t="s">
        <v>297</v>
      </c>
      <c r="B28" s="256">
        <v>3933</v>
      </c>
      <c r="C28" s="256">
        <v>4835</v>
      </c>
      <c r="D28" s="256">
        <v>2535</v>
      </c>
      <c r="E28" s="256">
        <v>1595</v>
      </c>
      <c r="F28" s="256">
        <v>1466</v>
      </c>
      <c r="G28" s="256">
        <v>1078</v>
      </c>
      <c r="H28" s="256">
        <v>1185</v>
      </c>
      <c r="I28" s="256">
        <v>1264</v>
      </c>
      <c r="J28" s="256">
        <v>785</v>
      </c>
      <c r="K28" s="256">
        <v>805</v>
      </c>
      <c r="L28" s="256">
        <v>869</v>
      </c>
      <c r="M28" s="256">
        <v>549</v>
      </c>
      <c r="N28" s="34" t="s">
        <v>945</v>
      </c>
      <c r="O28" t="s">
        <v>297</v>
      </c>
      <c r="P28"/>
      <c r="Z28" s="33"/>
      <c r="AA28" s="33"/>
      <c r="AB28" s="33"/>
      <c r="AC28" s="33"/>
      <c r="AD28" s="33"/>
      <c r="AE28" s="32"/>
      <c r="AF28" s="32"/>
      <c r="AG28" s="32"/>
    </row>
    <row r="29" spans="1:33">
      <c r="A29" s="93" t="s">
        <v>946</v>
      </c>
      <c r="B29" s="256">
        <v>5376</v>
      </c>
      <c r="C29" s="256">
        <v>4128</v>
      </c>
      <c r="D29" s="256">
        <v>2706</v>
      </c>
      <c r="E29" s="256">
        <v>2066</v>
      </c>
      <c r="F29" s="256">
        <v>1859</v>
      </c>
      <c r="G29" s="256">
        <v>1235</v>
      </c>
      <c r="H29" s="256">
        <v>454</v>
      </c>
      <c r="I29" s="256">
        <v>311</v>
      </c>
      <c r="J29" s="256">
        <v>533</v>
      </c>
      <c r="K29" s="256">
        <v>818</v>
      </c>
      <c r="L29" s="256">
        <v>832</v>
      </c>
      <c r="M29" s="256">
        <v>630</v>
      </c>
      <c r="N29" s="34" t="s">
        <v>945</v>
      </c>
      <c r="O29" t="s">
        <v>946</v>
      </c>
      <c r="P29"/>
      <c r="Z29" s="33"/>
      <c r="AA29" s="33"/>
      <c r="AB29" s="33"/>
      <c r="AC29" s="33"/>
      <c r="AD29" s="33"/>
      <c r="AE29" s="32"/>
      <c r="AF29" s="32"/>
      <c r="AG29" s="32"/>
    </row>
    <row r="30" spans="1:33">
      <c r="A30" s="92" t="s">
        <v>299</v>
      </c>
      <c r="B30" s="256">
        <v>4351</v>
      </c>
      <c r="C30" s="256">
        <v>3771</v>
      </c>
      <c r="D30" s="256">
        <v>1955</v>
      </c>
      <c r="E30" s="256">
        <v>1399</v>
      </c>
      <c r="F30" s="256">
        <v>982</v>
      </c>
      <c r="G30" s="256">
        <v>845</v>
      </c>
      <c r="H30" s="256">
        <v>694</v>
      </c>
      <c r="I30" s="256">
        <v>751</v>
      </c>
      <c r="J30" s="256">
        <v>678</v>
      </c>
      <c r="K30" s="256">
        <v>685</v>
      </c>
      <c r="L30" s="256">
        <v>884</v>
      </c>
      <c r="M30" s="256">
        <v>562</v>
      </c>
      <c r="N30" s="34" t="s">
        <v>945</v>
      </c>
      <c r="O30" t="s">
        <v>299</v>
      </c>
      <c r="P30"/>
      <c r="Q30" s="20" t="s">
        <v>695</v>
      </c>
      <c r="R30" s="20" t="s">
        <v>947</v>
      </c>
      <c r="Z30" s="24">
        <v>7168</v>
      </c>
      <c r="AA30" s="24">
        <v>6460</v>
      </c>
      <c r="AB30" s="24">
        <v>7341</v>
      </c>
      <c r="AC30" s="24">
        <v>6081</v>
      </c>
      <c r="AD30" s="24">
        <v>5490</v>
      </c>
      <c r="AE30" s="24">
        <v>3057</v>
      </c>
      <c r="AF30" s="24">
        <v>3592</v>
      </c>
      <c r="AG30" s="24">
        <v>4867</v>
      </c>
    </row>
    <row r="31" spans="1:33" s="837" customFormat="1">
      <c r="A31" s="92" t="s">
        <v>948</v>
      </c>
      <c r="B31" s="256">
        <v>3108</v>
      </c>
      <c r="C31" s="256">
        <v>2285</v>
      </c>
      <c r="D31" s="256">
        <v>1387</v>
      </c>
      <c r="E31" s="256">
        <v>1083</v>
      </c>
      <c r="F31" s="256">
        <v>290</v>
      </c>
      <c r="G31" s="256">
        <v>382</v>
      </c>
      <c r="H31" s="256">
        <v>301</v>
      </c>
      <c r="I31" s="256">
        <v>204</v>
      </c>
      <c r="J31" s="256">
        <v>324</v>
      </c>
      <c r="K31" s="256">
        <v>428</v>
      </c>
      <c r="L31" s="256">
        <v>299</v>
      </c>
      <c r="M31" s="256">
        <v>524</v>
      </c>
      <c r="N31" s="34" t="s">
        <v>945</v>
      </c>
      <c r="O31" t="s">
        <v>299</v>
      </c>
      <c r="P31"/>
      <c r="Q31" s="20" t="s">
        <v>695</v>
      </c>
      <c r="R31" s="20" t="s">
        <v>949</v>
      </c>
      <c r="S31" s="20" t="s">
        <v>950</v>
      </c>
      <c r="T31" s="20" t="s">
        <v>951</v>
      </c>
      <c r="U31" s="20"/>
      <c r="V31" s="20"/>
      <c r="W31" s="20"/>
      <c r="X31" s="20"/>
      <c r="Y31" s="20"/>
      <c r="Z31" s="28">
        <f>5981+8522+1029+13556</f>
        <v>29088</v>
      </c>
      <c r="AA31" s="28">
        <f>6695+8991+1170+13651</f>
        <v>30507</v>
      </c>
      <c r="AB31" s="28">
        <f>7737+9027+1364+14644</f>
        <v>32772</v>
      </c>
      <c r="AC31" s="28">
        <v>33499</v>
      </c>
      <c r="AD31" s="28">
        <v>33911</v>
      </c>
      <c r="AE31" s="28">
        <v>31031</v>
      </c>
      <c r="AF31" s="28">
        <v>28849</v>
      </c>
      <c r="AG31" s="28">
        <v>27162</v>
      </c>
    </row>
    <row r="32" spans="1:33" s="837" customFormat="1">
      <c r="A32" s="7" t="s">
        <v>952</v>
      </c>
      <c r="B32" s="255">
        <f t="shared" ref="B32:M32" si="8">B38-B27</f>
        <v>51117</v>
      </c>
      <c r="C32" s="255">
        <f t="shared" si="8"/>
        <v>52561</v>
      </c>
      <c r="D32" s="255">
        <f t="shared" si="8"/>
        <v>3836</v>
      </c>
      <c r="E32" s="255">
        <f t="shared" si="8"/>
        <v>2819</v>
      </c>
      <c r="F32" s="255">
        <f t="shared" si="8"/>
        <v>1431</v>
      </c>
      <c r="G32" s="255">
        <f t="shared" si="8"/>
        <v>1016</v>
      </c>
      <c r="H32" s="255">
        <f t="shared" si="8"/>
        <v>918</v>
      </c>
      <c r="I32" s="255">
        <f t="shared" si="8"/>
        <v>791</v>
      </c>
      <c r="J32" s="255">
        <f t="shared" si="8"/>
        <v>764</v>
      </c>
      <c r="K32" s="255">
        <f t="shared" si="8"/>
        <v>1031</v>
      </c>
      <c r="L32" s="255">
        <f t="shared" si="8"/>
        <v>1453</v>
      </c>
      <c r="M32" s="255">
        <f t="shared" si="8"/>
        <v>1735</v>
      </c>
      <c r="N32" s="34"/>
      <c r="O32"/>
      <c r="P32"/>
      <c r="Q32" s="20"/>
      <c r="R32" s="20"/>
      <c r="S32" s="20"/>
      <c r="T32" s="20"/>
      <c r="U32" s="20"/>
      <c r="V32" s="20"/>
      <c r="W32" s="20"/>
      <c r="X32" s="20"/>
      <c r="Y32" s="20"/>
      <c r="Z32" s="28"/>
      <c r="AA32" s="28"/>
      <c r="AB32" s="28"/>
      <c r="AC32" s="28"/>
      <c r="AD32" s="28"/>
      <c r="AE32" s="28"/>
      <c r="AF32" s="28"/>
      <c r="AG32" s="28"/>
    </row>
    <row r="33" spans="1:33">
      <c r="A33" s="94" t="s">
        <v>953</v>
      </c>
      <c r="B33" s="681">
        <v>1589</v>
      </c>
      <c r="C33" s="681">
        <v>1513</v>
      </c>
      <c r="D33" s="681">
        <v>702</v>
      </c>
      <c r="E33" s="682">
        <v>641</v>
      </c>
      <c r="F33" s="682">
        <v>500</v>
      </c>
      <c r="G33" s="682">
        <v>348</v>
      </c>
      <c r="H33" s="682">
        <v>261</v>
      </c>
      <c r="I33" s="682">
        <v>164</v>
      </c>
      <c r="J33" s="682">
        <v>188</v>
      </c>
      <c r="K33" s="682">
        <v>302</v>
      </c>
      <c r="L33" s="682">
        <v>346</v>
      </c>
      <c r="M33" s="682">
        <v>658</v>
      </c>
      <c r="N33" s="34"/>
      <c r="O33"/>
      <c r="P33"/>
      <c r="Q33" s="20" t="s">
        <v>695</v>
      </c>
      <c r="R33" s="20" t="s">
        <v>954</v>
      </c>
      <c r="Z33" s="24">
        <v>8614</v>
      </c>
      <c r="AA33" s="24">
        <v>9700</v>
      </c>
      <c r="AB33" s="24">
        <v>12205</v>
      </c>
      <c r="AC33" s="24">
        <v>12625</v>
      </c>
      <c r="AD33" s="24">
        <v>15547</v>
      </c>
      <c r="AE33" s="24">
        <v>14544</v>
      </c>
      <c r="AF33" s="24">
        <v>9587</v>
      </c>
      <c r="AG33" s="24">
        <v>6360</v>
      </c>
    </row>
    <row r="34" spans="1:33">
      <c r="A34" s="94" t="s">
        <v>955</v>
      </c>
      <c r="B34" s="256">
        <v>633</v>
      </c>
      <c r="C34" s="256">
        <v>460</v>
      </c>
      <c r="D34" s="256">
        <v>367</v>
      </c>
      <c r="E34" s="256">
        <v>208</v>
      </c>
      <c r="F34" s="256">
        <v>205</v>
      </c>
      <c r="G34" s="256">
        <v>0</v>
      </c>
      <c r="H34" s="256">
        <v>0</v>
      </c>
      <c r="I34" s="256">
        <v>0</v>
      </c>
      <c r="J34" s="256">
        <v>0</v>
      </c>
      <c r="K34" s="256">
        <v>0</v>
      </c>
      <c r="L34" s="256">
        <v>0</v>
      </c>
      <c r="M34" s="256">
        <v>0</v>
      </c>
      <c r="N34" s="34"/>
      <c r="O34"/>
      <c r="P34"/>
      <c r="Z34" s="24"/>
      <c r="AA34" s="24"/>
      <c r="AB34" s="24"/>
      <c r="AC34" s="24"/>
      <c r="AD34" s="24"/>
      <c r="AE34" s="24"/>
      <c r="AF34" s="24"/>
      <c r="AG34" s="24"/>
    </row>
    <row r="35" spans="1:33">
      <c r="A35" s="94" t="s">
        <v>956</v>
      </c>
      <c r="B35" s="256">
        <v>99</v>
      </c>
      <c r="C35" s="256">
        <v>83</v>
      </c>
      <c r="D35" s="256">
        <v>69</v>
      </c>
      <c r="E35" s="256">
        <v>63</v>
      </c>
      <c r="F35" s="256">
        <v>58</v>
      </c>
      <c r="G35" s="256">
        <v>58</v>
      </c>
      <c r="H35" s="256">
        <v>58</v>
      </c>
      <c r="I35" s="256">
        <v>59</v>
      </c>
      <c r="J35" s="256">
        <v>0</v>
      </c>
      <c r="K35" s="256">
        <v>0</v>
      </c>
      <c r="L35" s="256">
        <v>90</v>
      </c>
      <c r="M35" s="256">
        <v>181</v>
      </c>
      <c r="N35" s="34"/>
      <c r="O35"/>
      <c r="P35"/>
      <c r="Z35" s="24"/>
      <c r="AA35" s="24"/>
      <c r="AB35" s="24"/>
      <c r="AC35" s="24"/>
      <c r="AD35" s="24"/>
      <c r="AE35" s="24"/>
      <c r="AF35" s="24"/>
      <c r="AG35" s="24"/>
    </row>
    <row r="36" spans="1:33">
      <c r="A36" s="94" t="s">
        <v>957</v>
      </c>
      <c r="B36" s="256">
        <f t="shared" ref="B36" si="9">B32-SUM(B33:B35)</f>
        <v>48796</v>
      </c>
      <c r="C36" s="256">
        <f t="shared" ref="C36" si="10">C32-SUM(C33:C35)</f>
        <v>50505</v>
      </c>
      <c r="D36" s="256">
        <f t="shared" ref="D36" si="11">D32-SUM(D33:D35)</f>
        <v>2698</v>
      </c>
      <c r="E36" s="256">
        <f>E32-SUM(E33:E35)</f>
        <v>1907</v>
      </c>
      <c r="F36" s="256">
        <f t="shared" ref="F36" si="12">F32-SUM(F33:F35)</f>
        <v>668</v>
      </c>
      <c r="G36" s="256">
        <f t="shared" ref="G36" si="13">G32-SUM(G33:G35)</f>
        <v>610</v>
      </c>
      <c r="H36" s="256">
        <f t="shared" ref="H36" si="14">H32-SUM(H33:H35)</f>
        <v>599</v>
      </c>
      <c r="I36" s="256">
        <f t="shared" ref="I36" si="15">I32-SUM(I33:I35)</f>
        <v>568</v>
      </c>
      <c r="J36" s="256">
        <f t="shared" ref="J36" si="16">J32-SUM(J33:J35)</f>
        <v>576</v>
      </c>
      <c r="K36" s="256">
        <f t="shared" ref="K36" si="17">K32-SUM(K33:K35)</f>
        <v>729</v>
      </c>
      <c r="L36" s="256">
        <f t="shared" ref="L36" si="18">L32-SUM(L33:L35)</f>
        <v>1017</v>
      </c>
      <c r="M36" s="256">
        <f t="shared" ref="M36" si="19">M32-SUM(M33:M35)</f>
        <v>896</v>
      </c>
      <c r="N36" s="34" t="s">
        <v>945</v>
      </c>
      <c r="O36" t="s">
        <v>953</v>
      </c>
      <c r="P36"/>
      <c r="Z36" s="24"/>
      <c r="AA36" s="24"/>
      <c r="AB36" s="24"/>
      <c r="AC36" s="24"/>
      <c r="AD36" s="24"/>
      <c r="AE36" s="24"/>
      <c r="AF36" s="24"/>
      <c r="AG36" s="24"/>
    </row>
    <row r="37" spans="1:33">
      <c r="A37" s="20" t="s">
        <v>958</v>
      </c>
      <c r="B37" s="344">
        <f>B31+B36</f>
        <v>51904</v>
      </c>
      <c r="C37" s="344">
        <f>C31+C36</f>
        <v>52790</v>
      </c>
      <c r="D37" s="344">
        <f t="shared" ref="D37:M37" si="20">D31+D36</f>
        <v>4085</v>
      </c>
      <c r="E37" s="344">
        <f t="shared" si="20"/>
        <v>2990</v>
      </c>
      <c r="F37" s="344">
        <f t="shared" si="20"/>
        <v>958</v>
      </c>
      <c r="G37" s="344">
        <f t="shared" si="20"/>
        <v>992</v>
      </c>
      <c r="H37" s="344">
        <f t="shared" si="20"/>
        <v>900</v>
      </c>
      <c r="I37" s="344">
        <f t="shared" si="20"/>
        <v>772</v>
      </c>
      <c r="J37" s="344">
        <f t="shared" si="20"/>
        <v>900</v>
      </c>
      <c r="K37" s="344">
        <f t="shared" si="20"/>
        <v>1157</v>
      </c>
      <c r="L37" s="344">
        <f t="shared" si="20"/>
        <v>1316</v>
      </c>
      <c r="M37" s="344">
        <f t="shared" si="20"/>
        <v>1420</v>
      </c>
      <c r="N37" s="34" t="s">
        <v>945</v>
      </c>
      <c r="O37"/>
      <c r="P37"/>
      <c r="Z37" s="24"/>
      <c r="AA37" s="24"/>
      <c r="AB37" s="24"/>
      <c r="AC37" s="24"/>
      <c r="AD37" s="24"/>
      <c r="AE37" s="24"/>
      <c r="AF37" s="24"/>
      <c r="AG37" s="24"/>
    </row>
    <row r="38" spans="1:33">
      <c r="A38" s="7" t="s">
        <v>39</v>
      </c>
      <c r="B38" s="255">
        <v>67885</v>
      </c>
      <c r="C38" s="255">
        <v>67580</v>
      </c>
      <c r="D38" s="255">
        <v>12419</v>
      </c>
      <c r="E38" s="255">
        <v>8962</v>
      </c>
      <c r="F38" s="255">
        <v>6028</v>
      </c>
      <c r="G38" s="255">
        <v>4556</v>
      </c>
      <c r="H38" s="255">
        <v>3552</v>
      </c>
      <c r="I38" s="255">
        <v>3321</v>
      </c>
      <c r="J38" s="255">
        <v>3084</v>
      </c>
      <c r="K38" s="255">
        <v>3767</v>
      </c>
      <c r="L38" s="255">
        <v>4337</v>
      </c>
      <c r="M38" s="255">
        <v>4000</v>
      </c>
      <c r="N38" s="34" t="s">
        <v>945</v>
      </c>
      <c r="O38" t="s">
        <v>39</v>
      </c>
      <c r="P38"/>
      <c r="Q38" s="20" t="s">
        <v>695</v>
      </c>
      <c r="R38" s="20" t="s">
        <v>959</v>
      </c>
      <c r="Z38" s="24">
        <v>15322</v>
      </c>
      <c r="AA38" s="24">
        <v>16090</v>
      </c>
      <c r="AB38" s="24">
        <f>16577</f>
        <v>16577</v>
      </c>
      <c r="AC38" s="24">
        <v>17075</v>
      </c>
      <c r="AD38" s="24">
        <v>16461</v>
      </c>
      <c r="AE38" s="24">
        <v>14395</v>
      </c>
      <c r="AF38" s="24">
        <v>12539</v>
      </c>
      <c r="AG38" s="24">
        <v>12386</v>
      </c>
    </row>
    <row r="39" spans="1:33">
      <c r="B39" s="344"/>
      <c r="C39" s="344"/>
      <c r="D39" s="344"/>
      <c r="E39" s="344"/>
      <c r="F39" s="344"/>
      <c r="G39" s="344"/>
      <c r="H39" s="344"/>
      <c r="I39" s="344"/>
      <c r="J39" s="344"/>
      <c r="K39" s="344"/>
      <c r="L39" s="344"/>
      <c r="M39" s="344"/>
      <c r="N39" s="34" t="s">
        <v>945</v>
      </c>
      <c r="O39"/>
      <c r="P39"/>
      <c r="Z39" s="21">
        <f t="shared" ref="Z39:AG39" si="21">Z40-SUM(Z30:Z38)</f>
        <v>14512</v>
      </c>
      <c r="AA39" s="21">
        <f t="shared" si="21"/>
        <v>15585</v>
      </c>
      <c r="AB39" s="21">
        <f t="shared" si="21"/>
        <v>15786</v>
      </c>
      <c r="AC39" s="21">
        <f t="shared" si="21"/>
        <v>15616</v>
      </c>
      <c r="AD39" s="21">
        <f t="shared" si="21"/>
        <v>17947</v>
      </c>
      <c r="AE39" s="21">
        <f t="shared" si="21"/>
        <v>18419</v>
      </c>
      <c r="AF39" s="21">
        <f t="shared" si="21"/>
        <v>9453</v>
      </c>
      <c r="AG39" s="21">
        <f t="shared" si="21"/>
        <v>9263</v>
      </c>
    </row>
    <row r="40" spans="1:33">
      <c r="B40" s="344"/>
      <c r="C40" s="344"/>
      <c r="D40" s="344"/>
      <c r="E40" s="344"/>
      <c r="F40" s="344"/>
      <c r="G40" s="344"/>
      <c r="H40" s="344"/>
      <c r="I40" s="344"/>
      <c r="J40" s="344"/>
      <c r="K40" s="344"/>
      <c r="L40" s="344"/>
      <c r="M40" s="344"/>
      <c r="N40" s="34" t="s">
        <v>945</v>
      </c>
      <c r="O40"/>
      <c r="P40"/>
      <c r="Q40" s="20" t="s">
        <v>695</v>
      </c>
      <c r="R40" s="20" t="s">
        <v>960</v>
      </c>
      <c r="Z40" s="35">
        <v>74704</v>
      </c>
      <c r="AA40" s="35">
        <v>78342</v>
      </c>
      <c r="AB40" s="35">
        <v>84681</v>
      </c>
      <c r="AC40" s="35">
        <v>84896</v>
      </c>
      <c r="AD40" s="35">
        <v>89356</v>
      </c>
      <c r="AE40" s="35">
        <v>81446</v>
      </c>
      <c r="AF40" s="35">
        <v>64020</v>
      </c>
      <c r="AG40" s="35">
        <v>60038</v>
      </c>
    </row>
    <row r="41" spans="1:33">
      <c r="A41" s="95" t="s">
        <v>961</v>
      </c>
      <c r="B41" s="255"/>
      <c r="C41" s="255"/>
      <c r="D41" s="255"/>
      <c r="E41" s="255"/>
      <c r="F41" s="255"/>
      <c r="G41" s="255"/>
      <c r="H41" s="255"/>
      <c r="I41" s="255"/>
      <c r="J41" s="255"/>
      <c r="K41" s="255"/>
      <c r="L41" s="255"/>
      <c r="M41" s="255"/>
      <c r="N41" s="34" t="s">
        <v>945</v>
      </c>
      <c r="O41"/>
      <c r="P41"/>
      <c r="Z41" s="26"/>
      <c r="AA41" s="26"/>
      <c r="AB41" s="26"/>
      <c r="AC41" s="26"/>
      <c r="AD41" s="26"/>
      <c r="AE41" s="26"/>
      <c r="AF41" s="26"/>
      <c r="AG41" s="26"/>
    </row>
    <row r="42" spans="1:33">
      <c r="A42" s="7" t="s">
        <v>303</v>
      </c>
      <c r="B42" s="255">
        <v>6689</v>
      </c>
      <c r="C42" s="255">
        <v>6369</v>
      </c>
      <c r="D42" s="255">
        <v>4240</v>
      </c>
      <c r="E42" s="255">
        <v>2417</v>
      </c>
      <c r="F42" s="255">
        <v>2359</v>
      </c>
      <c r="G42" s="255">
        <v>1984</v>
      </c>
      <c r="H42" s="255">
        <v>1513</v>
      </c>
      <c r="I42" s="255">
        <v>1346</v>
      </c>
      <c r="J42" s="255">
        <v>1403</v>
      </c>
      <c r="K42" s="255">
        <v>1440</v>
      </c>
      <c r="L42" s="255">
        <v>1618</v>
      </c>
      <c r="M42" s="255">
        <v>1397</v>
      </c>
      <c r="N42" s="34" t="s">
        <v>945</v>
      </c>
      <c r="O42" t="s">
        <v>303</v>
      </c>
      <c r="P42"/>
      <c r="Z42" s="26"/>
      <c r="AA42" s="26"/>
      <c r="AB42" s="26"/>
      <c r="AC42" s="26"/>
      <c r="AD42" s="26"/>
      <c r="AE42" s="26"/>
      <c r="AF42" s="26"/>
      <c r="AG42" s="26"/>
    </row>
    <row r="43" spans="1:33">
      <c r="A43" s="92" t="s">
        <v>962</v>
      </c>
      <c r="B43" s="256">
        <v>2418</v>
      </c>
      <c r="C43" s="256">
        <v>2956</v>
      </c>
      <c r="D43" s="256">
        <v>1406</v>
      </c>
      <c r="E43" s="256">
        <v>546</v>
      </c>
      <c r="F43" s="256">
        <v>1201</v>
      </c>
      <c r="G43" s="256">
        <v>1041</v>
      </c>
      <c r="H43" s="256">
        <v>796</v>
      </c>
      <c r="I43" s="256">
        <v>823</v>
      </c>
      <c r="J43" s="256">
        <v>524</v>
      </c>
      <c r="K43" s="256">
        <v>633</v>
      </c>
      <c r="L43" s="256">
        <v>883</v>
      </c>
      <c r="M43" s="256">
        <v>732</v>
      </c>
      <c r="N43" s="34"/>
      <c r="O43"/>
      <c r="P43"/>
      <c r="Z43" s="33"/>
      <c r="AA43" s="33"/>
      <c r="AB43" s="33"/>
      <c r="AC43" s="33"/>
      <c r="AD43" s="33"/>
      <c r="AE43" s="32"/>
      <c r="AF43" s="32"/>
      <c r="AG43" s="32"/>
    </row>
    <row r="44" spans="1:33" s="7" customFormat="1">
      <c r="A44" s="23" t="s">
        <v>963</v>
      </c>
      <c r="B44" s="256">
        <v>0</v>
      </c>
      <c r="C44" s="256">
        <v>0</v>
      </c>
      <c r="D44" s="256">
        <v>0</v>
      </c>
      <c r="E44" s="256">
        <v>0</v>
      </c>
      <c r="F44" s="256">
        <v>0</v>
      </c>
      <c r="G44" s="256">
        <v>136</v>
      </c>
      <c r="H44" s="256">
        <v>70</v>
      </c>
      <c r="I44" s="256">
        <v>0</v>
      </c>
      <c r="J44" s="256">
        <v>230</v>
      </c>
      <c r="K44" s="256">
        <v>177</v>
      </c>
      <c r="L44" s="256">
        <v>60</v>
      </c>
      <c r="M44" s="256">
        <v>0</v>
      </c>
      <c r="N44" s="34" t="s">
        <v>945</v>
      </c>
      <c r="O44" t="s">
        <v>964</v>
      </c>
      <c r="P44"/>
      <c r="Q44" s="20" t="s">
        <v>695</v>
      </c>
      <c r="R44" s="7" t="s">
        <v>965</v>
      </c>
      <c r="Z44" s="35">
        <v>26132</v>
      </c>
      <c r="AA44" s="35">
        <v>26242</v>
      </c>
      <c r="AB44" s="35">
        <v>27877</v>
      </c>
      <c r="AC44" s="35">
        <v>27297</v>
      </c>
      <c r="AD44" s="35">
        <v>29415</v>
      </c>
      <c r="AE44" s="35">
        <f>93+3895+8161+3386+2410+2691+298+1967+558+5102</f>
        <v>28561</v>
      </c>
      <c r="AF44" s="35">
        <f>204+3852+5856+2880+1670+1831+281+1521+495+3430</f>
        <v>22020</v>
      </c>
      <c r="AG44" s="35">
        <f>433+3650+2993+3351+797+1217+262+888+302+5399</f>
        <v>19292</v>
      </c>
    </row>
    <row r="45" spans="1:33" s="7" customFormat="1">
      <c r="A45" s="23" t="s">
        <v>966</v>
      </c>
      <c r="B45" s="256">
        <v>0</v>
      </c>
      <c r="C45" s="256">
        <v>0</v>
      </c>
      <c r="D45" s="256">
        <v>0</v>
      </c>
      <c r="E45" s="256">
        <v>0</v>
      </c>
      <c r="F45" s="256">
        <v>0</v>
      </c>
      <c r="G45" s="256">
        <v>0</v>
      </c>
      <c r="H45" s="256">
        <v>0</v>
      </c>
      <c r="I45" s="256">
        <v>0</v>
      </c>
      <c r="J45" s="256">
        <v>0</v>
      </c>
      <c r="K45" s="256">
        <v>0</v>
      </c>
      <c r="L45" s="256">
        <v>0</v>
      </c>
      <c r="M45" s="256">
        <v>0</v>
      </c>
      <c r="N45" s="34"/>
      <c r="O45"/>
      <c r="P45"/>
      <c r="Q45" s="20"/>
      <c r="Z45" s="35"/>
      <c r="AA45" s="35"/>
      <c r="AB45" s="35"/>
      <c r="AC45" s="35"/>
      <c r="AD45" s="35"/>
      <c r="AE45" s="35"/>
      <c r="AF45" s="35"/>
      <c r="AG45" s="35"/>
    </row>
    <row r="46" spans="1:33">
      <c r="A46" s="92" t="s">
        <v>967</v>
      </c>
      <c r="B46" s="256">
        <f t="shared" ref="B46" si="22">B42-SUM(B43:B45)</f>
        <v>4271</v>
      </c>
      <c r="C46" s="256">
        <f t="shared" ref="C46:M46" si="23">C42-SUM(C43:C45)</f>
        <v>3413</v>
      </c>
      <c r="D46" s="256">
        <f t="shared" si="23"/>
        <v>2834</v>
      </c>
      <c r="E46" s="256">
        <f t="shared" si="23"/>
        <v>1871</v>
      </c>
      <c r="F46" s="256">
        <f>F42-SUM(F43:F45)</f>
        <v>1158</v>
      </c>
      <c r="G46" s="256">
        <f t="shared" si="23"/>
        <v>807</v>
      </c>
      <c r="H46" s="256">
        <f t="shared" si="23"/>
        <v>647</v>
      </c>
      <c r="I46" s="256">
        <f t="shared" si="23"/>
        <v>523</v>
      </c>
      <c r="J46" s="256">
        <f t="shared" si="23"/>
        <v>649</v>
      </c>
      <c r="K46" s="256">
        <f t="shared" si="23"/>
        <v>630</v>
      </c>
      <c r="L46" s="256">
        <f t="shared" si="23"/>
        <v>675</v>
      </c>
      <c r="M46" s="256">
        <f t="shared" si="23"/>
        <v>665</v>
      </c>
      <c r="N46" s="34" t="s">
        <v>945</v>
      </c>
      <c r="O46"/>
      <c r="P46"/>
      <c r="R46" s="20" t="s">
        <v>968</v>
      </c>
      <c r="Z46" s="28">
        <v>7303</v>
      </c>
      <c r="AA46" s="28">
        <v>6967</v>
      </c>
      <c r="AB46" s="28">
        <v>4708</v>
      </c>
      <c r="AC46" s="28">
        <v>3679</v>
      </c>
      <c r="AD46" s="28">
        <v>5287</v>
      </c>
      <c r="AE46" s="28">
        <v>5660</v>
      </c>
      <c r="AF46" s="28">
        <v>3925</v>
      </c>
      <c r="AG46" s="28">
        <v>5701</v>
      </c>
    </row>
    <row r="47" spans="1:33">
      <c r="A47" s="7" t="s">
        <v>969</v>
      </c>
      <c r="B47" s="255">
        <f t="shared" ref="B47:M47" si="24">B51-B42</f>
        <v>5304</v>
      </c>
      <c r="C47" s="255">
        <f t="shared" si="24"/>
        <v>6461</v>
      </c>
      <c r="D47" s="255">
        <f t="shared" si="24"/>
        <v>682</v>
      </c>
      <c r="E47" s="255">
        <f t="shared" si="24"/>
        <v>708</v>
      </c>
      <c r="F47" s="255">
        <f t="shared" si="24"/>
        <v>842</v>
      </c>
      <c r="G47" s="255">
        <f t="shared" si="24"/>
        <v>1306</v>
      </c>
      <c r="H47" s="255">
        <f t="shared" si="24"/>
        <v>1443</v>
      </c>
      <c r="I47" s="255">
        <f t="shared" si="24"/>
        <v>1559</v>
      </c>
      <c r="J47" s="255">
        <f t="shared" si="24"/>
        <v>2093</v>
      </c>
      <c r="K47" s="255">
        <f t="shared" si="24"/>
        <v>2140</v>
      </c>
      <c r="L47" s="255">
        <f t="shared" si="24"/>
        <v>2175</v>
      </c>
      <c r="M47" s="255">
        <f t="shared" si="24"/>
        <v>2065</v>
      </c>
      <c r="N47" s="34" t="s">
        <v>945</v>
      </c>
      <c r="O47" t="s">
        <v>970</v>
      </c>
      <c r="P47"/>
      <c r="Z47" s="28"/>
      <c r="AA47" s="28"/>
      <c r="AB47" s="28"/>
      <c r="AC47" s="28"/>
      <c r="AD47" s="28"/>
      <c r="AE47" s="28"/>
      <c r="AF47" s="28"/>
      <c r="AG47" s="28"/>
    </row>
    <row r="48" spans="1:33">
      <c r="A48" s="23" t="s">
        <v>971</v>
      </c>
      <c r="B48" s="256">
        <v>1717</v>
      </c>
      <c r="C48" s="256">
        <v>2467</v>
      </c>
      <c r="D48" s="256">
        <v>1</v>
      </c>
      <c r="E48" s="256">
        <v>330</v>
      </c>
      <c r="F48" s="256">
        <v>486</v>
      </c>
      <c r="G48" s="256">
        <v>1114</v>
      </c>
      <c r="H48" s="256">
        <v>1325</v>
      </c>
      <c r="I48" s="256">
        <v>1435</v>
      </c>
      <c r="J48" s="256">
        <v>2007</v>
      </c>
      <c r="K48" s="256">
        <v>2035</v>
      </c>
      <c r="L48" s="256">
        <v>1998</v>
      </c>
      <c r="M48" s="256">
        <v>2037</v>
      </c>
      <c r="N48" s="34" t="s">
        <v>945</v>
      </c>
      <c r="O48" t="s">
        <v>972</v>
      </c>
      <c r="P48"/>
      <c r="Z48" s="21">
        <f t="shared" ref="Z48:AG48" si="25">Z44-Z46</f>
        <v>18829</v>
      </c>
      <c r="AA48" s="21">
        <f t="shared" si="25"/>
        <v>19275</v>
      </c>
      <c r="AB48" s="21">
        <f t="shared" si="25"/>
        <v>23169</v>
      </c>
      <c r="AC48" s="21">
        <f t="shared" si="25"/>
        <v>23618</v>
      </c>
      <c r="AD48" s="21">
        <f t="shared" si="25"/>
        <v>24128</v>
      </c>
      <c r="AE48" s="21">
        <f t="shared" si="25"/>
        <v>22901</v>
      </c>
      <c r="AF48" s="21">
        <f t="shared" si="25"/>
        <v>18095</v>
      </c>
      <c r="AG48" s="21">
        <f t="shared" si="25"/>
        <v>13591</v>
      </c>
    </row>
    <row r="49" spans="1:33" s="7" customFormat="1">
      <c r="A49" s="23" t="s">
        <v>973</v>
      </c>
      <c r="B49" s="256">
        <v>535</v>
      </c>
      <c r="C49" s="256">
        <v>396</v>
      </c>
      <c r="D49" s="256">
        <v>348</v>
      </c>
      <c r="E49" s="256">
        <v>201</v>
      </c>
      <c r="F49" s="256">
        <v>199</v>
      </c>
      <c r="G49" s="256">
        <v>0</v>
      </c>
      <c r="H49" s="256">
        <v>0</v>
      </c>
      <c r="I49" s="256">
        <v>0</v>
      </c>
      <c r="J49" s="256">
        <v>0</v>
      </c>
      <c r="K49" s="256">
        <v>0</v>
      </c>
      <c r="L49" s="256">
        <v>0</v>
      </c>
      <c r="M49" s="256">
        <v>0</v>
      </c>
      <c r="N49" s="34"/>
      <c r="O49"/>
      <c r="P49"/>
      <c r="Q49" s="20" t="s">
        <v>695</v>
      </c>
      <c r="R49" s="7" t="s">
        <v>974</v>
      </c>
      <c r="Z49" s="35">
        <f>61491-Z44</f>
        <v>35359</v>
      </c>
      <c r="AA49" s="35">
        <f>63457-AA44</f>
        <v>37215</v>
      </c>
      <c r="AB49" s="35">
        <f>67855-AB44</f>
        <v>39978</v>
      </c>
      <c r="AC49" s="35">
        <v>36721</v>
      </c>
      <c r="AD49" s="35">
        <v>41973</v>
      </c>
      <c r="AE49" s="35">
        <f>8415+16529+10956+3583</f>
        <v>39483</v>
      </c>
      <c r="AF49" s="35">
        <f>4505+15932+7584+2654</f>
        <v>30675</v>
      </c>
      <c r="AG49" s="35">
        <f>5652+16195+7420+2179</f>
        <v>31446</v>
      </c>
    </row>
    <row r="50" spans="1:33">
      <c r="A50" s="92" t="s">
        <v>975</v>
      </c>
      <c r="B50" s="256">
        <f t="shared" ref="B50" si="26">B47-SUM(B48:B49)</f>
        <v>3052</v>
      </c>
      <c r="C50" s="256">
        <f t="shared" ref="C50:M50" si="27">C47-SUM(C48:C49)</f>
        <v>3598</v>
      </c>
      <c r="D50" s="256">
        <f t="shared" si="27"/>
        <v>333</v>
      </c>
      <c r="E50" s="256">
        <f t="shared" si="27"/>
        <v>177</v>
      </c>
      <c r="F50" s="256">
        <f t="shared" si="27"/>
        <v>157</v>
      </c>
      <c r="G50" s="256">
        <f t="shared" si="27"/>
        <v>192</v>
      </c>
      <c r="H50" s="256">
        <f t="shared" si="27"/>
        <v>118</v>
      </c>
      <c r="I50" s="256">
        <f t="shared" si="27"/>
        <v>124</v>
      </c>
      <c r="J50" s="256">
        <f t="shared" si="27"/>
        <v>86</v>
      </c>
      <c r="K50" s="256">
        <f>K47-SUM(K48:K49)</f>
        <v>105</v>
      </c>
      <c r="L50" s="256">
        <f t="shared" si="27"/>
        <v>177</v>
      </c>
      <c r="M50" s="256">
        <f t="shared" si="27"/>
        <v>28</v>
      </c>
      <c r="N50" s="34" t="s">
        <v>945</v>
      </c>
      <c r="O50" t="s">
        <v>976</v>
      </c>
      <c r="P50"/>
      <c r="R50" s="20" t="s">
        <v>977</v>
      </c>
      <c r="Z50" s="24">
        <v>22818</v>
      </c>
      <c r="AA50" s="24">
        <v>25169</v>
      </c>
      <c r="AB50" s="24">
        <v>27784</v>
      </c>
      <c r="AC50" s="24">
        <v>26719</v>
      </c>
      <c r="AD50" s="24">
        <v>27752</v>
      </c>
      <c r="AE50" s="24">
        <v>24944</v>
      </c>
      <c r="AF50" s="24">
        <v>20437</v>
      </c>
      <c r="AG50" s="24">
        <v>21847</v>
      </c>
    </row>
    <row r="51" spans="1:33">
      <c r="A51" s="7" t="s">
        <v>45</v>
      </c>
      <c r="B51" s="255">
        <v>11993</v>
      </c>
      <c r="C51" s="255">
        <v>12830</v>
      </c>
      <c r="D51" s="255">
        <v>4922</v>
      </c>
      <c r="E51" s="255">
        <v>3125</v>
      </c>
      <c r="F51" s="255">
        <v>3201</v>
      </c>
      <c r="G51" s="255">
        <v>3290</v>
      </c>
      <c r="H51" s="255">
        <v>2956</v>
      </c>
      <c r="I51" s="255">
        <v>2905</v>
      </c>
      <c r="J51" s="255">
        <v>3496</v>
      </c>
      <c r="K51" s="255">
        <v>3580</v>
      </c>
      <c r="L51" s="255">
        <v>3793</v>
      </c>
      <c r="M51" s="255">
        <v>3462</v>
      </c>
      <c r="N51" s="34" t="s">
        <v>945</v>
      </c>
      <c r="O51" t="s">
        <v>45</v>
      </c>
      <c r="P51"/>
      <c r="Z51" s="24"/>
      <c r="AA51" s="24"/>
      <c r="AB51" s="24"/>
      <c r="AC51" s="24"/>
      <c r="AD51" s="24"/>
      <c r="AE51" s="24"/>
      <c r="AF51" s="24"/>
      <c r="AG51" s="24"/>
    </row>
    <row r="52" spans="1:33">
      <c r="B52" s="344"/>
      <c r="C52" s="344"/>
      <c r="D52" s="344"/>
      <c r="E52" s="344"/>
      <c r="F52" s="344"/>
      <c r="G52" s="344"/>
      <c r="H52" s="344"/>
      <c r="I52" s="344"/>
      <c r="J52" s="344"/>
      <c r="K52" s="344"/>
      <c r="L52" s="344"/>
      <c r="M52" s="344"/>
      <c r="N52" s="34" t="s">
        <v>945</v>
      </c>
      <c r="O52"/>
      <c r="P52"/>
      <c r="Z52" s="21">
        <f t="shared" ref="Z52:AG52" si="28">Z49-Z50</f>
        <v>12541</v>
      </c>
      <c r="AA52" s="21">
        <f t="shared" si="28"/>
        <v>12046</v>
      </c>
      <c r="AB52" s="21">
        <f t="shared" si="28"/>
        <v>12194</v>
      </c>
      <c r="AC52" s="21">
        <f t="shared" si="28"/>
        <v>10002</v>
      </c>
      <c r="AD52" s="21">
        <f t="shared" si="28"/>
        <v>14221</v>
      </c>
      <c r="AE52" s="21">
        <f t="shared" si="28"/>
        <v>14539</v>
      </c>
      <c r="AF52" s="21">
        <f t="shared" si="28"/>
        <v>10238</v>
      </c>
      <c r="AG52" s="21">
        <f t="shared" si="28"/>
        <v>9599</v>
      </c>
    </row>
    <row r="53" spans="1:33" s="7" customFormat="1">
      <c r="A53" s="20"/>
      <c r="B53" s="344"/>
      <c r="C53" s="344"/>
      <c r="D53" s="344"/>
      <c r="E53" s="344"/>
      <c r="F53" s="344"/>
      <c r="G53" s="344"/>
      <c r="H53" s="344"/>
      <c r="I53" s="344"/>
      <c r="J53" s="344"/>
      <c r="K53" s="344"/>
      <c r="L53" s="344"/>
      <c r="M53" s="344"/>
      <c r="N53" s="34" t="s">
        <v>945</v>
      </c>
      <c r="O53"/>
      <c r="P53"/>
      <c r="Z53" s="32">
        <f>+Z49+Z44</f>
        <v>61491</v>
      </c>
      <c r="AA53" s="32">
        <f>+AA49+AA44</f>
        <v>63457</v>
      </c>
      <c r="AB53" s="32">
        <f>+AB49+AB44</f>
        <v>67855</v>
      </c>
      <c r="AC53" s="32">
        <f>AC44+AC49</f>
        <v>64018</v>
      </c>
      <c r="AD53" s="32">
        <f>AD49+AD44</f>
        <v>71388</v>
      </c>
      <c r="AE53" s="32">
        <f>AE49+AE44</f>
        <v>68044</v>
      </c>
      <c r="AF53" s="32">
        <f>AF49+AF44</f>
        <v>52695</v>
      </c>
      <c r="AG53" s="32">
        <f>AG49+AG44</f>
        <v>50738</v>
      </c>
    </row>
    <row r="54" spans="1:33">
      <c r="A54" s="36" t="s">
        <v>978</v>
      </c>
      <c r="B54" s="347">
        <v>0</v>
      </c>
      <c r="C54" s="347">
        <v>0</v>
      </c>
      <c r="D54" s="347">
        <v>0</v>
      </c>
      <c r="E54" s="347">
        <v>0</v>
      </c>
      <c r="F54" s="347">
        <v>0</v>
      </c>
      <c r="G54" s="347">
        <v>0</v>
      </c>
      <c r="H54" s="347">
        <v>0</v>
      </c>
      <c r="I54" s="347">
        <v>0</v>
      </c>
      <c r="J54" s="347">
        <v>0</v>
      </c>
      <c r="K54" s="347">
        <v>0</v>
      </c>
      <c r="L54" s="347">
        <v>0</v>
      </c>
      <c r="M54" s="347">
        <v>0</v>
      </c>
      <c r="N54" s="34" t="s">
        <v>945</v>
      </c>
      <c r="O54" t="s">
        <v>978</v>
      </c>
      <c r="P54"/>
    </row>
    <row r="55" spans="1:33">
      <c r="B55" s="344"/>
      <c r="C55" s="344"/>
      <c r="D55" s="344"/>
      <c r="E55" s="344"/>
      <c r="F55" s="344"/>
      <c r="G55" s="344"/>
      <c r="H55" s="344"/>
      <c r="I55" s="344"/>
      <c r="J55" s="344"/>
      <c r="K55" s="344"/>
      <c r="L55" s="344"/>
      <c r="M55" s="344"/>
      <c r="N55" s="34" t="s">
        <v>945</v>
      </c>
      <c r="O55"/>
      <c r="P55"/>
    </row>
    <row r="56" spans="1:33" s="7" customFormat="1">
      <c r="A56" s="7" t="s">
        <v>979</v>
      </c>
      <c r="B56" s="255">
        <f t="shared" ref="B56" si="29">B38-B51-B54</f>
        <v>55892</v>
      </c>
      <c r="C56" s="255">
        <f t="shared" ref="C56:M56" si="30">C38-C51-C54</f>
        <v>54750</v>
      </c>
      <c r="D56" s="255">
        <f t="shared" si="30"/>
        <v>7497</v>
      </c>
      <c r="E56" s="255">
        <f>E38-E51-E54</f>
        <v>5837</v>
      </c>
      <c r="F56" s="255">
        <f t="shared" si="30"/>
        <v>2827</v>
      </c>
      <c r="G56" s="255">
        <f t="shared" si="30"/>
        <v>1266</v>
      </c>
      <c r="H56" s="255">
        <f t="shared" si="30"/>
        <v>596</v>
      </c>
      <c r="I56" s="255">
        <f t="shared" si="30"/>
        <v>416</v>
      </c>
      <c r="J56" s="255">
        <f>J38-J51-J54</f>
        <v>-412</v>
      </c>
      <c r="K56" s="255">
        <f>K38-K51-K54</f>
        <v>187</v>
      </c>
      <c r="L56" s="255">
        <f t="shared" si="30"/>
        <v>544</v>
      </c>
      <c r="M56" s="255">
        <f t="shared" si="30"/>
        <v>538</v>
      </c>
      <c r="N56" s="34" t="s">
        <v>945</v>
      </c>
      <c r="O56"/>
      <c r="P56"/>
      <c r="Q56" s="20" t="s">
        <v>695</v>
      </c>
      <c r="R56" s="7" t="s">
        <v>980</v>
      </c>
    </row>
    <row r="57" spans="1:33">
      <c r="A57" s="7"/>
      <c r="B57" s="255"/>
      <c r="C57" s="255"/>
      <c r="D57" s="255"/>
      <c r="E57" s="255"/>
      <c r="F57" s="255"/>
      <c r="G57" s="255"/>
      <c r="H57" s="255"/>
      <c r="I57" s="255"/>
      <c r="J57" s="255"/>
      <c r="K57" s="255"/>
      <c r="L57" s="255"/>
      <c r="M57" s="255"/>
      <c r="N57" s="34"/>
      <c r="O57"/>
      <c r="P57"/>
    </row>
    <row r="58" spans="1:33">
      <c r="A58" s="47" t="s">
        <v>981</v>
      </c>
      <c r="B58" s="255"/>
      <c r="C58" s="255"/>
      <c r="D58" s="255"/>
      <c r="E58" s="255"/>
      <c r="F58" s="255"/>
      <c r="G58" s="255"/>
      <c r="H58" s="255"/>
      <c r="I58" s="255"/>
      <c r="J58" s="255"/>
      <c r="K58" s="255"/>
      <c r="L58" s="255"/>
      <c r="M58" s="255"/>
      <c r="N58" s="34"/>
      <c r="O58"/>
      <c r="P58"/>
    </row>
    <row r="59" spans="1:33">
      <c r="A59" s="7" t="s">
        <v>126</v>
      </c>
      <c r="B59" s="255">
        <v>1667</v>
      </c>
      <c r="C59" s="255">
        <v>3565</v>
      </c>
      <c r="D59" s="255">
        <v>3521</v>
      </c>
      <c r="E59" s="255">
        <v>1071</v>
      </c>
      <c r="F59" s="255">
        <v>493</v>
      </c>
      <c r="G59" s="255">
        <v>34</v>
      </c>
      <c r="H59" s="255">
        <v>12</v>
      </c>
      <c r="I59" s="255">
        <v>90</v>
      </c>
      <c r="J59" s="255">
        <v>-226</v>
      </c>
      <c r="K59" s="255">
        <v>-98</v>
      </c>
      <c r="L59" s="255">
        <v>-148</v>
      </c>
      <c r="M59" s="255">
        <v>-338</v>
      </c>
      <c r="N59" s="34"/>
      <c r="O59"/>
      <c r="P59"/>
    </row>
    <row r="60" spans="1:33">
      <c r="A60" s="23" t="s">
        <v>62</v>
      </c>
      <c r="B60" s="256">
        <f t="shared" ref="B60:M60" si="31">B12</f>
        <v>854</v>
      </c>
      <c r="C60" s="256">
        <f t="shared" si="31"/>
        <v>1320</v>
      </c>
      <c r="D60" s="256">
        <f t="shared" si="31"/>
        <v>3162</v>
      </c>
      <c r="E60" s="256">
        <f t="shared" si="31"/>
        <v>2490</v>
      </c>
      <c r="F60" s="256">
        <f t="shared" si="31"/>
        <v>341</v>
      </c>
      <c r="G60" s="256">
        <f t="shared" si="31"/>
        <v>337</v>
      </c>
      <c r="H60" s="256">
        <f t="shared" si="31"/>
        <v>-33</v>
      </c>
      <c r="I60" s="256">
        <f t="shared" si="31"/>
        <v>-497</v>
      </c>
      <c r="J60" s="256">
        <f t="shared" si="31"/>
        <v>-660</v>
      </c>
      <c r="K60" s="256">
        <f t="shared" si="31"/>
        <v>-403</v>
      </c>
      <c r="L60" s="256">
        <f t="shared" si="31"/>
        <v>-83</v>
      </c>
      <c r="M60" s="256">
        <f t="shared" si="31"/>
        <v>-1183</v>
      </c>
      <c r="N60" s="34"/>
      <c r="O60"/>
      <c r="P60"/>
    </row>
    <row r="61" spans="1:33">
      <c r="A61" s="92" t="s">
        <v>54</v>
      </c>
      <c r="B61" s="256">
        <v>3453</v>
      </c>
      <c r="C61" s="256">
        <v>4174</v>
      </c>
      <c r="D61" s="256">
        <v>407</v>
      </c>
      <c r="E61" s="256">
        <v>312</v>
      </c>
      <c r="F61" s="256">
        <v>222</v>
      </c>
      <c r="G61" s="256">
        <v>170</v>
      </c>
      <c r="H61" s="256">
        <v>144</v>
      </c>
      <c r="I61" s="256">
        <v>133</v>
      </c>
      <c r="J61" s="256">
        <v>167</v>
      </c>
      <c r="K61" s="256">
        <v>203</v>
      </c>
      <c r="L61" s="256">
        <v>236</v>
      </c>
      <c r="M61" s="256">
        <v>260</v>
      </c>
      <c r="N61" s="34"/>
      <c r="O61"/>
      <c r="P61"/>
    </row>
    <row r="62" spans="1:33">
      <c r="A62" s="865" t="s">
        <v>982</v>
      </c>
      <c r="B62" s="866">
        <v>-3049</v>
      </c>
      <c r="C62" s="866">
        <v>-1846</v>
      </c>
      <c r="D62" s="866">
        <v>-774</v>
      </c>
      <c r="E62" s="866">
        <v>-931</v>
      </c>
      <c r="F62" s="866">
        <v>-542</v>
      </c>
      <c r="G62" s="866">
        <v>-727</v>
      </c>
      <c r="H62" s="866">
        <v>-244</v>
      </c>
      <c r="I62" s="866">
        <v>180</v>
      </c>
      <c r="J62" s="866">
        <v>113</v>
      </c>
      <c r="K62" s="866">
        <v>-291</v>
      </c>
      <c r="L62" s="866">
        <v>-448</v>
      </c>
      <c r="M62" s="866">
        <v>220</v>
      </c>
      <c r="N62" s="34"/>
      <c r="O62"/>
      <c r="P62"/>
    </row>
    <row r="63" spans="1:33">
      <c r="A63" s="92" t="s">
        <v>983</v>
      </c>
      <c r="B63" s="256">
        <f>B59-B60-B61-B62</f>
        <v>409</v>
      </c>
      <c r="C63" s="256">
        <f t="shared" ref="C63" si="32">C59-C60-C61-C62</f>
        <v>-83</v>
      </c>
      <c r="D63" s="256">
        <f>D59-D60-D61-D62</f>
        <v>726</v>
      </c>
      <c r="E63" s="256">
        <f t="shared" ref="E63:M63" si="33">E59-E60-E61-E62</f>
        <v>-800</v>
      </c>
      <c r="F63" s="256">
        <f t="shared" si="33"/>
        <v>472</v>
      </c>
      <c r="G63" s="256">
        <f t="shared" si="33"/>
        <v>254</v>
      </c>
      <c r="H63" s="256">
        <f t="shared" si="33"/>
        <v>145</v>
      </c>
      <c r="I63" s="256">
        <f t="shared" si="33"/>
        <v>274</v>
      </c>
      <c r="J63" s="256">
        <f t="shared" si="33"/>
        <v>154</v>
      </c>
      <c r="K63" s="256">
        <f t="shared" si="33"/>
        <v>393</v>
      </c>
      <c r="L63" s="256">
        <f t="shared" si="33"/>
        <v>147</v>
      </c>
      <c r="M63" s="256">
        <f t="shared" si="33"/>
        <v>365</v>
      </c>
      <c r="N63" s="34"/>
      <c r="O63"/>
      <c r="P63"/>
    </row>
    <row r="64" spans="1:33">
      <c r="A64" s="7" t="s">
        <v>127</v>
      </c>
      <c r="B64" s="255">
        <v>-1423</v>
      </c>
      <c r="C64" s="255">
        <v>1999</v>
      </c>
      <c r="D64" s="255">
        <v>-686</v>
      </c>
      <c r="E64" s="255">
        <v>-952</v>
      </c>
      <c r="F64" s="255">
        <v>-149</v>
      </c>
      <c r="G64" s="255">
        <v>-170</v>
      </c>
      <c r="H64" s="255">
        <v>-54</v>
      </c>
      <c r="I64" s="255">
        <v>267</v>
      </c>
      <c r="J64" s="255">
        <v>147</v>
      </c>
      <c r="K64" s="255">
        <v>-12</v>
      </c>
      <c r="L64" s="255">
        <v>455</v>
      </c>
      <c r="M64" s="255">
        <v>-19</v>
      </c>
      <c r="N64" s="34"/>
      <c r="O64"/>
      <c r="P64"/>
    </row>
    <row r="65" spans="1:15">
      <c r="A65" s="92" t="s">
        <v>128</v>
      </c>
      <c r="B65" s="256">
        <v>-546</v>
      </c>
      <c r="C65" s="256">
        <v>-450</v>
      </c>
      <c r="D65" s="256">
        <v>-301</v>
      </c>
      <c r="E65" s="256">
        <v>-294</v>
      </c>
      <c r="F65" s="256">
        <v>-217</v>
      </c>
      <c r="G65" s="256">
        <v>-163</v>
      </c>
      <c r="H65" s="256">
        <v>-113</v>
      </c>
      <c r="I65" s="256">
        <v>-77</v>
      </c>
      <c r="J65" s="256">
        <v>-96</v>
      </c>
      <c r="K65" s="256">
        <v>-95</v>
      </c>
      <c r="L65" s="256">
        <v>-84</v>
      </c>
      <c r="M65" s="256">
        <v>-133</v>
      </c>
      <c r="N65" s="34"/>
      <c r="O65"/>
    </row>
    <row r="66" spans="1:15">
      <c r="A66" s="92" t="s">
        <v>129</v>
      </c>
      <c r="B66" s="256">
        <v>-866</v>
      </c>
      <c r="C66" s="256">
        <v>2465</v>
      </c>
      <c r="D66" s="256">
        <v>-378</v>
      </c>
      <c r="E66" s="256">
        <v>-658</v>
      </c>
      <c r="F66" s="256">
        <v>41</v>
      </c>
      <c r="G66" s="256">
        <v>-78</v>
      </c>
      <c r="H66" s="256">
        <v>1</v>
      </c>
      <c r="I66" s="256">
        <v>342</v>
      </c>
      <c r="J66" s="256">
        <v>243</v>
      </c>
      <c r="K66" s="256">
        <v>83</v>
      </c>
      <c r="L66" s="256">
        <v>539</v>
      </c>
      <c r="M66" s="256">
        <v>123</v>
      </c>
      <c r="N66" s="34"/>
      <c r="O66"/>
    </row>
    <row r="67" spans="1:15">
      <c r="A67" s="92" t="s">
        <v>984</v>
      </c>
      <c r="B67" s="256">
        <f>B64-B65-B66</f>
        <v>-11</v>
      </c>
      <c r="C67" s="256">
        <f>C64-C65-C66</f>
        <v>-16</v>
      </c>
      <c r="D67" s="256">
        <f>D64-D65-D66</f>
        <v>-7</v>
      </c>
      <c r="E67" s="256">
        <f t="shared" ref="E67" si="34">E64-E65-E66</f>
        <v>0</v>
      </c>
      <c r="F67" s="256">
        <f t="shared" ref="F67:M67" si="35">F64-F65-F66</f>
        <v>27</v>
      </c>
      <c r="G67" s="256">
        <f t="shared" si="35"/>
        <v>71</v>
      </c>
      <c r="H67" s="256">
        <f t="shared" si="35"/>
        <v>58</v>
      </c>
      <c r="I67" s="256">
        <f t="shared" si="35"/>
        <v>2</v>
      </c>
      <c r="J67" s="256">
        <f t="shared" si="35"/>
        <v>0</v>
      </c>
      <c r="K67" s="256">
        <f t="shared" si="35"/>
        <v>0</v>
      </c>
      <c r="L67" s="256">
        <f t="shared" si="35"/>
        <v>0</v>
      </c>
      <c r="M67" s="256">
        <f t="shared" si="35"/>
        <v>-9</v>
      </c>
      <c r="N67" s="34"/>
      <c r="O67"/>
    </row>
    <row r="68" spans="1:15">
      <c r="A68" s="7" t="s">
        <v>130</v>
      </c>
      <c r="B68" s="255">
        <v>-1146</v>
      </c>
      <c r="C68" s="255">
        <v>-3264</v>
      </c>
      <c r="D68" s="255">
        <v>-1895</v>
      </c>
      <c r="E68" s="255">
        <v>6</v>
      </c>
      <c r="F68" s="255">
        <v>43</v>
      </c>
      <c r="G68" s="255">
        <v>28</v>
      </c>
      <c r="H68" s="255">
        <v>-33</v>
      </c>
      <c r="I68" s="255">
        <v>122</v>
      </c>
      <c r="J68" s="255">
        <v>59</v>
      </c>
      <c r="K68" s="255">
        <v>46</v>
      </c>
      <c r="L68" s="255">
        <v>13</v>
      </c>
      <c r="M68" s="255">
        <v>37</v>
      </c>
      <c r="N68" s="34"/>
      <c r="O68"/>
    </row>
    <row r="69" spans="1:15">
      <c r="A69" s="92" t="s">
        <v>985</v>
      </c>
      <c r="B69" s="256">
        <v>0</v>
      </c>
      <c r="C69" s="256">
        <v>991</v>
      </c>
      <c r="D69" s="256">
        <v>0</v>
      </c>
      <c r="E69" s="256">
        <v>200</v>
      </c>
      <c r="F69" s="256">
        <v>0</v>
      </c>
      <c r="G69" s="256">
        <v>0</v>
      </c>
      <c r="H69" s="256">
        <v>0</v>
      </c>
      <c r="I69" s="256">
        <v>782</v>
      </c>
      <c r="J69" s="256">
        <v>100</v>
      </c>
      <c r="K69" s="256">
        <v>0</v>
      </c>
      <c r="L69" s="256">
        <v>55</v>
      </c>
      <c r="M69" s="256">
        <v>0</v>
      </c>
      <c r="N69" s="34"/>
      <c r="O69"/>
    </row>
    <row r="70" spans="1:15">
      <c r="A70" s="92" t="s">
        <v>986</v>
      </c>
      <c r="B70" s="256">
        <v>0</v>
      </c>
      <c r="C70" s="256">
        <v>-312</v>
      </c>
      <c r="D70" s="256">
        <v>0</v>
      </c>
      <c r="E70" s="256">
        <v>-200</v>
      </c>
      <c r="F70" s="256">
        <v>-473</v>
      </c>
      <c r="G70" s="256">
        <v>-41</v>
      </c>
      <c r="H70" s="256">
        <v>-110</v>
      </c>
      <c r="I70" s="256">
        <v>-1113</v>
      </c>
      <c r="J70" s="256">
        <v>-44</v>
      </c>
      <c r="K70" s="256">
        <v>-1115</v>
      </c>
      <c r="L70" s="256">
        <v>-55</v>
      </c>
      <c r="M70" s="256">
        <v>-489</v>
      </c>
      <c r="N70" s="34"/>
      <c r="O70"/>
    </row>
    <row r="71" spans="1:15">
      <c r="A71" s="92" t="s">
        <v>987</v>
      </c>
      <c r="B71" s="256">
        <v>0</v>
      </c>
      <c r="C71" s="256">
        <v>0</v>
      </c>
      <c r="D71" s="256">
        <v>0</v>
      </c>
      <c r="E71" s="256">
        <v>0</v>
      </c>
      <c r="F71" s="256">
        <v>0</v>
      </c>
      <c r="G71" s="256">
        <v>0</v>
      </c>
      <c r="H71" s="256">
        <v>0</v>
      </c>
      <c r="I71" s="256">
        <v>0</v>
      </c>
      <c r="J71" s="256">
        <v>0</v>
      </c>
      <c r="K71" s="256">
        <v>0</v>
      </c>
      <c r="L71" s="256">
        <v>0</v>
      </c>
      <c r="M71" s="256">
        <v>0</v>
      </c>
      <c r="N71" s="34"/>
      <c r="O71"/>
    </row>
    <row r="72" spans="1:15">
      <c r="A72" s="92" t="s">
        <v>988</v>
      </c>
      <c r="B72" s="256">
        <v>0</v>
      </c>
      <c r="C72" s="256">
        <v>0</v>
      </c>
      <c r="D72" s="256">
        <v>0</v>
      </c>
      <c r="E72" s="256">
        <v>0</v>
      </c>
      <c r="F72" s="256">
        <v>0</v>
      </c>
      <c r="G72" s="256">
        <v>0</v>
      </c>
      <c r="H72" s="256">
        <v>0</v>
      </c>
      <c r="I72" s="256">
        <v>0</v>
      </c>
      <c r="J72" s="256">
        <v>0</v>
      </c>
      <c r="K72" s="256">
        <v>0</v>
      </c>
      <c r="L72" s="256">
        <v>0</v>
      </c>
      <c r="M72" s="256">
        <v>0</v>
      </c>
      <c r="N72" s="34"/>
      <c r="O72"/>
    </row>
    <row r="73" spans="1:15">
      <c r="A73" s="92" t="s">
        <v>131</v>
      </c>
      <c r="B73" s="256">
        <v>0</v>
      </c>
      <c r="C73" s="256">
        <v>0</v>
      </c>
      <c r="D73" s="256">
        <v>0</v>
      </c>
      <c r="E73" s="256">
        <v>0</v>
      </c>
      <c r="F73" s="256">
        <v>0</v>
      </c>
      <c r="G73" s="256">
        <v>0</v>
      </c>
      <c r="H73" s="341">
        <v>0</v>
      </c>
      <c r="I73" s="256">
        <v>0</v>
      </c>
      <c r="J73" s="341">
        <v>0</v>
      </c>
      <c r="K73" s="256">
        <v>0</v>
      </c>
      <c r="L73" s="256">
        <v>0</v>
      </c>
      <c r="M73" s="256">
        <v>0</v>
      </c>
      <c r="N73" s="31" t="s">
        <v>989</v>
      </c>
      <c r="O73" t="s">
        <v>990</v>
      </c>
    </row>
    <row r="74" spans="1:15">
      <c r="A74" s="92" t="s">
        <v>991</v>
      </c>
      <c r="B74" s="256">
        <v>-985</v>
      </c>
      <c r="C74" s="256">
        <v>-3702</v>
      </c>
      <c r="D74" s="256">
        <v>-1762</v>
      </c>
      <c r="E74" s="256">
        <v>0</v>
      </c>
      <c r="F74" s="256">
        <v>0</v>
      </c>
      <c r="G74" s="256">
        <v>0</v>
      </c>
      <c r="H74" s="341">
        <v>0</v>
      </c>
      <c r="I74" s="256">
        <v>0</v>
      </c>
      <c r="J74" s="341">
        <v>0</v>
      </c>
      <c r="K74" s="256">
        <v>0</v>
      </c>
      <c r="L74" s="256">
        <v>0</v>
      </c>
      <c r="M74" s="256">
        <v>0</v>
      </c>
      <c r="N74" s="31" t="s">
        <v>989</v>
      </c>
      <c r="O74" t="str">
        <f>+A74</f>
        <v>Share buyback</v>
      </c>
    </row>
    <row r="75" spans="1:15">
      <c r="A75" s="92" t="s">
        <v>984</v>
      </c>
      <c r="B75" s="256">
        <f t="shared" ref="B75" si="36">B68-B69-B70-B71-B72-B73-B74</f>
        <v>-161</v>
      </c>
      <c r="C75" s="256">
        <f t="shared" ref="C75:M75" si="37">C68-C69-C70-C71-C72-C73-C74</f>
        <v>-241</v>
      </c>
      <c r="D75" s="256">
        <f t="shared" si="37"/>
        <v>-133</v>
      </c>
      <c r="E75" s="256">
        <f t="shared" si="37"/>
        <v>6</v>
      </c>
      <c r="F75" s="256">
        <f t="shared" si="37"/>
        <v>516</v>
      </c>
      <c r="G75" s="256">
        <f t="shared" si="37"/>
        <v>69</v>
      </c>
      <c r="H75" s="256">
        <f t="shared" si="37"/>
        <v>77</v>
      </c>
      <c r="I75" s="256">
        <f t="shared" si="37"/>
        <v>453</v>
      </c>
      <c r="J75" s="256">
        <f t="shared" si="37"/>
        <v>3</v>
      </c>
      <c r="K75" s="256">
        <f t="shared" si="37"/>
        <v>1161</v>
      </c>
      <c r="L75" s="256">
        <f t="shared" si="37"/>
        <v>13</v>
      </c>
      <c r="M75" s="256">
        <f t="shared" si="37"/>
        <v>526</v>
      </c>
      <c r="N75" s="34"/>
      <c r="O75"/>
    </row>
    <row r="76" spans="1:15">
      <c r="A76" s="7" t="s">
        <v>134</v>
      </c>
      <c r="B76" s="255"/>
      <c r="C76" s="255"/>
      <c r="D76" s="255"/>
      <c r="E76" s="255"/>
      <c r="F76" s="255"/>
      <c r="G76" s="255"/>
      <c r="H76" s="255"/>
      <c r="I76" s="255"/>
      <c r="J76" s="255"/>
      <c r="K76" s="255"/>
      <c r="L76" s="255"/>
      <c r="M76" s="255"/>
      <c r="N76" s="34"/>
      <c r="O76"/>
    </row>
    <row r="77" spans="1:15">
      <c r="A77" s="7" t="s">
        <v>992</v>
      </c>
      <c r="B77" s="255">
        <f>B59+B64+B68+B76</f>
        <v>-902</v>
      </c>
      <c r="C77" s="255">
        <f t="shared" ref="C77:M77" si="38">C59+C64+C68+C76</f>
        <v>2300</v>
      </c>
      <c r="D77" s="255">
        <f t="shared" si="38"/>
        <v>940</v>
      </c>
      <c r="E77" s="255">
        <f t="shared" si="38"/>
        <v>125</v>
      </c>
      <c r="F77" s="255">
        <f t="shared" si="38"/>
        <v>387</v>
      </c>
      <c r="G77" s="255">
        <f t="shared" si="38"/>
        <v>-108</v>
      </c>
      <c r="H77" s="255">
        <f t="shared" si="38"/>
        <v>-75</v>
      </c>
      <c r="I77" s="255">
        <f t="shared" si="38"/>
        <v>479</v>
      </c>
      <c r="J77" s="255">
        <f t="shared" si="38"/>
        <v>-20</v>
      </c>
      <c r="K77" s="255">
        <f t="shared" si="38"/>
        <v>-64</v>
      </c>
      <c r="L77" s="255">
        <f t="shared" si="38"/>
        <v>320</v>
      </c>
      <c r="M77" s="255">
        <f t="shared" si="38"/>
        <v>-320</v>
      </c>
      <c r="N77" s="34"/>
      <c r="O77"/>
    </row>
    <row r="78" spans="1:15">
      <c r="M78" s="21"/>
      <c r="N78"/>
      <c r="O78" t="s">
        <v>993</v>
      </c>
    </row>
    <row r="79" spans="1:15">
      <c r="A79" s="47" t="s">
        <v>994</v>
      </c>
      <c r="B79" s="47"/>
      <c r="C79" s="47"/>
      <c r="D79" s="47"/>
      <c r="E79" s="1970" t="s">
        <v>995</v>
      </c>
      <c r="F79" s="1970"/>
      <c r="G79" s="1970"/>
      <c r="H79" s="1970" t="s">
        <v>996</v>
      </c>
      <c r="I79" s="1970"/>
      <c r="J79" s="47" t="s">
        <v>997</v>
      </c>
      <c r="K79" s="47" t="s">
        <v>998</v>
      </c>
      <c r="L79" s="47" t="s">
        <v>999</v>
      </c>
      <c r="M79" s="32"/>
      <c r="N79"/>
      <c r="O79"/>
    </row>
    <row r="80" spans="1:15">
      <c r="A80" s="23" t="s">
        <v>1000</v>
      </c>
      <c r="B80" s="24">
        <v>26000</v>
      </c>
      <c r="C80" s="37" t="s">
        <v>1001</v>
      </c>
      <c r="D80" s="21"/>
      <c r="E80" s="1965" t="s">
        <v>1002</v>
      </c>
      <c r="F80" s="1966"/>
      <c r="G80" s="1966"/>
      <c r="H80" s="1966"/>
      <c r="I80" s="1966"/>
      <c r="J80" s="1966"/>
      <c r="K80" s="1966"/>
      <c r="L80" s="1966"/>
      <c r="M80" s="21"/>
      <c r="N80" s="37" t="s">
        <v>1003</v>
      </c>
      <c r="O80"/>
    </row>
    <row r="81" spans="1:30">
      <c r="A81" s="23" t="s">
        <v>1004</v>
      </c>
      <c r="B81" s="24">
        <v>1615787</v>
      </c>
      <c r="C81" s="37" t="s">
        <v>1005</v>
      </c>
      <c r="D81" s="21"/>
      <c r="E81" s="1966"/>
      <c r="F81" s="1966"/>
      <c r="G81" s="1966"/>
      <c r="H81" s="1966"/>
      <c r="I81" s="1966"/>
      <c r="J81" s="1966"/>
      <c r="K81" s="1966"/>
      <c r="L81" s="1966"/>
      <c r="M81" s="21"/>
      <c r="N81" s="37" t="s">
        <v>1003</v>
      </c>
      <c r="O81"/>
      <c r="P81"/>
    </row>
    <row r="82" spans="1:30">
      <c r="A82" s="23" t="s">
        <v>43</v>
      </c>
      <c r="B82" s="619">
        <v>0.99460000000000004</v>
      </c>
      <c r="C82" s="37" t="s">
        <v>1005</v>
      </c>
      <c r="D82" s="60"/>
      <c r="E82" s="1966"/>
      <c r="F82" s="1966"/>
      <c r="G82" s="1966"/>
      <c r="H82" s="1966"/>
      <c r="I82" s="1966"/>
      <c r="J82" s="1966"/>
      <c r="K82" s="1966"/>
      <c r="L82" s="1966"/>
      <c r="M82" s="62"/>
      <c r="N82" s="37" t="s">
        <v>1003</v>
      </c>
      <c r="O82"/>
      <c r="P82"/>
    </row>
    <row r="83" spans="1:30">
      <c r="A83" s="23" t="s">
        <v>47</v>
      </c>
      <c r="B83" s="620">
        <v>4.7999999999999996E-3</v>
      </c>
      <c r="C83" s="37" t="s">
        <v>1005</v>
      </c>
      <c r="D83" s="61"/>
      <c r="E83" s="1966"/>
      <c r="F83" s="1966"/>
      <c r="G83" s="1966"/>
      <c r="H83" s="1966"/>
      <c r="I83" s="1966"/>
      <c r="J83" s="1966"/>
      <c r="K83" s="1966"/>
      <c r="L83" s="1966"/>
      <c r="M83" s="62"/>
      <c r="N83" s="37" t="s">
        <v>1003</v>
      </c>
      <c r="O83"/>
      <c r="P83"/>
    </row>
    <row r="84" spans="1:30">
      <c r="A84" s="23" t="s">
        <v>1006</v>
      </c>
      <c r="B84" s="24" t="s">
        <v>1007</v>
      </c>
      <c r="C84" s="37" t="s">
        <v>1001</v>
      </c>
      <c r="D84" s="21"/>
      <c r="E84" s="1966"/>
      <c r="F84" s="1966"/>
      <c r="G84" s="1966"/>
      <c r="H84" s="1966"/>
      <c r="I84" s="1966"/>
      <c r="J84" s="1966"/>
      <c r="K84" s="1966"/>
      <c r="L84" s="1966"/>
      <c r="M84" s="21"/>
      <c r="N84" s="37" t="s">
        <v>1003</v>
      </c>
      <c r="O84"/>
      <c r="P84"/>
    </row>
    <row r="85" spans="1:30">
      <c r="A85" s="23" t="s">
        <v>1008</v>
      </c>
      <c r="B85" s="621">
        <v>0</v>
      </c>
      <c r="C85" s="37" t="s">
        <v>1005</v>
      </c>
      <c r="D85" s="21"/>
      <c r="E85" s="1966"/>
      <c r="F85" s="1966"/>
      <c r="G85" s="1966"/>
      <c r="H85" s="1966"/>
      <c r="I85" s="1966"/>
      <c r="J85" s="1966"/>
      <c r="K85" s="1966"/>
      <c r="L85" s="1966"/>
      <c r="M85" s="21"/>
      <c r="N85" s="37" t="s">
        <v>1003</v>
      </c>
      <c r="O85"/>
    </row>
    <row r="86" spans="1:30">
      <c r="A86" s="23" t="s">
        <v>1009</v>
      </c>
      <c r="B86" s="24">
        <v>74.760000000000005</v>
      </c>
      <c r="C86" s="37" t="s">
        <v>1010</v>
      </c>
      <c r="D86" s="21"/>
      <c r="E86" s="1966"/>
      <c r="F86" s="1966"/>
      <c r="G86" s="1966"/>
      <c r="H86" s="1966"/>
      <c r="I86" s="1966"/>
      <c r="J86" s="1966"/>
      <c r="K86" s="1966"/>
      <c r="L86" s="1966"/>
      <c r="M86" s="21"/>
      <c r="N86" s="37" t="s">
        <v>1003</v>
      </c>
    </row>
    <row r="87" spans="1:30">
      <c r="B87" s="47">
        <f>B5</f>
        <v>2023</v>
      </c>
      <c r="C87" s="47">
        <f t="shared" ref="C87:D87" si="39">C5</f>
        <v>2022</v>
      </c>
      <c r="D87" s="47">
        <f t="shared" si="39"/>
        <v>2021</v>
      </c>
      <c r="E87" s="38"/>
      <c r="G87" s="38"/>
      <c r="H87" s="38"/>
      <c r="I87" s="38"/>
      <c r="J87" s="38"/>
      <c r="K87" s="38"/>
      <c r="L87" s="38"/>
      <c r="M87" s="38"/>
      <c r="N87"/>
    </row>
    <row r="88" spans="1:30">
      <c r="A88" s="23" t="s">
        <v>1011</v>
      </c>
      <c r="B88" s="683">
        <v>2.0400000000000001E-2</v>
      </c>
      <c r="E88" s="37" t="s">
        <v>1010</v>
      </c>
      <c r="K88" s="20"/>
      <c r="L88" s="20"/>
      <c r="O88"/>
      <c r="P88"/>
    </row>
    <row r="89" spans="1:30">
      <c r="A89" s="23" t="s">
        <v>68</v>
      </c>
      <c r="B89" s="59"/>
      <c r="C89" s="59"/>
      <c r="D89" s="59"/>
      <c r="E89" s="37" t="s">
        <v>1010</v>
      </c>
      <c r="K89" s="20"/>
      <c r="L89" s="20"/>
      <c r="O89" s="47"/>
    </row>
    <row r="90" spans="1:30">
      <c r="M90"/>
      <c r="N90" s="91"/>
      <c r="O90" s="47"/>
    </row>
    <row r="91" spans="1:30">
      <c r="J91" s="21"/>
      <c r="L91"/>
      <c r="M91"/>
      <c r="N91"/>
    </row>
    <row r="92" spans="1:30">
      <c r="A92" s="20" t="s">
        <v>784</v>
      </c>
      <c r="J92" s="21"/>
      <c r="L92"/>
      <c r="M92"/>
      <c r="N92"/>
    </row>
    <row r="93" spans="1:30">
      <c r="A93" s="20" t="s">
        <v>1012</v>
      </c>
      <c r="J93" s="21"/>
      <c r="L93"/>
      <c r="M93"/>
      <c r="N93"/>
    </row>
    <row r="94" spans="1:30" ht="14.4">
      <c r="Z94" s="687">
        <v>2006</v>
      </c>
      <c r="AA94" s="685">
        <v>2005</v>
      </c>
      <c r="AB94" s="686">
        <v>2005</v>
      </c>
      <c r="AC94" s="687">
        <v>2004</v>
      </c>
      <c r="AD94" s="685">
        <v>2004</v>
      </c>
    </row>
    <row r="95" spans="1:30" ht="14.25" customHeight="1">
      <c r="Z95" s="690">
        <v>5649</v>
      </c>
      <c r="AA95" s="688">
        <v>5848</v>
      </c>
      <c r="AB95" s="689">
        <v>5848</v>
      </c>
      <c r="AC95" s="690">
        <v>5001</v>
      </c>
      <c r="AD95" s="688">
        <v>5001</v>
      </c>
    </row>
    <row r="96" spans="1:30" ht="14.4">
      <c r="Z96" s="695" t="s">
        <v>661</v>
      </c>
      <c r="AA96" s="696" t="s">
        <v>661</v>
      </c>
      <c r="AB96" s="693" t="s">
        <v>661</v>
      </c>
      <c r="AC96" s="695" t="s">
        <v>661</v>
      </c>
      <c r="AD96" s="696" t="s">
        <v>661</v>
      </c>
    </row>
    <row r="97" spans="1:30" ht="14.4">
      <c r="Z97" s="702">
        <v>2856</v>
      </c>
      <c r="AA97" s="698">
        <v>3456</v>
      </c>
      <c r="AB97" s="700">
        <v>3456</v>
      </c>
      <c r="AC97" s="702">
        <v>3033</v>
      </c>
      <c r="AD97" s="698">
        <v>3033</v>
      </c>
    </row>
    <row r="98" spans="1:30" ht="14.4">
      <c r="Z98" s="705">
        <v>2793</v>
      </c>
      <c r="AA98" s="703">
        <v>2392</v>
      </c>
      <c r="AB98" s="704">
        <v>2392</v>
      </c>
      <c r="AC98" s="705">
        <v>1968</v>
      </c>
      <c r="AD98" s="703">
        <v>1968</v>
      </c>
    </row>
    <row r="99" spans="1:30" ht="14.4">
      <c r="Z99" s="702">
        <v>1140</v>
      </c>
      <c r="AA99" s="698">
        <v>1016</v>
      </c>
      <c r="AB99" s="700">
        <v>1016</v>
      </c>
      <c r="AC99" s="701">
        <v>812</v>
      </c>
      <c r="AD99" s="697">
        <v>807</v>
      </c>
    </row>
    <row r="100" spans="1:30" ht="14.4">
      <c r="Z100" s="702">
        <v>1140</v>
      </c>
      <c r="AA100" s="698">
        <v>1016</v>
      </c>
      <c r="AB100" s="700">
        <v>1016</v>
      </c>
      <c r="AC100" s="701">
        <v>812</v>
      </c>
      <c r="AD100" s="697">
        <v>807</v>
      </c>
    </row>
    <row r="101" spans="1:30" ht="14.4">
      <c r="Z101" s="708" t="s">
        <v>661</v>
      </c>
      <c r="AA101" s="706" t="s">
        <v>661</v>
      </c>
      <c r="AB101" s="707" t="s">
        <v>661</v>
      </c>
      <c r="AC101" s="708" t="s">
        <v>661</v>
      </c>
      <c r="AD101" s="706" t="s">
        <v>661</v>
      </c>
    </row>
    <row r="102" spans="1:30" ht="14.4">
      <c r="Z102" s="708" t="s">
        <v>661</v>
      </c>
      <c r="AA102" s="706" t="s">
        <v>661</v>
      </c>
      <c r="AB102" s="707" t="s">
        <v>661</v>
      </c>
      <c r="AC102" s="708" t="s">
        <v>661</v>
      </c>
      <c r="AD102" s="706" t="s">
        <v>661</v>
      </c>
    </row>
    <row r="103" spans="1:30" ht="14.4">
      <c r="A103" s="738" t="s">
        <v>1013</v>
      </c>
      <c r="B103" s="739"/>
      <c r="C103" s="751">
        <v>2023</v>
      </c>
      <c r="D103" s="751">
        <v>2022</v>
      </c>
      <c r="E103" s="751">
        <v>2021</v>
      </c>
      <c r="F103" s="751">
        <v>2020</v>
      </c>
      <c r="G103" s="751">
        <v>2019</v>
      </c>
      <c r="H103" s="752">
        <v>2018</v>
      </c>
      <c r="I103" s="750">
        <v>2017</v>
      </c>
      <c r="J103" s="751">
        <v>2017</v>
      </c>
      <c r="K103" s="752">
        <v>2016</v>
      </c>
      <c r="L103" s="750">
        <v>2015</v>
      </c>
      <c r="M103" s="751">
        <v>2014</v>
      </c>
      <c r="N103" s="752">
        <v>2013</v>
      </c>
      <c r="O103" s="750">
        <v>2012</v>
      </c>
      <c r="P103" s="751">
        <v>2011</v>
      </c>
      <c r="Q103" s="752">
        <v>2010</v>
      </c>
      <c r="R103" s="750">
        <v>2009</v>
      </c>
      <c r="S103" s="751">
        <v>2009</v>
      </c>
      <c r="T103" s="752">
        <v>2008</v>
      </c>
      <c r="U103" s="750">
        <v>2008</v>
      </c>
      <c r="V103" s="751">
        <v>2007</v>
      </c>
      <c r="W103" s="752">
        <v>2007</v>
      </c>
      <c r="X103" s="750">
        <v>2007</v>
      </c>
      <c r="Y103" s="751">
        <v>2006</v>
      </c>
      <c r="Z103" s="702">
        <v>1205</v>
      </c>
      <c r="AA103" s="698">
        <v>1144</v>
      </c>
      <c r="AB103" s="700">
        <v>1144</v>
      </c>
      <c r="AC103" s="701">
        <v>934</v>
      </c>
      <c r="AD103" s="697">
        <v>935</v>
      </c>
    </row>
    <row r="104" spans="1:30" ht="14.4">
      <c r="A104" s="1967" t="s">
        <v>120</v>
      </c>
      <c r="B104" s="1968"/>
      <c r="C104" s="754">
        <v>22680</v>
      </c>
      <c r="D104" s="754">
        <v>23601</v>
      </c>
      <c r="E104" s="754">
        <v>16434</v>
      </c>
      <c r="F104" s="754">
        <v>9763</v>
      </c>
      <c r="G104" s="754">
        <v>6731</v>
      </c>
      <c r="H104" s="755">
        <v>6475</v>
      </c>
      <c r="I104" s="753">
        <v>5253</v>
      </c>
      <c r="J104" s="754">
        <v>5329</v>
      </c>
      <c r="K104" s="755">
        <v>4272</v>
      </c>
      <c r="L104" s="753">
        <v>3991</v>
      </c>
      <c r="M104" s="754">
        <v>5506</v>
      </c>
      <c r="N104" s="755">
        <v>5299</v>
      </c>
      <c r="O104" s="753">
        <v>5422</v>
      </c>
      <c r="P104" s="754">
        <v>6568</v>
      </c>
      <c r="Q104" s="755">
        <v>6494</v>
      </c>
      <c r="R104" s="753">
        <v>5403</v>
      </c>
      <c r="S104" s="754">
        <v>5403</v>
      </c>
      <c r="T104" s="755">
        <v>5808</v>
      </c>
      <c r="U104" s="753">
        <v>5808</v>
      </c>
      <c r="V104" s="754">
        <v>5858</v>
      </c>
      <c r="W104" s="755">
        <v>5858</v>
      </c>
      <c r="X104" s="753">
        <v>6013</v>
      </c>
      <c r="Y104" s="754">
        <v>5627</v>
      </c>
      <c r="Z104" s="701">
        <v>79</v>
      </c>
      <c r="AA104" s="697">
        <v>0</v>
      </c>
      <c r="AB104" s="699">
        <v>0</v>
      </c>
      <c r="AC104" s="701">
        <v>0</v>
      </c>
      <c r="AD104" s="706" t="s">
        <v>661</v>
      </c>
    </row>
    <row r="105" spans="1:30" ht="14.4">
      <c r="A105" s="1961" t="s">
        <v>1014</v>
      </c>
      <c r="B105" s="1962"/>
      <c r="C105" s="757">
        <v>258</v>
      </c>
      <c r="D105" s="757">
        <v>452</v>
      </c>
      <c r="E105" s="758" t="s">
        <v>661</v>
      </c>
      <c r="F105" s="757">
        <v>14</v>
      </c>
      <c r="G105" s="758" t="s">
        <v>661</v>
      </c>
      <c r="H105" s="759" t="s">
        <v>661</v>
      </c>
      <c r="I105" s="760" t="s">
        <v>661</v>
      </c>
      <c r="J105" s="758" t="s">
        <v>661</v>
      </c>
      <c r="K105" s="759" t="s">
        <v>661</v>
      </c>
      <c r="L105" s="760" t="s">
        <v>661</v>
      </c>
      <c r="M105" s="758" t="s">
        <v>661</v>
      </c>
      <c r="N105" s="759" t="s">
        <v>661</v>
      </c>
      <c r="O105" s="760" t="s">
        <v>661</v>
      </c>
      <c r="P105" s="757">
        <v>0</v>
      </c>
      <c r="Q105" s="759" t="s">
        <v>661</v>
      </c>
      <c r="R105" s="760" t="s">
        <v>661</v>
      </c>
      <c r="S105" s="758" t="s">
        <v>661</v>
      </c>
      <c r="T105" s="759" t="s">
        <v>661</v>
      </c>
      <c r="U105" s="760" t="s">
        <v>661</v>
      </c>
      <c r="V105" s="758" t="s">
        <v>661</v>
      </c>
      <c r="W105" s="759" t="s">
        <v>661</v>
      </c>
      <c r="X105" s="760" t="s">
        <v>661</v>
      </c>
      <c r="Y105" s="758" t="s">
        <v>661</v>
      </c>
      <c r="Z105" s="694">
        <v>416</v>
      </c>
      <c r="AA105" s="691">
        <v>0</v>
      </c>
      <c r="AB105" s="692">
        <v>0</v>
      </c>
      <c r="AC105" s="694">
        <v>0</v>
      </c>
      <c r="AD105" s="691">
        <v>5</v>
      </c>
    </row>
    <row r="106" spans="1:30" ht="14.4">
      <c r="A106" s="1959" t="s">
        <v>289</v>
      </c>
      <c r="B106" s="1960"/>
      <c r="C106" s="762">
        <v>12220</v>
      </c>
      <c r="D106" s="762">
        <v>12998</v>
      </c>
      <c r="E106" s="762">
        <v>8505</v>
      </c>
      <c r="F106" s="762">
        <v>5416</v>
      </c>
      <c r="G106" s="762">
        <v>3863</v>
      </c>
      <c r="H106" s="763">
        <v>4028</v>
      </c>
      <c r="I106" s="761">
        <v>3466</v>
      </c>
      <c r="J106" s="762">
        <v>3506</v>
      </c>
      <c r="K106" s="763">
        <v>3274</v>
      </c>
      <c r="L106" s="761">
        <v>2911</v>
      </c>
      <c r="M106" s="762">
        <v>3667</v>
      </c>
      <c r="N106" s="763">
        <v>3321</v>
      </c>
      <c r="O106" s="761">
        <v>4187</v>
      </c>
      <c r="P106" s="762">
        <v>3628</v>
      </c>
      <c r="Q106" s="763">
        <v>3533</v>
      </c>
      <c r="R106" s="761">
        <v>3131</v>
      </c>
      <c r="S106" s="762">
        <v>3131</v>
      </c>
      <c r="T106" s="763">
        <v>3488</v>
      </c>
      <c r="U106" s="761">
        <v>3488</v>
      </c>
      <c r="V106" s="762">
        <v>3669</v>
      </c>
      <c r="W106" s="763">
        <v>3669</v>
      </c>
      <c r="X106" s="761">
        <v>3751</v>
      </c>
      <c r="Y106" s="762">
        <v>2833</v>
      </c>
      <c r="Z106" s="711">
        <v>369</v>
      </c>
      <c r="AA106" s="709">
        <v>232</v>
      </c>
      <c r="AB106" s="710">
        <v>232</v>
      </c>
      <c r="AC106" s="711">
        <v>222</v>
      </c>
      <c r="AD106" s="709">
        <v>226</v>
      </c>
    </row>
    <row r="107" spans="1:30" ht="14.4">
      <c r="A107" s="1967" t="s">
        <v>1015</v>
      </c>
      <c r="B107" s="1968"/>
      <c r="C107" s="765">
        <v>10718</v>
      </c>
      <c r="D107" s="765">
        <v>11055</v>
      </c>
      <c r="E107" s="765">
        <v>7929</v>
      </c>
      <c r="F107" s="765">
        <v>4361</v>
      </c>
      <c r="G107" s="765">
        <v>2868</v>
      </c>
      <c r="H107" s="766">
        <v>2447</v>
      </c>
      <c r="I107" s="764">
        <v>1787</v>
      </c>
      <c r="J107" s="765">
        <v>1823</v>
      </c>
      <c r="K107" s="767">
        <v>998</v>
      </c>
      <c r="L107" s="764">
        <v>1080</v>
      </c>
      <c r="M107" s="765">
        <v>1839</v>
      </c>
      <c r="N107" s="766">
        <v>1978</v>
      </c>
      <c r="O107" s="764">
        <v>1235</v>
      </c>
      <c r="P107" s="765">
        <v>2940</v>
      </c>
      <c r="Q107" s="766">
        <v>2961</v>
      </c>
      <c r="R107" s="764">
        <v>2272</v>
      </c>
      <c r="S107" s="765">
        <v>2272</v>
      </c>
      <c r="T107" s="766">
        <v>2320</v>
      </c>
      <c r="U107" s="764">
        <v>2320</v>
      </c>
      <c r="V107" s="765">
        <v>2189</v>
      </c>
      <c r="W107" s="766">
        <v>2189</v>
      </c>
      <c r="X107" s="764">
        <v>2262</v>
      </c>
      <c r="Y107" s="765">
        <v>2794</v>
      </c>
      <c r="Z107" s="715" t="s">
        <v>661</v>
      </c>
      <c r="AA107" s="712" t="s">
        <v>661</v>
      </c>
      <c r="AB107" s="714" t="s">
        <v>661</v>
      </c>
      <c r="AC107" s="715" t="s">
        <v>661</v>
      </c>
      <c r="AD107" s="712" t="s">
        <v>661</v>
      </c>
    </row>
    <row r="108" spans="1:30" ht="14.4">
      <c r="A108" s="1959" t="s">
        <v>1016</v>
      </c>
      <c r="B108" s="1960"/>
      <c r="C108" s="762">
        <v>2352</v>
      </c>
      <c r="D108" s="762">
        <v>2336</v>
      </c>
      <c r="E108" s="762">
        <v>1448</v>
      </c>
      <c r="F108" s="768">
        <v>995</v>
      </c>
      <c r="G108" s="768">
        <v>750</v>
      </c>
      <c r="H108" s="769">
        <v>562</v>
      </c>
      <c r="I108" s="770">
        <v>516</v>
      </c>
      <c r="J108" s="768">
        <v>511</v>
      </c>
      <c r="K108" s="769">
        <v>460</v>
      </c>
      <c r="L108" s="770">
        <v>475</v>
      </c>
      <c r="M108" s="768">
        <v>607</v>
      </c>
      <c r="N108" s="769">
        <v>674</v>
      </c>
      <c r="O108" s="770">
        <v>823</v>
      </c>
      <c r="P108" s="768">
        <v>992</v>
      </c>
      <c r="Q108" s="769">
        <v>934</v>
      </c>
      <c r="R108" s="770">
        <v>994</v>
      </c>
      <c r="S108" s="768">
        <v>994</v>
      </c>
      <c r="T108" s="763">
        <v>1304</v>
      </c>
      <c r="U108" s="761">
        <v>1304</v>
      </c>
      <c r="V108" s="762">
        <v>1360</v>
      </c>
      <c r="W108" s="763">
        <v>1360</v>
      </c>
      <c r="X108" s="761">
        <v>1373</v>
      </c>
      <c r="Y108" s="762">
        <v>1138</v>
      </c>
      <c r="Z108" s="719">
        <v>-126</v>
      </c>
      <c r="AA108" s="717">
        <v>-105</v>
      </c>
      <c r="AB108" s="718">
        <v>-105</v>
      </c>
      <c r="AC108" s="719">
        <v>-112</v>
      </c>
      <c r="AD108" s="717">
        <v>-112</v>
      </c>
    </row>
    <row r="109" spans="1:30" ht="14.4">
      <c r="A109" s="1951" t="s">
        <v>1017</v>
      </c>
      <c r="B109" s="1952"/>
      <c r="C109" s="762">
        <v>1305</v>
      </c>
      <c r="D109" s="762">
        <v>1298</v>
      </c>
      <c r="E109" s="768">
        <v>742</v>
      </c>
      <c r="F109" s="768">
        <v>586</v>
      </c>
      <c r="G109" s="768">
        <v>471</v>
      </c>
      <c r="H109" s="769">
        <v>344</v>
      </c>
      <c r="I109" s="770">
        <v>322</v>
      </c>
      <c r="J109" s="768">
        <v>317</v>
      </c>
      <c r="K109" s="769">
        <v>294</v>
      </c>
      <c r="L109" s="770">
        <v>297</v>
      </c>
      <c r="M109" s="768">
        <v>379</v>
      </c>
      <c r="N109" s="769">
        <v>636</v>
      </c>
      <c r="O109" s="770">
        <v>823</v>
      </c>
      <c r="P109" s="768">
        <v>992</v>
      </c>
      <c r="Q109" s="769">
        <v>934</v>
      </c>
      <c r="R109" s="770">
        <v>994</v>
      </c>
      <c r="S109" s="768">
        <v>994</v>
      </c>
      <c r="T109" s="763">
        <v>1304</v>
      </c>
      <c r="U109" s="761">
        <v>1304</v>
      </c>
      <c r="V109" s="762">
        <v>1360</v>
      </c>
      <c r="W109" s="763">
        <v>1360</v>
      </c>
      <c r="X109" s="761">
        <v>1373</v>
      </c>
      <c r="Y109" s="762">
        <v>1138</v>
      </c>
      <c r="Z109" s="719">
        <v>-136</v>
      </c>
      <c r="AA109" s="717">
        <v>-140</v>
      </c>
      <c r="AB109" s="718">
        <v>-140</v>
      </c>
      <c r="AC109" s="719">
        <v>-121</v>
      </c>
      <c r="AD109" s="717">
        <v>-122</v>
      </c>
    </row>
    <row r="110" spans="1:30" ht="14.4">
      <c r="A110" s="1951" t="s">
        <v>1018</v>
      </c>
      <c r="B110" s="1952"/>
      <c r="C110" s="768">
        <v>352</v>
      </c>
      <c r="D110" s="768">
        <v>355</v>
      </c>
      <c r="E110" s="768">
        <v>128</v>
      </c>
      <c r="F110" s="768">
        <v>95</v>
      </c>
      <c r="G110" s="768">
        <v>62</v>
      </c>
      <c r="H110" s="769">
        <v>42</v>
      </c>
      <c r="I110" s="770">
        <v>38</v>
      </c>
      <c r="J110" s="768">
        <v>38</v>
      </c>
      <c r="K110" s="769">
        <v>35</v>
      </c>
      <c r="L110" s="770">
        <v>24</v>
      </c>
      <c r="M110" s="768">
        <v>34</v>
      </c>
      <c r="N110" s="769">
        <v>38</v>
      </c>
      <c r="O110" s="771" t="s">
        <v>661</v>
      </c>
      <c r="P110" s="772" t="s">
        <v>661</v>
      </c>
      <c r="Q110" s="773" t="s">
        <v>661</v>
      </c>
      <c r="R110" s="771" t="s">
        <v>661</v>
      </c>
      <c r="S110" s="772" t="s">
        <v>661</v>
      </c>
      <c r="T110" s="773" t="s">
        <v>661</v>
      </c>
      <c r="U110" s="771" t="s">
        <v>661</v>
      </c>
      <c r="V110" s="772" t="s">
        <v>661</v>
      </c>
      <c r="W110" s="773" t="s">
        <v>661</v>
      </c>
      <c r="X110" s="771" t="s">
        <v>661</v>
      </c>
      <c r="Y110" s="772" t="s">
        <v>661</v>
      </c>
      <c r="Z110" s="701">
        <v>10</v>
      </c>
      <c r="AA110" s="697">
        <v>35</v>
      </c>
      <c r="AB110" s="699">
        <v>35</v>
      </c>
      <c r="AC110" s="701">
        <v>9</v>
      </c>
      <c r="AD110" s="697">
        <v>9</v>
      </c>
    </row>
    <row r="111" spans="1:30" ht="14.4">
      <c r="A111" s="1951" t="s">
        <v>1019</v>
      </c>
      <c r="B111" s="1952"/>
      <c r="C111" s="768">
        <v>695</v>
      </c>
      <c r="D111" s="768">
        <v>683</v>
      </c>
      <c r="E111" s="768">
        <v>578</v>
      </c>
      <c r="F111" s="768">
        <v>314</v>
      </c>
      <c r="G111" s="768">
        <v>217</v>
      </c>
      <c r="H111" s="769">
        <v>176</v>
      </c>
      <c r="I111" s="770">
        <v>156</v>
      </c>
      <c r="J111" s="768">
        <v>156</v>
      </c>
      <c r="K111" s="769">
        <v>131</v>
      </c>
      <c r="L111" s="770">
        <v>154</v>
      </c>
      <c r="M111" s="768">
        <v>194</v>
      </c>
      <c r="N111" s="773" t="s">
        <v>661</v>
      </c>
      <c r="O111" s="771" t="s">
        <v>661</v>
      </c>
      <c r="P111" s="772" t="s">
        <v>661</v>
      </c>
      <c r="Q111" s="773" t="s">
        <v>661</v>
      </c>
      <c r="R111" s="771" t="s">
        <v>661</v>
      </c>
      <c r="S111" s="772" t="s">
        <v>661</v>
      </c>
      <c r="T111" s="773" t="s">
        <v>661</v>
      </c>
      <c r="U111" s="771" t="s">
        <v>661</v>
      </c>
      <c r="V111" s="772" t="s">
        <v>661</v>
      </c>
      <c r="W111" s="773" t="s">
        <v>661</v>
      </c>
      <c r="X111" s="771" t="s">
        <v>661</v>
      </c>
      <c r="Y111" s="772" t="s">
        <v>661</v>
      </c>
      <c r="Z111" s="701">
        <v>71</v>
      </c>
      <c r="AA111" s="717">
        <v>-70</v>
      </c>
      <c r="AB111" s="718">
        <v>-107</v>
      </c>
      <c r="AC111" s="701">
        <v>18</v>
      </c>
      <c r="AD111" s="697">
        <v>20</v>
      </c>
    </row>
    <row r="112" spans="1:30" ht="14.4">
      <c r="A112" s="1959" t="s">
        <v>1020</v>
      </c>
      <c r="B112" s="1960"/>
      <c r="C112" s="762">
        <v>5872</v>
      </c>
      <c r="D112" s="762">
        <v>5005</v>
      </c>
      <c r="E112" s="762">
        <v>2845</v>
      </c>
      <c r="F112" s="762">
        <v>1983</v>
      </c>
      <c r="G112" s="762">
        <v>1547</v>
      </c>
      <c r="H112" s="763">
        <v>1434</v>
      </c>
      <c r="I112" s="761">
        <v>1196</v>
      </c>
      <c r="J112" s="762">
        <v>1160</v>
      </c>
      <c r="K112" s="763">
        <v>1008</v>
      </c>
      <c r="L112" s="770">
        <v>937</v>
      </c>
      <c r="M112" s="762">
        <v>1075</v>
      </c>
      <c r="N112" s="763">
        <v>1199</v>
      </c>
      <c r="O112" s="761">
        <v>1354</v>
      </c>
      <c r="P112" s="762">
        <v>1453</v>
      </c>
      <c r="Q112" s="763">
        <v>1405</v>
      </c>
      <c r="R112" s="761">
        <v>1721</v>
      </c>
      <c r="S112" s="762">
        <v>1721</v>
      </c>
      <c r="T112" s="763">
        <v>1848</v>
      </c>
      <c r="U112" s="761">
        <v>1848</v>
      </c>
      <c r="V112" s="762">
        <v>1771</v>
      </c>
      <c r="W112" s="763">
        <v>1771</v>
      </c>
      <c r="X112" s="761">
        <v>1847</v>
      </c>
      <c r="Y112" s="762">
        <v>1190</v>
      </c>
      <c r="Z112" s="701">
        <v>116</v>
      </c>
      <c r="AA112" s="697">
        <v>37</v>
      </c>
      <c r="AB112" s="707" t="s">
        <v>661</v>
      </c>
      <c r="AC112" s="701">
        <v>18</v>
      </c>
      <c r="AD112" s="697">
        <v>18</v>
      </c>
    </row>
    <row r="113" spans="1:30" ht="14.4">
      <c r="A113" s="1959" t="s">
        <v>1021</v>
      </c>
      <c r="B113" s="1960"/>
      <c r="C113" s="762">
        <v>1869</v>
      </c>
      <c r="D113" s="762">
        <v>2100</v>
      </c>
      <c r="E113" s="772" t="s">
        <v>661</v>
      </c>
      <c r="F113" s="772" t="s">
        <v>661</v>
      </c>
      <c r="G113" s="772" t="s">
        <v>661</v>
      </c>
      <c r="H113" s="773" t="s">
        <v>661</v>
      </c>
      <c r="I113" s="771" t="s">
        <v>661</v>
      </c>
      <c r="J113" s="768">
        <v>0</v>
      </c>
      <c r="K113" s="769">
        <v>0</v>
      </c>
      <c r="L113" s="770">
        <v>3</v>
      </c>
      <c r="M113" s="768">
        <v>14</v>
      </c>
      <c r="N113" s="769">
        <v>18</v>
      </c>
      <c r="O113" s="770">
        <v>14</v>
      </c>
      <c r="P113" s="768">
        <v>29</v>
      </c>
      <c r="Q113" s="769">
        <v>61</v>
      </c>
      <c r="R113" s="770">
        <v>70</v>
      </c>
      <c r="S113" s="768">
        <v>70</v>
      </c>
      <c r="T113" s="769">
        <v>137</v>
      </c>
      <c r="U113" s="770">
        <v>137</v>
      </c>
      <c r="V113" s="768">
        <v>236</v>
      </c>
      <c r="W113" s="769">
        <v>236</v>
      </c>
      <c r="X113" s="770">
        <v>299</v>
      </c>
      <c r="Y113" s="768">
        <v>67</v>
      </c>
      <c r="Z113" s="719">
        <v>-45</v>
      </c>
      <c r="AA113" s="717">
        <v>-107</v>
      </c>
      <c r="AB113" s="718">
        <v>-107</v>
      </c>
      <c r="AC113" s="701">
        <v>0</v>
      </c>
      <c r="AD113" s="697">
        <v>2</v>
      </c>
    </row>
    <row r="114" spans="1:30" ht="14.4">
      <c r="A114" s="1961" t="s">
        <v>1022</v>
      </c>
      <c r="B114" s="1962"/>
      <c r="C114" s="775">
        <v>-34</v>
      </c>
      <c r="D114" s="775">
        <v>-102</v>
      </c>
      <c r="E114" s="775">
        <v>-5</v>
      </c>
      <c r="F114" s="757">
        <v>54</v>
      </c>
      <c r="G114" s="757">
        <v>116</v>
      </c>
      <c r="H114" s="776">
        <v>12</v>
      </c>
      <c r="I114" s="774">
        <v>-40</v>
      </c>
      <c r="J114" s="775">
        <v>-40</v>
      </c>
      <c r="K114" s="777">
        <v>-30</v>
      </c>
      <c r="L114" s="756">
        <v>129</v>
      </c>
      <c r="M114" s="757">
        <v>365</v>
      </c>
      <c r="N114" s="777">
        <v>-17</v>
      </c>
      <c r="O114" s="756">
        <v>104</v>
      </c>
      <c r="P114" s="757">
        <v>313</v>
      </c>
      <c r="Q114" s="777">
        <v>-263</v>
      </c>
      <c r="R114" s="778">
        <v>-1343</v>
      </c>
      <c r="S114" s="779">
        <v>-1351</v>
      </c>
      <c r="T114" s="780">
        <v>1006</v>
      </c>
      <c r="U114" s="756">
        <v>986</v>
      </c>
      <c r="V114" s="781">
        <v>1265</v>
      </c>
      <c r="W114" s="780">
        <v>1132</v>
      </c>
      <c r="X114" s="782">
        <v>1608</v>
      </c>
      <c r="Y114" s="757">
        <v>416</v>
      </c>
      <c r="Z114" s="720">
        <v>-55</v>
      </c>
      <c r="AA114" s="721">
        <v>-175</v>
      </c>
      <c r="AB114" s="716">
        <v>-212</v>
      </c>
      <c r="AC114" s="720">
        <v>-94</v>
      </c>
      <c r="AD114" s="721">
        <v>-93</v>
      </c>
    </row>
    <row r="115" spans="1:30" ht="14.4">
      <c r="A115" s="1963" t="s">
        <v>1023</v>
      </c>
      <c r="B115" s="1964"/>
      <c r="C115" s="785">
        <v>625</v>
      </c>
      <c r="D115" s="784">
        <v>1614</v>
      </c>
      <c r="E115" s="784">
        <v>3636</v>
      </c>
      <c r="F115" s="784">
        <v>1383</v>
      </c>
      <c r="G115" s="785">
        <v>571</v>
      </c>
      <c r="H115" s="786">
        <v>451</v>
      </c>
      <c r="I115" s="783">
        <v>75</v>
      </c>
      <c r="J115" s="785">
        <v>152</v>
      </c>
      <c r="K115" s="787">
        <v>-470</v>
      </c>
      <c r="L115" s="788">
        <v>-335</v>
      </c>
      <c r="M115" s="785">
        <v>143</v>
      </c>
      <c r="N115" s="786">
        <v>87</v>
      </c>
      <c r="O115" s="788">
        <v>-956</v>
      </c>
      <c r="P115" s="785">
        <v>466</v>
      </c>
      <c r="Q115" s="786">
        <v>561</v>
      </c>
      <c r="R115" s="788">
        <v>-513</v>
      </c>
      <c r="S115" s="789">
        <v>-513</v>
      </c>
      <c r="T115" s="787">
        <v>-969</v>
      </c>
      <c r="U115" s="788">
        <v>-969</v>
      </c>
      <c r="V115" s="790">
        <v>-1178</v>
      </c>
      <c r="W115" s="791">
        <v>-1178</v>
      </c>
      <c r="X115" s="792">
        <v>-1257</v>
      </c>
      <c r="Y115" s="785">
        <v>399</v>
      </c>
      <c r="Z115" s="725">
        <v>0</v>
      </c>
      <c r="AA115" s="722">
        <v>0</v>
      </c>
      <c r="AB115" s="724" t="s">
        <v>661</v>
      </c>
      <c r="AC115" s="726" t="s">
        <v>661</v>
      </c>
      <c r="AD115" s="727">
        <v>-46</v>
      </c>
    </row>
    <row r="116" spans="1:30" ht="14.25" customHeight="1">
      <c r="A116" s="1953" t="s">
        <v>1024</v>
      </c>
      <c r="B116" s="1954"/>
      <c r="C116" s="794" t="s">
        <v>661</v>
      </c>
      <c r="D116" s="794" t="s">
        <v>661</v>
      </c>
      <c r="E116" s="794" t="s">
        <v>661</v>
      </c>
      <c r="F116" s="794" t="s">
        <v>661</v>
      </c>
      <c r="G116" s="794" t="s">
        <v>661</v>
      </c>
      <c r="H116" s="795" t="s">
        <v>661</v>
      </c>
      <c r="I116" s="793" t="s">
        <v>661</v>
      </c>
      <c r="J116" s="794" t="s">
        <v>661</v>
      </c>
      <c r="K116" s="795" t="s">
        <v>661</v>
      </c>
      <c r="L116" s="796">
        <v>17</v>
      </c>
      <c r="M116" s="797">
        <v>-6</v>
      </c>
      <c r="N116" s="798">
        <v>2</v>
      </c>
      <c r="O116" s="793" t="s">
        <v>661</v>
      </c>
      <c r="P116" s="794" t="s">
        <v>661</v>
      </c>
      <c r="Q116" s="795" t="s">
        <v>661</v>
      </c>
      <c r="R116" s="793" t="s">
        <v>661</v>
      </c>
      <c r="S116" s="794" t="s">
        <v>661</v>
      </c>
      <c r="T116" s="795" t="s">
        <v>661</v>
      </c>
      <c r="U116" s="793" t="s">
        <v>661</v>
      </c>
      <c r="V116" s="794" t="s">
        <v>661</v>
      </c>
      <c r="W116" s="795" t="s">
        <v>661</v>
      </c>
      <c r="X116" s="793" t="s">
        <v>661</v>
      </c>
      <c r="Y116" s="794" t="s">
        <v>661</v>
      </c>
      <c r="Z116" s="720">
        <v>-13</v>
      </c>
      <c r="AA116" s="721">
        <v>-24</v>
      </c>
      <c r="AB116" s="713">
        <v>14</v>
      </c>
      <c r="AC116" s="720">
        <v>-49</v>
      </c>
      <c r="AD116" s="721">
        <v>-5</v>
      </c>
    </row>
    <row r="117" spans="1:30" ht="14.4">
      <c r="A117" s="1951" t="s">
        <v>1025</v>
      </c>
      <c r="B117" s="1952"/>
      <c r="C117" s="800">
        <v>-106</v>
      </c>
      <c r="D117" s="800">
        <v>-88</v>
      </c>
      <c r="E117" s="800">
        <v>-34</v>
      </c>
      <c r="F117" s="800">
        <v>-47</v>
      </c>
      <c r="G117" s="800">
        <v>-94</v>
      </c>
      <c r="H117" s="801">
        <v>-121</v>
      </c>
      <c r="I117" s="799">
        <v>-126</v>
      </c>
      <c r="J117" s="800">
        <v>-126</v>
      </c>
      <c r="K117" s="801">
        <v>-156</v>
      </c>
      <c r="L117" s="799">
        <v>-160</v>
      </c>
      <c r="M117" s="800">
        <v>-177</v>
      </c>
      <c r="N117" s="801">
        <v>-177</v>
      </c>
      <c r="O117" s="799">
        <v>-175</v>
      </c>
      <c r="P117" s="800">
        <v>-180</v>
      </c>
      <c r="Q117" s="801">
        <v>-199</v>
      </c>
      <c r="R117" s="799">
        <v>-438</v>
      </c>
      <c r="S117" s="800">
        <v>-438</v>
      </c>
      <c r="T117" s="801">
        <v>-391</v>
      </c>
      <c r="U117" s="799">
        <v>-366</v>
      </c>
      <c r="V117" s="800">
        <v>-382</v>
      </c>
      <c r="W117" s="801">
        <v>-367</v>
      </c>
      <c r="X117" s="799">
        <v>-367</v>
      </c>
      <c r="Y117" s="800">
        <v>-126</v>
      </c>
      <c r="Z117" s="719">
        <v>-13</v>
      </c>
      <c r="AA117" s="717">
        <v>-24</v>
      </c>
      <c r="AB117" s="699">
        <v>14</v>
      </c>
      <c r="AC117" s="719">
        <v>-49</v>
      </c>
      <c r="AD117" s="717">
        <v>-5</v>
      </c>
    </row>
    <row r="118" spans="1:30" ht="14.4">
      <c r="A118" s="1951" t="s">
        <v>1026</v>
      </c>
      <c r="B118" s="1952"/>
      <c r="C118" s="800">
        <v>-106</v>
      </c>
      <c r="D118" s="800">
        <v>-88</v>
      </c>
      <c r="E118" s="800">
        <v>-34</v>
      </c>
      <c r="F118" s="800">
        <v>-47</v>
      </c>
      <c r="G118" s="800">
        <v>-94</v>
      </c>
      <c r="H118" s="801">
        <v>-121</v>
      </c>
      <c r="I118" s="799">
        <v>-126</v>
      </c>
      <c r="J118" s="800">
        <v>-126</v>
      </c>
      <c r="K118" s="801">
        <v>-156</v>
      </c>
      <c r="L118" s="799">
        <v>-160</v>
      </c>
      <c r="M118" s="800">
        <v>-177</v>
      </c>
      <c r="N118" s="801">
        <v>-177</v>
      </c>
      <c r="O118" s="799">
        <v>-175</v>
      </c>
      <c r="P118" s="800">
        <v>-180</v>
      </c>
      <c r="Q118" s="801">
        <v>-199</v>
      </c>
      <c r="R118" s="799">
        <v>-438</v>
      </c>
      <c r="S118" s="800">
        <v>-439</v>
      </c>
      <c r="T118" s="801">
        <v>-400</v>
      </c>
      <c r="U118" s="799">
        <v>-375</v>
      </c>
      <c r="V118" s="800">
        <v>-405</v>
      </c>
      <c r="W118" s="801">
        <v>-390</v>
      </c>
      <c r="X118" s="799">
        <v>-390</v>
      </c>
      <c r="Y118" s="800">
        <v>-136</v>
      </c>
      <c r="Z118" s="729">
        <v>-68</v>
      </c>
      <c r="AA118" s="730">
        <v>-199</v>
      </c>
      <c r="AB118" s="728">
        <v>-198</v>
      </c>
      <c r="AC118" s="729">
        <v>-143</v>
      </c>
      <c r="AD118" s="730">
        <v>-98</v>
      </c>
    </row>
    <row r="119" spans="1:30" ht="14.4">
      <c r="A119" s="740" t="s">
        <v>1027</v>
      </c>
      <c r="B119" s="741"/>
      <c r="C119" s="772" t="s">
        <v>661</v>
      </c>
      <c r="D119" s="772" t="s">
        <v>661</v>
      </c>
      <c r="E119" s="772" t="s">
        <v>661</v>
      </c>
      <c r="F119" s="772" t="s">
        <v>661</v>
      </c>
      <c r="G119" s="772" t="s">
        <v>661</v>
      </c>
      <c r="H119" s="773" t="s">
        <v>661</v>
      </c>
      <c r="I119" s="771" t="s">
        <v>661</v>
      </c>
      <c r="J119" s="772" t="s">
        <v>661</v>
      </c>
      <c r="K119" s="773" t="s">
        <v>661</v>
      </c>
      <c r="L119" s="771" t="s">
        <v>661</v>
      </c>
      <c r="M119" s="772" t="s">
        <v>661</v>
      </c>
      <c r="N119" s="773" t="s">
        <v>661</v>
      </c>
      <c r="O119" s="771" t="s">
        <v>661</v>
      </c>
      <c r="P119" s="772" t="s">
        <v>661</v>
      </c>
      <c r="Q119" s="769">
        <v>0</v>
      </c>
      <c r="R119" s="770">
        <v>0</v>
      </c>
      <c r="S119" s="768">
        <v>1</v>
      </c>
      <c r="T119" s="769">
        <v>9</v>
      </c>
      <c r="U119" s="770">
        <v>9</v>
      </c>
      <c r="V119" s="768">
        <v>23</v>
      </c>
      <c r="W119" s="769">
        <v>23</v>
      </c>
      <c r="X119" s="770">
        <v>23</v>
      </c>
      <c r="Y119" s="768">
        <v>10</v>
      </c>
      <c r="Z119" s="711">
        <v>301</v>
      </c>
      <c r="AA119" s="709">
        <v>49</v>
      </c>
      <c r="AB119" s="710">
        <v>34</v>
      </c>
      <c r="AC119" s="711">
        <v>79</v>
      </c>
      <c r="AD119" s="709">
        <v>130</v>
      </c>
    </row>
    <row r="120" spans="1:30" ht="14.25" customHeight="1">
      <c r="A120" s="740" t="s">
        <v>1028</v>
      </c>
      <c r="B120" s="741"/>
      <c r="C120" s="768">
        <v>205</v>
      </c>
      <c r="D120" s="768">
        <v>3</v>
      </c>
      <c r="E120" s="768">
        <v>64</v>
      </c>
      <c r="F120" s="768">
        <v>8</v>
      </c>
      <c r="G120" s="768">
        <v>14</v>
      </c>
      <c r="H120" s="769">
        <v>15</v>
      </c>
      <c r="I120" s="770">
        <v>3</v>
      </c>
      <c r="J120" s="768">
        <v>3</v>
      </c>
      <c r="K120" s="769">
        <v>3</v>
      </c>
      <c r="L120" s="799">
        <v>-3</v>
      </c>
      <c r="M120" s="768">
        <v>0</v>
      </c>
      <c r="N120" s="769">
        <v>3</v>
      </c>
      <c r="O120" s="770">
        <v>8</v>
      </c>
      <c r="P120" s="768">
        <v>10</v>
      </c>
      <c r="Q120" s="769">
        <v>11</v>
      </c>
      <c r="R120" s="770">
        <v>16</v>
      </c>
      <c r="S120" s="800">
        <v>-20</v>
      </c>
      <c r="T120" s="769">
        <v>26</v>
      </c>
      <c r="U120" s="799">
        <v>-47</v>
      </c>
      <c r="V120" s="768">
        <v>29</v>
      </c>
      <c r="W120" s="801">
        <v>-117</v>
      </c>
      <c r="X120" s="799">
        <v>-82</v>
      </c>
      <c r="Y120" s="768">
        <v>43</v>
      </c>
      <c r="Z120" s="725">
        <v>0</v>
      </c>
      <c r="AA120" s="722">
        <v>0</v>
      </c>
      <c r="AB120" s="723">
        <v>0</v>
      </c>
      <c r="AC120" s="725">
        <v>0</v>
      </c>
      <c r="AD120" s="722">
        <v>4</v>
      </c>
    </row>
    <row r="121" spans="1:30" ht="14.4">
      <c r="A121" s="740" t="s">
        <v>1029</v>
      </c>
      <c r="B121" s="741"/>
      <c r="C121" s="768">
        <v>206</v>
      </c>
      <c r="D121" s="768">
        <v>65</v>
      </c>
      <c r="E121" s="768">
        <v>8</v>
      </c>
      <c r="F121" s="768">
        <v>8</v>
      </c>
      <c r="G121" s="768">
        <v>15</v>
      </c>
      <c r="H121" s="769">
        <v>18</v>
      </c>
      <c r="I121" s="770">
        <v>6</v>
      </c>
      <c r="J121" s="768">
        <v>6</v>
      </c>
      <c r="K121" s="773" t="s">
        <v>661</v>
      </c>
      <c r="L121" s="771" t="s">
        <v>661</v>
      </c>
      <c r="M121" s="768">
        <v>3</v>
      </c>
      <c r="N121" s="769">
        <v>5</v>
      </c>
      <c r="O121" s="770">
        <v>8</v>
      </c>
      <c r="P121" s="768">
        <v>10</v>
      </c>
      <c r="Q121" s="769">
        <v>11</v>
      </c>
      <c r="R121" s="770">
        <v>16</v>
      </c>
      <c r="S121" s="768">
        <v>16</v>
      </c>
      <c r="T121" s="769">
        <v>39</v>
      </c>
      <c r="U121" s="770">
        <v>39</v>
      </c>
      <c r="V121" s="768">
        <v>73</v>
      </c>
      <c r="W121" s="769">
        <v>73</v>
      </c>
      <c r="X121" s="770">
        <v>73</v>
      </c>
      <c r="Y121" s="768">
        <v>116</v>
      </c>
      <c r="Z121" s="734">
        <v>23</v>
      </c>
      <c r="AA121" s="731">
        <v>-7</v>
      </c>
      <c r="AB121" s="732">
        <v>-7</v>
      </c>
      <c r="AC121" s="734">
        <v>6</v>
      </c>
      <c r="AD121" s="733">
        <v>10</v>
      </c>
    </row>
    <row r="122" spans="1:30" ht="14.4">
      <c r="A122" s="740" t="s">
        <v>1030</v>
      </c>
      <c r="B122" s="741"/>
      <c r="C122" s="800">
        <v>-1</v>
      </c>
      <c r="D122" s="800">
        <v>-62</v>
      </c>
      <c r="E122" s="768">
        <v>56</v>
      </c>
      <c r="F122" s="772" t="s">
        <v>661</v>
      </c>
      <c r="G122" s="800">
        <v>-1</v>
      </c>
      <c r="H122" s="801">
        <v>-3</v>
      </c>
      <c r="I122" s="799">
        <v>-3</v>
      </c>
      <c r="J122" s="800">
        <v>-3</v>
      </c>
      <c r="K122" s="769">
        <v>3</v>
      </c>
      <c r="L122" s="799">
        <v>-3</v>
      </c>
      <c r="M122" s="800">
        <v>-3</v>
      </c>
      <c r="N122" s="801">
        <v>-2</v>
      </c>
      <c r="O122" s="771" t="s">
        <v>661</v>
      </c>
      <c r="P122" s="772" t="s">
        <v>661</v>
      </c>
      <c r="Q122" s="773" t="s">
        <v>661</v>
      </c>
      <c r="R122" s="771" t="s">
        <v>661</v>
      </c>
      <c r="S122" s="800">
        <v>-36</v>
      </c>
      <c r="T122" s="801">
        <v>-13</v>
      </c>
      <c r="U122" s="799">
        <v>-86</v>
      </c>
      <c r="V122" s="800">
        <v>-44</v>
      </c>
      <c r="W122" s="801">
        <v>-190</v>
      </c>
      <c r="X122" s="799">
        <v>-155</v>
      </c>
      <c r="Y122" s="800">
        <v>-73</v>
      </c>
      <c r="Z122" s="737">
        <v>278</v>
      </c>
      <c r="AA122" s="735">
        <v>56</v>
      </c>
      <c r="AB122" s="736">
        <v>40</v>
      </c>
      <c r="AC122" s="737">
        <v>73</v>
      </c>
      <c r="AD122" s="735">
        <v>120</v>
      </c>
    </row>
    <row r="123" spans="1:30" ht="14.4">
      <c r="A123" s="744" t="s">
        <v>1031</v>
      </c>
      <c r="B123" s="745"/>
      <c r="C123" s="802">
        <v>99</v>
      </c>
      <c r="D123" s="797">
        <v>-85</v>
      </c>
      <c r="E123" s="802">
        <v>30</v>
      </c>
      <c r="F123" s="797">
        <v>-39</v>
      </c>
      <c r="G123" s="797">
        <v>-80</v>
      </c>
      <c r="H123" s="803">
        <v>-106</v>
      </c>
      <c r="I123" s="804">
        <v>-123</v>
      </c>
      <c r="J123" s="797">
        <v>-123</v>
      </c>
      <c r="K123" s="803">
        <v>-153</v>
      </c>
      <c r="L123" s="804">
        <v>-163</v>
      </c>
      <c r="M123" s="797">
        <v>-177</v>
      </c>
      <c r="N123" s="803">
        <v>-174</v>
      </c>
      <c r="O123" s="804">
        <v>-167</v>
      </c>
      <c r="P123" s="797">
        <v>-170</v>
      </c>
      <c r="Q123" s="803">
        <v>-188</v>
      </c>
      <c r="R123" s="804">
        <v>-422</v>
      </c>
      <c r="S123" s="797">
        <v>-458</v>
      </c>
      <c r="T123" s="803">
        <v>-365</v>
      </c>
      <c r="U123" s="804">
        <v>-413</v>
      </c>
      <c r="V123" s="797">
        <v>-353</v>
      </c>
      <c r="W123" s="803">
        <v>-484</v>
      </c>
      <c r="X123" s="804">
        <v>-449</v>
      </c>
      <c r="Y123" s="797">
        <v>-83</v>
      </c>
    </row>
    <row r="124" spans="1:30" ht="14.4">
      <c r="A124" s="746" t="s">
        <v>1032</v>
      </c>
      <c r="B124" s="747"/>
      <c r="C124" s="806" t="s">
        <v>661</v>
      </c>
      <c r="D124" s="806" t="s">
        <v>661</v>
      </c>
      <c r="E124" s="806" t="s">
        <v>661</v>
      </c>
      <c r="F124" s="806" t="s">
        <v>661</v>
      </c>
      <c r="G124" s="806" t="s">
        <v>661</v>
      </c>
      <c r="H124" s="807" t="s">
        <v>661</v>
      </c>
      <c r="I124" s="805" t="s">
        <v>661</v>
      </c>
      <c r="J124" s="806" t="s">
        <v>661</v>
      </c>
      <c r="K124" s="807" t="s">
        <v>661</v>
      </c>
      <c r="L124" s="805" t="s">
        <v>661</v>
      </c>
      <c r="M124" s="806" t="s">
        <v>661</v>
      </c>
      <c r="N124" s="808">
        <v>0</v>
      </c>
      <c r="O124" s="809">
        <v>0</v>
      </c>
      <c r="P124" s="810">
        <v>0</v>
      </c>
      <c r="Q124" s="808">
        <v>325</v>
      </c>
      <c r="R124" s="809">
        <v>28</v>
      </c>
      <c r="S124" s="810">
        <v>28</v>
      </c>
      <c r="T124" s="808">
        <v>0</v>
      </c>
      <c r="U124" s="805" t="s">
        <v>661</v>
      </c>
      <c r="V124" s="810">
        <v>19</v>
      </c>
      <c r="W124" s="807" t="s">
        <v>661</v>
      </c>
      <c r="X124" s="809">
        <v>19</v>
      </c>
      <c r="Y124" s="806" t="s">
        <v>661</v>
      </c>
    </row>
    <row r="125" spans="1:30" s="837" customFormat="1" ht="14.4">
      <c r="A125" s="1953" t="s">
        <v>1033</v>
      </c>
      <c r="B125" s="1954"/>
      <c r="C125" s="797">
        <v>-8</v>
      </c>
      <c r="D125" s="802">
        <v>5</v>
      </c>
      <c r="E125" s="797">
        <v>-2</v>
      </c>
      <c r="F125" s="797">
        <v>-1</v>
      </c>
      <c r="G125" s="797">
        <v>-3</v>
      </c>
      <c r="H125" s="803">
        <v>-3</v>
      </c>
      <c r="I125" s="796">
        <v>0</v>
      </c>
      <c r="J125" s="802">
        <v>0</v>
      </c>
      <c r="K125" s="798">
        <v>145</v>
      </c>
      <c r="L125" s="804">
        <v>-2</v>
      </c>
      <c r="M125" s="797">
        <v>-5</v>
      </c>
      <c r="N125" s="803">
        <v>-2</v>
      </c>
      <c r="O125" s="796">
        <v>10</v>
      </c>
      <c r="P125" s="802">
        <v>16</v>
      </c>
      <c r="Q125" s="798">
        <v>10</v>
      </c>
      <c r="R125" s="804">
        <v>-28</v>
      </c>
      <c r="S125" s="802">
        <v>0</v>
      </c>
      <c r="T125" s="803">
        <v>-4</v>
      </c>
      <c r="U125" s="796">
        <v>22</v>
      </c>
      <c r="V125" s="797">
        <v>-4</v>
      </c>
      <c r="W125" s="803">
        <v>-7</v>
      </c>
      <c r="X125" s="804">
        <v>-26</v>
      </c>
      <c r="Y125" s="797">
        <v>-13</v>
      </c>
      <c r="Z125" s="20"/>
      <c r="AA125" s="20"/>
      <c r="AB125" s="20"/>
      <c r="AC125" s="20"/>
      <c r="AD125" s="20"/>
    </row>
    <row r="126" spans="1:30" s="837" customFormat="1" ht="14.4">
      <c r="A126" s="1951" t="s">
        <v>1034</v>
      </c>
      <c r="B126" s="1952"/>
      <c r="C126" s="800">
        <v>-8</v>
      </c>
      <c r="D126" s="768">
        <v>5</v>
      </c>
      <c r="E126" s="800">
        <v>-2</v>
      </c>
      <c r="F126" s="800">
        <v>-1</v>
      </c>
      <c r="G126" s="800">
        <v>-3</v>
      </c>
      <c r="H126" s="801">
        <v>-3</v>
      </c>
      <c r="I126" s="770">
        <v>0</v>
      </c>
      <c r="J126" s="768">
        <v>0</v>
      </c>
      <c r="K126" s="769">
        <v>145</v>
      </c>
      <c r="L126" s="799">
        <v>-2</v>
      </c>
      <c r="M126" s="800">
        <v>-5</v>
      </c>
      <c r="N126" s="801">
        <v>-2</v>
      </c>
      <c r="O126" s="770">
        <v>10</v>
      </c>
      <c r="P126" s="768">
        <v>16</v>
      </c>
      <c r="Q126" s="769">
        <v>10</v>
      </c>
      <c r="R126" s="799">
        <v>-28</v>
      </c>
      <c r="S126" s="768">
        <v>0</v>
      </c>
      <c r="T126" s="801">
        <v>-4</v>
      </c>
      <c r="U126" s="770">
        <v>22</v>
      </c>
      <c r="V126" s="800">
        <v>-4</v>
      </c>
      <c r="W126" s="801">
        <v>-7</v>
      </c>
      <c r="X126" s="799">
        <v>-26</v>
      </c>
      <c r="Y126" s="800">
        <v>-13</v>
      </c>
      <c r="Z126" s="838"/>
      <c r="AA126" s="838"/>
      <c r="AB126" s="838"/>
      <c r="AC126" s="838"/>
      <c r="AD126" s="838"/>
    </row>
    <row r="127" spans="1:30" s="837" customFormat="1" ht="14.4">
      <c r="A127" s="748" t="s">
        <v>292</v>
      </c>
      <c r="B127" s="749"/>
      <c r="C127" s="812">
        <v>91</v>
      </c>
      <c r="D127" s="811">
        <v>-80</v>
      </c>
      <c r="E127" s="812">
        <v>28</v>
      </c>
      <c r="F127" s="811">
        <v>-40</v>
      </c>
      <c r="G127" s="811">
        <v>-83</v>
      </c>
      <c r="H127" s="813">
        <v>-109</v>
      </c>
      <c r="I127" s="814">
        <v>-123</v>
      </c>
      <c r="J127" s="811">
        <v>-123</v>
      </c>
      <c r="K127" s="813">
        <v>-8</v>
      </c>
      <c r="L127" s="814">
        <v>-148</v>
      </c>
      <c r="M127" s="811">
        <v>-188</v>
      </c>
      <c r="N127" s="813">
        <v>-174</v>
      </c>
      <c r="O127" s="814">
        <v>-157</v>
      </c>
      <c r="P127" s="811">
        <v>-154</v>
      </c>
      <c r="Q127" s="813">
        <v>-178</v>
      </c>
      <c r="R127" s="814">
        <v>-450</v>
      </c>
      <c r="S127" s="811">
        <v>-458</v>
      </c>
      <c r="T127" s="813">
        <v>-369</v>
      </c>
      <c r="U127" s="814">
        <v>-391</v>
      </c>
      <c r="V127" s="811">
        <v>-357</v>
      </c>
      <c r="W127" s="813">
        <v>-491</v>
      </c>
      <c r="X127" s="814">
        <v>-475</v>
      </c>
      <c r="Y127" s="811">
        <v>-96</v>
      </c>
      <c r="Z127" s="836"/>
      <c r="AA127" s="836"/>
      <c r="AB127" s="836"/>
      <c r="AC127" s="836"/>
      <c r="AD127" s="836"/>
    </row>
    <row r="128" spans="1:30" ht="14.4">
      <c r="A128" s="742" t="s">
        <v>1035</v>
      </c>
      <c r="B128" s="743"/>
      <c r="C128" s="785">
        <v>716</v>
      </c>
      <c r="D128" s="785">
        <v>1534</v>
      </c>
      <c r="E128" s="785">
        <v>3664</v>
      </c>
      <c r="F128" s="785">
        <v>1343</v>
      </c>
      <c r="G128" s="785">
        <v>500</v>
      </c>
      <c r="H128" s="786">
        <v>342</v>
      </c>
      <c r="I128" s="783">
        <v>-48</v>
      </c>
      <c r="J128" s="785">
        <v>29</v>
      </c>
      <c r="K128" s="786">
        <v>-478</v>
      </c>
      <c r="L128" s="783">
        <v>-517</v>
      </c>
      <c r="M128" s="785">
        <v>-33</v>
      </c>
      <c r="N128" s="786">
        <v>-91</v>
      </c>
      <c r="O128" s="783">
        <v>-1113</v>
      </c>
      <c r="P128" s="785">
        <v>317</v>
      </c>
      <c r="Q128" s="786">
        <v>383</v>
      </c>
      <c r="R128" s="783">
        <v>-963</v>
      </c>
      <c r="S128" s="785">
        <v>-971</v>
      </c>
      <c r="T128" s="786">
        <v>-1338</v>
      </c>
      <c r="U128" s="783">
        <v>-1360</v>
      </c>
      <c r="V128" s="785">
        <v>-1535</v>
      </c>
      <c r="W128" s="786">
        <v>-1669</v>
      </c>
      <c r="X128" s="783">
        <v>-124</v>
      </c>
      <c r="Y128" s="785">
        <v>303</v>
      </c>
    </row>
    <row r="129" spans="1:36" s="837" customFormat="1" ht="14.4">
      <c r="A129" s="1955" t="s">
        <v>1036</v>
      </c>
      <c r="B129" s="1956"/>
      <c r="C129" s="810">
        <v>78</v>
      </c>
      <c r="D129" s="810">
        <v>123</v>
      </c>
      <c r="E129" s="815">
        <v>-1</v>
      </c>
      <c r="F129" s="810">
        <v>24</v>
      </c>
      <c r="G129" s="810">
        <v>15</v>
      </c>
      <c r="H129" s="808">
        <v>4</v>
      </c>
      <c r="I129" s="816">
        <v>-14</v>
      </c>
      <c r="J129" s="815">
        <v>-14</v>
      </c>
      <c r="K129" s="817">
        <v>-11</v>
      </c>
      <c r="L129" s="809">
        <v>45</v>
      </c>
      <c r="M129" s="810">
        <v>128</v>
      </c>
      <c r="N129" s="817">
        <v>-6</v>
      </c>
      <c r="O129" s="809">
        <v>36</v>
      </c>
      <c r="P129" s="810">
        <v>111</v>
      </c>
      <c r="Q129" s="817">
        <v>-23</v>
      </c>
      <c r="R129" s="816">
        <v>-480</v>
      </c>
      <c r="S129" s="815">
        <v>-483</v>
      </c>
      <c r="T129" s="808">
        <v>352</v>
      </c>
      <c r="U129" s="809">
        <v>345</v>
      </c>
      <c r="V129" s="810">
        <v>436</v>
      </c>
      <c r="W129" s="808">
        <v>396</v>
      </c>
      <c r="X129" s="809">
        <v>556</v>
      </c>
      <c r="Y129" s="810">
        <v>0</v>
      </c>
      <c r="Z129" s="836"/>
      <c r="AA129" s="836"/>
      <c r="AB129" s="836"/>
      <c r="AC129" s="836"/>
      <c r="AD129" s="836"/>
      <c r="AE129" s="836"/>
      <c r="AF129" s="836"/>
      <c r="AG129" s="836"/>
    </row>
    <row r="130" spans="1:36" s="837" customFormat="1" ht="14.4">
      <c r="A130" s="1957" t="s">
        <v>1037</v>
      </c>
      <c r="B130" s="1958"/>
      <c r="C130" s="826">
        <v>-268</v>
      </c>
      <c r="D130" s="819">
        <v>1</v>
      </c>
      <c r="E130" s="819">
        <v>512</v>
      </c>
      <c r="F130" s="820">
        <v>-1186</v>
      </c>
      <c r="G130" s="819">
        <v>59</v>
      </c>
      <c r="H130" s="821">
        <v>-18</v>
      </c>
      <c r="I130" s="822">
        <v>1134</v>
      </c>
      <c r="J130" s="823">
        <v>1135</v>
      </c>
      <c r="K130" s="824">
        <v>29</v>
      </c>
      <c r="L130" s="825">
        <v>59</v>
      </c>
      <c r="M130" s="819">
        <v>133</v>
      </c>
      <c r="N130" s="824">
        <v>3</v>
      </c>
      <c r="O130" s="825">
        <v>2</v>
      </c>
      <c r="P130" s="819">
        <v>107</v>
      </c>
      <c r="Q130" s="824">
        <v>15</v>
      </c>
      <c r="R130" s="818">
        <v>-368</v>
      </c>
      <c r="S130" s="826">
        <v>-371</v>
      </c>
      <c r="T130" s="824">
        <v>420</v>
      </c>
      <c r="U130" s="825">
        <v>413</v>
      </c>
      <c r="V130" s="819">
        <v>463</v>
      </c>
      <c r="W130" s="824">
        <v>423</v>
      </c>
      <c r="X130" s="825">
        <v>579</v>
      </c>
      <c r="Y130" s="819">
        <v>23</v>
      </c>
      <c r="Z130" s="20"/>
      <c r="AA130" s="20"/>
      <c r="AB130" s="20"/>
      <c r="AC130" s="20"/>
      <c r="AD130" s="20"/>
      <c r="AE130" s="20"/>
      <c r="AF130" s="20"/>
      <c r="AG130" s="20"/>
    </row>
    <row r="131" spans="1:36" s="837" customFormat="1" ht="14.4">
      <c r="A131" s="1949" t="s">
        <v>1038</v>
      </c>
      <c r="B131" s="1950"/>
      <c r="C131" s="828">
        <v>984</v>
      </c>
      <c r="D131" s="827">
        <v>1534</v>
      </c>
      <c r="E131" s="827"/>
      <c r="F131" s="827">
        <v>2529</v>
      </c>
      <c r="G131" s="828">
        <v>441</v>
      </c>
      <c r="H131" s="829">
        <v>360</v>
      </c>
      <c r="I131" s="830">
        <v>-1182</v>
      </c>
      <c r="J131" s="831">
        <v>-1106</v>
      </c>
      <c r="K131" s="832">
        <v>-507</v>
      </c>
      <c r="L131" s="833">
        <v>-576</v>
      </c>
      <c r="M131" s="834">
        <v>-166</v>
      </c>
      <c r="N131" s="832">
        <v>-94</v>
      </c>
      <c r="O131" s="830">
        <v>-1115</v>
      </c>
      <c r="P131" s="828">
        <v>210</v>
      </c>
      <c r="Q131" s="829">
        <v>368</v>
      </c>
      <c r="R131" s="833">
        <v>-595</v>
      </c>
      <c r="S131" s="834">
        <v>-600</v>
      </c>
      <c r="T131" s="835">
        <v>-1758</v>
      </c>
      <c r="U131" s="830">
        <v>-1773</v>
      </c>
      <c r="V131" s="831">
        <v>-1998</v>
      </c>
      <c r="W131" s="835">
        <v>-2092</v>
      </c>
      <c r="X131" s="833">
        <v>-703</v>
      </c>
      <c r="Y131" s="828">
        <v>280</v>
      </c>
      <c r="Z131" s="20"/>
      <c r="AA131" s="20"/>
      <c r="AB131" s="20"/>
      <c r="AC131" s="20"/>
      <c r="AD131" s="20"/>
      <c r="AE131" s="20"/>
      <c r="AF131" s="20"/>
      <c r="AG131" s="20"/>
      <c r="AJ131" s="837" t="s">
        <v>1039</v>
      </c>
    </row>
    <row r="132" spans="1:36" s="837" customFormat="1">
      <c r="A132" s="20"/>
      <c r="B132" s="20"/>
      <c r="C132" s="20"/>
      <c r="D132" s="20"/>
      <c r="E132" s="20"/>
      <c r="F132" s="20"/>
      <c r="G132" s="20"/>
      <c r="H132" s="20"/>
      <c r="I132" s="20"/>
      <c r="J132" s="20"/>
      <c r="K132" s="21"/>
      <c r="L132" s="21"/>
      <c r="M132" s="20"/>
      <c r="N132" s="20"/>
      <c r="O132" s="20"/>
      <c r="P132" s="20"/>
      <c r="Q132" s="20"/>
      <c r="R132" s="20"/>
      <c r="S132" s="20"/>
      <c r="T132" s="20"/>
      <c r="U132" s="20"/>
      <c r="V132" s="20"/>
      <c r="W132" s="20"/>
      <c r="X132" s="20"/>
      <c r="Y132" s="20"/>
      <c r="Z132" s="20"/>
      <c r="AA132" s="20"/>
      <c r="AB132" s="20"/>
      <c r="AC132" s="20"/>
      <c r="AD132" s="20"/>
      <c r="AE132" s="20"/>
      <c r="AF132" s="20"/>
      <c r="AG132" s="20"/>
    </row>
    <row r="133" spans="1:36" s="837" customFormat="1">
      <c r="A133" s="839" t="s">
        <v>1040</v>
      </c>
      <c r="B133" s="840"/>
      <c r="C133" s="841">
        <v>3453</v>
      </c>
      <c r="D133" s="841">
        <v>4174</v>
      </c>
      <c r="E133" s="841">
        <v>407</v>
      </c>
      <c r="F133" s="841">
        <v>312</v>
      </c>
      <c r="G133" s="841">
        <v>222</v>
      </c>
      <c r="H133" s="841">
        <v>170</v>
      </c>
      <c r="I133" s="841">
        <v>144</v>
      </c>
      <c r="J133" s="841">
        <v>133</v>
      </c>
      <c r="K133" s="842">
        <v>167</v>
      </c>
      <c r="L133" s="842">
        <v>203</v>
      </c>
      <c r="M133" s="841">
        <v>236</v>
      </c>
      <c r="N133" s="841">
        <v>260</v>
      </c>
      <c r="O133" s="841"/>
      <c r="P133" s="841"/>
      <c r="Q133" s="841"/>
      <c r="R133" s="841"/>
      <c r="S133" s="841"/>
      <c r="T133" s="841"/>
      <c r="U133" s="841"/>
      <c r="V133" s="841"/>
      <c r="W133" s="841"/>
      <c r="X133" s="841"/>
      <c r="Y133" s="863"/>
      <c r="Z133" s="20"/>
      <c r="AA133" s="20"/>
      <c r="AB133" s="20"/>
      <c r="AC133" s="20"/>
      <c r="AD133" s="20"/>
      <c r="AE133" s="20"/>
      <c r="AF133" s="20"/>
      <c r="AG133" s="20"/>
    </row>
    <row r="134" spans="1:36" s="837" customFormat="1">
      <c r="A134" s="843" t="s">
        <v>1041</v>
      </c>
      <c r="B134" s="1306"/>
      <c r="C134" s="1307">
        <f>C133+C115</f>
        <v>4078</v>
      </c>
      <c r="D134" s="1307">
        <f t="shared" ref="D134:N134" si="40">D133+D115</f>
        <v>5788</v>
      </c>
      <c r="E134" s="1307">
        <f t="shared" si="40"/>
        <v>4043</v>
      </c>
      <c r="F134" s="1307">
        <f t="shared" si="40"/>
        <v>1695</v>
      </c>
      <c r="G134" s="1307">
        <f t="shared" si="40"/>
        <v>793</v>
      </c>
      <c r="H134" s="1307">
        <f t="shared" si="40"/>
        <v>621</v>
      </c>
      <c r="I134" s="1307">
        <f t="shared" si="40"/>
        <v>219</v>
      </c>
      <c r="J134" s="1307">
        <f t="shared" si="40"/>
        <v>285</v>
      </c>
      <c r="K134" s="1307">
        <f t="shared" si="40"/>
        <v>-303</v>
      </c>
      <c r="L134" s="1307">
        <f t="shared" si="40"/>
        <v>-132</v>
      </c>
      <c r="M134" s="1307">
        <f t="shared" si="40"/>
        <v>379</v>
      </c>
      <c r="N134" s="1307">
        <f t="shared" si="40"/>
        <v>347</v>
      </c>
      <c r="O134" s="1307"/>
      <c r="P134" s="1307"/>
      <c r="Q134" s="1307"/>
      <c r="R134" s="1307"/>
      <c r="S134" s="1307"/>
      <c r="T134" s="1307"/>
      <c r="U134" s="1307"/>
      <c r="V134" s="1307"/>
      <c r="W134" s="1307"/>
      <c r="X134" s="1307"/>
      <c r="Y134" s="864"/>
      <c r="Z134" s="838"/>
      <c r="AA134" s="838"/>
      <c r="AB134" s="838"/>
      <c r="AC134" s="838"/>
      <c r="AD134" s="838"/>
      <c r="AE134" s="838"/>
      <c r="AF134" s="838"/>
      <c r="AG134" s="838"/>
    </row>
    <row r="135" spans="1:36" s="837" customFormat="1">
      <c r="A135" s="844" t="s">
        <v>1042</v>
      </c>
      <c r="B135" s="1308"/>
      <c r="C135" s="1309">
        <f>C134/C104</f>
        <v>0.17980599647266313</v>
      </c>
      <c r="D135" s="1309">
        <f t="shared" ref="D135:N135" si="41">D134/D104</f>
        <v>0.24524384559976273</v>
      </c>
      <c r="E135" s="1309">
        <f t="shared" si="41"/>
        <v>0.2460143604721918</v>
      </c>
      <c r="F135" s="1309">
        <f t="shared" si="41"/>
        <v>0.17361466762265698</v>
      </c>
      <c r="G135" s="1309">
        <f t="shared" si="41"/>
        <v>0.1178131035507354</v>
      </c>
      <c r="H135" s="1309">
        <f t="shared" si="41"/>
        <v>9.5907335907335911E-2</v>
      </c>
      <c r="I135" s="1309">
        <f t="shared" si="41"/>
        <v>4.1690462592804109E-2</v>
      </c>
      <c r="J135" s="1309">
        <f t="shared" si="41"/>
        <v>5.3480953274535559E-2</v>
      </c>
      <c r="K135" s="1309">
        <f t="shared" si="41"/>
        <v>-7.0926966292134838E-2</v>
      </c>
      <c r="L135" s="1309">
        <f t="shared" si="41"/>
        <v>-3.3074417439238286E-2</v>
      </c>
      <c r="M135" s="1309">
        <f t="shared" si="41"/>
        <v>6.8833999273519797E-2</v>
      </c>
      <c r="N135" s="1309">
        <f t="shared" si="41"/>
        <v>6.5484053595017924E-2</v>
      </c>
      <c r="O135" s="1310"/>
      <c r="P135" s="1310"/>
      <c r="Q135" s="1310"/>
      <c r="R135" s="1310"/>
      <c r="S135" s="1310"/>
      <c r="T135" s="1310"/>
      <c r="U135" s="1310"/>
      <c r="V135" s="1310"/>
      <c r="W135" s="1310"/>
      <c r="X135" s="1310"/>
      <c r="Y135" s="845"/>
      <c r="Z135" s="20"/>
      <c r="AA135" s="20"/>
      <c r="AB135" s="20"/>
      <c r="AC135" s="20"/>
      <c r="AD135" s="20"/>
      <c r="AE135" s="20"/>
      <c r="AF135" s="20"/>
      <c r="AG135" s="20"/>
    </row>
    <row r="136" spans="1:36" s="837" customFormat="1">
      <c r="A136" s="846" t="s">
        <v>624</v>
      </c>
      <c r="B136" s="1311"/>
      <c r="C136" s="1312">
        <f>C134/D134-1</f>
        <v>-0.29543883897719414</v>
      </c>
      <c r="D136" s="1312">
        <f t="shared" ref="D136:M136" si="42">D134/E134-1</f>
        <v>0.43161019045263416</v>
      </c>
      <c r="E136" s="1312">
        <f t="shared" si="42"/>
        <v>1.3852507374631267</v>
      </c>
      <c r="F136" s="1312">
        <f t="shared" si="42"/>
        <v>1.1374527112232031</v>
      </c>
      <c r="G136" s="1312">
        <f t="shared" si="42"/>
        <v>0.27697262479871165</v>
      </c>
      <c r="H136" s="1312">
        <f t="shared" si="42"/>
        <v>1.8356164383561642</v>
      </c>
      <c r="I136" s="1312">
        <f t="shared" si="42"/>
        <v>-0.23157894736842111</v>
      </c>
      <c r="J136" s="1312">
        <f t="shared" si="42"/>
        <v>-1.9405940594059405</v>
      </c>
      <c r="K136" s="1312">
        <f t="shared" si="42"/>
        <v>1.2954545454545454</v>
      </c>
      <c r="L136" s="1312">
        <f t="shared" si="42"/>
        <v>-1.3482849604221636</v>
      </c>
      <c r="M136" s="1312">
        <f t="shared" si="42"/>
        <v>9.2219020172910726E-2</v>
      </c>
      <c r="N136" s="1312"/>
      <c r="O136" s="1313"/>
      <c r="P136" s="1313"/>
      <c r="Q136" s="1313"/>
      <c r="R136" s="1313"/>
      <c r="S136" s="1313"/>
      <c r="T136" s="1313"/>
      <c r="U136" s="1313"/>
      <c r="V136" s="1313"/>
      <c r="W136" s="1313"/>
      <c r="X136" s="1313"/>
      <c r="Y136" s="847"/>
      <c r="Z136" s="20"/>
      <c r="AA136" s="20"/>
      <c r="AB136" s="20"/>
      <c r="AC136" s="20"/>
      <c r="AD136" s="20"/>
      <c r="AE136" s="20"/>
      <c r="AF136" s="20"/>
      <c r="AG136" s="20"/>
    </row>
    <row r="137" spans="1:36">
      <c r="A137" s="1314"/>
      <c r="Y137" s="1315"/>
    </row>
    <row r="138" spans="1:36">
      <c r="A138" s="846" t="s">
        <v>1043</v>
      </c>
      <c r="B138" s="1311"/>
      <c r="C138" s="1312">
        <f t="shared" ref="C138:X138" si="43">C104/D104-1</f>
        <v>-3.9023770179229644E-2</v>
      </c>
      <c r="D138" s="1312">
        <f t="shared" si="43"/>
        <v>0.43610806863818907</v>
      </c>
      <c r="E138" s="1312">
        <f t="shared" si="43"/>
        <v>0.68329406944586712</v>
      </c>
      <c r="F138" s="1312">
        <f t="shared" si="43"/>
        <v>0.45045312732134901</v>
      </c>
      <c r="G138" s="1312">
        <f t="shared" si="43"/>
        <v>3.9536679536679609E-2</v>
      </c>
      <c r="H138" s="1312">
        <f t="shared" si="43"/>
        <v>0.23262897391966497</v>
      </c>
      <c r="I138" s="1312">
        <f t="shared" si="43"/>
        <v>-1.4261587539876164E-2</v>
      </c>
      <c r="J138" s="1312">
        <f t="shared" si="43"/>
        <v>0.24742509363295873</v>
      </c>
      <c r="K138" s="1312">
        <f t="shared" si="43"/>
        <v>7.0408418942620843E-2</v>
      </c>
      <c r="L138" s="1312">
        <f t="shared" si="43"/>
        <v>-0.27515437704322554</v>
      </c>
      <c r="M138" s="1312">
        <f t="shared" si="43"/>
        <v>3.9063974334780038E-2</v>
      </c>
      <c r="N138" s="1312">
        <f t="shared" si="43"/>
        <v>-2.2685355957211328E-2</v>
      </c>
      <c r="O138" s="1312">
        <f t="shared" si="43"/>
        <v>-0.17448233861144946</v>
      </c>
      <c r="P138" s="1312">
        <f t="shared" si="43"/>
        <v>1.1395133969818394E-2</v>
      </c>
      <c r="Q138" s="1312">
        <f t="shared" si="43"/>
        <v>0.20192485656116976</v>
      </c>
      <c r="R138" s="1312">
        <f t="shared" si="43"/>
        <v>0</v>
      </c>
      <c r="S138" s="1312">
        <f t="shared" si="43"/>
        <v>-6.973140495867769E-2</v>
      </c>
      <c r="T138" s="1312">
        <f t="shared" si="43"/>
        <v>0</v>
      </c>
      <c r="U138" s="1312">
        <f t="shared" si="43"/>
        <v>-8.5353362922498954E-3</v>
      </c>
      <c r="V138" s="1312">
        <f t="shared" si="43"/>
        <v>0</v>
      </c>
      <c r="W138" s="1312">
        <f t="shared" si="43"/>
        <v>-2.5777482122068873E-2</v>
      </c>
      <c r="X138" s="1312">
        <f t="shared" si="43"/>
        <v>6.8597831881997529E-2</v>
      </c>
      <c r="Y138" s="850">
        <f>Y115/Y104</f>
        <v>7.0908121556779807E-2</v>
      </c>
    </row>
    <row r="139" spans="1:36">
      <c r="A139" s="848"/>
      <c r="B139" s="1316"/>
      <c r="C139" s="1317"/>
      <c r="D139" s="1317"/>
      <c r="E139" s="1317"/>
      <c r="F139" s="1317"/>
      <c r="G139" s="1317"/>
      <c r="H139" s="1317"/>
      <c r="I139" s="1317"/>
      <c r="J139" s="1317"/>
      <c r="K139" s="1317"/>
      <c r="L139" s="1317"/>
      <c r="M139" s="1317"/>
      <c r="N139" s="1317"/>
      <c r="O139" s="1317"/>
      <c r="P139" s="1317"/>
      <c r="Q139" s="1317"/>
      <c r="R139" s="1317"/>
      <c r="S139" s="1317"/>
      <c r="T139" s="1317"/>
      <c r="U139" s="1317"/>
      <c r="V139" s="1317"/>
      <c r="W139" s="1317"/>
      <c r="X139" s="1317"/>
      <c r="Y139" s="849"/>
    </row>
    <row r="140" spans="1:36">
      <c r="A140" s="844" t="s">
        <v>1044</v>
      </c>
      <c r="B140" s="1308"/>
      <c r="C140" s="1309">
        <f t="shared" ref="C140:Y140" si="44">C107/C104</f>
        <v>0.47257495590828924</v>
      </c>
      <c r="D140" s="1309">
        <f t="shared" si="44"/>
        <v>0.4684123554086691</v>
      </c>
      <c r="E140" s="1309">
        <f t="shared" si="44"/>
        <v>0.48247535596933189</v>
      </c>
      <c r="F140" s="1309">
        <f t="shared" si="44"/>
        <v>0.44668646932295403</v>
      </c>
      <c r="G140" s="1309">
        <f t="shared" si="44"/>
        <v>0.42608824840291187</v>
      </c>
      <c r="H140" s="1309">
        <f t="shared" si="44"/>
        <v>0.37791505791505792</v>
      </c>
      <c r="I140" s="1309">
        <f t="shared" si="44"/>
        <v>0.34018656006091758</v>
      </c>
      <c r="J140" s="1309">
        <f t="shared" si="44"/>
        <v>0.34209044848939762</v>
      </c>
      <c r="K140" s="1309">
        <f t="shared" si="44"/>
        <v>0.23361423220973782</v>
      </c>
      <c r="L140" s="1309">
        <f t="shared" si="44"/>
        <v>0.27060886995740419</v>
      </c>
      <c r="M140" s="1309">
        <f t="shared" si="44"/>
        <v>0.33399927351979658</v>
      </c>
      <c r="N140" s="1309">
        <f t="shared" si="44"/>
        <v>0.37327797697678805</v>
      </c>
      <c r="O140" s="1309">
        <f t="shared" si="44"/>
        <v>0.22777572851346367</v>
      </c>
      <c r="P140" s="1309">
        <f t="shared" si="44"/>
        <v>0.4476248477466504</v>
      </c>
      <c r="Q140" s="1309">
        <f t="shared" si="44"/>
        <v>0.45595934708962121</v>
      </c>
      <c r="R140" s="1309">
        <f t="shared" si="44"/>
        <v>0.42050712567092358</v>
      </c>
      <c r="S140" s="1309">
        <f t="shared" si="44"/>
        <v>0.42050712567092358</v>
      </c>
      <c r="T140" s="1309">
        <f t="shared" si="44"/>
        <v>0.39944903581267216</v>
      </c>
      <c r="U140" s="1309">
        <f t="shared" si="44"/>
        <v>0.39944903581267216</v>
      </c>
      <c r="V140" s="1309">
        <f t="shared" si="44"/>
        <v>0.37367702287470128</v>
      </c>
      <c r="W140" s="1309">
        <f t="shared" si="44"/>
        <v>0.37367702287470128</v>
      </c>
      <c r="X140" s="1309">
        <f t="shared" si="44"/>
        <v>0.37618493264593383</v>
      </c>
      <c r="Y140" s="851">
        <f t="shared" si="44"/>
        <v>0.49653456548782654</v>
      </c>
    </row>
    <row r="141" spans="1:36">
      <c r="A141" s="846" t="s">
        <v>1045</v>
      </c>
      <c r="B141" s="1311"/>
      <c r="C141" s="1312">
        <f t="shared" ref="C141:X141" si="45">C107/D107-1</f>
        <v>-3.0483943916779777E-2</v>
      </c>
      <c r="D141" s="1312">
        <f t="shared" si="45"/>
        <v>0.39424895951570194</v>
      </c>
      <c r="E141" s="1312">
        <f t="shared" si="45"/>
        <v>0.81816097225407014</v>
      </c>
      <c r="F141" s="1312">
        <f t="shared" si="45"/>
        <v>0.52057182705718263</v>
      </c>
      <c r="G141" s="1312">
        <f t="shared" si="45"/>
        <v>0.17204740498569682</v>
      </c>
      <c r="H141" s="1312">
        <f t="shared" si="45"/>
        <v>0.36933407946278685</v>
      </c>
      <c r="I141" s="1312">
        <f t="shared" si="45"/>
        <v>-1.9747668678003261E-2</v>
      </c>
      <c r="J141" s="1312">
        <f t="shared" si="45"/>
        <v>0.82665330661322645</v>
      </c>
      <c r="K141" s="1312">
        <f t="shared" si="45"/>
        <v>-7.5925925925925952E-2</v>
      </c>
      <c r="L141" s="1312">
        <f t="shared" si="45"/>
        <v>-0.41272430668841764</v>
      </c>
      <c r="M141" s="1312">
        <f t="shared" si="45"/>
        <v>-7.0273003033367032E-2</v>
      </c>
      <c r="N141" s="1312">
        <f t="shared" si="45"/>
        <v>0.60161943319838063</v>
      </c>
      <c r="O141" s="1312">
        <f t="shared" si="45"/>
        <v>-0.57993197278911568</v>
      </c>
      <c r="P141" s="1312">
        <f t="shared" si="45"/>
        <v>-7.0921985815602939E-3</v>
      </c>
      <c r="Q141" s="1312">
        <f t="shared" si="45"/>
        <v>0.30325704225352124</v>
      </c>
      <c r="R141" s="1312">
        <f t="shared" si="45"/>
        <v>0</v>
      </c>
      <c r="S141" s="1312">
        <f t="shared" si="45"/>
        <v>-2.0689655172413834E-2</v>
      </c>
      <c r="T141" s="1312">
        <f t="shared" si="45"/>
        <v>0</v>
      </c>
      <c r="U141" s="1312">
        <f t="shared" si="45"/>
        <v>5.9844677935130264E-2</v>
      </c>
      <c r="V141" s="1312">
        <f t="shared" si="45"/>
        <v>0</v>
      </c>
      <c r="W141" s="1312">
        <f t="shared" si="45"/>
        <v>-3.2272325375773625E-2</v>
      </c>
      <c r="X141" s="1312">
        <f t="shared" si="45"/>
        <v>-0.19040801717967071</v>
      </c>
      <c r="Y141" s="850"/>
    </row>
    <row r="142" spans="1:36">
      <c r="A142" s="848"/>
      <c r="B142" s="1316"/>
      <c r="C142" s="1317"/>
      <c r="D142" s="1317"/>
      <c r="E142" s="1317"/>
      <c r="F142" s="1317"/>
      <c r="G142" s="1317"/>
      <c r="H142" s="1317"/>
      <c r="I142" s="1317"/>
      <c r="J142" s="1317"/>
      <c r="K142" s="1317"/>
      <c r="L142" s="1317"/>
      <c r="M142" s="1317"/>
      <c r="N142" s="1317"/>
      <c r="O142" s="1317"/>
      <c r="P142" s="1317"/>
      <c r="Q142" s="1317"/>
      <c r="R142" s="1317"/>
      <c r="S142" s="1317"/>
      <c r="T142" s="1317"/>
      <c r="U142" s="1317"/>
      <c r="V142" s="1317"/>
      <c r="W142" s="1317"/>
      <c r="X142" s="1317"/>
      <c r="Y142" s="849"/>
    </row>
    <row r="143" spans="1:36">
      <c r="A143" s="844" t="s">
        <v>339</v>
      </c>
      <c r="B143" s="1308"/>
      <c r="C143" s="1309">
        <f t="shared" ref="C143:X143" si="46">C115/C104</f>
        <v>2.7557319223985889E-2</v>
      </c>
      <c r="D143" s="1309">
        <f t="shared" si="46"/>
        <v>6.8386932757086558E-2</v>
      </c>
      <c r="E143" s="1309">
        <f t="shared" si="46"/>
        <v>0.2212486308871851</v>
      </c>
      <c r="F143" s="1309">
        <f t="shared" si="46"/>
        <v>0.14165727747618559</v>
      </c>
      <c r="G143" s="1309">
        <f t="shared" si="46"/>
        <v>8.483137720992423E-2</v>
      </c>
      <c r="H143" s="1309">
        <f t="shared" si="46"/>
        <v>6.9652509652509659E-2</v>
      </c>
      <c r="I143" s="1309">
        <f t="shared" si="46"/>
        <v>1.4277555682467162E-2</v>
      </c>
      <c r="J143" s="1309">
        <f t="shared" si="46"/>
        <v>2.85231750797523E-2</v>
      </c>
      <c r="K143" s="1309">
        <f t="shared" si="46"/>
        <v>-0.1100187265917603</v>
      </c>
      <c r="L143" s="1309">
        <f t="shared" si="46"/>
        <v>-8.3938862440491105E-2</v>
      </c>
      <c r="M143" s="1309">
        <f t="shared" si="46"/>
        <v>2.5971667272066835E-2</v>
      </c>
      <c r="N143" s="1309">
        <f t="shared" si="46"/>
        <v>1.6418192111719191E-2</v>
      </c>
      <c r="O143" s="1309">
        <f t="shared" si="46"/>
        <v>-0.17631870158613058</v>
      </c>
      <c r="P143" s="1309">
        <f t="shared" si="46"/>
        <v>7.0950060901339831E-2</v>
      </c>
      <c r="Q143" s="1309">
        <f t="shared" si="46"/>
        <v>8.6387434554973816E-2</v>
      </c>
      <c r="R143" s="1309">
        <f t="shared" si="46"/>
        <v>-9.4947251526929483E-2</v>
      </c>
      <c r="S143" s="1309">
        <f t="shared" si="46"/>
        <v>-9.4947251526929483E-2</v>
      </c>
      <c r="T143" s="1309">
        <f t="shared" si="46"/>
        <v>-0.16683884297520662</v>
      </c>
      <c r="U143" s="1309">
        <f t="shared" si="46"/>
        <v>-0.16683884297520662</v>
      </c>
      <c r="V143" s="1309">
        <f t="shared" si="46"/>
        <v>-0.20109252304540798</v>
      </c>
      <c r="W143" s="1309">
        <f t="shared" si="46"/>
        <v>-0.20109252304540798</v>
      </c>
      <c r="X143" s="1309">
        <f t="shared" si="46"/>
        <v>-0.20904706469316481</v>
      </c>
      <c r="Y143" s="851"/>
    </row>
    <row r="144" spans="1:36">
      <c r="A144" s="846" t="s">
        <v>1046</v>
      </c>
      <c r="B144" s="1311"/>
      <c r="C144" s="1312">
        <f t="shared" ref="C144:X144" si="47">C115/D115-1</f>
        <v>-0.61276332094175956</v>
      </c>
      <c r="D144" s="1312">
        <f t="shared" si="47"/>
        <v>-0.55610561056105612</v>
      </c>
      <c r="E144" s="1312">
        <f t="shared" si="47"/>
        <v>1.6290672451193058</v>
      </c>
      <c r="F144" s="1312">
        <f t="shared" si="47"/>
        <v>1.4220665499124343</v>
      </c>
      <c r="G144" s="1312">
        <f t="shared" si="47"/>
        <v>0.26607538802660757</v>
      </c>
      <c r="H144" s="1312">
        <f t="shared" si="47"/>
        <v>5.0133333333333336</v>
      </c>
      <c r="I144" s="1312">
        <f t="shared" si="47"/>
        <v>-0.50657894736842102</v>
      </c>
      <c r="J144" s="1312">
        <f t="shared" si="47"/>
        <v>-1.323404255319149</v>
      </c>
      <c r="K144" s="1312">
        <f t="shared" si="47"/>
        <v>0.40298507462686572</v>
      </c>
      <c r="L144" s="1312">
        <f t="shared" si="47"/>
        <v>-3.3426573426573425</v>
      </c>
      <c r="M144" s="1312">
        <f t="shared" si="47"/>
        <v>0.64367816091954033</v>
      </c>
      <c r="N144" s="1312">
        <f t="shared" si="47"/>
        <v>-1.0910041841004183</v>
      </c>
      <c r="O144" s="1312">
        <f t="shared" si="47"/>
        <v>-3.0515021459227469</v>
      </c>
      <c r="P144" s="1312">
        <f t="shared" si="47"/>
        <v>-0.16934046345811049</v>
      </c>
      <c r="Q144" s="1312">
        <f t="shared" si="47"/>
        <v>-2.0935672514619883</v>
      </c>
      <c r="R144" s="1312">
        <f t="shared" si="47"/>
        <v>0</v>
      </c>
      <c r="S144" s="1312">
        <f t="shared" si="47"/>
        <v>-0.47058823529411764</v>
      </c>
      <c r="T144" s="1312">
        <f t="shared" si="47"/>
        <v>0</v>
      </c>
      <c r="U144" s="1312">
        <f t="shared" si="47"/>
        <v>-0.17741935483870963</v>
      </c>
      <c r="V144" s="1312">
        <f t="shared" si="47"/>
        <v>0</v>
      </c>
      <c r="W144" s="1312">
        <f t="shared" si="47"/>
        <v>-6.2848050914876663E-2</v>
      </c>
      <c r="X144" s="1312">
        <f t="shared" si="47"/>
        <v>-4.1503759398496243</v>
      </c>
      <c r="Y144" s="850"/>
    </row>
    <row r="145" spans="1:25">
      <c r="A145" s="848"/>
      <c r="B145" s="1316"/>
      <c r="C145" s="1317"/>
      <c r="D145" s="1317"/>
      <c r="E145" s="1317"/>
      <c r="F145" s="1317"/>
      <c r="G145" s="1317"/>
      <c r="H145" s="1317"/>
      <c r="I145" s="1317"/>
      <c r="J145" s="1317"/>
      <c r="K145" s="344"/>
      <c r="L145" s="344"/>
      <c r="M145" s="1317"/>
      <c r="N145" s="1317"/>
      <c r="O145" s="1317"/>
      <c r="P145" s="1317"/>
      <c r="Q145" s="1317"/>
      <c r="R145" s="1317"/>
      <c r="S145" s="1317"/>
      <c r="T145" s="1317"/>
      <c r="U145" s="1317"/>
      <c r="V145" s="1317"/>
      <c r="W145" s="1317"/>
      <c r="X145" s="1317"/>
      <c r="Y145" s="849"/>
    </row>
    <row r="146" spans="1:25">
      <c r="A146" s="844" t="s">
        <v>1047</v>
      </c>
      <c r="B146" s="1308"/>
      <c r="C146" s="1309">
        <f t="shared" ref="C146:Y146" si="48">C128/C104</f>
        <v>3.1569664902998236E-2</v>
      </c>
      <c r="D146" s="1309">
        <f t="shared" si="48"/>
        <v>6.4997245879411886E-2</v>
      </c>
      <c r="E146" s="1309">
        <f t="shared" si="48"/>
        <v>0.22295241572350005</v>
      </c>
      <c r="F146" s="1309">
        <f t="shared" si="48"/>
        <v>0.13756017617535593</v>
      </c>
      <c r="G146" s="1309">
        <f t="shared" si="48"/>
        <v>7.4283167434259403E-2</v>
      </c>
      <c r="H146" s="1309">
        <f t="shared" si="48"/>
        <v>5.2818532818532819E-2</v>
      </c>
      <c r="I146" s="1309">
        <f t="shared" si="48"/>
        <v>-9.1376356367789836E-3</v>
      </c>
      <c r="J146" s="1309">
        <f t="shared" si="48"/>
        <v>5.4419215612685305E-3</v>
      </c>
      <c r="K146" s="1309">
        <f t="shared" si="48"/>
        <v>-0.11189138576779026</v>
      </c>
      <c r="L146" s="1309">
        <f t="shared" si="48"/>
        <v>-0.12954146830368329</v>
      </c>
      <c r="M146" s="1309">
        <f t="shared" si="48"/>
        <v>-5.9934616781692701E-3</v>
      </c>
      <c r="N146" s="1309">
        <f t="shared" si="48"/>
        <v>-1.7173051519154558E-2</v>
      </c>
      <c r="O146" s="1309">
        <f t="shared" si="48"/>
        <v>-0.2052748063445223</v>
      </c>
      <c r="P146" s="1309">
        <f t="shared" si="48"/>
        <v>4.8264311814859927E-2</v>
      </c>
      <c r="Q146" s="1309">
        <f t="shared" si="48"/>
        <v>5.8977517708654142E-2</v>
      </c>
      <c r="R146" s="1309">
        <f t="shared" si="48"/>
        <v>-0.17823431426985009</v>
      </c>
      <c r="S146" s="1309">
        <f t="shared" si="48"/>
        <v>-0.17971497316305757</v>
      </c>
      <c r="T146" s="1309">
        <f t="shared" si="48"/>
        <v>-0.23037190082644629</v>
      </c>
      <c r="U146" s="1309">
        <f t="shared" si="48"/>
        <v>-0.23415977961432508</v>
      </c>
      <c r="V146" s="1309">
        <f t="shared" si="48"/>
        <v>-0.26203482417207236</v>
      </c>
      <c r="W146" s="1309">
        <f t="shared" si="48"/>
        <v>-0.28490952543530212</v>
      </c>
      <c r="X146" s="1309">
        <f t="shared" si="48"/>
        <v>-2.0621985697655082E-2</v>
      </c>
      <c r="Y146" s="851">
        <f t="shared" si="48"/>
        <v>5.384752088146437E-2</v>
      </c>
    </row>
    <row r="147" spans="1:25">
      <c r="A147" s="846" t="s">
        <v>1048</v>
      </c>
      <c r="B147" s="1311"/>
      <c r="C147" s="1312">
        <f t="shared" ref="C147:X147" si="49">C128/C104-1</f>
        <v>-0.96843033509700172</v>
      </c>
      <c r="D147" s="1312">
        <f t="shared" si="49"/>
        <v>-0.93500275412058809</v>
      </c>
      <c r="E147" s="1312">
        <f t="shared" si="49"/>
        <v>-0.77704758427649989</v>
      </c>
      <c r="F147" s="1312">
        <f t="shared" si="49"/>
        <v>-0.86243982382464401</v>
      </c>
      <c r="G147" s="1312">
        <f t="shared" si="49"/>
        <v>-0.92571683256574055</v>
      </c>
      <c r="H147" s="1312">
        <f t="shared" si="49"/>
        <v>-0.94718146718146723</v>
      </c>
      <c r="I147" s="1312">
        <f t="shared" si="49"/>
        <v>-1.0091376356367789</v>
      </c>
      <c r="J147" s="1312">
        <f t="shared" si="49"/>
        <v>-0.99455807843873145</v>
      </c>
      <c r="K147" s="1312">
        <f t="shared" si="49"/>
        <v>-1.1118913857677903</v>
      </c>
      <c r="L147" s="1312">
        <f t="shared" si="49"/>
        <v>-1.1295414683036833</v>
      </c>
      <c r="M147" s="1312">
        <f t="shared" si="49"/>
        <v>-1.0059934616781692</v>
      </c>
      <c r="N147" s="1312">
        <f t="shared" si="49"/>
        <v>-1.0171730515191546</v>
      </c>
      <c r="O147" s="1312">
        <f t="shared" si="49"/>
        <v>-1.2052748063445222</v>
      </c>
      <c r="P147" s="1312">
        <f t="shared" si="49"/>
        <v>-0.95173568818514009</v>
      </c>
      <c r="Q147" s="1312">
        <f t="shared" si="49"/>
        <v>-0.94102248229134589</v>
      </c>
      <c r="R147" s="1312">
        <f t="shared" si="49"/>
        <v>-1.1782343142698501</v>
      </c>
      <c r="S147" s="1312">
        <f t="shared" si="49"/>
        <v>-1.1797149731630576</v>
      </c>
      <c r="T147" s="1312">
        <f t="shared" si="49"/>
        <v>-1.2303719008264462</v>
      </c>
      <c r="U147" s="1312">
        <f t="shared" si="49"/>
        <v>-1.2341597796143251</v>
      </c>
      <c r="V147" s="1312">
        <f t="shared" si="49"/>
        <v>-1.2620348241720722</v>
      </c>
      <c r="W147" s="1312">
        <f t="shared" si="49"/>
        <v>-1.2849095254353022</v>
      </c>
      <c r="X147" s="1312">
        <f t="shared" si="49"/>
        <v>-1.0206219856976551</v>
      </c>
      <c r="Y147" s="850"/>
    </row>
    <row r="148" spans="1:25">
      <c r="A148" s="848"/>
      <c r="B148" s="1316"/>
      <c r="C148" s="1317"/>
      <c r="D148" s="1317"/>
      <c r="E148" s="1317"/>
      <c r="F148" s="1317"/>
      <c r="G148" s="1317"/>
      <c r="H148" s="1317"/>
      <c r="I148" s="1317"/>
      <c r="J148" s="1317"/>
      <c r="K148" s="344"/>
      <c r="L148" s="344"/>
      <c r="M148" s="1317"/>
      <c r="N148" s="1317"/>
      <c r="O148" s="1317"/>
      <c r="P148" s="1317"/>
      <c r="Q148" s="1317"/>
      <c r="R148" s="1317"/>
      <c r="S148" s="1317"/>
      <c r="T148" s="1317"/>
      <c r="U148" s="1317"/>
      <c r="V148" s="1317"/>
      <c r="W148" s="1317"/>
      <c r="X148" s="1317"/>
      <c r="Y148" s="849"/>
    </row>
    <row r="149" spans="1:25">
      <c r="A149" s="844" t="s">
        <v>251</v>
      </c>
      <c r="B149" s="1308"/>
      <c r="C149" s="1309">
        <f t="shared" ref="C149:Y149" si="50">C131/C104</f>
        <v>4.3386243386243389E-2</v>
      </c>
      <c r="D149" s="1309">
        <f t="shared" si="50"/>
        <v>6.4997245879411886E-2</v>
      </c>
      <c r="E149" s="1309">
        <f t="shared" si="50"/>
        <v>0</v>
      </c>
      <c r="F149" s="1309">
        <f t="shared" si="50"/>
        <v>0.25903922974495547</v>
      </c>
      <c r="G149" s="1309">
        <f t="shared" si="50"/>
        <v>6.5517753677016788E-2</v>
      </c>
      <c r="H149" s="1309">
        <f t="shared" si="50"/>
        <v>5.5598455598455596E-2</v>
      </c>
      <c r="I149" s="1309">
        <f t="shared" si="50"/>
        <v>-0.22501427755568246</v>
      </c>
      <c r="J149" s="1309">
        <f t="shared" si="50"/>
        <v>-0.20754362919872396</v>
      </c>
      <c r="K149" s="1309">
        <f t="shared" si="50"/>
        <v>-0.11867977528089887</v>
      </c>
      <c r="L149" s="1309">
        <f t="shared" si="50"/>
        <v>-0.14432473064394888</v>
      </c>
      <c r="M149" s="1309">
        <f t="shared" si="50"/>
        <v>-3.0148928441699963E-2</v>
      </c>
      <c r="N149" s="1309">
        <f t="shared" si="50"/>
        <v>-1.7739196074731081E-2</v>
      </c>
      <c r="O149" s="1309">
        <f t="shared" si="50"/>
        <v>-0.20564367392106234</v>
      </c>
      <c r="P149" s="1309">
        <f t="shared" si="50"/>
        <v>3.1973203410475028E-2</v>
      </c>
      <c r="Q149" s="1309">
        <f t="shared" si="50"/>
        <v>5.6667693255312596E-2</v>
      </c>
      <c r="R149" s="1309">
        <f t="shared" si="50"/>
        <v>-0.11012400518230613</v>
      </c>
      <c r="S149" s="1309">
        <f t="shared" si="50"/>
        <v>-0.1110494169905608</v>
      </c>
      <c r="T149" s="1309">
        <f t="shared" si="50"/>
        <v>-0.30268595041322316</v>
      </c>
      <c r="U149" s="1309">
        <f t="shared" si="50"/>
        <v>-0.30526859504132231</v>
      </c>
      <c r="V149" s="1309">
        <f t="shared" si="50"/>
        <v>-0.34107203823830656</v>
      </c>
      <c r="W149" s="1309">
        <f t="shared" si="50"/>
        <v>-0.35711847046773643</v>
      </c>
      <c r="X149" s="1309">
        <f t="shared" si="50"/>
        <v>-0.1169133543988026</v>
      </c>
      <c r="Y149" s="851">
        <f t="shared" si="50"/>
        <v>4.9760085303003375E-2</v>
      </c>
    </row>
    <row r="150" spans="1:25">
      <c r="A150" s="852" t="s">
        <v>1049</v>
      </c>
      <c r="B150" s="853"/>
      <c r="C150" s="854">
        <f t="shared" ref="C150:X150" si="51">C131/D131-1</f>
        <v>-0.35853976531942633</v>
      </c>
      <c r="D150" s="854" t="e">
        <f t="shared" si="51"/>
        <v>#DIV/0!</v>
      </c>
      <c r="E150" s="854">
        <f t="shared" si="51"/>
        <v>-1</v>
      </c>
      <c r="F150" s="854">
        <f t="shared" si="51"/>
        <v>4.7346938775510203</v>
      </c>
      <c r="G150" s="854">
        <f t="shared" si="51"/>
        <v>0.22500000000000009</v>
      </c>
      <c r="H150" s="854">
        <f t="shared" si="51"/>
        <v>-1.3045685279187818</v>
      </c>
      <c r="I150" s="854">
        <f t="shared" si="51"/>
        <v>6.8716094032549746E-2</v>
      </c>
      <c r="J150" s="854">
        <f t="shared" si="51"/>
        <v>1.1814595660749507</v>
      </c>
      <c r="K150" s="854">
        <f t="shared" si="51"/>
        <v>-0.11979166666666663</v>
      </c>
      <c r="L150" s="854">
        <f t="shared" si="51"/>
        <v>2.4698795180722892</v>
      </c>
      <c r="M150" s="854">
        <f t="shared" si="51"/>
        <v>0.76595744680851063</v>
      </c>
      <c r="N150" s="854">
        <f t="shared" si="51"/>
        <v>-0.91569506726457395</v>
      </c>
      <c r="O150" s="854">
        <f t="shared" si="51"/>
        <v>-6.3095238095238093</v>
      </c>
      <c r="P150" s="854">
        <f t="shared" si="51"/>
        <v>-0.42934782608695654</v>
      </c>
      <c r="Q150" s="854">
        <f t="shared" si="51"/>
        <v>-1.6184873949579832</v>
      </c>
      <c r="R150" s="854">
        <f t="shared" si="51"/>
        <v>-8.3333333333333037E-3</v>
      </c>
      <c r="S150" s="854">
        <f t="shared" si="51"/>
        <v>-0.65870307167235498</v>
      </c>
      <c r="T150" s="854">
        <f t="shared" si="51"/>
        <v>-8.4602368866327771E-3</v>
      </c>
      <c r="U150" s="854">
        <f t="shared" si="51"/>
        <v>-0.11261261261261257</v>
      </c>
      <c r="V150" s="854">
        <f t="shared" si="51"/>
        <v>-4.4933078393881498E-2</v>
      </c>
      <c r="W150" s="854">
        <f t="shared" si="51"/>
        <v>1.9758179231863444</v>
      </c>
      <c r="X150" s="854">
        <f t="shared" si="51"/>
        <v>-3.5107142857142857</v>
      </c>
      <c r="Y150" s="855">
        <f>Y131/Z122-1</f>
        <v>7.194244604316502E-3</v>
      </c>
    </row>
    <row r="155" spans="1:25">
      <c r="C155" s="683"/>
    </row>
  </sheetData>
  <mergeCells count="26">
    <mergeCell ref="G2:J2"/>
    <mergeCell ref="D4:M4"/>
    <mergeCell ref="R5:S5"/>
    <mergeCell ref="H79:I79"/>
    <mergeCell ref="E79:G79"/>
    <mergeCell ref="E80:L86"/>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31:B131"/>
    <mergeCell ref="A118:B118"/>
    <mergeCell ref="A125:B125"/>
    <mergeCell ref="A126:B126"/>
    <mergeCell ref="A129:B129"/>
    <mergeCell ref="A130:B130"/>
  </mergeCells>
  <pageMargins left="0.75" right="0.75" top="1" bottom="1" header="0" footer="0"/>
  <pageSetup orientation="portrait" horizontalDpi="4294967292"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O91"/>
  <sheetViews>
    <sheetView topLeftCell="A84" zoomScale="110" workbookViewId="0">
      <selection activeCell="B103" sqref="B103"/>
    </sheetView>
  </sheetViews>
  <sheetFormatPr defaultColWidth="11.44140625" defaultRowHeight="13.2"/>
  <cols>
    <col min="1" max="1" width="36.109375" style="8" customWidth="1"/>
    <col min="2" max="10" width="12.44140625" style="41" customWidth="1"/>
    <col min="11" max="12" width="12.44140625" style="48" customWidth="1"/>
    <col min="13" max="13" width="12.109375" style="48" bestFit="1" customWidth="1"/>
    <col min="14" max="16384" width="11.44140625" style="40"/>
  </cols>
  <sheetData>
    <row r="1" spans="1:15" ht="15.6">
      <c r="A1" s="1972" t="e" vm="1">
        <f>Inputs!H3</f>
        <v>#VALUE!</v>
      </c>
      <c r="B1" s="1972"/>
      <c r="C1" s="1972"/>
      <c r="D1" s="1972"/>
      <c r="E1" s="1972"/>
      <c r="F1" s="1972"/>
      <c r="G1" s="1972"/>
      <c r="H1" s="1972"/>
      <c r="I1" s="1972"/>
      <c r="J1" s="1972"/>
      <c r="K1" s="1972"/>
      <c r="L1" s="1972"/>
      <c r="M1" s="1972"/>
    </row>
    <row r="2" spans="1:15" ht="11.4">
      <c r="A2" s="1973" t="str">
        <f>Inputs!G2</f>
        <v>Figures in Millions of USD</v>
      </c>
      <c r="B2" s="1973"/>
      <c r="C2" s="1973"/>
      <c r="D2" s="1973"/>
      <c r="E2" s="1973"/>
      <c r="F2" s="1973"/>
      <c r="G2" s="1973"/>
      <c r="H2" s="1973"/>
      <c r="I2" s="1973"/>
      <c r="J2" s="1973"/>
      <c r="K2" s="1973"/>
      <c r="L2" s="1973"/>
      <c r="M2" s="1973"/>
    </row>
    <row r="3" spans="1:15" ht="21">
      <c r="A3" s="1971" t="s">
        <v>327</v>
      </c>
      <c r="B3" s="1971"/>
      <c r="C3" s="1971"/>
      <c r="D3" s="1971"/>
      <c r="E3" s="1971"/>
      <c r="F3" s="1971"/>
      <c r="G3" s="1971"/>
      <c r="H3" s="1971"/>
      <c r="I3" s="1971"/>
      <c r="J3" s="1971"/>
      <c r="K3" s="1971"/>
      <c r="L3" s="1971"/>
      <c r="M3" s="1971"/>
    </row>
    <row r="4" spans="1:15">
      <c r="A4" s="107"/>
      <c r="B4" s="50">
        <f>OP!J20</f>
        <v>2023</v>
      </c>
      <c r="C4" s="42">
        <f>B4-1</f>
        <v>2022</v>
      </c>
      <c r="D4" s="42">
        <f t="shared" ref="D4:M4" si="0">C4-1</f>
        <v>2021</v>
      </c>
      <c r="E4" s="42">
        <f t="shared" si="0"/>
        <v>2020</v>
      </c>
      <c r="F4" s="42">
        <f t="shared" si="0"/>
        <v>2019</v>
      </c>
      <c r="G4" s="42">
        <f t="shared" si="0"/>
        <v>2018</v>
      </c>
      <c r="H4" s="42">
        <f t="shared" si="0"/>
        <v>2017</v>
      </c>
      <c r="I4" s="42">
        <f t="shared" si="0"/>
        <v>2016</v>
      </c>
      <c r="J4" s="42">
        <f>I4-1</f>
        <v>2015</v>
      </c>
      <c r="K4" s="42">
        <f t="shared" si="0"/>
        <v>2014</v>
      </c>
      <c r="L4" s="42">
        <f t="shared" si="0"/>
        <v>2013</v>
      </c>
      <c r="M4" s="42">
        <f t="shared" si="0"/>
        <v>2012</v>
      </c>
    </row>
    <row r="5" spans="1:15">
      <c r="A5" s="108" t="s">
        <v>120</v>
      </c>
      <c r="B5" s="51">
        <f>_xlfn.XLOOKUP($A5,Inputs!$A:$A,Inputs!B:B,,0)</f>
        <v>22680</v>
      </c>
      <c r="C5" s="51">
        <f>_xlfn.XLOOKUP($A5,Inputs!$A:$A,Inputs!C:C,,0)</f>
        <v>23601</v>
      </c>
      <c r="D5" s="51">
        <f>_xlfn.XLOOKUP($A5,Inputs!$A:$A,Inputs!D:D,,0)</f>
        <v>16434</v>
      </c>
      <c r="E5" s="51">
        <f>_xlfn.XLOOKUP($A5,Inputs!$A:$A,Inputs!E:E,,0)</f>
        <v>9763</v>
      </c>
      <c r="F5" s="51">
        <f>_xlfn.XLOOKUP($A5,Inputs!$A:$A,Inputs!F:F,,0)</f>
        <v>6731</v>
      </c>
      <c r="G5" s="51">
        <f>_xlfn.XLOOKUP($A5,Inputs!$A:$A,Inputs!G:G,,0)</f>
        <v>6475</v>
      </c>
      <c r="H5" s="51">
        <f>_xlfn.XLOOKUP($A5,Inputs!$A:$A,Inputs!H:H,,0)</f>
        <v>5253</v>
      </c>
      <c r="I5" s="51">
        <f>_xlfn.XLOOKUP($A5,Inputs!$A:$A,Inputs!I:I,,0)</f>
        <v>4272</v>
      </c>
      <c r="J5" s="51">
        <f>_xlfn.XLOOKUP($A5,Inputs!$A:$A,Inputs!J:J,,0)</f>
        <v>3991</v>
      </c>
      <c r="K5" s="51">
        <f>_xlfn.XLOOKUP($A5,Inputs!$A:$A,Inputs!K:K,,0)</f>
        <v>5506</v>
      </c>
      <c r="L5" s="51">
        <f>_xlfn.XLOOKUP($A5,Inputs!$A:$A,Inputs!L:L,,0)</f>
        <v>5299</v>
      </c>
      <c r="M5" s="52">
        <f>_xlfn.XLOOKUP($A5,Inputs!$A:$A,Inputs!M:M,,0)</f>
        <v>5422</v>
      </c>
    </row>
    <row r="6" spans="1:15">
      <c r="A6" s="109" t="s">
        <v>1050</v>
      </c>
      <c r="B6" s="53">
        <f t="shared" ref="B6:L6" si="1">IFERROR(B5/C5-1,"-")</f>
        <v>-3.9023770179229644E-2</v>
      </c>
      <c r="C6" s="53">
        <f t="shared" si="1"/>
        <v>0.43610806863818907</v>
      </c>
      <c r="D6" s="53">
        <f t="shared" si="1"/>
        <v>0.68329406944586712</v>
      </c>
      <c r="E6" s="53">
        <f t="shared" si="1"/>
        <v>0.45045312732134901</v>
      </c>
      <c r="F6" s="53">
        <f t="shared" si="1"/>
        <v>3.9536679536679609E-2</v>
      </c>
      <c r="G6" s="53">
        <f t="shared" si="1"/>
        <v>0.23262897391966497</v>
      </c>
      <c r="H6" s="53">
        <f t="shared" si="1"/>
        <v>0.2296348314606742</v>
      </c>
      <c r="I6" s="53">
        <f t="shared" si="1"/>
        <v>7.0408418942620843E-2</v>
      </c>
      <c r="J6" s="53">
        <f t="shared" si="1"/>
        <v>-0.27515437704322554</v>
      </c>
      <c r="K6" s="53">
        <f t="shared" si="1"/>
        <v>3.9063974334780038E-2</v>
      </c>
      <c r="L6" s="53">
        <f t="shared" si="1"/>
        <v>-2.2685355957211328E-2</v>
      </c>
      <c r="M6" s="54" t="str">
        <f>IFERROR(M5/#REF!-1,"-")</f>
        <v>-</v>
      </c>
      <c r="O6" s="976"/>
    </row>
    <row r="7" spans="1:15">
      <c r="A7" s="108" t="s">
        <v>915</v>
      </c>
      <c r="B7" s="51">
        <f>_xlfn.XLOOKUP($A7,Inputs!$A:$A,Inputs!B:B,,0)</f>
        <v>10460</v>
      </c>
      <c r="C7" s="51">
        <f>_xlfn.XLOOKUP($A7,Inputs!$A:$A,Inputs!C:C,,0)</f>
        <v>10603</v>
      </c>
      <c r="D7" s="51">
        <f>_xlfn.XLOOKUP($A7,Inputs!$A:$A,Inputs!D:D,,0)</f>
        <v>7929</v>
      </c>
      <c r="E7" s="51">
        <f>_xlfn.XLOOKUP($A7,Inputs!$A:$A,Inputs!E:E,,0)</f>
        <v>4347</v>
      </c>
      <c r="F7" s="51">
        <f>_xlfn.XLOOKUP($A7,Inputs!$A:$A,Inputs!F:F,,0)</f>
        <v>2868</v>
      </c>
      <c r="G7" s="51">
        <f>_xlfn.XLOOKUP($A7,Inputs!$A:$A,Inputs!G:G,,0)</f>
        <v>2447</v>
      </c>
      <c r="H7" s="51">
        <f>_xlfn.XLOOKUP($A7,Inputs!$A:$A,Inputs!H:H,,0)</f>
        <v>1787</v>
      </c>
      <c r="I7" s="51">
        <f>_xlfn.XLOOKUP($A7,Inputs!$A:$A,Inputs!I:I,,0)</f>
        <v>998</v>
      </c>
      <c r="J7" s="51">
        <f>_xlfn.XLOOKUP($A7,Inputs!$A:$A,Inputs!J:J,,0)</f>
        <v>1080</v>
      </c>
      <c r="K7" s="51">
        <f>_xlfn.XLOOKUP($A7,Inputs!$A:$A,Inputs!K:K,,0)</f>
        <v>1839</v>
      </c>
      <c r="L7" s="51">
        <f>_xlfn.XLOOKUP($A7,Inputs!$A:$A,Inputs!L:L,,0)</f>
        <v>1978</v>
      </c>
      <c r="M7" s="52">
        <f>_xlfn.XLOOKUP($A7,Inputs!$A:$A,Inputs!M:M,,0)</f>
        <v>1235</v>
      </c>
    </row>
    <row r="8" spans="1:15">
      <c r="A8" s="109" t="s">
        <v>1051</v>
      </c>
      <c r="B8" s="53">
        <f>IFERROR(B7/B$5,"-")</f>
        <v>0.46119929453262787</v>
      </c>
      <c r="C8" s="53">
        <f t="shared" ref="C8:M8" si="2">IFERROR(C7/C$5,"-")</f>
        <v>0.4492606245498072</v>
      </c>
      <c r="D8" s="53">
        <f t="shared" si="2"/>
        <v>0.48247535596933189</v>
      </c>
      <c r="E8" s="53">
        <f t="shared" si="2"/>
        <v>0.44525248386766364</v>
      </c>
      <c r="F8" s="53">
        <f t="shared" si="2"/>
        <v>0.42608824840291187</v>
      </c>
      <c r="G8" s="53">
        <f t="shared" si="2"/>
        <v>0.37791505791505792</v>
      </c>
      <c r="H8" s="53">
        <f t="shared" si="2"/>
        <v>0.34018656006091758</v>
      </c>
      <c r="I8" s="53">
        <f t="shared" si="2"/>
        <v>0.23361423220973782</v>
      </c>
      <c r="J8" s="53">
        <f t="shared" si="2"/>
        <v>0.27060886995740419</v>
      </c>
      <c r="K8" s="53">
        <f t="shared" si="2"/>
        <v>0.33399927351979658</v>
      </c>
      <c r="L8" s="53">
        <f t="shared" si="2"/>
        <v>0.37327797697678805</v>
      </c>
      <c r="M8" s="54">
        <f t="shared" si="2"/>
        <v>0.22777572851346367</v>
      </c>
    </row>
    <row r="9" spans="1:15">
      <c r="A9" s="108" t="s">
        <v>1052</v>
      </c>
      <c r="B9" s="51">
        <f t="shared" ref="B9:M9" si="3">B5-B11</f>
        <v>22279</v>
      </c>
      <c r="C9" s="51">
        <f t="shared" si="3"/>
        <v>22337</v>
      </c>
      <c r="D9" s="51">
        <f t="shared" si="3"/>
        <v>12793</v>
      </c>
      <c r="E9" s="51">
        <f t="shared" si="3"/>
        <v>8448</v>
      </c>
      <c r="F9" s="51">
        <f t="shared" si="3"/>
        <v>6276</v>
      </c>
      <c r="G9" s="51">
        <f t="shared" si="3"/>
        <v>6036</v>
      </c>
      <c r="H9" s="51">
        <f t="shared" si="3"/>
        <v>5138</v>
      </c>
      <c r="I9" s="51">
        <f t="shared" si="3"/>
        <v>4712</v>
      </c>
      <c r="J9" s="51">
        <f t="shared" si="3"/>
        <v>4472</v>
      </c>
      <c r="K9" s="51">
        <f t="shared" si="3"/>
        <v>5722</v>
      </c>
      <c r="L9" s="51">
        <f t="shared" si="3"/>
        <v>5197</v>
      </c>
      <c r="M9" s="52">
        <f t="shared" si="3"/>
        <v>6482</v>
      </c>
    </row>
    <row r="10" spans="1:15">
      <c r="A10" s="109" t="s">
        <v>1051</v>
      </c>
      <c r="B10" s="53">
        <f>IFERROR(B9/B$5,"-")</f>
        <v>0.98231922398589067</v>
      </c>
      <c r="C10" s="53">
        <f t="shared" ref="C10:M10" si="4">IFERROR(C9/C$5,"-")</f>
        <v>0.94644294733274015</v>
      </c>
      <c r="D10" s="53">
        <f t="shared" si="4"/>
        <v>0.77844712182061582</v>
      </c>
      <c r="E10" s="53">
        <f t="shared" si="4"/>
        <v>0.86530779473522479</v>
      </c>
      <c r="F10" s="53">
        <f t="shared" si="4"/>
        <v>0.93240231763482395</v>
      </c>
      <c r="G10" s="53">
        <f t="shared" si="4"/>
        <v>0.93220077220077224</v>
      </c>
      <c r="H10" s="53">
        <f t="shared" si="4"/>
        <v>0.97810774795355038</v>
      </c>
      <c r="I10" s="53">
        <f t="shared" si="4"/>
        <v>1.1029962546816479</v>
      </c>
      <c r="J10" s="53">
        <f t="shared" si="4"/>
        <v>1.1205211726384365</v>
      </c>
      <c r="K10" s="53">
        <f t="shared" si="4"/>
        <v>1.0392299309843807</v>
      </c>
      <c r="L10" s="53">
        <f t="shared" si="4"/>
        <v>0.98075108511039821</v>
      </c>
      <c r="M10" s="54">
        <f t="shared" si="4"/>
        <v>1.1954998155662118</v>
      </c>
    </row>
    <row r="11" spans="1:15">
      <c r="A11" s="108" t="s">
        <v>291</v>
      </c>
      <c r="B11" s="51">
        <f>_xlfn.XLOOKUP($A11,Inputs!$A:$A,Inputs!B:B,,0)</f>
        <v>401</v>
      </c>
      <c r="C11" s="51">
        <f>_xlfn.XLOOKUP($A11,Inputs!$A:$A,Inputs!C:C,,0)</f>
        <v>1264</v>
      </c>
      <c r="D11" s="51">
        <f>_xlfn.XLOOKUP($A11,Inputs!$A:$A,Inputs!D:D,,0)</f>
        <v>3641</v>
      </c>
      <c r="E11" s="51">
        <f>_xlfn.XLOOKUP($A11,Inputs!$A:$A,Inputs!E:E,,0)</f>
        <v>1315</v>
      </c>
      <c r="F11" s="51">
        <f>_xlfn.XLOOKUP($A11,Inputs!$A:$A,Inputs!F:F,,0)</f>
        <v>455</v>
      </c>
      <c r="G11" s="51">
        <f>_xlfn.XLOOKUP($A11,Inputs!$A:$A,Inputs!G:G,,0)</f>
        <v>439</v>
      </c>
      <c r="H11" s="51">
        <f>_xlfn.XLOOKUP($A11,Inputs!$A:$A,Inputs!H:H,,0)</f>
        <v>115</v>
      </c>
      <c r="I11" s="51">
        <f>_xlfn.XLOOKUP($A11,Inputs!$A:$A,Inputs!I:I,,0)</f>
        <v>-440</v>
      </c>
      <c r="J11" s="51">
        <f>_xlfn.XLOOKUP($A11,Inputs!$A:$A,Inputs!J:J,,0)</f>
        <v>-481</v>
      </c>
      <c r="K11" s="51">
        <f>_xlfn.XLOOKUP($A11,Inputs!$A:$A,Inputs!K:K,,0)</f>
        <v>-216</v>
      </c>
      <c r="L11" s="51">
        <f>_xlfn.XLOOKUP($A11,Inputs!$A:$A,Inputs!L:L,,0)</f>
        <v>102</v>
      </c>
      <c r="M11" s="52">
        <f>_xlfn.XLOOKUP($A11,Inputs!$A:$A,Inputs!M:M,,0)</f>
        <v>-1060</v>
      </c>
    </row>
    <row r="12" spans="1:15">
      <c r="A12" s="109" t="s">
        <v>121</v>
      </c>
      <c r="B12" s="53">
        <f t="shared" ref="B12:M12" si="5">IFERROR(B11/B$5,"-")</f>
        <v>1.7680776014109348E-2</v>
      </c>
      <c r="C12" s="53">
        <f t="shared" si="5"/>
        <v>5.3557052667259859E-2</v>
      </c>
      <c r="D12" s="53">
        <f t="shared" si="5"/>
        <v>0.22155287817938421</v>
      </c>
      <c r="E12" s="53">
        <f t="shared" si="5"/>
        <v>0.13469220526477518</v>
      </c>
      <c r="F12" s="53">
        <f t="shared" si="5"/>
        <v>6.7597682365176048E-2</v>
      </c>
      <c r="G12" s="53">
        <f t="shared" si="5"/>
        <v>6.7799227799227799E-2</v>
      </c>
      <c r="H12" s="53">
        <f t="shared" si="5"/>
        <v>2.1892252046449647E-2</v>
      </c>
      <c r="I12" s="53">
        <f t="shared" si="5"/>
        <v>-0.10299625468164794</v>
      </c>
      <c r="J12" s="53">
        <f t="shared" si="5"/>
        <v>-0.12052117263843648</v>
      </c>
      <c r="K12" s="53">
        <f t="shared" si="5"/>
        <v>-3.9229930984380677E-2</v>
      </c>
      <c r="L12" s="53">
        <f t="shared" si="5"/>
        <v>1.9248914889601811E-2</v>
      </c>
      <c r="M12" s="54">
        <f t="shared" si="5"/>
        <v>-0.19549981556621174</v>
      </c>
    </row>
    <row r="13" spans="1:15">
      <c r="A13" s="108" t="s">
        <v>1053</v>
      </c>
      <c r="B13" s="53">
        <f t="shared" ref="B13" si="6">IFERROR(B12/C12-1,"-")</f>
        <v>-0.66987025735047889</v>
      </c>
      <c r="C13" s="53">
        <f t="shared" ref="C13" si="7">IFERROR(C12/D12-1,"-")</f>
        <v>-0.75826514596711103</v>
      </c>
      <c r="D13" s="53">
        <f t="shared" ref="D13" si="8">IFERROR(D12/E12-1,"-")</f>
        <v>0.64488269936526832</v>
      </c>
      <c r="E13" s="53">
        <f t="shared" ref="E13" si="9">IFERROR(E12/F12-1,"-")</f>
        <v>0.99255655744439952</v>
      </c>
      <c r="F13" s="53">
        <f t="shared" ref="F13" si="10">IFERROR(F12/G12-1,"-")</f>
        <v>-2.9726803769591914E-3</v>
      </c>
      <c r="G13" s="53">
        <f t="shared" ref="G13" si="11">IFERROR(G12/H12-1,"-")</f>
        <v>2.0969508141682054</v>
      </c>
      <c r="H13" s="53">
        <f t="shared" ref="H13" si="12">IFERROR(H12/I12-1,"-")</f>
        <v>-1.2125538653237111</v>
      </c>
      <c r="I13" s="53">
        <f t="shared" ref="I13" si="13">IFERROR(I12/J12-1,"-")</f>
        <v>-0.1454094543982184</v>
      </c>
      <c r="J13" s="53">
        <f t="shared" ref="J13" si="14">IFERROR(J12/K12-1,"-")</f>
        <v>2.0721739654964408</v>
      </c>
      <c r="K13" s="53">
        <f t="shared" ref="K13" si="15">IFERROR(K12/L12-1,"-")</f>
        <v>-3.0380333753552278</v>
      </c>
      <c r="L13" s="53">
        <f t="shared" ref="L13" si="16">IFERROR(L12/M12-1,"-")</f>
        <v>-1.0984600155956803</v>
      </c>
      <c r="M13" s="54" t="str">
        <f>IFERROR(M12/#REF!-1,"-")</f>
        <v>-</v>
      </c>
    </row>
    <row r="14" spans="1:15">
      <c r="A14" s="110" t="s">
        <v>292</v>
      </c>
      <c r="B14" s="51">
        <f>_xlfn.XLOOKUP($A14,Inputs!$A:$A,Inputs!B:B,,0)</f>
        <v>99</v>
      </c>
      <c r="C14" s="51">
        <f>_xlfn.XLOOKUP($A14,Inputs!$A:$A,Inputs!C:C,,0)</f>
        <v>-85</v>
      </c>
      <c r="D14" s="51">
        <f>_xlfn.XLOOKUP($A14,Inputs!$A:$A,Inputs!D:D,,0)</f>
        <v>30</v>
      </c>
      <c r="E14" s="51">
        <f>_xlfn.XLOOKUP($A14,Inputs!$A:$A,Inputs!E:E,,0)</f>
        <v>-39</v>
      </c>
      <c r="F14" s="51">
        <f>_xlfn.XLOOKUP($A14,Inputs!$A:$A,Inputs!F:F,,0)</f>
        <v>-80</v>
      </c>
      <c r="G14" s="51">
        <f>_xlfn.XLOOKUP($A14,Inputs!$A:$A,Inputs!G:G,,0)</f>
        <v>-106</v>
      </c>
      <c r="H14" s="51">
        <f>_xlfn.XLOOKUP($A14,Inputs!$A:$A,Inputs!H:H,,0)</f>
        <v>-123</v>
      </c>
      <c r="I14" s="51">
        <f>_xlfn.XLOOKUP($A14,Inputs!$A:$A,Inputs!I:I,,0)</f>
        <v>-153</v>
      </c>
      <c r="J14" s="51">
        <f>_xlfn.XLOOKUP($A14,Inputs!$A:$A,Inputs!J:J,,0)</f>
        <v>-163</v>
      </c>
      <c r="K14" s="51">
        <f>_xlfn.XLOOKUP($A14,Inputs!$A:$A,Inputs!K:K,,0)</f>
        <v>-177</v>
      </c>
      <c r="L14" s="51">
        <f>_xlfn.XLOOKUP($A14,Inputs!$A:$A,Inputs!L:L,,0)</f>
        <v>-174</v>
      </c>
      <c r="M14" s="52">
        <f>_xlfn.XLOOKUP($A14,Inputs!$A:$A,Inputs!M:M,,0)</f>
        <v>-167</v>
      </c>
    </row>
    <row r="15" spans="1:15">
      <c r="A15" s="108" t="s">
        <v>918</v>
      </c>
      <c r="B15" s="51">
        <f>_xlfn.XLOOKUP($A15,Inputs!$A:$A,Inputs!B:B,,0)</f>
        <v>8</v>
      </c>
      <c r="C15" s="51">
        <f>_xlfn.XLOOKUP($A15,Inputs!$A:$A,Inputs!C:C,,0)</f>
        <v>19</v>
      </c>
      <c r="D15" s="51">
        <f>_xlfn.XLOOKUP($A15,Inputs!$A:$A,Inputs!D:D,,0)</f>
        <v>4</v>
      </c>
      <c r="E15" s="51">
        <f>_xlfn.XLOOKUP($A15,Inputs!$A:$A,Inputs!E:E,,0)</f>
        <v>4</v>
      </c>
      <c r="F15" s="51">
        <f>_xlfn.XLOOKUP($A15,Inputs!$A:$A,Inputs!F:F,,0)</f>
        <v>10</v>
      </c>
      <c r="G15" s="51">
        <f>_xlfn.XLOOKUP($A15,Inputs!$A:$A,Inputs!G:G,,0)</f>
        <v>-18</v>
      </c>
      <c r="H15" s="51">
        <f>_xlfn.XLOOKUP($A15,Inputs!$A:$A,Inputs!H:H,,0)</f>
        <v>1123</v>
      </c>
      <c r="I15" s="51">
        <f>_xlfn.XLOOKUP($A15,Inputs!$A:$A,Inputs!I:I,,0)</f>
        <v>135</v>
      </c>
      <c r="J15" s="51">
        <f>_xlfn.XLOOKUP($A15,Inputs!$A:$A,Inputs!J:J,,0)</f>
        <v>-2</v>
      </c>
      <c r="K15" s="51">
        <f>_xlfn.XLOOKUP($A15,Inputs!$A:$A,Inputs!K:K,,0)</f>
        <v>-5</v>
      </c>
      <c r="L15" s="51">
        <f>_xlfn.XLOOKUP($A15,Inputs!$A:$A,Inputs!L:L,,0)</f>
        <v>-2</v>
      </c>
      <c r="M15" s="52">
        <f>_xlfn.XLOOKUP($A15,Inputs!$A:$A,Inputs!M:M,,0)</f>
        <v>10</v>
      </c>
    </row>
    <row r="16" spans="1:15">
      <c r="A16" s="110" t="s">
        <v>58</v>
      </c>
      <c r="B16" s="51">
        <f>B11-B15</f>
        <v>393</v>
      </c>
      <c r="C16" s="51">
        <f t="shared" ref="C16:M16" si="17">C11-C15</f>
        <v>1245</v>
      </c>
      <c r="D16" s="51">
        <f t="shared" si="17"/>
        <v>3637</v>
      </c>
      <c r="E16" s="51">
        <f t="shared" si="17"/>
        <v>1311</v>
      </c>
      <c r="F16" s="51">
        <f t="shared" si="17"/>
        <v>445</v>
      </c>
      <c r="G16" s="51">
        <f t="shared" si="17"/>
        <v>457</v>
      </c>
      <c r="H16" s="51">
        <f t="shared" si="17"/>
        <v>-1008</v>
      </c>
      <c r="I16" s="51">
        <f t="shared" si="17"/>
        <v>-575</v>
      </c>
      <c r="J16" s="51">
        <f t="shared" si="17"/>
        <v>-479</v>
      </c>
      <c r="K16" s="51">
        <f t="shared" si="17"/>
        <v>-211</v>
      </c>
      <c r="L16" s="51">
        <f t="shared" si="17"/>
        <v>104</v>
      </c>
      <c r="M16" s="52">
        <f t="shared" si="17"/>
        <v>-1070</v>
      </c>
    </row>
    <row r="17" spans="1:13">
      <c r="A17" s="108" t="s">
        <v>54</v>
      </c>
      <c r="B17" s="51">
        <f>_xlfn.XLOOKUP($A17,Inputs!$A:$A,Inputs!B:B,,0)</f>
        <v>3453</v>
      </c>
      <c r="C17" s="51">
        <f>_xlfn.XLOOKUP($A17,Inputs!$A:$A,Inputs!C:C,,0)</f>
        <v>4174</v>
      </c>
      <c r="D17" s="51">
        <f>_xlfn.XLOOKUP($A17,Inputs!$A:$A,Inputs!D:D,,0)</f>
        <v>407</v>
      </c>
      <c r="E17" s="51">
        <f>_xlfn.XLOOKUP($A17,Inputs!$A:$A,Inputs!E:E,,0)</f>
        <v>312</v>
      </c>
      <c r="F17" s="51">
        <f>_xlfn.XLOOKUP($A17,Inputs!$A:$A,Inputs!F:F,,0)</f>
        <v>222</v>
      </c>
      <c r="G17" s="51">
        <f>_xlfn.XLOOKUP($A17,Inputs!$A:$A,Inputs!G:G,,0)</f>
        <v>170</v>
      </c>
      <c r="H17" s="51">
        <f>_xlfn.XLOOKUP($A17,Inputs!$A:$A,Inputs!H:H,,0)</f>
        <v>144</v>
      </c>
      <c r="I17" s="51">
        <f>_xlfn.XLOOKUP($A17,Inputs!$A:$A,Inputs!I:I,,0)</f>
        <v>133</v>
      </c>
      <c r="J17" s="51">
        <f>_xlfn.XLOOKUP($A17,Inputs!$A:$A,Inputs!J:J,,0)</f>
        <v>167</v>
      </c>
      <c r="K17" s="51">
        <f>_xlfn.XLOOKUP($A17,Inputs!$A:$A,Inputs!K:K,,0)</f>
        <v>203</v>
      </c>
      <c r="L17" s="51">
        <f>_xlfn.XLOOKUP($A17,Inputs!$A:$A,Inputs!L:L,,0)</f>
        <v>236</v>
      </c>
      <c r="M17" s="52">
        <f>_xlfn.XLOOKUP($A17,Inputs!$A:$A,Inputs!M:M,,0)</f>
        <v>260</v>
      </c>
    </row>
    <row r="18" spans="1:13">
      <c r="A18" s="110" t="s">
        <v>935</v>
      </c>
      <c r="B18" s="51">
        <f>_xlfn.XLOOKUP($A18,Inputs!$A:$A,Inputs!B:B,,0)</f>
        <v>2331</v>
      </c>
      <c r="C18" s="51">
        <f>_xlfn.XLOOKUP($A18,Inputs!$A:$A,Inputs!C:C,,0)</f>
        <v>2007</v>
      </c>
      <c r="D18" s="51">
        <f>_xlfn.XLOOKUP($A18,Inputs!$A:$A,Inputs!D:D,,0)</f>
        <v>-323</v>
      </c>
      <c r="E18" s="51">
        <f>_xlfn.XLOOKUP($A18,Inputs!$A:$A,Inputs!E:E,,0)</f>
        <v>1359</v>
      </c>
      <c r="F18" s="51">
        <f>_xlfn.XLOOKUP($A18,Inputs!$A:$A,Inputs!F:F,,0)</f>
        <v>294</v>
      </c>
      <c r="G18" s="51">
        <f>_xlfn.XLOOKUP($A18,Inputs!$A:$A,Inputs!G:G,,0)</f>
        <v>542</v>
      </c>
      <c r="H18" s="51">
        <f>_xlfn.XLOOKUP($A18,Inputs!$A:$A,Inputs!H:H,,0)</f>
        <v>16</v>
      </c>
      <c r="I18" s="51">
        <f>_xlfn.XLOOKUP($A18,Inputs!$A:$A,Inputs!I:I,,0)</f>
        <v>-212</v>
      </c>
      <c r="J18" s="51">
        <f>_xlfn.XLOOKUP($A18,Inputs!$A:$A,Inputs!J:J,,0)</f>
        <v>-359</v>
      </c>
      <c r="K18" s="51">
        <f>_xlfn.XLOOKUP($A18,Inputs!$A:$A,Inputs!K:K,,0)</f>
        <v>94</v>
      </c>
      <c r="L18" s="51">
        <f>_xlfn.XLOOKUP($A18,Inputs!$A:$A,Inputs!L:L,,0)</f>
        <v>78</v>
      </c>
      <c r="M18" s="52">
        <f>_xlfn.XLOOKUP($A18,Inputs!$A:$A,Inputs!M:M,,0)</f>
        <v>319</v>
      </c>
    </row>
    <row r="19" spans="1:13">
      <c r="A19" s="108" t="s">
        <v>50</v>
      </c>
      <c r="B19" s="51">
        <f>B11-B15+B17</f>
        <v>3846</v>
      </c>
      <c r="C19" s="51">
        <f>C11-C15+C17</f>
        <v>5419</v>
      </c>
      <c r="D19" s="51">
        <f t="shared" ref="D19:M19" si="18">D11-D15+D17</f>
        <v>4044</v>
      </c>
      <c r="E19" s="51">
        <f t="shared" si="18"/>
        <v>1623</v>
      </c>
      <c r="F19" s="51">
        <f t="shared" si="18"/>
        <v>667</v>
      </c>
      <c r="G19" s="51">
        <f t="shared" si="18"/>
        <v>627</v>
      </c>
      <c r="H19" s="51">
        <f t="shared" si="18"/>
        <v>-864</v>
      </c>
      <c r="I19" s="51">
        <f t="shared" si="18"/>
        <v>-442</v>
      </c>
      <c r="J19" s="51">
        <f t="shared" si="18"/>
        <v>-312</v>
      </c>
      <c r="K19" s="51">
        <f t="shared" si="18"/>
        <v>-8</v>
      </c>
      <c r="L19" s="51">
        <f t="shared" si="18"/>
        <v>340</v>
      </c>
      <c r="M19" s="52">
        <f t="shared" si="18"/>
        <v>-810</v>
      </c>
    </row>
    <row r="20" spans="1:13">
      <c r="A20" s="109" t="s">
        <v>1054</v>
      </c>
      <c r="B20" s="53">
        <f t="shared" ref="B20" si="19">IFERROR(B19/B$5,"-")</f>
        <v>0.16957671957671958</v>
      </c>
      <c r="C20" s="53">
        <f t="shared" ref="C20" si="20">IFERROR(C19/C$5,"-")</f>
        <v>0.2296089148764883</v>
      </c>
      <c r="D20" s="53">
        <f t="shared" ref="D20" si="21">IFERROR(D19/D$5,"-")</f>
        <v>0.24607520993063162</v>
      </c>
      <c r="E20" s="53">
        <f t="shared" ref="E20" si="22">IFERROR(E19/E$5,"-")</f>
        <v>0.16623988528116357</v>
      </c>
      <c r="F20" s="53">
        <f t="shared" ref="F20" si="23">IFERROR(F19/F$5,"-")</f>
        <v>9.9093745357302032E-2</v>
      </c>
      <c r="G20" s="53">
        <f t="shared" ref="G20" si="24">IFERROR(G19/G$5,"-")</f>
        <v>9.6833976833976834E-2</v>
      </c>
      <c r="H20" s="53">
        <f t="shared" ref="H20" si="25">IFERROR(H19/H$5,"-")</f>
        <v>-0.1644774414620217</v>
      </c>
      <c r="I20" s="53">
        <f t="shared" ref="I20" si="26">IFERROR(I19/I$5,"-")</f>
        <v>-0.10346441947565543</v>
      </c>
      <c r="J20" s="53">
        <f t="shared" ref="J20" si="27">IFERROR(J19/J$5,"-")</f>
        <v>-7.8175895765472306E-2</v>
      </c>
      <c r="K20" s="53">
        <f t="shared" ref="K20" si="28">IFERROR(K19/K$5,"-")</f>
        <v>-1.452960406828914E-3</v>
      </c>
      <c r="L20" s="53">
        <f t="shared" ref="L20" si="29">IFERROR(L19/L$5,"-")</f>
        <v>6.4163049632006044E-2</v>
      </c>
      <c r="M20" s="54">
        <f t="shared" ref="M20" si="30">IFERROR(M19/M$5,"-")</f>
        <v>-0.14939136849870896</v>
      </c>
    </row>
    <row r="21" spans="1:13">
      <c r="A21" s="108" t="s">
        <v>293</v>
      </c>
      <c r="B21" s="51">
        <f>_xlfn.XLOOKUP($A21,Inputs!$A:$A,Inputs!B:B,,0)</f>
        <v>346</v>
      </c>
      <c r="C21" s="51">
        <f>_xlfn.XLOOKUP($A21,Inputs!$A:$A,Inputs!C:C,,0)</f>
        <v>122</v>
      </c>
      <c r="D21" s="51">
        <f>_xlfn.XLOOKUP($A21,Inputs!$A:$A,Inputs!D:D,,0)</f>
        <v>-513</v>
      </c>
      <c r="E21" s="51">
        <f>_xlfn.XLOOKUP($A21,Inputs!$A:$A,Inputs!E:E,,0)</f>
        <v>1210</v>
      </c>
      <c r="F21" s="51">
        <f>_xlfn.XLOOKUP($A21,Inputs!$A:$A,Inputs!F:F,,0)</f>
        <v>-44</v>
      </c>
      <c r="G21" s="51">
        <f>_xlfn.XLOOKUP($A21,Inputs!$A:$A,Inputs!G:G,,0)</f>
        <v>22</v>
      </c>
      <c r="H21" s="51">
        <f>_xlfn.XLOOKUP($A21,Inputs!$A:$A,Inputs!H:H,,0)</f>
        <v>-1148</v>
      </c>
      <c r="I21" s="51">
        <f>_xlfn.XLOOKUP($A21,Inputs!$A:$A,Inputs!I:I,,0)</f>
        <v>-39</v>
      </c>
      <c r="J21" s="51">
        <f>_xlfn.XLOOKUP($A21,Inputs!$A:$A,Inputs!J:J,,0)</f>
        <v>-14</v>
      </c>
      <c r="K21" s="51">
        <f>_xlfn.XLOOKUP($A21,Inputs!$A:$A,Inputs!K:K,,0)</f>
        <v>-5</v>
      </c>
      <c r="L21" s="51">
        <f>_xlfn.XLOOKUP($A21,Inputs!$A:$A,Inputs!L:L,,0)</f>
        <v>-9</v>
      </c>
      <c r="M21" s="52">
        <f>_xlfn.XLOOKUP($A21,Inputs!$A:$A,Inputs!M:M,,0)</f>
        <v>34</v>
      </c>
    </row>
    <row r="22" spans="1:13">
      <c r="A22" s="109" t="s">
        <v>1055</v>
      </c>
      <c r="B22" s="53">
        <f t="shared" ref="B22" si="31">IFERROR(B21/B$5,"-")</f>
        <v>1.525573192239859E-2</v>
      </c>
      <c r="C22" s="53">
        <f t="shared" ref="C22" si="32">IFERROR(C21/C$5,"-")</f>
        <v>5.1692724884538788E-3</v>
      </c>
      <c r="D22" s="53">
        <f t="shared" ref="D22" si="33">IFERROR(D21/D$5,"-")</f>
        <v>-3.12157721796276E-2</v>
      </c>
      <c r="E22" s="53">
        <f t="shared" ref="E22" si="34">IFERROR(E21/E$5,"-")</f>
        <v>0.12393731435009731</v>
      </c>
      <c r="F22" s="53">
        <f t="shared" ref="F22" si="35">IFERROR(F21/F$5,"-")</f>
        <v>-6.536918734214827E-3</v>
      </c>
      <c r="G22" s="53">
        <f t="shared" ref="G22" si="36">IFERROR(G21/G$5,"-")</f>
        <v>3.3976833976833978E-3</v>
      </c>
      <c r="H22" s="53">
        <f t="shared" ref="H22" si="37">IFERROR(H21/H$5,"-")</f>
        <v>-0.21854178564629737</v>
      </c>
      <c r="I22" s="53">
        <f t="shared" ref="I22" si="38">IFERROR(I21/I$5,"-")</f>
        <v>-9.1292134831460672E-3</v>
      </c>
      <c r="J22" s="53">
        <f t="shared" ref="J22" si="39">IFERROR(J21/J$5,"-")</f>
        <v>-3.5078927587070909E-3</v>
      </c>
      <c r="K22" s="53">
        <f t="shared" ref="K22" si="40">IFERROR(K21/K$5,"-")</f>
        <v>-9.0810025426807123E-4</v>
      </c>
      <c r="L22" s="53">
        <f t="shared" ref="L22" si="41">IFERROR(L21/L$5,"-")</f>
        <v>-1.6984336667295716E-3</v>
      </c>
      <c r="M22" s="54">
        <f t="shared" ref="M22" si="42">IFERROR(M21/M$5,"-")</f>
        <v>6.270748801180376E-3</v>
      </c>
    </row>
    <row r="23" spans="1:13">
      <c r="A23" s="108" t="s">
        <v>62</v>
      </c>
      <c r="B23" s="51">
        <f>_xlfn.XLOOKUP($A23,Inputs!$A:$A,Inputs!B:B,,0)</f>
        <v>854</v>
      </c>
      <c r="C23" s="51">
        <f>_xlfn.XLOOKUP($A23,Inputs!$A:$A,Inputs!C:C,,0)</f>
        <v>1320</v>
      </c>
      <c r="D23" s="51">
        <f>_xlfn.XLOOKUP($A23,Inputs!$A:$A,Inputs!D:D,,0)</f>
        <v>3162</v>
      </c>
      <c r="E23" s="51">
        <f>_xlfn.XLOOKUP($A23,Inputs!$A:$A,Inputs!E:E,,0)</f>
        <v>2490</v>
      </c>
      <c r="F23" s="51">
        <f>_xlfn.XLOOKUP($A23,Inputs!$A:$A,Inputs!F:F,,0)</f>
        <v>341</v>
      </c>
      <c r="G23" s="51">
        <f>_xlfn.XLOOKUP($A23,Inputs!$A:$A,Inputs!G:G,,0)</f>
        <v>337</v>
      </c>
      <c r="H23" s="51">
        <f>_xlfn.XLOOKUP($A23,Inputs!$A:$A,Inputs!H:H,,0)</f>
        <v>-33</v>
      </c>
      <c r="I23" s="51">
        <f>_xlfn.XLOOKUP($A23,Inputs!$A:$A,Inputs!I:I,,0)</f>
        <v>-497</v>
      </c>
      <c r="J23" s="51">
        <f>_xlfn.XLOOKUP($A23,Inputs!$A:$A,Inputs!J:J,,0)</f>
        <v>-660</v>
      </c>
      <c r="K23" s="51">
        <f>_xlfn.XLOOKUP($A23,Inputs!$A:$A,Inputs!K:K,,0)</f>
        <v>-403</v>
      </c>
      <c r="L23" s="51">
        <f>_xlfn.XLOOKUP($A23,Inputs!$A:$A,Inputs!L:L,,0)</f>
        <v>-83</v>
      </c>
      <c r="M23" s="52">
        <f>_xlfn.XLOOKUP($A23,Inputs!$A:$A,Inputs!M:M,,0)</f>
        <v>-1183</v>
      </c>
    </row>
    <row r="24" spans="1:13">
      <c r="A24" s="109" t="s">
        <v>251</v>
      </c>
      <c r="B24" s="53">
        <f t="shared" ref="B24" si="43">IFERROR(B23/B$5,"-")</f>
        <v>3.7654320987654324E-2</v>
      </c>
      <c r="C24" s="53">
        <f t="shared" ref="C24" si="44">IFERROR(C23/C$5,"-")</f>
        <v>5.5929833481632135E-2</v>
      </c>
      <c r="D24" s="53">
        <f t="shared" ref="D24" si="45">IFERROR(D23/D$5,"-")</f>
        <v>0.19240598758671049</v>
      </c>
      <c r="E24" s="53">
        <f t="shared" ref="E24" si="46">IFERROR(E23/E$5,"-")</f>
        <v>0.25504455597664655</v>
      </c>
      <c r="F24" s="53">
        <f t="shared" ref="F24" si="47">IFERROR(F23/F$5,"-")</f>
        <v>5.0661120190164909E-2</v>
      </c>
      <c r="G24" s="53">
        <f t="shared" ref="G24" si="48">IFERROR(G23/G$5,"-")</f>
        <v>5.2046332046332043E-2</v>
      </c>
      <c r="H24" s="53">
        <f t="shared" ref="H24" si="49">IFERROR(H23/H$5,"-")</f>
        <v>-6.2821245002855509E-3</v>
      </c>
      <c r="I24" s="53">
        <f t="shared" ref="I24" si="50">IFERROR(I23/I$5,"-")</f>
        <v>-0.11633895131086143</v>
      </c>
      <c r="J24" s="53">
        <f t="shared" ref="J24" si="51">IFERROR(J23/J$5,"-")</f>
        <v>-0.16537208719619143</v>
      </c>
      <c r="K24" s="53">
        <f t="shared" ref="K24" si="52">IFERROR(K23/K$5,"-")</f>
        <v>-7.3192880494006532E-2</v>
      </c>
      <c r="L24" s="53">
        <f t="shared" ref="L24" si="53">IFERROR(L23/L$5,"-")</f>
        <v>-1.5663332704283828E-2</v>
      </c>
      <c r="M24" s="54">
        <f t="shared" ref="M24" si="54">IFERROR(M23/M$5,"-")</f>
        <v>-0.21818517152342309</v>
      </c>
    </row>
    <row r="25" spans="1:13">
      <c r="A25" s="108" t="s">
        <v>1050</v>
      </c>
      <c r="B25" s="53">
        <f t="shared" ref="B25" si="55">IFERROR(B24/C24-1,"-")</f>
        <v>-0.32675785634118959</v>
      </c>
      <c r="C25" s="53">
        <f t="shared" ref="C25" si="56">IFERROR(C24/D24-1,"-")</f>
        <v>-0.70931344609831037</v>
      </c>
      <c r="D25" s="53">
        <f t="shared" ref="D25" si="57">IFERROR(D24/E24-1,"-")</f>
        <v>-0.24559853140198618</v>
      </c>
      <c r="E25" s="53">
        <f t="shared" ref="E25" si="58">IFERROR(E24/F24-1,"-")</f>
        <v>4.0343252383542758</v>
      </c>
      <c r="F25" s="53">
        <f t="shared" ref="F25" si="59">IFERROR(F24/G24-1,"-")</f>
        <v>-2.6614975574724586E-2</v>
      </c>
      <c r="G25" s="53">
        <f t="shared" ref="G25" si="60">IFERROR(G24/H24-1,"-")</f>
        <v>-9.2848297648297642</v>
      </c>
      <c r="H25" s="53">
        <f t="shared" ref="H25" si="61">IFERROR(H24/I24-1,"-")</f>
        <v>-0.94600153749452742</v>
      </c>
      <c r="I25" s="53">
        <f t="shared" ref="I25" si="62">IFERROR(I24/J24-1,"-")</f>
        <v>-0.29650188684598788</v>
      </c>
      <c r="J25" s="53">
        <f t="shared" ref="J25" si="63">IFERROR(J24/K24-1,"-")</f>
        <v>1.2594012707251365</v>
      </c>
      <c r="K25" s="53">
        <f t="shared" ref="K25" si="64">IFERROR(K24/L24-1,"-")</f>
        <v>3.6728804064788028</v>
      </c>
      <c r="L25" s="53">
        <f t="shared" ref="L25" si="65">IFERROR(L24/M24-1,"-")</f>
        <v>-0.92821082846777103</v>
      </c>
      <c r="M25" s="54" t="str">
        <f>IFERROR(M24/#REF!-1,"-")</f>
        <v>-</v>
      </c>
    </row>
    <row r="26" spans="1:13">
      <c r="A26" s="109" t="s">
        <v>1056</v>
      </c>
      <c r="B26" s="55">
        <f>B39-C39</f>
        <v>-902</v>
      </c>
      <c r="C26" s="55">
        <f t="shared" ref="C26:M26" si="66">C39-D39</f>
        <v>2300</v>
      </c>
      <c r="D26" s="55">
        <f t="shared" si="66"/>
        <v>940</v>
      </c>
      <c r="E26" s="55">
        <f t="shared" si="66"/>
        <v>129</v>
      </c>
      <c r="F26" s="55">
        <f t="shared" si="66"/>
        <v>388</v>
      </c>
      <c r="G26" s="55">
        <f t="shared" si="66"/>
        <v>-107</v>
      </c>
      <c r="H26" s="55">
        <f t="shared" si="66"/>
        <v>-79</v>
      </c>
      <c r="I26" s="55">
        <f t="shared" si="66"/>
        <v>479</v>
      </c>
      <c r="J26" s="55">
        <f t="shared" si="66"/>
        <v>-20</v>
      </c>
      <c r="K26" s="55">
        <f t="shared" si="66"/>
        <v>-64</v>
      </c>
      <c r="L26" s="55">
        <f t="shared" si="66"/>
        <v>320</v>
      </c>
      <c r="M26" s="52">
        <f t="shared" si="66"/>
        <v>549</v>
      </c>
    </row>
    <row r="27" spans="1:13">
      <c r="A27" s="108" t="s">
        <v>131</v>
      </c>
      <c r="B27" s="51">
        <f>_xlfn.XLOOKUP($A27,Inputs!$A:$A,Inputs!B:B,,0)</f>
        <v>0</v>
      </c>
      <c r="C27" s="51">
        <f>_xlfn.XLOOKUP($A27,Inputs!$A:$A,Inputs!C:C,,0)</f>
        <v>0</v>
      </c>
      <c r="D27" s="51">
        <f>_xlfn.XLOOKUP($A27,Inputs!$A:$A,Inputs!D:D,,0)</f>
        <v>0</v>
      </c>
      <c r="E27" s="51">
        <f>_xlfn.XLOOKUP($A27,Inputs!$A:$A,Inputs!E:E,,0)</f>
        <v>0</v>
      </c>
      <c r="F27" s="51">
        <f>_xlfn.XLOOKUP($A27,Inputs!$A:$A,Inputs!F:F,,0)</f>
        <v>0</v>
      </c>
      <c r="G27" s="51">
        <f>_xlfn.XLOOKUP($A27,Inputs!$A:$A,Inputs!G:G,,0)</f>
        <v>0</v>
      </c>
      <c r="H27" s="51">
        <f>_xlfn.XLOOKUP($A27,Inputs!$A:$A,Inputs!H:H,,0)</f>
        <v>0</v>
      </c>
      <c r="I27" s="51">
        <f>_xlfn.XLOOKUP($A27,Inputs!$A:$A,Inputs!I:I,,0)</f>
        <v>0</v>
      </c>
      <c r="J27" s="51">
        <f>_xlfn.XLOOKUP($A27,Inputs!$A:$A,Inputs!J:J,,0)</f>
        <v>0</v>
      </c>
      <c r="K27" s="51">
        <f>_xlfn.XLOOKUP($A27,Inputs!$A:$A,Inputs!K:K,,0)</f>
        <v>0</v>
      </c>
      <c r="L27" s="51">
        <f>_xlfn.XLOOKUP($A27,Inputs!$A:$A,Inputs!L:L,,0)</f>
        <v>0</v>
      </c>
      <c r="M27" s="52">
        <f>_xlfn.XLOOKUP($A27,Inputs!$A:$A,Inputs!M:M,,0)</f>
        <v>0</v>
      </c>
    </row>
    <row r="28" spans="1:13">
      <c r="A28" s="110" t="s">
        <v>991</v>
      </c>
      <c r="B28" s="51">
        <f>_xlfn.XLOOKUP($A28,Inputs!$A:$A,Inputs!B:B,,0)</f>
        <v>-985</v>
      </c>
      <c r="C28" s="51">
        <f>_xlfn.XLOOKUP($A28,Inputs!$A:$A,Inputs!C:C,,0)</f>
        <v>-3702</v>
      </c>
      <c r="D28" s="51">
        <f>_xlfn.XLOOKUP($A28,Inputs!$A:$A,Inputs!D:D,,0)</f>
        <v>-1762</v>
      </c>
      <c r="E28" s="51">
        <f>_xlfn.XLOOKUP($A28,Inputs!$A:$A,Inputs!E:E,,0)</f>
        <v>0</v>
      </c>
      <c r="F28" s="51">
        <f>_xlfn.XLOOKUP($A28,Inputs!$A:$A,Inputs!F:F,,0)</f>
        <v>0</v>
      </c>
      <c r="G28" s="51">
        <f>_xlfn.XLOOKUP($A28,Inputs!$A:$A,Inputs!G:G,,0)</f>
        <v>0</v>
      </c>
      <c r="H28" s="51">
        <f>_xlfn.XLOOKUP($A28,Inputs!$A:$A,Inputs!H:H,,0)</f>
        <v>0</v>
      </c>
      <c r="I28" s="51">
        <f>_xlfn.XLOOKUP($A28,Inputs!$A:$A,Inputs!I:I,,0)</f>
        <v>0</v>
      </c>
      <c r="J28" s="51">
        <f>_xlfn.XLOOKUP($A28,Inputs!$A:$A,Inputs!J:J,,0)</f>
        <v>0</v>
      </c>
      <c r="K28" s="51">
        <f>_xlfn.XLOOKUP($A28,Inputs!$A:$A,Inputs!K:K,,0)</f>
        <v>0</v>
      </c>
      <c r="L28" s="51">
        <f>_xlfn.XLOOKUP($A28,Inputs!$A:$A,Inputs!L:L,,0)</f>
        <v>0</v>
      </c>
      <c r="M28" s="52">
        <f>_xlfn.XLOOKUP($A28,Inputs!$A:$A,Inputs!M:M,,0)</f>
        <v>0</v>
      </c>
    </row>
    <row r="29" spans="1:13">
      <c r="A29" s="108" t="s">
        <v>123</v>
      </c>
      <c r="B29" s="55">
        <f>SUM(B26:B28)</f>
        <v>-1887</v>
      </c>
      <c r="C29" s="55">
        <f t="shared" ref="C29:M29" si="67">SUM(C26:C28)</f>
        <v>-1402</v>
      </c>
      <c r="D29" s="55">
        <f t="shared" si="67"/>
        <v>-822</v>
      </c>
      <c r="E29" s="55">
        <f t="shared" si="67"/>
        <v>129</v>
      </c>
      <c r="F29" s="55">
        <f t="shared" si="67"/>
        <v>388</v>
      </c>
      <c r="G29" s="55">
        <f t="shared" si="67"/>
        <v>-107</v>
      </c>
      <c r="H29" s="55">
        <f t="shared" si="67"/>
        <v>-79</v>
      </c>
      <c r="I29" s="55">
        <f t="shared" si="67"/>
        <v>479</v>
      </c>
      <c r="J29" s="55">
        <f t="shared" si="67"/>
        <v>-20</v>
      </c>
      <c r="K29" s="55">
        <f t="shared" si="67"/>
        <v>-64</v>
      </c>
      <c r="L29" s="55">
        <f t="shared" si="67"/>
        <v>320</v>
      </c>
      <c r="M29" s="52">
        <f t="shared" si="67"/>
        <v>549</v>
      </c>
    </row>
    <row r="30" spans="1:13">
      <c r="A30" s="110" t="s">
        <v>1057</v>
      </c>
      <c r="B30" s="55">
        <f>+B29-(B58-C29)</f>
        <v>-5541</v>
      </c>
      <c r="C30" s="55">
        <f t="shared" ref="C30:M30" si="68">+C29-(C58-D29)</f>
        <v>-5087</v>
      </c>
      <c r="D30" s="55">
        <f t="shared" si="68"/>
        <v>-1042</v>
      </c>
      <c r="E30" s="55">
        <f t="shared" si="68"/>
        <v>-14</v>
      </c>
      <c r="F30" s="55">
        <f t="shared" si="68"/>
        <v>-404</v>
      </c>
      <c r="G30" s="55">
        <f t="shared" si="68"/>
        <v>-1436</v>
      </c>
      <c r="H30" s="55">
        <f t="shared" si="68"/>
        <v>-995</v>
      </c>
      <c r="I30" s="55">
        <f t="shared" si="68"/>
        <v>-976</v>
      </c>
      <c r="J30" s="55">
        <f t="shared" si="68"/>
        <v>-2321</v>
      </c>
      <c r="K30" s="55">
        <f t="shared" si="68"/>
        <v>-1956</v>
      </c>
      <c r="L30" s="55">
        <f t="shared" si="68"/>
        <v>-1189</v>
      </c>
      <c r="M30" s="52">
        <f t="shared" si="68"/>
        <v>-1488</v>
      </c>
    </row>
    <row r="31" spans="1:13">
      <c r="A31" s="108" t="s">
        <v>1058</v>
      </c>
      <c r="B31" s="55">
        <f>+B30+B33</f>
        <v>-6407</v>
      </c>
      <c r="C31" s="55">
        <f t="shared" ref="C31:L31" si="69">+C30+C33</f>
        <v>-2622</v>
      </c>
      <c r="D31" s="55">
        <f t="shared" si="69"/>
        <v>-1420</v>
      </c>
      <c r="E31" s="55">
        <f t="shared" si="69"/>
        <v>-672</v>
      </c>
      <c r="F31" s="55">
        <f t="shared" si="69"/>
        <v>-363</v>
      </c>
      <c r="G31" s="55">
        <f t="shared" si="69"/>
        <v>-1514</v>
      </c>
      <c r="H31" s="55">
        <f t="shared" si="69"/>
        <v>-994</v>
      </c>
      <c r="I31" s="55">
        <f t="shared" si="69"/>
        <v>-634</v>
      </c>
      <c r="J31" s="55">
        <f t="shared" si="69"/>
        <v>-2078</v>
      </c>
      <c r="K31" s="55">
        <f t="shared" si="69"/>
        <v>-1873</v>
      </c>
      <c r="L31" s="55">
        <f t="shared" si="69"/>
        <v>-650</v>
      </c>
      <c r="M31" s="52">
        <f t="shared" ref="M31" si="70">+M30+M33</f>
        <v>-1365</v>
      </c>
    </row>
    <row r="32" spans="1:13">
      <c r="A32" s="110" t="s">
        <v>128</v>
      </c>
      <c r="B32" s="51">
        <f>_xlfn.XLOOKUP($A32,Inputs!$A:$A,Inputs!B:B,,0)</f>
        <v>-546</v>
      </c>
      <c r="C32" s="51">
        <f>_xlfn.XLOOKUP($A32,Inputs!$A:$A,Inputs!C:C,,0)</f>
        <v>-450</v>
      </c>
      <c r="D32" s="51">
        <f>_xlfn.XLOOKUP($A32,Inputs!$A:$A,Inputs!D:D,,0)</f>
        <v>-301</v>
      </c>
      <c r="E32" s="51">
        <f>_xlfn.XLOOKUP($A32,Inputs!$A:$A,Inputs!E:E,,0)</f>
        <v>-294</v>
      </c>
      <c r="F32" s="51">
        <f>_xlfn.XLOOKUP($A32,Inputs!$A:$A,Inputs!F:F,,0)</f>
        <v>-217</v>
      </c>
      <c r="G32" s="51">
        <f>_xlfn.XLOOKUP($A32,Inputs!$A:$A,Inputs!G:G,,0)</f>
        <v>-163</v>
      </c>
      <c r="H32" s="51">
        <f>_xlfn.XLOOKUP($A32,Inputs!$A:$A,Inputs!H:H,,0)</f>
        <v>-113</v>
      </c>
      <c r="I32" s="51">
        <f>_xlfn.XLOOKUP($A32,Inputs!$A:$A,Inputs!I:I,,0)</f>
        <v>-77</v>
      </c>
      <c r="J32" s="51">
        <f>_xlfn.XLOOKUP($A32,Inputs!$A:$A,Inputs!J:J,,0)</f>
        <v>-96</v>
      </c>
      <c r="K32" s="51">
        <f>_xlfn.XLOOKUP($A32,Inputs!$A:$A,Inputs!K:K,,0)</f>
        <v>-95</v>
      </c>
      <c r="L32" s="51">
        <f>_xlfn.XLOOKUP($A32,Inputs!$A:$A,Inputs!L:L,,0)</f>
        <v>-84</v>
      </c>
      <c r="M32" s="52">
        <f>_xlfn.XLOOKUP($A32,Inputs!$A:$A,Inputs!M:M,,0)</f>
        <v>-133</v>
      </c>
    </row>
    <row r="33" spans="1:13">
      <c r="A33" s="108" t="s">
        <v>129</v>
      </c>
      <c r="B33" s="51">
        <f>_xlfn.XLOOKUP($A33,Inputs!$A:$A,Inputs!B:B,,0)</f>
        <v>-866</v>
      </c>
      <c r="C33" s="51">
        <f>_xlfn.XLOOKUP($A33,Inputs!$A:$A,Inputs!C:C,,0)</f>
        <v>2465</v>
      </c>
      <c r="D33" s="51">
        <f>_xlfn.XLOOKUP($A33,Inputs!$A:$A,Inputs!D:D,,0)</f>
        <v>-378</v>
      </c>
      <c r="E33" s="51">
        <f>_xlfn.XLOOKUP($A33,Inputs!$A:$A,Inputs!E:E,,0)</f>
        <v>-658</v>
      </c>
      <c r="F33" s="51">
        <f>_xlfn.XLOOKUP($A33,Inputs!$A:$A,Inputs!F:F,,0)</f>
        <v>41</v>
      </c>
      <c r="G33" s="51">
        <f>_xlfn.XLOOKUP($A33,Inputs!$A:$A,Inputs!G:G,,0)</f>
        <v>-78</v>
      </c>
      <c r="H33" s="51">
        <f>_xlfn.XLOOKUP($A33,Inputs!$A:$A,Inputs!H:H,,0)</f>
        <v>1</v>
      </c>
      <c r="I33" s="51">
        <f>_xlfn.XLOOKUP($A33,Inputs!$A:$A,Inputs!I:I,,0)</f>
        <v>342</v>
      </c>
      <c r="J33" s="51">
        <f>_xlfn.XLOOKUP($A33,Inputs!$A:$A,Inputs!J:J,,0)</f>
        <v>243</v>
      </c>
      <c r="K33" s="51">
        <f>_xlfn.XLOOKUP($A33,Inputs!$A:$A,Inputs!K:K,,0)</f>
        <v>83</v>
      </c>
      <c r="L33" s="51">
        <f>_xlfn.XLOOKUP($A33,Inputs!$A:$A,Inputs!L:L,,0)</f>
        <v>539</v>
      </c>
      <c r="M33" s="52">
        <f>_xlfn.XLOOKUP($A33,Inputs!$A:$A,Inputs!M:M,,0)</f>
        <v>123</v>
      </c>
    </row>
    <row r="34" spans="1:13">
      <c r="A34" s="109" t="s">
        <v>124</v>
      </c>
      <c r="B34" s="55">
        <f t="shared" ref="B34:M34" si="71">+B32+B33</f>
        <v>-1412</v>
      </c>
      <c r="C34" s="55">
        <f t="shared" si="71"/>
        <v>2015</v>
      </c>
      <c r="D34" s="55">
        <f t="shared" si="71"/>
        <v>-679</v>
      </c>
      <c r="E34" s="55">
        <f t="shared" si="71"/>
        <v>-952</v>
      </c>
      <c r="F34" s="55">
        <f t="shared" si="71"/>
        <v>-176</v>
      </c>
      <c r="G34" s="55">
        <f t="shared" si="71"/>
        <v>-241</v>
      </c>
      <c r="H34" s="55">
        <f t="shared" si="71"/>
        <v>-112</v>
      </c>
      <c r="I34" s="55">
        <f t="shared" si="71"/>
        <v>265</v>
      </c>
      <c r="J34" s="55">
        <f t="shared" si="71"/>
        <v>147</v>
      </c>
      <c r="K34" s="55">
        <f t="shared" si="71"/>
        <v>-12</v>
      </c>
      <c r="L34" s="55">
        <f t="shared" si="71"/>
        <v>455</v>
      </c>
      <c r="M34" s="56">
        <f t="shared" si="71"/>
        <v>-10</v>
      </c>
    </row>
    <row r="35" spans="1:13">
      <c r="A35" s="108" t="s">
        <v>122</v>
      </c>
      <c r="B35" s="55">
        <f t="shared" ref="B35:M35" si="72">+B27+B28</f>
        <v>-985</v>
      </c>
      <c r="C35" s="55">
        <f t="shared" si="72"/>
        <v>-3702</v>
      </c>
      <c r="D35" s="55">
        <f t="shared" si="72"/>
        <v>-1762</v>
      </c>
      <c r="E35" s="55">
        <f t="shared" si="72"/>
        <v>0</v>
      </c>
      <c r="F35" s="55">
        <f t="shared" si="72"/>
        <v>0</v>
      </c>
      <c r="G35" s="55">
        <f t="shared" si="72"/>
        <v>0</v>
      </c>
      <c r="H35" s="55">
        <f t="shared" si="72"/>
        <v>0</v>
      </c>
      <c r="I35" s="55">
        <f t="shared" si="72"/>
        <v>0</v>
      </c>
      <c r="J35" s="55">
        <f t="shared" si="72"/>
        <v>0</v>
      </c>
      <c r="K35" s="55">
        <f t="shared" si="72"/>
        <v>0</v>
      </c>
      <c r="L35" s="55">
        <f t="shared" si="72"/>
        <v>0</v>
      </c>
      <c r="M35" s="56">
        <f t="shared" si="72"/>
        <v>0</v>
      </c>
    </row>
    <row r="36" spans="1:13">
      <c r="A36" s="110" t="s">
        <v>1059</v>
      </c>
      <c r="B36" s="53">
        <f>IFERROR(B35/B23,"-")</f>
        <v>-1.1533957845433256</v>
      </c>
      <c r="C36" s="53">
        <f t="shared" ref="C36:M36" si="73">IFERROR(C35/C23,"-")</f>
        <v>-2.8045454545454547</v>
      </c>
      <c r="D36" s="53">
        <f t="shared" si="73"/>
        <v>-0.55724225173940545</v>
      </c>
      <c r="E36" s="53">
        <f t="shared" si="73"/>
        <v>0</v>
      </c>
      <c r="F36" s="53">
        <f t="shared" si="73"/>
        <v>0</v>
      </c>
      <c r="G36" s="53">
        <f t="shared" si="73"/>
        <v>0</v>
      </c>
      <c r="H36" s="53">
        <f t="shared" si="73"/>
        <v>0</v>
      </c>
      <c r="I36" s="53">
        <f t="shared" si="73"/>
        <v>0</v>
      </c>
      <c r="J36" s="53">
        <f t="shared" si="73"/>
        <v>0</v>
      </c>
      <c r="K36" s="53">
        <f t="shared" si="73"/>
        <v>0</v>
      </c>
      <c r="L36" s="53">
        <f t="shared" si="73"/>
        <v>0</v>
      </c>
      <c r="M36" s="54">
        <f t="shared" si="73"/>
        <v>0</v>
      </c>
    </row>
    <row r="37" spans="1:13">
      <c r="A37" s="4"/>
      <c r="B37" s="44" t="s">
        <v>289</v>
      </c>
      <c r="C37" s="44" t="s">
        <v>289</v>
      </c>
      <c r="D37" s="44"/>
      <c r="E37" s="44"/>
      <c r="F37" s="44"/>
      <c r="G37" s="44"/>
      <c r="H37" s="44"/>
      <c r="I37" s="44"/>
      <c r="J37" s="44"/>
      <c r="K37" s="44"/>
      <c r="L37" s="44"/>
      <c r="M37" s="44"/>
    </row>
    <row r="38" spans="1:13" ht="21">
      <c r="A38" s="1971" t="s">
        <v>1060</v>
      </c>
      <c r="B38" s="1971"/>
      <c r="C38" s="1971"/>
      <c r="D38" s="1971"/>
      <c r="E38" s="1971"/>
      <c r="F38" s="1971"/>
      <c r="G38" s="1971"/>
      <c r="H38" s="1971"/>
      <c r="I38" s="1971"/>
      <c r="J38" s="1971"/>
      <c r="K38" s="1971"/>
      <c r="L38" s="1971"/>
      <c r="M38" s="1971"/>
    </row>
    <row r="39" spans="1:13">
      <c r="A39" s="111" t="s">
        <v>297</v>
      </c>
      <c r="B39" s="51">
        <f>_xlfn.XLOOKUP($A39,Inputs!$A:$A,Inputs!B:B,,0)</f>
        <v>3933</v>
      </c>
      <c r="C39" s="51">
        <f>_xlfn.XLOOKUP($A39,Inputs!$A:$A,Inputs!C:C,,0)</f>
        <v>4835</v>
      </c>
      <c r="D39" s="51">
        <f>_xlfn.XLOOKUP($A39,Inputs!$A:$A,Inputs!D:D,,0)</f>
        <v>2535</v>
      </c>
      <c r="E39" s="51">
        <f>_xlfn.XLOOKUP($A39,Inputs!$A:$A,Inputs!E:E,,0)</f>
        <v>1595</v>
      </c>
      <c r="F39" s="51">
        <f>_xlfn.XLOOKUP($A39,Inputs!$A:$A,Inputs!F:F,,0)</f>
        <v>1466</v>
      </c>
      <c r="G39" s="51">
        <f>_xlfn.XLOOKUP($A39,Inputs!$A:$A,Inputs!G:G,,0)</f>
        <v>1078</v>
      </c>
      <c r="H39" s="51">
        <f>_xlfn.XLOOKUP($A39,Inputs!$A:$A,Inputs!H:H,,0)</f>
        <v>1185</v>
      </c>
      <c r="I39" s="51">
        <f>_xlfn.XLOOKUP($A39,Inputs!$A:$A,Inputs!I:I,,0)</f>
        <v>1264</v>
      </c>
      <c r="J39" s="51">
        <f>_xlfn.XLOOKUP($A39,Inputs!$A:$A,Inputs!J:J,,0)</f>
        <v>785</v>
      </c>
      <c r="K39" s="51">
        <f>_xlfn.XLOOKUP($A39,Inputs!$A:$A,Inputs!K:K,,0)</f>
        <v>805</v>
      </c>
      <c r="L39" s="51">
        <f>_xlfn.XLOOKUP($A39,Inputs!$A:$A,Inputs!L:L,,0)</f>
        <v>869</v>
      </c>
      <c r="M39" s="52">
        <f>_xlfn.XLOOKUP($A39,Inputs!$A:$A,Inputs!M:M,,0)</f>
        <v>549</v>
      </c>
    </row>
    <row r="40" spans="1:13">
      <c r="A40" s="109" t="s">
        <v>946</v>
      </c>
      <c r="B40" s="51">
        <f>_xlfn.XLOOKUP($A40,Inputs!$A:$A,Inputs!B:B,,0)</f>
        <v>5376</v>
      </c>
      <c r="C40" s="51">
        <f>_xlfn.XLOOKUP($A40,Inputs!$A:$A,Inputs!C:C,,0)</f>
        <v>4128</v>
      </c>
      <c r="D40" s="51">
        <f>_xlfn.XLOOKUP($A40,Inputs!$A:$A,Inputs!D:D,,0)</f>
        <v>2706</v>
      </c>
      <c r="E40" s="51">
        <f>_xlfn.XLOOKUP($A40,Inputs!$A:$A,Inputs!E:E,,0)</f>
        <v>2066</v>
      </c>
      <c r="F40" s="51">
        <f>_xlfn.XLOOKUP($A40,Inputs!$A:$A,Inputs!F:F,,0)</f>
        <v>1859</v>
      </c>
      <c r="G40" s="51">
        <f>_xlfn.XLOOKUP($A40,Inputs!$A:$A,Inputs!G:G,,0)</f>
        <v>1235</v>
      </c>
      <c r="H40" s="51">
        <f>_xlfn.XLOOKUP($A40,Inputs!$A:$A,Inputs!H:H,,0)</f>
        <v>454</v>
      </c>
      <c r="I40" s="51">
        <f>_xlfn.XLOOKUP($A40,Inputs!$A:$A,Inputs!I:I,,0)</f>
        <v>311</v>
      </c>
      <c r="J40" s="51">
        <f>_xlfn.XLOOKUP($A40,Inputs!$A:$A,Inputs!J:J,,0)</f>
        <v>533</v>
      </c>
      <c r="K40" s="51">
        <f>_xlfn.XLOOKUP($A40,Inputs!$A:$A,Inputs!K:K,,0)</f>
        <v>818</v>
      </c>
      <c r="L40" s="51">
        <f>_xlfn.XLOOKUP($A40,Inputs!$A:$A,Inputs!L:L,,0)</f>
        <v>832</v>
      </c>
      <c r="M40" s="52">
        <f>_xlfn.XLOOKUP($A40,Inputs!$A:$A,Inputs!M:M,,0)</f>
        <v>630</v>
      </c>
    </row>
    <row r="41" spans="1:13">
      <c r="A41" s="111" t="s">
        <v>299</v>
      </c>
      <c r="B41" s="51">
        <f>_xlfn.XLOOKUP($A41,Inputs!$A:$A,Inputs!B:B,,0)</f>
        <v>4351</v>
      </c>
      <c r="C41" s="51">
        <f>_xlfn.XLOOKUP($A41,Inputs!$A:$A,Inputs!C:C,,0)</f>
        <v>3771</v>
      </c>
      <c r="D41" s="51">
        <f>_xlfn.XLOOKUP($A41,Inputs!$A:$A,Inputs!D:D,,0)</f>
        <v>1955</v>
      </c>
      <c r="E41" s="51">
        <f>_xlfn.XLOOKUP($A41,Inputs!$A:$A,Inputs!E:E,,0)</f>
        <v>1399</v>
      </c>
      <c r="F41" s="51">
        <f>_xlfn.XLOOKUP($A41,Inputs!$A:$A,Inputs!F:F,,0)</f>
        <v>982</v>
      </c>
      <c r="G41" s="51">
        <f>_xlfn.XLOOKUP($A41,Inputs!$A:$A,Inputs!G:G,,0)</f>
        <v>845</v>
      </c>
      <c r="H41" s="51">
        <f>_xlfn.XLOOKUP($A41,Inputs!$A:$A,Inputs!H:H,,0)</f>
        <v>694</v>
      </c>
      <c r="I41" s="51">
        <f>_xlfn.XLOOKUP($A41,Inputs!$A:$A,Inputs!I:I,,0)</f>
        <v>751</v>
      </c>
      <c r="J41" s="51">
        <f>_xlfn.XLOOKUP($A41,Inputs!$A:$A,Inputs!J:J,,0)</f>
        <v>678</v>
      </c>
      <c r="K41" s="51">
        <f>_xlfn.XLOOKUP($A41,Inputs!$A:$A,Inputs!K:K,,0)</f>
        <v>685</v>
      </c>
      <c r="L41" s="51">
        <f>_xlfn.XLOOKUP($A41,Inputs!$A:$A,Inputs!L:L,,0)</f>
        <v>884</v>
      </c>
      <c r="M41" s="52">
        <f>_xlfn.XLOOKUP($A41,Inputs!$A:$A,Inputs!M:M,,0)</f>
        <v>562</v>
      </c>
    </row>
    <row r="42" spans="1:13">
      <c r="A42" s="109" t="s">
        <v>953</v>
      </c>
      <c r="B42" s="51">
        <f>_xlfn.XLOOKUP($A42,Inputs!$A:$A,Inputs!B:B,,0)</f>
        <v>1589</v>
      </c>
      <c r="C42" s="51">
        <f>_xlfn.XLOOKUP($A42,Inputs!$A:$A,Inputs!C:C,,0)</f>
        <v>1513</v>
      </c>
      <c r="D42" s="51">
        <f>_xlfn.XLOOKUP($A42,Inputs!$A:$A,Inputs!D:D,,0)</f>
        <v>702</v>
      </c>
      <c r="E42" s="51">
        <f>_xlfn.XLOOKUP($A42,Inputs!$A:$A,Inputs!E:E,,0)</f>
        <v>641</v>
      </c>
      <c r="F42" s="51">
        <f>_xlfn.XLOOKUP($A42,Inputs!$A:$A,Inputs!F:F,,0)</f>
        <v>500</v>
      </c>
      <c r="G42" s="51">
        <f>_xlfn.XLOOKUP($A42,Inputs!$A:$A,Inputs!G:G,,0)</f>
        <v>348</v>
      </c>
      <c r="H42" s="51">
        <f>_xlfn.XLOOKUP($A42,Inputs!$A:$A,Inputs!H:H,,0)</f>
        <v>261</v>
      </c>
      <c r="I42" s="51">
        <f>_xlfn.XLOOKUP($A42,Inputs!$A:$A,Inputs!I:I,,0)</f>
        <v>164</v>
      </c>
      <c r="J42" s="51">
        <f>_xlfn.XLOOKUP($A42,Inputs!$A:$A,Inputs!J:J,,0)</f>
        <v>188</v>
      </c>
      <c r="K42" s="51">
        <f>_xlfn.XLOOKUP($A42,Inputs!$A:$A,Inputs!K:K,,0)</f>
        <v>302</v>
      </c>
      <c r="L42" s="51">
        <f>_xlfn.XLOOKUP($A42,Inputs!$A:$A,Inputs!L:L,,0)</f>
        <v>346</v>
      </c>
      <c r="M42" s="52">
        <f>_xlfn.XLOOKUP($A42,Inputs!$A:$A,Inputs!M:M,,0)</f>
        <v>658</v>
      </c>
    </row>
    <row r="43" spans="1:13">
      <c r="A43" s="111" t="s">
        <v>958</v>
      </c>
      <c r="B43" s="51">
        <f>_xlfn.XLOOKUP($A43,Inputs!$A:$A,Inputs!B:B,,0)</f>
        <v>51904</v>
      </c>
      <c r="C43" s="51">
        <f>_xlfn.XLOOKUP($A43,Inputs!$A:$A,Inputs!C:C,,0)</f>
        <v>52790</v>
      </c>
      <c r="D43" s="51">
        <f>_xlfn.XLOOKUP($A43,Inputs!$A:$A,Inputs!D:D,,0)</f>
        <v>4085</v>
      </c>
      <c r="E43" s="51">
        <f>_xlfn.XLOOKUP($A43,Inputs!$A:$A,Inputs!E:E,,0)</f>
        <v>2990</v>
      </c>
      <c r="F43" s="51">
        <f>_xlfn.XLOOKUP($A43,Inputs!$A:$A,Inputs!F:F,,0)</f>
        <v>958</v>
      </c>
      <c r="G43" s="51">
        <f>_xlfn.XLOOKUP($A43,Inputs!$A:$A,Inputs!G:G,,0)</f>
        <v>992</v>
      </c>
      <c r="H43" s="51">
        <f>_xlfn.XLOOKUP($A43,Inputs!$A:$A,Inputs!H:H,,0)</f>
        <v>900</v>
      </c>
      <c r="I43" s="51">
        <f>_xlfn.XLOOKUP($A43,Inputs!$A:$A,Inputs!I:I,,0)</f>
        <v>772</v>
      </c>
      <c r="J43" s="51">
        <f>_xlfn.XLOOKUP($A43,Inputs!$A:$A,Inputs!J:J,,0)</f>
        <v>900</v>
      </c>
      <c r="K43" s="51">
        <f>_xlfn.XLOOKUP($A43,Inputs!$A:$A,Inputs!K:K,,0)</f>
        <v>1157</v>
      </c>
      <c r="L43" s="51">
        <f>_xlfn.XLOOKUP($A43,Inputs!$A:$A,Inputs!L:L,,0)</f>
        <v>1316</v>
      </c>
      <c r="M43" s="52">
        <f>_xlfn.XLOOKUP($A43,Inputs!$A:$A,Inputs!M:M,,0)</f>
        <v>1420</v>
      </c>
    </row>
    <row r="44" spans="1:13">
      <c r="A44" s="112" t="s">
        <v>39</v>
      </c>
      <c r="B44" s="57">
        <f>_xlfn.XLOOKUP($A44,Inputs!$A:$A,Inputs!B:B,,0)</f>
        <v>67885</v>
      </c>
      <c r="C44" s="57">
        <f>_xlfn.XLOOKUP($A44,Inputs!$A:$A,Inputs!C:C,,0)</f>
        <v>67580</v>
      </c>
      <c r="D44" s="57">
        <f>_xlfn.XLOOKUP($A44,Inputs!$A:$A,Inputs!D:D,,0)</f>
        <v>12419</v>
      </c>
      <c r="E44" s="57">
        <f>_xlfn.XLOOKUP($A44,Inputs!$A:$A,Inputs!E:E,,0)</f>
        <v>8962</v>
      </c>
      <c r="F44" s="57">
        <f>_xlfn.XLOOKUP($A44,Inputs!$A:$A,Inputs!F:F,,0)</f>
        <v>6028</v>
      </c>
      <c r="G44" s="57">
        <f>_xlfn.XLOOKUP($A44,Inputs!$A:$A,Inputs!G:G,,0)</f>
        <v>4556</v>
      </c>
      <c r="H44" s="57">
        <f>_xlfn.XLOOKUP($A44,Inputs!$A:$A,Inputs!H:H,,0)</f>
        <v>3552</v>
      </c>
      <c r="I44" s="57">
        <f>_xlfn.XLOOKUP($A44,Inputs!$A:$A,Inputs!I:I,,0)</f>
        <v>3321</v>
      </c>
      <c r="J44" s="57">
        <f>_xlfn.XLOOKUP($A44,Inputs!$A:$A,Inputs!J:J,,0)</f>
        <v>3084</v>
      </c>
      <c r="K44" s="57">
        <f>_xlfn.XLOOKUP($A44,Inputs!$A:$A,Inputs!K:K,,0)</f>
        <v>3767</v>
      </c>
      <c r="L44" s="57">
        <f>_xlfn.XLOOKUP($A44,Inputs!$A:$A,Inputs!L:L,,0)</f>
        <v>4337</v>
      </c>
      <c r="M44" s="57">
        <f>_xlfn.XLOOKUP($A44,Inputs!$A:$A,Inputs!M:M,,0)</f>
        <v>4000</v>
      </c>
    </row>
    <row r="45" spans="1:13">
      <c r="A45" s="8" t="s">
        <v>1061</v>
      </c>
      <c r="B45" s="1022">
        <f>B5-B7</f>
        <v>12220</v>
      </c>
      <c r="C45" s="1022">
        <f t="shared" ref="C45:F45" si="74">C5-C7</f>
        <v>12998</v>
      </c>
      <c r="D45" s="1022">
        <f t="shared" si="74"/>
        <v>8505</v>
      </c>
      <c r="E45" s="1022">
        <f t="shared" si="74"/>
        <v>5416</v>
      </c>
      <c r="F45" s="1022">
        <f t="shared" si="74"/>
        <v>3863</v>
      </c>
      <c r="G45"/>
      <c r="H45"/>
      <c r="I45"/>
      <c r="J45"/>
      <c r="K45"/>
      <c r="L45"/>
      <c r="M45"/>
    </row>
    <row r="46" spans="1:13">
      <c r="A46" s="8" t="s">
        <v>1062</v>
      </c>
      <c r="B46" s="272">
        <f>B39/(B9)</f>
        <v>0.17653395574307643</v>
      </c>
      <c r="C46" s="272">
        <f t="shared" ref="C46:F46" si="75">C39/(C9)</f>
        <v>0.21645699959708109</v>
      </c>
      <c r="D46" s="272">
        <f t="shared" si="75"/>
        <v>0.19815524114750255</v>
      </c>
      <c r="E46" s="272">
        <f t="shared" si="75"/>
        <v>0.18880208333333334</v>
      </c>
      <c r="F46" s="272">
        <f t="shared" si="75"/>
        <v>0.23358827278521352</v>
      </c>
      <c r="G46" s="272"/>
      <c r="H46" s="272">
        <f>AVERAGE(B46:F46)</f>
        <v>0.20270731052124141</v>
      </c>
      <c r="I46" s="272"/>
      <c r="J46" s="272"/>
      <c r="K46" s="272"/>
      <c r="L46" s="272"/>
      <c r="M46" s="272"/>
    </row>
    <row r="47" spans="1:13" ht="21">
      <c r="A47" s="1971" t="s">
        <v>1063</v>
      </c>
      <c r="B47" s="1971"/>
      <c r="C47" s="1971"/>
      <c r="D47" s="1971"/>
      <c r="E47" s="1971"/>
      <c r="F47" s="1971"/>
      <c r="G47" s="1971"/>
      <c r="H47" s="1971"/>
      <c r="I47" s="1971"/>
      <c r="J47" s="1971"/>
      <c r="K47" s="1971"/>
      <c r="L47" s="1971"/>
      <c r="M47" s="1971"/>
    </row>
    <row r="48" spans="1:13">
      <c r="A48" s="113" t="s">
        <v>303</v>
      </c>
      <c r="B48" s="57">
        <f>_xlfn.XLOOKUP($A48,Inputs!$A:$A,Inputs!B:B,,0)</f>
        <v>6689</v>
      </c>
      <c r="C48" s="57">
        <f>_xlfn.XLOOKUP($A48,Inputs!$A:$A,Inputs!C:C,,0)</f>
        <v>6369</v>
      </c>
      <c r="D48" s="57">
        <f>_xlfn.XLOOKUP($A48,Inputs!$A:$A,Inputs!D:D,,0)</f>
        <v>4240</v>
      </c>
      <c r="E48" s="57">
        <f>_xlfn.XLOOKUP($A48,Inputs!$A:$A,Inputs!E:E,,0)</f>
        <v>2417</v>
      </c>
      <c r="F48" s="57">
        <f>_xlfn.XLOOKUP($A48,Inputs!$A:$A,Inputs!F:F,,0)</f>
        <v>2359</v>
      </c>
      <c r="G48" s="57">
        <f>_xlfn.XLOOKUP($A48,Inputs!$A:$A,Inputs!G:G,,0)</f>
        <v>1984</v>
      </c>
      <c r="H48" s="57">
        <f>_xlfn.XLOOKUP($A48,Inputs!$A:$A,Inputs!H:H,,0)</f>
        <v>1513</v>
      </c>
      <c r="I48" s="57">
        <f>_xlfn.XLOOKUP($A48,Inputs!$A:$A,Inputs!I:I,,0)</f>
        <v>1346</v>
      </c>
      <c r="J48" s="57">
        <f>_xlfn.XLOOKUP($A48,Inputs!$A:$A,Inputs!J:J,,0)</f>
        <v>1403</v>
      </c>
      <c r="K48" s="57">
        <f>_xlfn.XLOOKUP($A48,Inputs!$A:$A,Inputs!K:K,,0)</f>
        <v>1440</v>
      </c>
      <c r="L48" s="57">
        <f>_xlfn.XLOOKUP($A48,Inputs!$A:$A,Inputs!L:L,,0)</f>
        <v>1618</v>
      </c>
      <c r="M48" s="57">
        <f>_xlfn.XLOOKUP($A48,Inputs!$A:$A,Inputs!M:M,,0)</f>
        <v>1397</v>
      </c>
    </row>
    <row r="49" spans="1:13">
      <c r="A49" s="114" t="s">
        <v>963</v>
      </c>
      <c r="B49" s="51">
        <f>_xlfn.XLOOKUP($A49,Inputs!$A:$A,Inputs!B:B,,0)</f>
        <v>0</v>
      </c>
      <c r="C49" s="51">
        <f>_xlfn.XLOOKUP($A49,Inputs!$A:$A,Inputs!C:C,,0)</f>
        <v>0</v>
      </c>
      <c r="D49" s="51">
        <f>_xlfn.XLOOKUP($A49,Inputs!$A:$A,Inputs!D:D,,0)</f>
        <v>0</v>
      </c>
      <c r="E49" s="51">
        <f>_xlfn.XLOOKUP($A49,Inputs!$A:$A,Inputs!E:E,,0)</f>
        <v>0</v>
      </c>
      <c r="F49" s="51">
        <f>_xlfn.XLOOKUP($A49,Inputs!$A:$A,Inputs!F:F,,0)</f>
        <v>0</v>
      </c>
      <c r="G49" s="51">
        <f>_xlfn.XLOOKUP($A49,Inputs!$A:$A,Inputs!G:G,,0)</f>
        <v>136</v>
      </c>
      <c r="H49" s="51">
        <f>_xlfn.XLOOKUP($A49,Inputs!$A:$A,Inputs!H:H,,0)</f>
        <v>70</v>
      </c>
      <c r="I49" s="51">
        <f>_xlfn.XLOOKUP($A49,Inputs!$A:$A,Inputs!I:I,,0)</f>
        <v>0</v>
      </c>
      <c r="J49" s="51">
        <f>_xlfn.XLOOKUP($A49,Inputs!$A:$A,Inputs!J:J,,0)</f>
        <v>230</v>
      </c>
      <c r="K49" s="51">
        <f>_xlfn.XLOOKUP($A49,Inputs!$A:$A,Inputs!K:K,,0)</f>
        <v>177</v>
      </c>
      <c r="L49" s="51">
        <f>_xlfn.XLOOKUP($A49,Inputs!$A:$A,Inputs!L:L,,0)</f>
        <v>60</v>
      </c>
      <c r="M49" s="51">
        <f>_xlfn.XLOOKUP($A49,Inputs!$A:$A,Inputs!M:M,,0)</f>
        <v>0</v>
      </c>
    </row>
    <row r="50" spans="1:13">
      <c r="A50" s="108" t="s">
        <v>966</v>
      </c>
      <c r="B50" s="51">
        <f>_xlfn.XLOOKUP($A50,Inputs!$A:$A,Inputs!B:B,,0)</f>
        <v>0</v>
      </c>
      <c r="C50" s="51">
        <f>_xlfn.XLOOKUP($A50,Inputs!$A:$A,Inputs!C:C,,0)</f>
        <v>0</v>
      </c>
      <c r="D50" s="51">
        <f>_xlfn.XLOOKUP($A50,Inputs!$A:$A,Inputs!D:D,,0)</f>
        <v>0</v>
      </c>
      <c r="E50" s="51">
        <f>_xlfn.XLOOKUP($A50,Inputs!$A:$A,Inputs!E:E,,0)</f>
        <v>0</v>
      </c>
      <c r="F50" s="51">
        <f>_xlfn.XLOOKUP($A50,Inputs!$A:$A,Inputs!F:F,,0)</f>
        <v>0</v>
      </c>
      <c r="G50" s="51">
        <f>_xlfn.XLOOKUP($A50,Inputs!$A:$A,Inputs!G:G,,0)</f>
        <v>0</v>
      </c>
      <c r="H50" s="51">
        <f>_xlfn.XLOOKUP($A50,Inputs!$A:$A,Inputs!H:H,,0)</f>
        <v>0</v>
      </c>
      <c r="I50" s="51">
        <f>_xlfn.XLOOKUP($A50,Inputs!$A:$A,Inputs!I:I,,0)</f>
        <v>0</v>
      </c>
      <c r="J50" s="51">
        <f>_xlfn.XLOOKUP($A50,Inputs!$A:$A,Inputs!J:J,,0)</f>
        <v>0</v>
      </c>
      <c r="K50" s="51">
        <f>_xlfn.XLOOKUP($A50,Inputs!$A:$A,Inputs!K:K,,0)</f>
        <v>0</v>
      </c>
      <c r="L50" s="51">
        <f>_xlfn.XLOOKUP($A50,Inputs!$A:$A,Inputs!L:L,,0)</f>
        <v>0</v>
      </c>
      <c r="M50" s="51">
        <f>_xlfn.XLOOKUP($A50,Inputs!$A:$A,Inputs!M:M,,0)</f>
        <v>0</v>
      </c>
    </row>
    <row r="51" spans="1:13">
      <c r="A51" s="109" t="s">
        <v>967</v>
      </c>
      <c r="B51" s="51">
        <f>_xlfn.XLOOKUP($A51,Inputs!$A:$A,Inputs!B:B,,0)</f>
        <v>4271</v>
      </c>
      <c r="C51" s="51">
        <f>_xlfn.XLOOKUP($A51,Inputs!$A:$A,Inputs!C:C,,0)</f>
        <v>3413</v>
      </c>
      <c r="D51" s="51">
        <f>_xlfn.XLOOKUP($A51,Inputs!$A:$A,Inputs!D:D,,0)</f>
        <v>2834</v>
      </c>
      <c r="E51" s="51">
        <f>_xlfn.XLOOKUP($A51,Inputs!$A:$A,Inputs!E:E,,0)</f>
        <v>1871</v>
      </c>
      <c r="F51" s="51">
        <f>_xlfn.XLOOKUP($A51,Inputs!$A:$A,Inputs!F:F,,0)</f>
        <v>1158</v>
      </c>
      <c r="G51" s="51">
        <f>_xlfn.XLOOKUP($A51,Inputs!$A:$A,Inputs!G:G,,0)</f>
        <v>807</v>
      </c>
      <c r="H51" s="51">
        <f>_xlfn.XLOOKUP($A51,Inputs!$A:$A,Inputs!H:H,,0)</f>
        <v>647</v>
      </c>
      <c r="I51" s="51">
        <f>_xlfn.XLOOKUP($A51,Inputs!$A:$A,Inputs!I:I,,0)</f>
        <v>523</v>
      </c>
      <c r="J51" s="51">
        <f>_xlfn.XLOOKUP($A51,Inputs!$A:$A,Inputs!J:J,,0)</f>
        <v>649</v>
      </c>
      <c r="K51" s="51">
        <f>_xlfn.XLOOKUP($A51,Inputs!$A:$A,Inputs!K:K,,0)</f>
        <v>630</v>
      </c>
      <c r="L51" s="51">
        <f>_xlfn.XLOOKUP($A51,Inputs!$A:$A,Inputs!L:L,,0)</f>
        <v>675</v>
      </c>
      <c r="M51" s="51">
        <f>_xlfn.XLOOKUP($A51,Inputs!$A:$A,Inputs!M:M,,0)</f>
        <v>665</v>
      </c>
    </row>
    <row r="52" spans="1:13">
      <c r="A52" s="113" t="s">
        <v>969</v>
      </c>
      <c r="B52" s="57">
        <f>_xlfn.XLOOKUP($A52,Inputs!$A:$A,Inputs!B:B,,0)</f>
        <v>5304</v>
      </c>
      <c r="C52" s="57">
        <f>_xlfn.XLOOKUP($A52,Inputs!$A:$A,Inputs!C:C,,0)</f>
        <v>6461</v>
      </c>
      <c r="D52" s="57">
        <f>_xlfn.XLOOKUP($A52,Inputs!$A:$A,Inputs!D:D,,0)</f>
        <v>682</v>
      </c>
      <c r="E52" s="57">
        <f>_xlfn.XLOOKUP($A52,Inputs!$A:$A,Inputs!E:E,,0)</f>
        <v>708</v>
      </c>
      <c r="F52" s="57">
        <f>_xlfn.XLOOKUP($A52,Inputs!$A:$A,Inputs!F:F,,0)</f>
        <v>842</v>
      </c>
      <c r="G52" s="57">
        <f>_xlfn.XLOOKUP($A52,Inputs!$A:$A,Inputs!G:G,,0)</f>
        <v>1306</v>
      </c>
      <c r="H52" s="57">
        <f>_xlfn.XLOOKUP($A52,Inputs!$A:$A,Inputs!H:H,,0)</f>
        <v>1443</v>
      </c>
      <c r="I52" s="57">
        <f>_xlfn.XLOOKUP($A52,Inputs!$A:$A,Inputs!I:I,,0)</f>
        <v>1559</v>
      </c>
      <c r="J52" s="57">
        <f>_xlfn.XLOOKUP($A52,Inputs!$A:$A,Inputs!J:J,,0)</f>
        <v>2093</v>
      </c>
      <c r="K52" s="57">
        <f>_xlfn.XLOOKUP($A52,Inputs!$A:$A,Inputs!K:K,,0)</f>
        <v>2140</v>
      </c>
      <c r="L52" s="57">
        <f>_xlfn.XLOOKUP($A52,Inputs!$A:$A,Inputs!L:L,,0)</f>
        <v>2175</v>
      </c>
      <c r="M52" s="57">
        <f>_xlfn.XLOOKUP($A52,Inputs!$A:$A,Inputs!M:M,,0)</f>
        <v>2065</v>
      </c>
    </row>
    <row r="53" spans="1:13">
      <c r="A53" s="114" t="s">
        <v>971</v>
      </c>
      <c r="B53" s="51">
        <f>_xlfn.XLOOKUP($A53,Inputs!$A:$A,Inputs!B:B,,0)</f>
        <v>1717</v>
      </c>
      <c r="C53" s="51">
        <f>_xlfn.XLOOKUP($A53,Inputs!$A:$A,Inputs!C:C,,0)</f>
        <v>2467</v>
      </c>
      <c r="D53" s="51">
        <f>_xlfn.XLOOKUP($A53,Inputs!$A:$A,Inputs!D:D,,0)</f>
        <v>1</v>
      </c>
      <c r="E53" s="51">
        <f>_xlfn.XLOOKUP($A53,Inputs!$A:$A,Inputs!E:E,,0)</f>
        <v>330</v>
      </c>
      <c r="F53" s="51">
        <f>_xlfn.XLOOKUP($A53,Inputs!$A:$A,Inputs!F:F,,0)</f>
        <v>486</v>
      </c>
      <c r="G53" s="51">
        <f>_xlfn.XLOOKUP($A53,Inputs!$A:$A,Inputs!G:G,,0)</f>
        <v>1114</v>
      </c>
      <c r="H53" s="51">
        <f>_xlfn.XLOOKUP($A53,Inputs!$A:$A,Inputs!H:H,,0)</f>
        <v>1325</v>
      </c>
      <c r="I53" s="51">
        <f>_xlfn.XLOOKUP($A53,Inputs!$A:$A,Inputs!I:I,,0)</f>
        <v>1435</v>
      </c>
      <c r="J53" s="51">
        <f>_xlfn.XLOOKUP($A53,Inputs!$A:$A,Inputs!J:J,,0)</f>
        <v>2007</v>
      </c>
      <c r="K53" s="51">
        <f>_xlfn.XLOOKUP($A53,Inputs!$A:$A,Inputs!K:K,,0)</f>
        <v>2035</v>
      </c>
      <c r="L53" s="51">
        <f>_xlfn.XLOOKUP($A53,Inputs!$A:$A,Inputs!L:L,,0)</f>
        <v>1998</v>
      </c>
      <c r="M53" s="51">
        <f>_xlfn.XLOOKUP($A53,Inputs!$A:$A,Inputs!M:M,,0)</f>
        <v>2037</v>
      </c>
    </row>
    <row r="54" spans="1:13">
      <c r="A54" s="108" t="s">
        <v>973</v>
      </c>
      <c r="B54" s="51">
        <f>_xlfn.XLOOKUP($A54,Inputs!$A:$A,Inputs!B:B,,0)</f>
        <v>535</v>
      </c>
      <c r="C54" s="51">
        <f>_xlfn.XLOOKUP($A54,Inputs!$A:$A,Inputs!C:C,,0)</f>
        <v>396</v>
      </c>
      <c r="D54" s="51">
        <f>_xlfn.XLOOKUP($A54,Inputs!$A:$A,Inputs!D:D,,0)</f>
        <v>348</v>
      </c>
      <c r="E54" s="51">
        <f>_xlfn.XLOOKUP($A54,Inputs!$A:$A,Inputs!E:E,,0)</f>
        <v>201</v>
      </c>
      <c r="F54" s="51">
        <f>_xlfn.XLOOKUP($A54,Inputs!$A:$A,Inputs!F:F,,0)</f>
        <v>199</v>
      </c>
      <c r="G54" s="51">
        <f>_xlfn.XLOOKUP($A54,Inputs!$A:$A,Inputs!G:G,,0)</f>
        <v>0</v>
      </c>
      <c r="H54" s="51">
        <f>_xlfn.XLOOKUP($A54,Inputs!$A:$A,Inputs!H:H,,0)</f>
        <v>0</v>
      </c>
      <c r="I54" s="51">
        <f>_xlfn.XLOOKUP($A54,Inputs!$A:$A,Inputs!I:I,,0)</f>
        <v>0</v>
      </c>
      <c r="J54" s="51">
        <f>_xlfn.XLOOKUP($A54,Inputs!$A:$A,Inputs!J:J,,0)</f>
        <v>0</v>
      </c>
      <c r="K54" s="51">
        <f>_xlfn.XLOOKUP($A54,Inputs!$A:$A,Inputs!K:K,,0)</f>
        <v>0</v>
      </c>
      <c r="L54" s="51">
        <f>_xlfn.XLOOKUP($A54,Inputs!$A:$A,Inputs!L:L,,0)</f>
        <v>0</v>
      </c>
      <c r="M54" s="51">
        <f>_xlfn.XLOOKUP($A54,Inputs!$A:$A,Inputs!M:M,,0)</f>
        <v>0</v>
      </c>
    </row>
    <row r="55" spans="1:13">
      <c r="A55" s="109" t="s">
        <v>975</v>
      </c>
      <c r="B55" s="51">
        <f>_xlfn.XLOOKUP($A55,Inputs!$A:$A,Inputs!B:B,,0)</f>
        <v>3052</v>
      </c>
      <c r="C55" s="51">
        <f>_xlfn.XLOOKUP($A55,Inputs!$A:$A,Inputs!C:C,,0)</f>
        <v>3598</v>
      </c>
      <c r="D55" s="51">
        <f>_xlfn.XLOOKUP($A55,Inputs!$A:$A,Inputs!D:D,,0)</f>
        <v>333</v>
      </c>
      <c r="E55" s="51">
        <f>_xlfn.XLOOKUP($A55,Inputs!$A:$A,Inputs!E:E,,0)</f>
        <v>177</v>
      </c>
      <c r="F55" s="51">
        <f>_xlfn.XLOOKUP($A55,Inputs!$A:$A,Inputs!F:F,,0)</f>
        <v>157</v>
      </c>
      <c r="G55" s="51">
        <f>_xlfn.XLOOKUP($A55,Inputs!$A:$A,Inputs!G:G,,0)</f>
        <v>192</v>
      </c>
      <c r="H55" s="51">
        <f>_xlfn.XLOOKUP($A55,Inputs!$A:$A,Inputs!H:H,,0)</f>
        <v>118</v>
      </c>
      <c r="I55" s="51">
        <f>_xlfn.XLOOKUP($A55,Inputs!$A:$A,Inputs!I:I,,0)</f>
        <v>124</v>
      </c>
      <c r="J55" s="51">
        <f>_xlfn.XLOOKUP($A55,Inputs!$A:$A,Inputs!J:J,,0)</f>
        <v>86</v>
      </c>
      <c r="K55" s="51">
        <f>_xlfn.XLOOKUP($A55,Inputs!$A:$A,Inputs!K:K,,0)</f>
        <v>105</v>
      </c>
      <c r="L55" s="51">
        <f>_xlfn.XLOOKUP($A55,Inputs!$A:$A,Inputs!L:L,,0)</f>
        <v>177</v>
      </c>
      <c r="M55" s="51">
        <f>_xlfn.XLOOKUP($A55,Inputs!$A:$A,Inputs!M:M,,0)</f>
        <v>28</v>
      </c>
    </row>
    <row r="56" spans="1:13">
      <c r="A56" s="113" t="s">
        <v>45</v>
      </c>
      <c r="B56" s="57">
        <f>_xlfn.XLOOKUP($A56,Inputs!$A:$A,Inputs!B:B,,0)</f>
        <v>11993</v>
      </c>
      <c r="C56" s="57">
        <f>_xlfn.XLOOKUP($A56,Inputs!$A:$A,Inputs!C:C,,0)</f>
        <v>12830</v>
      </c>
      <c r="D56" s="57">
        <f>_xlfn.XLOOKUP($A56,Inputs!$A:$A,Inputs!D:D,,0)</f>
        <v>4922</v>
      </c>
      <c r="E56" s="57">
        <f>_xlfn.XLOOKUP($A56,Inputs!$A:$A,Inputs!E:E,,0)</f>
        <v>3125</v>
      </c>
      <c r="F56" s="57">
        <f>_xlfn.XLOOKUP($A56,Inputs!$A:$A,Inputs!F:F,,0)</f>
        <v>3201</v>
      </c>
      <c r="G56" s="57">
        <f>_xlfn.XLOOKUP($A56,Inputs!$A:$A,Inputs!G:G,,0)</f>
        <v>3290</v>
      </c>
      <c r="H56" s="57">
        <f>_xlfn.XLOOKUP($A56,Inputs!$A:$A,Inputs!H:H,,0)</f>
        <v>2956</v>
      </c>
      <c r="I56" s="57">
        <f>_xlfn.XLOOKUP($A56,Inputs!$A:$A,Inputs!I:I,,0)</f>
        <v>2905</v>
      </c>
      <c r="J56" s="57">
        <f>_xlfn.XLOOKUP($A56,Inputs!$A:$A,Inputs!J:J,,0)</f>
        <v>3496</v>
      </c>
      <c r="K56" s="57">
        <f>_xlfn.XLOOKUP($A56,Inputs!$A:$A,Inputs!K:K,,0)</f>
        <v>3580</v>
      </c>
      <c r="L56" s="57">
        <f>_xlfn.XLOOKUP($A56,Inputs!$A:$A,Inputs!L:L,,0)</f>
        <v>3793</v>
      </c>
      <c r="M56" s="57">
        <f>_xlfn.XLOOKUP($A56,Inputs!$A:$A,Inputs!M:M,,0)</f>
        <v>3462</v>
      </c>
    </row>
    <row r="57" spans="1:13">
      <c r="B57">
        <f>B58/(B42+B39+B43)</f>
        <v>3.9215686274509803E-2</v>
      </c>
      <c r="C57"/>
      <c r="D57"/>
      <c r="E57"/>
      <c r="F57"/>
      <c r="G57"/>
      <c r="H57"/>
      <c r="I57"/>
      <c r="J57"/>
      <c r="K57"/>
      <c r="L57"/>
      <c r="M57"/>
    </row>
    <row r="58" spans="1:13">
      <c r="A58" s="113" t="s">
        <v>304</v>
      </c>
      <c r="B58" s="57">
        <f>B49+B53+B50+B54</f>
        <v>2252</v>
      </c>
      <c r="C58" s="57">
        <f t="shared" ref="C58:M58" si="76">C49+C53+C50+C54</f>
        <v>2863</v>
      </c>
      <c r="D58" s="57">
        <f t="shared" si="76"/>
        <v>349</v>
      </c>
      <c r="E58" s="57">
        <f t="shared" si="76"/>
        <v>531</v>
      </c>
      <c r="F58" s="57">
        <f t="shared" si="76"/>
        <v>685</v>
      </c>
      <c r="G58" s="57">
        <f t="shared" si="76"/>
        <v>1250</v>
      </c>
      <c r="H58" s="57">
        <f t="shared" si="76"/>
        <v>1395</v>
      </c>
      <c r="I58" s="57">
        <f t="shared" si="76"/>
        <v>1435</v>
      </c>
      <c r="J58" s="57">
        <f t="shared" si="76"/>
        <v>2237</v>
      </c>
      <c r="K58" s="57">
        <f t="shared" si="76"/>
        <v>2212</v>
      </c>
      <c r="L58" s="57">
        <f t="shared" si="76"/>
        <v>2058</v>
      </c>
      <c r="M58" s="57">
        <f t="shared" si="76"/>
        <v>2037</v>
      </c>
    </row>
    <row r="59" spans="1:13">
      <c r="A59" s="114" t="s">
        <v>66</v>
      </c>
      <c r="B59" s="53">
        <f>IFERROR(B58/B44,"-")</f>
        <v>3.3173749723797601E-2</v>
      </c>
      <c r="C59" s="53">
        <f t="shared" ref="C59:M59" si="77">IFERROR(C58/C44,"-")</f>
        <v>4.2364604912696065E-2</v>
      </c>
      <c r="D59" s="53">
        <f t="shared" si="77"/>
        <v>2.81021016184878E-2</v>
      </c>
      <c r="E59" s="53">
        <f t="shared" si="77"/>
        <v>5.925016737335416E-2</v>
      </c>
      <c r="F59" s="53">
        <f t="shared" si="77"/>
        <v>0.11363636363636363</v>
      </c>
      <c r="G59" s="53">
        <f t="shared" si="77"/>
        <v>0.27436347673397715</v>
      </c>
      <c r="H59" s="53">
        <f t="shared" si="77"/>
        <v>0.39273648648648651</v>
      </c>
      <c r="I59" s="53">
        <f t="shared" si="77"/>
        <v>0.43209876543209874</v>
      </c>
      <c r="J59" s="53">
        <f t="shared" si="77"/>
        <v>0.72535667963683526</v>
      </c>
      <c r="K59" s="53">
        <f t="shared" si="77"/>
        <v>0.58720467215290684</v>
      </c>
      <c r="L59" s="53">
        <f t="shared" si="77"/>
        <v>0.47452155868111595</v>
      </c>
      <c r="M59" s="53">
        <f t="shared" si="77"/>
        <v>0.50924999999999998</v>
      </c>
    </row>
    <row r="60" spans="1:13">
      <c r="A60" s="113" t="s">
        <v>1064</v>
      </c>
      <c r="B60" s="57">
        <f>B58-B39</f>
        <v>-1681</v>
      </c>
      <c r="C60" s="57">
        <f t="shared" ref="C60:M60" si="78">C58-C39</f>
        <v>-1972</v>
      </c>
      <c r="D60" s="57">
        <f t="shared" si="78"/>
        <v>-2186</v>
      </c>
      <c r="E60" s="57">
        <f t="shared" si="78"/>
        <v>-1064</v>
      </c>
      <c r="F60" s="57">
        <f t="shared" si="78"/>
        <v>-781</v>
      </c>
      <c r="G60" s="57">
        <f t="shared" si="78"/>
        <v>172</v>
      </c>
      <c r="H60" s="57">
        <f t="shared" si="78"/>
        <v>210</v>
      </c>
      <c r="I60" s="57">
        <f t="shared" si="78"/>
        <v>171</v>
      </c>
      <c r="J60" s="57">
        <f t="shared" si="78"/>
        <v>1452</v>
      </c>
      <c r="K60" s="57">
        <f t="shared" si="78"/>
        <v>1407</v>
      </c>
      <c r="L60" s="57">
        <f t="shared" si="78"/>
        <v>1189</v>
      </c>
      <c r="M60" s="57">
        <f t="shared" si="78"/>
        <v>1488</v>
      </c>
    </row>
    <row r="61" spans="1:13">
      <c r="B61"/>
      <c r="C61"/>
      <c r="D61"/>
      <c r="E61"/>
      <c r="F61"/>
      <c r="G61"/>
      <c r="H61"/>
      <c r="I61"/>
      <c r="J61"/>
      <c r="K61"/>
      <c r="L61"/>
      <c r="M61"/>
    </row>
    <row r="62" spans="1:13" s="45" customFormat="1">
      <c r="A62" s="113" t="s">
        <v>978</v>
      </c>
      <c r="B62" s="57">
        <f>_xlfn.XLOOKUP($A62,Inputs!$A:$A,Inputs!B:B,,0)</f>
        <v>0</v>
      </c>
      <c r="C62" s="57">
        <f>_xlfn.XLOOKUP($A62,Inputs!$A:$A,Inputs!C:C,,0)</f>
        <v>0</v>
      </c>
      <c r="D62" s="57">
        <f>_xlfn.XLOOKUP($A62,Inputs!$A:$A,Inputs!D:D,,0)</f>
        <v>0</v>
      </c>
      <c r="E62" s="57">
        <f>_xlfn.XLOOKUP($A62,Inputs!$A:$A,Inputs!E:E,,0)</f>
        <v>0</v>
      </c>
      <c r="F62" s="57">
        <f>_xlfn.XLOOKUP($A62,Inputs!$A:$A,Inputs!F:F,,0)</f>
        <v>0</v>
      </c>
      <c r="G62" s="57">
        <f>_xlfn.XLOOKUP($A62,Inputs!$A:$A,Inputs!G:G,,0)</f>
        <v>0</v>
      </c>
      <c r="H62" s="57">
        <f>_xlfn.XLOOKUP($A62,Inputs!$A:$A,Inputs!H:H,,0)</f>
        <v>0</v>
      </c>
      <c r="I62" s="57">
        <f>_xlfn.XLOOKUP($A62,Inputs!$A:$A,Inputs!I:I,,0)</f>
        <v>0</v>
      </c>
      <c r="J62" s="57">
        <f>_xlfn.XLOOKUP($A62,Inputs!$A:$A,Inputs!J:J,,0)</f>
        <v>0</v>
      </c>
      <c r="K62" s="57">
        <f>_xlfn.XLOOKUP($A62,Inputs!$A:$A,Inputs!K:K,,0)</f>
        <v>0</v>
      </c>
      <c r="L62" s="57">
        <f>_xlfn.XLOOKUP($A62,Inputs!$A:$A,Inputs!L:L,,0)</f>
        <v>0</v>
      </c>
      <c r="M62" s="57">
        <f>_xlfn.XLOOKUP($A62,Inputs!$A:$A,Inputs!M:M,,0)</f>
        <v>0</v>
      </c>
    </row>
    <row r="63" spans="1:13">
      <c r="B63"/>
      <c r="C63"/>
      <c r="D63"/>
      <c r="E63"/>
      <c r="F63"/>
      <c r="G63"/>
      <c r="H63"/>
      <c r="I63"/>
      <c r="J63"/>
      <c r="K63"/>
      <c r="L63"/>
      <c r="M63"/>
    </row>
    <row r="64" spans="1:13">
      <c r="A64" s="113" t="s">
        <v>979</v>
      </c>
      <c r="B64" s="57">
        <f>_xlfn.XLOOKUP($A64,Inputs!$A:$A,Inputs!B:B,,0)</f>
        <v>55892</v>
      </c>
      <c r="C64" s="57">
        <f>_xlfn.XLOOKUP($A64,Inputs!$A:$A,Inputs!C:C,,0)</f>
        <v>54750</v>
      </c>
      <c r="D64" s="57">
        <f>_xlfn.XLOOKUP($A64,Inputs!$A:$A,Inputs!D:D,,0)</f>
        <v>7497</v>
      </c>
      <c r="E64" s="57">
        <f>_xlfn.XLOOKUP($A64,Inputs!$A:$A,Inputs!E:E,,0)</f>
        <v>5837</v>
      </c>
      <c r="F64" s="57">
        <f>_xlfn.XLOOKUP($A64,Inputs!$A:$A,Inputs!F:F,,0)</f>
        <v>2827</v>
      </c>
      <c r="G64" s="57">
        <f>_xlfn.XLOOKUP($A64,Inputs!$A:$A,Inputs!G:G,,0)</f>
        <v>1266</v>
      </c>
      <c r="H64" s="57">
        <f>_xlfn.XLOOKUP($A64,Inputs!$A:$A,Inputs!H:H,,0)</f>
        <v>596</v>
      </c>
      <c r="I64" s="57">
        <f>_xlfn.XLOOKUP($A64,Inputs!$A:$A,Inputs!I:I,,0)</f>
        <v>416</v>
      </c>
      <c r="J64" s="57">
        <f>_xlfn.XLOOKUP($A64,Inputs!$A:$A,Inputs!J:J,,0)</f>
        <v>-412</v>
      </c>
      <c r="K64" s="57">
        <f>_xlfn.XLOOKUP($A64,Inputs!$A:$A,Inputs!K:K,,0)</f>
        <v>187</v>
      </c>
      <c r="L64" s="57">
        <f>_xlfn.XLOOKUP($A64,Inputs!$A:$A,Inputs!L:L,,0)</f>
        <v>544</v>
      </c>
      <c r="M64" s="57">
        <f>_xlfn.XLOOKUP($A64,Inputs!$A:$A,Inputs!M:M,,0)</f>
        <v>538</v>
      </c>
    </row>
    <row r="66" spans="1:13" ht="21">
      <c r="A66" s="1971" t="s">
        <v>125</v>
      </c>
      <c r="B66" s="1971"/>
      <c r="C66" s="1971"/>
      <c r="D66" s="1971"/>
      <c r="E66" s="1971"/>
      <c r="F66" s="1971"/>
      <c r="G66" s="1971"/>
      <c r="H66" s="1971"/>
      <c r="I66" s="1971"/>
      <c r="J66" s="1971"/>
      <c r="K66" s="1971"/>
      <c r="L66" s="1971"/>
      <c r="M66" s="1971"/>
    </row>
    <row r="67" spans="1:13">
      <c r="A67" s="113" t="s">
        <v>126</v>
      </c>
      <c r="B67" s="57">
        <f>_xlfn.XLOOKUP($A67,Inputs!$A:$A,Inputs!B:B,,0)</f>
        <v>1667</v>
      </c>
      <c r="C67" s="57">
        <f>_xlfn.XLOOKUP($A67,Inputs!$A:$A,Inputs!C:C,,0)</f>
        <v>3565</v>
      </c>
      <c r="D67" s="57">
        <f>_xlfn.XLOOKUP($A67,Inputs!$A:$A,Inputs!D:D,,0)</f>
        <v>3521</v>
      </c>
      <c r="E67" s="57">
        <f>_xlfn.XLOOKUP($A67,Inputs!$A:$A,Inputs!E:E,,0)</f>
        <v>1071</v>
      </c>
      <c r="F67" s="57">
        <f>_xlfn.XLOOKUP($A67,Inputs!$A:$A,Inputs!F:F,,0)</f>
        <v>493</v>
      </c>
      <c r="G67" s="57">
        <f>_xlfn.XLOOKUP($A67,Inputs!$A:$A,Inputs!G:G,,0)</f>
        <v>34</v>
      </c>
      <c r="H67" s="57">
        <f>_xlfn.XLOOKUP($A67,Inputs!$A:$A,Inputs!H:H,,0)</f>
        <v>12</v>
      </c>
      <c r="I67" s="57">
        <f>_xlfn.XLOOKUP($A67,Inputs!$A:$A,Inputs!I:I,,0)</f>
        <v>90</v>
      </c>
      <c r="J67" s="57">
        <f>_xlfn.XLOOKUP($A67,Inputs!$A:$A,Inputs!J:J,,0)</f>
        <v>-226</v>
      </c>
      <c r="K67" s="57">
        <f>_xlfn.XLOOKUP($A67,Inputs!$A:$A,Inputs!K:K,,0)</f>
        <v>-98</v>
      </c>
      <c r="L67" s="57">
        <f>_xlfn.XLOOKUP($A67,Inputs!$A:$A,Inputs!L:L,,0)</f>
        <v>-148</v>
      </c>
      <c r="M67" s="57">
        <f>_xlfn.XLOOKUP($A67,Inputs!$A:$A,Inputs!M:M,,0)</f>
        <v>-338</v>
      </c>
    </row>
    <row r="68" spans="1:13">
      <c r="A68" s="113" t="s">
        <v>127</v>
      </c>
      <c r="B68" s="57">
        <f>_xlfn.XLOOKUP($A68,Inputs!$A:$A,Inputs!B:B,,0)</f>
        <v>-1423</v>
      </c>
      <c r="C68" s="57">
        <f>_xlfn.XLOOKUP($A68,Inputs!$A:$A,Inputs!C:C,,0)</f>
        <v>1999</v>
      </c>
      <c r="D68" s="57">
        <f>_xlfn.XLOOKUP($A68,Inputs!$A:$A,Inputs!D:D,,0)</f>
        <v>-686</v>
      </c>
      <c r="E68" s="57">
        <f>_xlfn.XLOOKUP($A68,Inputs!$A:$A,Inputs!E:E,,0)</f>
        <v>-952</v>
      </c>
      <c r="F68" s="57">
        <f>_xlfn.XLOOKUP($A68,Inputs!$A:$A,Inputs!F:F,,0)</f>
        <v>-149</v>
      </c>
      <c r="G68" s="57">
        <f>_xlfn.XLOOKUP($A68,Inputs!$A:$A,Inputs!G:G,,0)</f>
        <v>-170</v>
      </c>
      <c r="H68" s="57">
        <f>_xlfn.XLOOKUP($A68,Inputs!$A:$A,Inputs!H:H,,0)</f>
        <v>-54</v>
      </c>
      <c r="I68" s="57">
        <f>_xlfn.XLOOKUP($A68,Inputs!$A:$A,Inputs!I:I,,0)</f>
        <v>267</v>
      </c>
      <c r="J68" s="57">
        <f>_xlfn.XLOOKUP($A68,Inputs!$A:$A,Inputs!J:J,,0)</f>
        <v>147</v>
      </c>
      <c r="K68" s="57">
        <f>_xlfn.XLOOKUP($A68,Inputs!$A:$A,Inputs!K:K,,0)</f>
        <v>-12</v>
      </c>
      <c r="L68" s="57">
        <f>_xlfn.XLOOKUP($A68,Inputs!$A:$A,Inputs!L:L,,0)</f>
        <v>455</v>
      </c>
      <c r="M68" s="57">
        <f>_xlfn.XLOOKUP($A68,Inputs!$A:$A,Inputs!M:M,,0)</f>
        <v>-19</v>
      </c>
    </row>
    <row r="69" spans="1:13">
      <c r="A69" s="109" t="s">
        <v>128</v>
      </c>
      <c r="B69" s="51">
        <f>_xlfn.XLOOKUP($A69,Inputs!$A:$A,Inputs!B:B,,0)</f>
        <v>-546</v>
      </c>
      <c r="C69" s="51">
        <f>_xlfn.XLOOKUP($A69,Inputs!$A:$A,Inputs!C:C,,0)</f>
        <v>-450</v>
      </c>
      <c r="D69" s="51">
        <f>_xlfn.XLOOKUP($A69,Inputs!$A:$A,Inputs!D:D,,0)</f>
        <v>-301</v>
      </c>
      <c r="E69" s="51">
        <f>_xlfn.XLOOKUP($A69,Inputs!$A:$A,Inputs!E:E,,0)</f>
        <v>-294</v>
      </c>
      <c r="F69" s="51">
        <f>_xlfn.XLOOKUP($A69,Inputs!$A:$A,Inputs!F:F,,0)</f>
        <v>-217</v>
      </c>
      <c r="G69" s="51">
        <f>_xlfn.XLOOKUP($A69,Inputs!$A:$A,Inputs!G:G,,0)</f>
        <v>-163</v>
      </c>
      <c r="H69" s="51">
        <f>_xlfn.XLOOKUP($A69,Inputs!$A:$A,Inputs!H:H,,0)</f>
        <v>-113</v>
      </c>
      <c r="I69" s="51">
        <f>_xlfn.XLOOKUP($A69,Inputs!$A:$A,Inputs!I:I,,0)</f>
        <v>-77</v>
      </c>
      <c r="J69" s="51">
        <f>_xlfn.XLOOKUP($A69,Inputs!$A:$A,Inputs!J:J,,0)</f>
        <v>-96</v>
      </c>
      <c r="K69" s="51">
        <f>_xlfn.XLOOKUP($A69,Inputs!$A:$A,Inputs!K:K,,0)</f>
        <v>-95</v>
      </c>
      <c r="L69" s="51">
        <f>_xlfn.XLOOKUP($A69,Inputs!$A:$A,Inputs!L:L,,0)</f>
        <v>-84</v>
      </c>
      <c r="M69" s="51">
        <f>_xlfn.XLOOKUP($A69,Inputs!$A:$A,Inputs!M:M,,0)</f>
        <v>-133</v>
      </c>
    </row>
    <row r="70" spans="1:13">
      <c r="A70" s="109" t="s">
        <v>129</v>
      </c>
      <c r="B70" s="51">
        <f>_xlfn.XLOOKUP($A70,Inputs!$A:$A,Inputs!B:B,,0)</f>
        <v>-866</v>
      </c>
      <c r="C70" s="51">
        <f>_xlfn.XLOOKUP($A70,Inputs!$A:$A,Inputs!C:C,,0)</f>
        <v>2465</v>
      </c>
      <c r="D70" s="51">
        <f>_xlfn.XLOOKUP($A70,Inputs!$A:$A,Inputs!D:D,,0)</f>
        <v>-378</v>
      </c>
      <c r="E70" s="51">
        <f>_xlfn.XLOOKUP($A70,Inputs!$A:$A,Inputs!E:E,,0)</f>
        <v>-658</v>
      </c>
      <c r="F70" s="51">
        <f>_xlfn.XLOOKUP($A70,Inputs!$A:$A,Inputs!F:F,,0)</f>
        <v>41</v>
      </c>
      <c r="G70" s="51">
        <f>_xlfn.XLOOKUP($A70,Inputs!$A:$A,Inputs!G:G,,0)</f>
        <v>-78</v>
      </c>
      <c r="H70" s="51">
        <f>_xlfn.XLOOKUP($A70,Inputs!$A:$A,Inputs!H:H,,0)</f>
        <v>1</v>
      </c>
      <c r="I70" s="51">
        <f>_xlfn.XLOOKUP($A70,Inputs!$A:$A,Inputs!I:I,,0)</f>
        <v>342</v>
      </c>
      <c r="J70" s="51">
        <f>_xlfn.XLOOKUP($A70,Inputs!$A:$A,Inputs!J:J,,0)</f>
        <v>243</v>
      </c>
      <c r="K70" s="51">
        <f>_xlfn.XLOOKUP($A70,Inputs!$A:$A,Inputs!K:K,,0)</f>
        <v>83</v>
      </c>
      <c r="L70" s="51">
        <f>_xlfn.XLOOKUP($A70,Inputs!$A:$A,Inputs!L:L,,0)</f>
        <v>539</v>
      </c>
      <c r="M70" s="51">
        <f>_xlfn.XLOOKUP($A70,Inputs!$A:$A,Inputs!M:M,,0)</f>
        <v>123</v>
      </c>
    </row>
    <row r="71" spans="1:13">
      <c r="A71" s="113" t="s">
        <v>130</v>
      </c>
      <c r="B71" s="57">
        <f>_xlfn.XLOOKUP($A71,Inputs!$A:$A,Inputs!B:B,,0)</f>
        <v>-1146</v>
      </c>
      <c r="C71" s="57">
        <f>_xlfn.XLOOKUP($A71,Inputs!$A:$A,Inputs!C:C,,0)</f>
        <v>-3264</v>
      </c>
      <c r="D71" s="57">
        <f>_xlfn.XLOOKUP($A71,Inputs!$A:$A,Inputs!D:D,,0)</f>
        <v>-1895</v>
      </c>
      <c r="E71" s="57">
        <f>_xlfn.XLOOKUP($A71,Inputs!$A:$A,Inputs!E:E,,0)</f>
        <v>6</v>
      </c>
      <c r="F71" s="57">
        <f>_xlfn.XLOOKUP($A71,Inputs!$A:$A,Inputs!F:F,,0)</f>
        <v>43</v>
      </c>
      <c r="G71" s="57">
        <f>_xlfn.XLOOKUP($A71,Inputs!$A:$A,Inputs!G:G,,0)</f>
        <v>28</v>
      </c>
      <c r="H71" s="57">
        <f>_xlfn.XLOOKUP($A71,Inputs!$A:$A,Inputs!H:H,,0)</f>
        <v>-33</v>
      </c>
      <c r="I71" s="57">
        <f>_xlfn.XLOOKUP($A71,Inputs!$A:$A,Inputs!I:I,,0)</f>
        <v>122</v>
      </c>
      <c r="J71" s="57">
        <f>_xlfn.XLOOKUP($A71,Inputs!$A:$A,Inputs!J:J,,0)</f>
        <v>59</v>
      </c>
      <c r="K71" s="57">
        <f>_xlfn.XLOOKUP($A71,Inputs!$A:$A,Inputs!K:K,,0)</f>
        <v>46</v>
      </c>
      <c r="L71" s="57">
        <f>_xlfn.XLOOKUP($A71,Inputs!$A:$A,Inputs!L:L,,0)</f>
        <v>13</v>
      </c>
      <c r="M71" s="57">
        <f>_xlfn.XLOOKUP($A71,Inputs!$A:$A,Inputs!M:M,,0)</f>
        <v>37</v>
      </c>
    </row>
    <row r="72" spans="1:13">
      <c r="A72" s="109" t="s">
        <v>131</v>
      </c>
      <c r="B72" s="51">
        <f>_xlfn.XLOOKUP($A72,Inputs!$A:$A,Inputs!B:B,,0)</f>
        <v>0</v>
      </c>
      <c r="C72" s="51">
        <f>_xlfn.XLOOKUP($A72,Inputs!$A:$A,Inputs!C:C,,0)</f>
        <v>0</v>
      </c>
      <c r="D72" s="51">
        <f>_xlfn.XLOOKUP($A72,Inputs!$A:$A,Inputs!D:D,,0)</f>
        <v>0</v>
      </c>
      <c r="E72" s="51">
        <f>_xlfn.XLOOKUP($A72,Inputs!$A:$A,Inputs!E:E,,0)</f>
        <v>0</v>
      </c>
      <c r="F72" s="51">
        <f>_xlfn.XLOOKUP($A72,Inputs!$A:$A,Inputs!F:F,,0)</f>
        <v>0</v>
      </c>
      <c r="G72" s="51">
        <f>_xlfn.XLOOKUP($A72,Inputs!$A:$A,Inputs!G:G,,0)</f>
        <v>0</v>
      </c>
      <c r="H72" s="51">
        <f>_xlfn.XLOOKUP($A72,Inputs!$A:$A,Inputs!H:H,,0)</f>
        <v>0</v>
      </c>
      <c r="I72" s="51">
        <f>_xlfn.XLOOKUP($A72,Inputs!$A:$A,Inputs!I:I,,0)</f>
        <v>0</v>
      </c>
      <c r="J72" s="51">
        <f>_xlfn.XLOOKUP($A72,Inputs!$A:$A,Inputs!J:J,,0)</f>
        <v>0</v>
      </c>
      <c r="K72" s="51">
        <f>_xlfn.XLOOKUP($A72,Inputs!$A:$A,Inputs!K:K,,0)</f>
        <v>0</v>
      </c>
      <c r="L72" s="51">
        <f>_xlfn.XLOOKUP($A72,Inputs!$A:$A,Inputs!L:L,,0)</f>
        <v>0</v>
      </c>
      <c r="M72" s="51">
        <f>_xlfn.XLOOKUP($A72,Inputs!$A:$A,Inputs!M:M,,0)</f>
        <v>0</v>
      </c>
    </row>
    <row r="73" spans="1:13">
      <c r="A73" s="109" t="s">
        <v>991</v>
      </c>
      <c r="B73" s="51">
        <f>_xlfn.XLOOKUP($A73,Inputs!$A:$A,Inputs!B:B,,0)</f>
        <v>-985</v>
      </c>
      <c r="C73" s="51">
        <f>_xlfn.XLOOKUP($A73,Inputs!$A:$A,Inputs!C:C,,0)</f>
        <v>-3702</v>
      </c>
      <c r="D73" s="51">
        <f>_xlfn.XLOOKUP($A73,Inputs!$A:$A,Inputs!D:D,,0)</f>
        <v>-1762</v>
      </c>
      <c r="E73" s="51">
        <f>_xlfn.XLOOKUP($A73,Inputs!$A:$A,Inputs!E:E,,0)</f>
        <v>0</v>
      </c>
      <c r="F73" s="51">
        <f>_xlfn.XLOOKUP($A73,Inputs!$A:$A,Inputs!F:F,,0)</f>
        <v>0</v>
      </c>
      <c r="G73" s="51">
        <f>_xlfn.XLOOKUP($A73,Inputs!$A:$A,Inputs!G:G,,0)</f>
        <v>0</v>
      </c>
      <c r="H73" s="51">
        <f>_xlfn.XLOOKUP($A73,Inputs!$A:$A,Inputs!H:H,,0)</f>
        <v>0</v>
      </c>
      <c r="I73" s="51">
        <f>_xlfn.XLOOKUP($A73,Inputs!$A:$A,Inputs!I:I,,0)</f>
        <v>0</v>
      </c>
      <c r="J73" s="51">
        <f>_xlfn.XLOOKUP($A73,Inputs!$A:$A,Inputs!J:J,,0)</f>
        <v>0</v>
      </c>
      <c r="K73" s="51">
        <f>_xlfn.XLOOKUP($A73,Inputs!$A:$A,Inputs!K:K,,0)</f>
        <v>0</v>
      </c>
      <c r="L73" s="51">
        <f>_xlfn.XLOOKUP($A73,Inputs!$A:$A,Inputs!L:L,,0)</f>
        <v>0</v>
      </c>
      <c r="M73" s="51">
        <f>_xlfn.XLOOKUP($A73,Inputs!$A:$A,Inputs!M:M,,0)</f>
        <v>0</v>
      </c>
    </row>
    <row r="74" spans="1:13">
      <c r="A74" s="113" t="s">
        <v>134</v>
      </c>
      <c r="B74" s="57">
        <f>_xlfn.XLOOKUP($A74,Inputs!$A:$A,Inputs!B:B,,0)</f>
        <v>0</v>
      </c>
      <c r="C74" s="57">
        <f>_xlfn.XLOOKUP($A74,Inputs!$A:$A,Inputs!C:C,,0)</f>
        <v>0</v>
      </c>
      <c r="D74" s="57">
        <f>_xlfn.XLOOKUP($A74,Inputs!$A:$A,Inputs!D:D,,0)</f>
        <v>0</v>
      </c>
      <c r="E74" s="57">
        <f>_xlfn.XLOOKUP($A74,Inputs!$A:$A,Inputs!E:E,,0)</f>
        <v>0</v>
      </c>
      <c r="F74" s="57">
        <f>_xlfn.XLOOKUP($A74,Inputs!$A:$A,Inputs!F:F,,0)</f>
        <v>0</v>
      </c>
      <c r="G74" s="57">
        <f>_xlfn.XLOOKUP($A74,Inputs!$A:$A,Inputs!G:G,,0)</f>
        <v>0</v>
      </c>
      <c r="H74" s="57">
        <f>_xlfn.XLOOKUP($A74,Inputs!$A:$A,Inputs!H:H,,0)</f>
        <v>0</v>
      </c>
      <c r="I74" s="57">
        <f>_xlfn.XLOOKUP($A74,Inputs!$A:$A,Inputs!I:I,,0)</f>
        <v>0</v>
      </c>
      <c r="J74" s="57">
        <f>_xlfn.XLOOKUP($A74,Inputs!$A:$A,Inputs!J:J,,0)</f>
        <v>0</v>
      </c>
      <c r="K74" s="57">
        <f>_xlfn.XLOOKUP($A74,Inputs!$A:$A,Inputs!K:K,,0)</f>
        <v>0</v>
      </c>
      <c r="L74" s="57">
        <f>_xlfn.XLOOKUP($A74,Inputs!$A:$A,Inputs!L:L,,0)</f>
        <v>0</v>
      </c>
      <c r="M74" s="57">
        <f>_xlfn.XLOOKUP($A74,Inputs!$A:$A,Inputs!M:M,,0)</f>
        <v>0</v>
      </c>
    </row>
    <row r="75" spans="1:13">
      <c r="A75" s="113" t="s">
        <v>992</v>
      </c>
      <c r="B75" s="57">
        <f>_xlfn.XLOOKUP($A75,Inputs!$A:$A,Inputs!B:B,,0)</f>
        <v>-902</v>
      </c>
      <c r="C75" s="57">
        <f>_xlfn.XLOOKUP($A75,Inputs!$A:$A,Inputs!C:C,,0)</f>
        <v>2300</v>
      </c>
      <c r="D75" s="57">
        <f>_xlfn.XLOOKUP($A75,Inputs!$A:$A,Inputs!D:D,,0)</f>
        <v>940</v>
      </c>
      <c r="E75" s="57">
        <f>_xlfn.XLOOKUP($A75,Inputs!$A:$A,Inputs!E:E,,0)</f>
        <v>125</v>
      </c>
      <c r="F75" s="57">
        <f>_xlfn.XLOOKUP($A75,Inputs!$A:$A,Inputs!F:F,,0)</f>
        <v>387</v>
      </c>
      <c r="G75" s="57">
        <f>_xlfn.XLOOKUP($A75,Inputs!$A:$A,Inputs!G:G,,0)</f>
        <v>-108</v>
      </c>
      <c r="H75" s="57">
        <f>_xlfn.XLOOKUP($A75,Inputs!$A:$A,Inputs!H:H,,0)</f>
        <v>-75</v>
      </c>
      <c r="I75" s="57">
        <f>_xlfn.XLOOKUP($A75,Inputs!$A:$A,Inputs!I:I,,0)</f>
        <v>479</v>
      </c>
      <c r="J75" s="57">
        <f>_xlfn.XLOOKUP($A75,Inputs!$A:$A,Inputs!J:J,,0)</f>
        <v>-20</v>
      </c>
      <c r="K75" s="57">
        <f>_xlfn.XLOOKUP($A75,Inputs!$A:$A,Inputs!K:K,,0)</f>
        <v>-64</v>
      </c>
      <c r="L75" s="57">
        <f>_xlfn.XLOOKUP($A75,Inputs!$A:$A,Inputs!L:L,,0)</f>
        <v>320</v>
      </c>
      <c r="M75" s="57">
        <f>_xlfn.XLOOKUP($A75,Inputs!$A:$A,Inputs!M:M,,0)</f>
        <v>-320</v>
      </c>
    </row>
    <row r="76" spans="1:13">
      <c r="A76" s="874" t="s">
        <v>484</v>
      </c>
      <c r="B76" s="873">
        <f>B67+B69</f>
        <v>1121</v>
      </c>
      <c r="C76" s="873">
        <f t="shared" ref="C76:M76" si="79">C67+C69</f>
        <v>3115</v>
      </c>
      <c r="D76" s="873">
        <f t="shared" si="79"/>
        <v>3220</v>
      </c>
      <c r="E76" s="873">
        <f t="shared" si="79"/>
        <v>777</v>
      </c>
      <c r="F76" s="873">
        <f t="shared" si="79"/>
        <v>276</v>
      </c>
      <c r="G76" s="873">
        <f t="shared" si="79"/>
        <v>-129</v>
      </c>
      <c r="H76" s="873">
        <f t="shared" si="79"/>
        <v>-101</v>
      </c>
      <c r="I76" s="873">
        <f t="shared" si="79"/>
        <v>13</v>
      </c>
      <c r="J76" s="873">
        <f t="shared" si="79"/>
        <v>-322</v>
      </c>
      <c r="K76" s="873">
        <f t="shared" si="79"/>
        <v>-193</v>
      </c>
      <c r="L76" s="873">
        <f t="shared" si="79"/>
        <v>-232</v>
      </c>
      <c r="M76" s="873">
        <f t="shared" si="79"/>
        <v>-471</v>
      </c>
    </row>
    <row r="77" spans="1:13" ht="21">
      <c r="A77" s="1971" t="s">
        <v>1065</v>
      </c>
      <c r="B77" s="1971"/>
      <c r="C77" s="1971"/>
      <c r="D77" s="1971"/>
      <c r="E77" s="1971"/>
      <c r="F77" s="1971"/>
      <c r="G77" s="1971"/>
      <c r="H77" s="1971"/>
      <c r="I77" s="1971"/>
      <c r="J77" s="1971"/>
      <c r="K77" s="1971"/>
      <c r="L77" s="1971"/>
      <c r="M77" s="1971"/>
    </row>
    <row r="78" spans="1:13">
      <c r="A78" s="108" t="s">
        <v>1066</v>
      </c>
      <c r="B78" s="51" t="e">
        <f>_xlfn.XLOOKUP($A78,Inputs!$A:$A,Inputs!B:B,,0)</f>
        <v>#N/A</v>
      </c>
      <c r="C78" s="51" t="e">
        <f>_xlfn.XLOOKUP($A78,Inputs!$A:$A,Inputs!C:C,,0)</f>
        <v>#N/A</v>
      </c>
      <c r="D78" s="51" t="e">
        <f>_xlfn.XLOOKUP($A78,Inputs!$A:$A,Inputs!D:D,,0)</f>
        <v>#N/A</v>
      </c>
      <c r="E78" s="51" t="e">
        <f>_xlfn.XLOOKUP($A78,Inputs!$A:$A,Inputs!E:E,,0)</f>
        <v>#N/A</v>
      </c>
      <c r="F78" s="51" t="e">
        <f>_xlfn.XLOOKUP($A78,Inputs!$A:$A,Inputs!F:F,,0)</f>
        <v>#N/A</v>
      </c>
      <c r="G78" s="51" t="e">
        <f>_xlfn.XLOOKUP($A78,Inputs!$A:$A,Inputs!G:G,,0)</f>
        <v>#N/A</v>
      </c>
      <c r="H78" s="51" t="e">
        <f>_xlfn.XLOOKUP($A78,Inputs!$A:$A,Inputs!H:H,,0)</f>
        <v>#N/A</v>
      </c>
      <c r="I78" s="51" t="e">
        <f>_xlfn.XLOOKUP($A78,Inputs!$A:$A,Inputs!I:I,,0)</f>
        <v>#N/A</v>
      </c>
      <c r="J78" s="51" t="e">
        <f>_xlfn.XLOOKUP($A78,Inputs!$A:$A,Inputs!J:J,,0)</f>
        <v>#N/A</v>
      </c>
      <c r="K78" s="51" t="e">
        <f>_xlfn.XLOOKUP($A78,Inputs!$A:$A,Inputs!K:K,,0)</f>
        <v>#N/A</v>
      </c>
      <c r="L78" s="51" t="e">
        <f>_xlfn.XLOOKUP($A78,Inputs!$A:$A,Inputs!L:L,,0)</f>
        <v>#N/A</v>
      </c>
      <c r="M78" s="51" t="e">
        <f>_xlfn.XLOOKUP($A78,Inputs!$A:$A,Inputs!M:M,,0)</f>
        <v>#N/A</v>
      </c>
    </row>
    <row r="79" spans="1:13">
      <c r="A79" s="114" t="s">
        <v>1067</v>
      </c>
      <c r="B79" s="51" t="e">
        <f>_xlfn.XLOOKUP($A79,Inputs!$A:$A,Inputs!B:B,,0)</f>
        <v>#N/A</v>
      </c>
      <c r="C79" s="51" t="e">
        <f>_xlfn.XLOOKUP($A79,Inputs!$A:$A,Inputs!C:C,,0)</f>
        <v>#N/A</v>
      </c>
      <c r="D79" s="51" t="e">
        <f>_xlfn.XLOOKUP($A79,Inputs!$A:$A,Inputs!D:D,,0)</f>
        <v>#N/A</v>
      </c>
      <c r="E79" s="51" t="e">
        <f>_xlfn.XLOOKUP($A79,Inputs!$A:$A,Inputs!E:E,,0)</f>
        <v>#N/A</v>
      </c>
      <c r="F79" s="51" t="e">
        <f>_xlfn.XLOOKUP($A79,Inputs!$A:$A,Inputs!F:F,,0)</f>
        <v>#N/A</v>
      </c>
      <c r="G79" s="51" t="e">
        <f>_xlfn.XLOOKUP($A79,Inputs!$A:$A,Inputs!G:G,,0)</f>
        <v>#N/A</v>
      </c>
      <c r="H79" s="51" t="e">
        <f>_xlfn.XLOOKUP($A79,Inputs!$A:$A,Inputs!H:H,,0)</f>
        <v>#N/A</v>
      </c>
      <c r="I79" s="51" t="e">
        <f>_xlfn.XLOOKUP($A79,Inputs!$A:$A,Inputs!I:I,,0)</f>
        <v>#N/A</v>
      </c>
      <c r="J79" s="51" t="e">
        <f>_xlfn.XLOOKUP($A79,Inputs!$A:$A,Inputs!J:J,,0)</f>
        <v>#N/A</v>
      </c>
      <c r="K79" s="51" t="e">
        <f>_xlfn.XLOOKUP($A79,Inputs!$A:$A,Inputs!K:K,,0)</f>
        <v>#N/A</v>
      </c>
      <c r="L79" s="51" t="e">
        <f>_xlfn.XLOOKUP($A79,Inputs!$A:$A,Inputs!L:L,,0)</f>
        <v>#N/A</v>
      </c>
      <c r="M79" s="51" t="e">
        <f>_xlfn.XLOOKUP($A79,Inputs!$A:$A,Inputs!M:M,,0)</f>
        <v>#N/A</v>
      </c>
    </row>
    <row r="80" spans="1:13">
      <c r="A80" s="108" t="s">
        <v>43</v>
      </c>
      <c r="B80" s="51">
        <f>_xlfn.XLOOKUP($A80,Inputs!$A:$A,Inputs!B:B,,0)</f>
        <v>0.99460000000000004</v>
      </c>
      <c r="C80" s="51" t="str">
        <f>_xlfn.XLOOKUP($A80,Inputs!$A:$A,Inputs!C:C,,0)</f>
        <v>Yahoo finance</v>
      </c>
      <c r="D80" s="51">
        <f>_xlfn.XLOOKUP($A80,Inputs!$A:$A,Inputs!D:D,,0)</f>
        <v>0</v>
      </c>
      <c r="E80" s="51">
        <f>_xlfn.XLOOKUP($A80,Inputs!$A:$A,Inputs!E:E,,0)</f>
        <v>0</v>
      </c>
      <c r="F80" s="51">
        <f>_xlfn.XLOOKUP($A80,Inputs!$A:$A,Inputs!F:F,,0)</f>
        <v>0</v>
      </c>
      <c r="G80" s="51">
        <f>_xlfn.XLOOKUP($A80,Inputs!$A:$A,Inputs!G:G,,0)</f>
        <v>0</v>
      </c>
      <c r="H80" s="51">
        <f>_xlfn.XLOOKUP($A80,Inputs!$A:$A,Inputs!H:H,,0)</f>
        <v>0</v>
      </c>
      <c r="I80" s="51">
        <f>_xlfn.XLOOKUP($A80,Inputs!$A:$A,Inputs!I:I,,0)</f>
        <v>0</v>
      </c>
      <c r="J80" s="51">
        <f>_xlfn.XLOOKUP($A80,Inputs!$A:$A,Inputs!J:J,,0)</f>
        <v>0</v>
      </c>
      <c r="K80" s="51">
        <f>_xlfn.XLOOKUP($A80,Inputs!$A:$A,Inputs!K:K,,0)</f>
        <v>0</v>
      </c>
      <c r="L80" s="51">
        <f>_xlfn.XLOOKUP($A80,Inputs!$A:$A,Inputs!L:L,,0)</f>
        <v>0</v>
      </c>
      <c r="M80" s="51">
        <f>_xlfn.XLOOKUP($A80,Inputs!$A:$A,Inputs!M:M,,0)</f>
        <v>0</v>
      </c>
    </row>
    <row r="81" spans="1:13">
      <c r="A81" s="114" t="s">
        <v>47</v>
      </c>
      <c r="B81" s="51">
        <f>_xlfn.XLOOKUP($A81,Inputs!$A:$A,Inputs!B:B,,0)</f>
        <v>4.7999999999999996E-3</v>
      </c>
      <c r="C81" s="51" t="str">
        <f>_xlfn.XLOOKUP($A81,Inputs!$A:$A,Inputs!C:C,,0)</f>
        <v>Yahoo finance</v>
      </c>
      <c r="D81" s="51">
        <f>_xlfn.XLOOKUP($A81,Inputs!$A:$A,Inputs!D:D,,0)</f>
        <v>0</v>
      </c>
      <c r="E81" s="51">
        <f>_xlfn.XLOOKUP($A81,Inputs!$A:$A,Inputs!E:E,,0)</f>
        <v>0</v>
      </c>
      <c r="F81" s="51">
        <f>_xlfn.XLOOKUP($A81,Inputs!$A:$A,Inputs!F:F,,0)</f>
        <v>0</v>
      </c>
      <c r="G81" s="51">
        <f>_xlfn.XLOOKUP($A81,Inputs!$A:$A,Inputs!G:G,,0)</f>
        <v>0</v>
      </c>
      <c r="H81" s="51">
        <f>_xlfn.XLOOKUP($A81,Inputs!$A:$A,Inputs!H:H,,0)</f>
        <v>0</v>
      </c>
      <c r="I81" s="51">
        <f>_xlfn.XLOOKUP($A81,Inputs!$A:$A,Inputs!I:I,,0)</f>
        <v>0</v>
      </c>
      <c r="J81" s="51">
        <f>_xlfn.XLOOKUP($A81,Inputs!$A:$A,Inputs!J:J,,0)</f>
        <v>0</v>
      </c>
      <c r="K81" s="51">
        <f>_xlfn.XLOOKUP($A81,Inputs!$A:$A,Inputs!K:K,,0)</f>
        <v>0</v>
      </c>
      <c r="L81" s="51">
        <f>_xlfn.XLOOKUP($A81,Inputs!$A:$A,Inputs!L:L,,0)</f>
        <v>0</v>
      </c>
      <c r="M81" s="51">
        <f>_xlfn.XLOOKUP($A81,Inputs!$A:$A,Inputs!M:M,,0)</f>
        <v>0</v>
      </c>
    </row>
    <row r="82" spans="1:13">
      <c r="A82" s="108" t="s">
        <v>1006</v>
      </c>
      <c r="B82" s="51" t="str">
        <f>_xlfn.XLOOKUP($A82,Inputs!$A:$A,Inputs!B:B,,0)</f>
        <v>A-</v>
      </c>
      <c r="C82" s="51" t="str">
        <f>_xlfn.XLOOKUP($A82,Inputs!$A:$A,Inputs!C:C,,0)</f>
        <v>10-K</v>
      </c>
      <c r="D82" s="51">
        <f>_xlfn.XLOOKUP($A82,Inputs!$A:$A,Inputs!D:D,,0)</f>
        <v>0</v>
      </c>
      <c r="E82" s="51">
        <f>_xlfn.XLOOKUP($A82,Inputs!$A:$A,Inputs!E:E,,0)</f>
        <v>0</v>
      </c>
      <c r="F82" s="51">
        <f>_xlfn.XLOOKUP($A82,Inputs!$A:$A,Inputs!F:F,,0)</f>
        <v>0</v>
      </c>
      <c r="G82" s="51">
        <f>_xlfn.XLOOKUP($A82,Inputs!$A:$A,Inputs!G:G,,0)</f>
        <v>0</v>
      </c>
      <c r="H82" s="51">
        <f>_xlfn.XLOOKUP($A82,Inputs!$A:$A,Inputs!H:H,,0)</f>
        <v>0</v>
      </c>
      <c r="I82" s="51">
        <f>_xlfn.XLOOKUP($A82,Inputs!$A:$A,Inputs!I:I,,0)</f>
        <v>0</v>
      </c>
      <c r="J82" s="51">
        <f>_xlfn.XLOOKUP($A82,Inputs!$A:$A,Inputs!J:J,,0)</f>
        <v>0</v>
      </c>
      <c r="K82" s="51">
        <f>_xlfn.XLOOKUP($A82,Inputs!$A:$A,Inputs!K:K,,0)</f>
        <v>0</v>
      </c>
      <c r="L82" s="51">
        <f>_xlfn.XLOOKUP($A82,Inputs!$A:$A,Inputs!L:L,,0)</f>
        <v>0</v>
      </c>
      <c r="M82" s="51">
        <f>_xlfn.XLOOKUP($A82,Inputs!$A:$A,Inputs!M:M,,0)</f>
        <v>0</v>
      </c>
    </row>
    <row r="83" spans="1:13">
      <c r="A83" s="108" t="s">
        <v>1068</v>
      </c>
      <c r="B83" s="51" t="e">
        <f>_xlfn.XLOOKUP($A83,Inputs!$A:$A,Inputs!B:B,,0)</f>
        <v>#N/A</v>
      </c>
      <c r="C83" s="51" t="e">
        <f>_xlfn.XLOOKUP($A83,Inputs!$A:$A,Inputs!C:C,,0)</f>
        <v>#N/A</v>
      </c>
      <c r="D83" s="51" t="e">
        <f>_xlfn.XLOOKUP($A83,Inputs!$A:$A,Inputs!D:D,,0)</f>
        <v>#N/A</v>
      </c>
      <c r="E83" s="51" t="e">
        <f>_xlfn.XLOOKUP($A83,Inputs!$A:$A,Inputs!E:E,,0)</f>
        <v>#N/A</v>
      </c>
      <c r="F83" s="51" t="e">
        <f>_xlfn.XLOOKUP($A83,Inputs!$A:$A,Inputs!F:F,,0)</f>
        <v>#N/A</v>
      </c>
      <c r="G83" s="51" t="e">
        <f>_xlfn.XLOOKUP($A83,Inputs!$A:$A,Inputs!G:G,,0)</f>
        <v>#N/A</v>
      </c>
      <c r="H83" s="51" t="e">
        <f>_xlfn.XLOOKUP($A83,Inputs!$A:$A,Inputs!H:H,,0)</f>
        <v>#N/A</v>
      </c>
      <c r="I83" s="51" t="e">
        <f>_xlfn.XLOOKUP($A83,Inputs!$A:$A,Inputs!I:I,,0)</f>
        <v>#N/A</v>
      </c>
      <c r="J83" s="51" t="e">
        <f>_xlfn.XLOOKUP($A83,Inputs!$A:$A,Inputs!J:J,,0)</f>
        <v>#N/A</v>
      </c>
      <c r="K83" s="51" t="e">
        <f>_xlfn.XLOOKUP($A83,Inputs!$A:$A,Inputs!K:K,,0)</f>
        <v>#N/A</v>
      </c>
      <c r="L83" s="51" t="e">
        <f>_xlfn.XLOOKUP($A83,Inputs!$A:$A,Inputs!L:L,,0)</f>
        <v>#N/A</v>
      </c>
      <c r="M83" s="51" t="e">
        <f>_xlfn.XLOOKUP($A83,Inputs!$A:$A,Inputs!M:M,,0)</f>
        <v>#N/A</v>
      </c>
    </row>
    <row r="84" spans="1:13">
      <c r="A84" s="114" t="s">
        <v>1009</v>
      </c>
      <c r="B84" s="51">
        <f>_xlfn.XLOOKUP($A84,Inputs!$A:$A,Inputs!B:B,,0)</f>
        <v>74.760000000000005</v>
      </c>
      <c r="C84" s="51" t="str">
        <f>_xlfn.XLOOKUP($A84,Inputs!$A:$A,Inputs!C:C,,0)</f>
        <v>Yahoo Finance</v>
      </c>
      <c r="D84" s="51">
        <f>_xlfn.XLOOKUP($A84,Inputs!$A:$A,Inputs!D:D,,0)</f>
        <v>0</v>
      </c>
      <c r="E84" s="51">
        <f>_xlfn.XLOOKUP($A84,Inputs!$A:$A,Inputs!E:E,,0)</f>
        <v>0</v>
      </c>
      <c r="F84" s="51">
        <f>_xlfn.XLOOKUP($A84,Inputs!$A:$A,Inputs!F:F,,0)</f>
        <v>0</v>
      </c>
      <c r="G84" s="51">
        <f>_xlfn.XLOOKUP($A84,Inputs!$A:$A,Inputs!G:G,,0)</f>
        <v>0</v>
      </c>
      <c r="H84" s="51">
        <f>_xlfn.XLOOKUP($A84,Inputs!$A:$A,Inputs!H:H,,0)</f>
        <v>0</v>
      </c>
      <c r="I84" s="51">
        <f>_xlfn.XLOOKUP($A84,Inputs!$A:$A,Inputs!I:I,,0)</f>
        <v>0</v>
      </c>
      <c r="J84" s="51">
        <f>_xlfn.XLOOKUP($A84,Inputs!$A:$A,Inputs!J:J,,0)</f>
        <v>0</v>
      </c>
      <c r="K84" s="51">
        <f>_xlfn.XLOOKUP($A84,Inputs!$A:$A,Inputs!K:K,,0)</f>
        <v>0</v>
      </c>
      <c r="L84" s="51">
        <f>_xlfn.XLOOKUP($A84,Inputs!$A:$A,Inputs!L:L,,0)</f>
        <v>0</v>
      </c>
      <c r="M84" s="51">
        <f>_xlfn.XLOOKUP($A84,Inputs!$A:$A,Inputs!M:M,,0)</f>
        <v>0</v>
      </c>
    </row>
    <row r="85" spans="1:13">
      <c r="B85" s="43"/>
      <c r="C85" s="43"/>
      <c r="D85" s="43"/>
      <c r="E85" s="43"/>
      <c r="F85" s="43"/>
      <c r="G85" s="43"/>
      <c r="H85" s="43"/>
      <c r="I85" s="43"/>
      <c r="J85" s="43"/>
      <c r="K85" s="43"/>
      <c r="L85" s="43"/>
      <c r="M85" s="43"/>
    </row>
    <row r="86" spans="1:13">
      <c r="B86" s="42">
        <v>2020</v>
      </c>
      <c r="C86" s="42">
        <v>2021</v>
      </c>
      <c r="D86" s="42">
        <v>2022</v>
      </c>
      <c r="G86" s="42"/>
      <c r="H86" s="43"/>
      <c r="I86" s="43"/>
      <c r="J86" s="43"/>
      <c r="K86" s="43"/>
      <c r="L86" s="43"/>
      <c r="M86" s="43"/>
    </row>
    <row r="87" spans="1:13">
      <c r="A87" s="108" t="s">
        <v>1011</v>
      </c>
      <c r="B87" s="55">
        <v>0</v>
      </c>
      <c r="C87" s="55">
        <v>0</v>
      </c>
      <c r="D87" s="56">
        <v>0</v>
      </c>
      <c r="G87" s="43"/>
      <c r="H87" s="43"/>
      <c r="I87" s="43"/>
      <c r="J87" s="43"/>
      <c r="K87" s="43"/>
      <c r="L87" s="43"/>
      <c r="M87" s="43"/>
    </row>
    <row r="88" spans="1:13">
      <c r="A88" s="114" t="s">
        <v>68</v>
      </c>
      <c r="B88" s="55">
        <v>0</v>
      </c>
      <c r="C88" s="55">
        <v>0</v>
      </c>
      <c r="D88" s="56">
        <v>0</v>
      </c>
    </row>
    <row r="90" spans="1:13">
      <c r="A90" s="11" t="s">
        <v>995</v>
      </c>
      <c r="B90" s="42" t="s">
        <v>1069</v>
      </c>
      <c r="C90" s="42" t="s">
        <v>997</v>
      </c>
      <c r="D90" s="42" t="s">
        <v>998</v>
      </c>
      <c r="E90" s="42" t="s">
        <v>999</v>
      </c>
      <c r="G90" s="42"/>
    </row>
    <row r="91" spans="1:13">
      <c r="B91" s="58" t="e">
        <f>VLOOKUP($A91,Inputs!$A$5:$M$107,MATCH(B$4,Inputs!$B$5:$M$5,0)+1,FALSE)</f>
        <v>#N/A</v>
      </c>
      <c r="C91" s="58" t="e">
        <f>VLOOKUP($A91,Inputs!$A$5:$M$107,MATCH(C$4,Inputs!$B$5:$M$5,0)+1,FALSE)</f>
        <v>#N/A</v>
      </c>
      <c r="D91" s="58" t="e">
        <f>VLOOKUP($A91,Inputs!$A$5:$M$107,MATCH(D$4,Inputs!$B$5:$M$5,0)+1,FALSE)</f>
        <v>#N/A</v>
      </c>
      <c r="E91" s="58" t="e">
        <f>VLOOKUP($A91,Inputs!$A$5:$M$107,MATCH(E$4,Inputs!$B$5:$M$5,0)+1,FALSE)</f>
        <v>#N/A</v>
      </c>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8671875" defaultRowHeight="13.2"/>
  <cols>
    <col min="1" max="9" width="0" hidden="1" customWidth="1"/>
    <col min="11" max="11" width="21.88671875" bestFit="1" customWidth="1"/>
  </cols>
  <sheetData>
    <row r="2" spans="2:27">
      <c r="E2" s="8" t="s">
        <v>1070</v>
      </c>
      <c r="F2" s="8" t="s">
        <v>1071</v>
      </c>
      <c r="H2" s="8" t="s">
        <v>453</v>
      </c>
      <c r="K2" s="1974" t="s">
        <v>1070</v>
      </c>
      <c r="L2" s="1976" t="s">
        <v>1072</v>
      </c>
      <c r="M2" s="1977"/>
      <c r="N2" s="1977"/>
      <c r="O2" s="1977"/>
      <c r="P2" s="1978"/>
      <c r="Q2" s="1977" t="s">
        <v>403</v>
      </c>
      <c r="R2" s="1977"/>
      <c r="S2" s="1977"/>
      <c r="T2" s="1977"/>
      <c r="U2" s="1977"/>
      <c r="V2" s="1977"/>
      <c r="W2" s="1977"/>
      <c r="X2" s="1977"/>
      <c r="Y2" s="1977"/>
      <c r="Z2" s="1977"/>
      <c r="AA2" s="1978"/>
    </row>
    <row r="3" spans="2:27">
      <c r="E3" t="s">
        <v>1073</v>
      </c>
      <c r="F3" t="s">
        <v>1074</v>
      </c>
      <c r="H3" s="8" t="s">
        <v>457</v>
      </c>
      <c r="K3" s="1975"/>
      <c r="L3" s="65" t="s">
        <v>1075</v>
      </c>
      <c r="M3" s="79" t="s">
        <v>1076</v>
      </c>
      <c r="N3" s="79" t="s">
        <v>1077</v>
      </c>
      <c r="O3" s="79" t="s">
        <v>1078</v>
      </c>
      <c r="P3" s="80" t="s">
        <v>1079</v>
      </c>
      <c r="Q3" s="79" t="s">
        <v>1080</v>
      </c>
      <c r="R3" s="79" t="s">
        <v>1081</v>
      </c>
      <c r="S3" s="79" t="s">
        <v>411</v>
      </c>
      <c r="T3" s="79" t="s">
        <v>1082</v>
      </c>
      <c r="U3" s="79" t="s">
        <v>1083</v>
      </c>
      <c r="V3" s="79" t="s">
        <v>1084</v>
      </c>
      <c r="W3" s="79" t="s">
        <v>1085</v>
      </c>
      <c r="X3" s="79" t="s">
        <v>1086</v>
      </c>
      <c r="Y3" s="79" t="s">
        <v>1087</v>
      </c>
      <c r="Z3" s="79" t="s">
        <v>1088</v>
      </c>
      <c r="AA3" s="80" t="s">
        <v>441</v>
      </c>
    </row>
    <row r="4" spans="2:27">
      <c r="B4" s="66"/>
      <c r="E4" t="s">
        <v>1073</v>
      </c>
      <c r="F4" t="s">
        <v>1089</v>
      </c>
      <c r="H4" s="8" t="s">
        <v>459</v>
      </c>
      <c r="K4" s="81" t="s">
        <v>1073</v>
      </c>
      <c r="L4" s="82" t="s">
        <v>453</v>
      </c>
      <c r="M4" t="s">
        <v>453</v>
      </c>
      <c r="N4" t="s">
        <v>457</v>
      </c>
      <c r="O4" t="s">
        <v>453</v>
      </c>
      <c r="P4" s="83" t="s">
        <v>453</v>
      </c>
      <c r="Q4" t="s">
        <v>457</v>
      </c>
      <c r="R4" t="s">
        <v>457</v>
      </c>
      <c r="S4" t="s">
        <v>453</v>
      </c>
      <c r="T4" t="s">
        <v>453</v>
      </c>
      <c r="U4" t="s">
        <v>459</v>
      </c>
      <c r="V4" t="s">
        <v>453</v>
      </c>
      <c r="W4" t="s">
        <v>453</v>
      </c>
      <c r="X4" t="s">
        <v>453</v>
      </c>
      <c r="Y4" t="s">
        <v>453</v>
      </c>
      <c r="Z4" t="s">
        <v>453</v>
      </c>
      <c r="AA4" s="83" t="s">
        <v>457</v>
      </c>
    </row>
    <row r="5" spans="2:27" ht="13.8">
      <c r="B5" s="75" t="s">
        <v>378</v>
      </c>
      <c r="E5" t="s">
        <v>1073</v>
      </c>
      <c r="F5" t="s">
        <v>1090</v>
      </c>
      <c r="H5" s="8" t="s">
        <v>1091</v>
      </c>
      <c r="K5" s="81" t="s">
        <v>1092</v>
      </c>
      <c r="L5" s="82" t="s">
        <v>453</v>
      </c>
      <c r="M5" t="s">
        <v>453</v>
      </c>
      <c r="N5" t="s">
        <v>457</v>
      </c>
      <c r="O5" t="s">
        <v>457</v>
      </c>
      <c r="P5" s="83" t="s">
        <v>453</v>
      </c>
      <c r="Q5" t="s">
        <v>457</v>
      </c>
      <c r="R5" t="s">
        <v>457</v>
      </c>
      <c r="S5" t="s">
        <v>453</v>
      </c>
      <c r="T5" t="s">
        <v>453</v>
      </c>
      <c r="U5" t="s">
        <v>457</v>
      </c>
      <c r="V5" t="s">
        <v>457</v>
      </c>
      <c r="W5" t="s">
        <v>457</v>
      </c>
      <c r="X5" t="s">
        <v>459</v>
      </c>
      <c r="Y5" t="s">
        <v>453</v>
      </c>
      <c r="Z5" t="s">
        <v>459</v>
      </c>
      <c r="AA5" s="83" t="s">
        <v>453</v>
      </c>
    </row>
    <row r="6" spans="2:27">
      <c r="B6" s="77" t="s">
        <v>1093</v>
      </c>
      <c r="E6" t="s">
        <v>1073</v>
      </c>
      <c r="F6" t="s">
        <v>1094</v>
      </c>
      <c r="K6" s="81" t="s">
        <v>1095</v>
      </c>
      <c r="L6" s="82" t="s">
        <v>459</v>
      </c>
      <c r="M6" t="s">
        <v>1091</v>
      </c>
      <c r="N6" t="s">
        <v>459</v>
      </c>
      <c r="O6" t="s">
        <v>459</v>
      </c>
      <c r="P6" s="83" t="s">
        <v>459</v>
      </c>
      <c r="Q6" t="s">
        <v>457</v>
      </c>
      <c r="R6" t="s">
        <v>459</v>
      </c>
      <c r="S6" t="s">
        <v>459</v>
      </c>
      <c r="T6" t="s">
        <v>453</v>
      </c>
      <c r="U6" t="s">
        <v>457</v>
      </c>
      <c r="V6" t="s">
        <v>457</v>
      </c>
      <c r="W6" t="s">
        <v>453</v>
      </c>
      <c r="X6" t="s">
        <v>459</v>
      </c>
      <c r="Y6" t="s">
        <v>453</v>
      </c>
      <c r="Z6" t="s">
        <v>1091</v>
      </c>
      <c r="AA6" s="83" t="s">
        <v>453</v>
      </c>
    </row>
    <row r="7" spans="2:27">
      <c r="B7" s="77" t="s">
        <v>1096</v>
      </c>
      <c r="E7" t="s">
        <v>1073</v>
      </c>
      <c r="F7" t="s">
        <v>1097</v>
      </c>
      <c r="K7" s="81" t="s">
        <v>1077</v>
      </c>
      <c r="L7" s="82" t="s">
        <v>1091</v>
      </c>
      <c r="M7" t="s">
        <v>1091</v>
      </c>
      <c r="N7" t="s">
        <v>457</v>
      </c>
      <c r="O7" t="s">
        <v>1091</v>
      </c>
      <c r="P7" s="83" t="s">
        <v>459</v>
      </c>
      <c r="Q7" t="s">
        <v>459</v>
      </c>
      <c r="R7" t="s">
        <v>457</v>
      </c>
      <c r="S7" t="s">
        <v>457</v>
      </c>
      <c r="T7" t="s">
        <v>457</v>
      </c>
      <c r="U7" t="s">
        <v>457</v>
      </c>
      <c r="V7" t="s">
        <v>459</v>
      </c>
      <c r="W7" t="s">
        <v>457</v>
      </c>
      <c r="X7" t="s">
        <v>457</v>
      </c>
      <c r="Y7" t="s">
        <v>459</v>
      </c>
      <c r="Z7" t="s">
        <v>459</v>
      </c>
      <c r="AA7" s="83" t="s">
        <v>453</v>
      </c>
    </row>
    <row r="8" spans="2:27">
      <c r="B8" s="77"/>
      <c r="K8" s="81" t="s">
        <v>1098</v>
      </c>
      <c r="L8" s="82" t="s">
        <v>453</v>
      </c>
      <c r="M8" t="s">
        <v>453</v>
      </c>
      <c r="N8" t="s">
        <v>453</v>
      </c>
      <c r="O8" t="s">
        <v>457</v>
      </c>
      <c r="P8" s="83" t="s">
        <v>457</v>
      </c>
      <c r="Q8" t="s">
        <v>453</v>
      </c>
      <c r="R8" t="s">
        <v>457</v>
      </c>
      <c r="S8" t="s">
        <v>457</v>
      </c>
      <c r="T8" t="s">
        <v>459</v>
      </c>
      <c r="U8" t="s">
        <v>457</v>
      </c>
      <c r="V8" t="s">
        <v>453</v>
      </c>
      <c r="W8" t="s">
        <v>453</v>
      </c>
      <c r="X8" t="s">
        <v>457</v>
      </c>
      <c r="Y8" t="s">
        <v>457</v>
      </c>
      <c r="Z8" t="s">
        <v>459</v>
      </c>
      <c r="AA8" s="83" t="s">
        <v>453</v>
      </c>
    </row>
    <row r="9" spans="2:27">
      <c r="B9" s="77" t="s">
        <v>394</v>
      </c>
      <c r="E9" t="s">
        <v>1073</v>
      </c>
      <c r="F9" t="s">
        <v>1099</v>
      </c>
      <c r="K9" s="81" t="s">
        <v>1100</v>
      </c>
      <c r="L9" s="82" t="s">
        <v>453</v>
      </c>
      <c r="M9" t="s">
        <v>453</v>
      </c>
      <c r="N9" t="s">
        <v>453</v>
      </c>
      <c r="O9" t="s">
        <v>453</v>
      </c>
      <c r="P9" s="83" t="s">
        <v>453</v>
      </c>
      <c r="Q9" t="s">
        <v>453</v>
      </c>
      <c r="R9" t="s">
        <v>453</v>
      </c>
      <c r="S9" t="s">
        <v>457</v>
      </c>
      <c r="T9" t="s">
        <v>459</v>
      </c>
      <c r="U9" t="s">
        <v>457</v>
      </c>
      <c r="V9" t="s">
        <v>453</v>
      </c>
      <c r="W9" t="s">
        <v>453</v>
      </c>
      <c r="X9" t="s">
        <v>453</v>
      </c>
      <c r="Y9" t="s">
        <v>453</v>
      </c>
      <c r="Z9" t="s">
        <v>457</v>
      </c>
      <c r="AA9" s="83" t="s">
        <v>453</v>
      </c>
    </row>
    <row r="10" spans="2:27">
      <c r="B10" s="77"/>
      <c r="K10" s="81" t="s">
        <v>1101</v>
      </c>
      <c r="L10" s="82" t="s">
        <v>453</v>
      </c>
      <c r="M10" t="s">
        <v>457</v>
      </c>
      <c r="N10" t="s">
        <v>453</v>
      </c>
      <c r="O10" t="s">
        <v>457</v>
      </c>
      <c r="P10" s="83" t="s">
        <v>459</v>
      </c>
      <c r="Q10" t="s">
        <v>453</v>
      </c>
      <c r="R10" t="s">
        <v>453</v>
      </c>
      <c r="S10" t="s">
        <v>453</v>
      </c>
      <c r="T10" t="s">
        <v>453</v>
      </c>
      <c r="U10" t="s">
        <v>453</v>
      </c>
      <c r="V10" t="s">
        <v>453</v>
      </c>
      <c r="W10" t="s">
        <v>453</v>
      </c>
      <c r="X10" t="s">
        <v>453</v>
      </c>
      <c r="Y10" t="s">
        <v>457</v>
      </c>
      <c r="Z10" t="s">
        <v>453</v>
      </c>
      <c r="AA10" s="83" t="s">
        <v>453</v>
      </c>
    </row>
    <row r="11" spans="2:27">
      <c r="B11" s="77" t="s">
        <v>398</v>
      </c>
      <c r="E11" t="s">
        <v>1073</v>
      </c>
      <c r="F11" t="s">
        <v>1102</v>
      </c>
      <c r="K11" s="81" t="s">
        <v>1103</v>
      </c>
      <c r="L11" s="82" t="s">
        <v>453</v>
      </c>
      <c r="M11" t="s">
        <v>457</v>
      </c>
      <c r="N11" t="s">
        <v>453</v>
      </c>
      <c r="O11" t="s">
        <v>453</v>
      </c>
      <c r="P11" s="83" t="s">
        <v>453</v>
      </c>
      <c r="Q11" t="s">
        <v>453</v>
      </c>
      <c r="R11" t="s">
        <v>453</v>
      </c>
      <c r="S11" t="s">
        <v>457</v>
      </c>
      <c r="T11" t="s">
        <v>453</v>
      </c>
      <c r="U11" t="s">
        <v>459</v>
      </c>
      <c r="V11" t="s">
        <v>453</v>
      </c>
      <c r="W11" t="s">
        <v>453</v>
      </c>
      <c r="X11" t="s">
        <v>453</v>
      </c>
      <c r="Y11" t="s">
        <v>453</v>
      </c>
      <c r="Z11" t="s">
        <v>453</v>
      </c>
      <c r="AA11" s="83" t="s">
        <v>453</v>
      </c>
    </row>
    <row r="12" spans="2:27">
      <c r="B12" s="76" t="s">
        <v>1104</v>
      </c>
      <c r="E12" t="s">
        <v>1073</v>
      </c>
      <c r="F12" t="s">
        <v>1105</v>
      </c>
      <c r="K12" s="81" t="s">
        <v>1106</v>
      </c>
      <c r="L12" s="82" t="s">
        <v>1091</v>
      </c>
      <c r="M12" t="s">
        <v>1091</v>
      </c>
      <c r="N12" t="s">
        <v>1091</v>
      </c>
      <c r="O12" t="s">
        <v>459</v>
      </c>
      <c r="P12" s="83" t="s">
        <v>459</v>
      </c>
      <c r="Q12" t="s">
        <v>453</v>
      </c>
      <c r="R12" t="s">
        <v>457</v>
      </c>
      <c r="S12" t="s">
        <v>459</v>
      </c>
      <c r="T12" t="s">
        <v>1091</v>
      </c>
      <c r="U12" t="s">
        <v>457</v>
      </c>
      <c r="V12" t="s">
        <v>1091</v>
      </c>
      <c r="W12" t="s">
        <v>457</v>
      </c>
      <c r="X12" t="s">
        <v>1091</v>
      </c>
      <c r="Y12" t="s">
        <v>1091</v>
      </c>
      <c r="Z12" t="s">
        <v>1091</v>
      </c>
      <c r="AA12" s="83" t="s">
        <v>459</v>
      </c>
    </row>
    <row r="13" spans="2:27" ht="13.8">
      <c r="B13" s="75" t="s">
        <v>403</v>
      </c>
      <c r="E13" t="s">
        <v>1073</v>
      </c>
      <c r="F13" t="s">
        <v>1107</v>
      </c>
      <c r="K13" s="81" t="s">
        <v>364</v>
      </c>
      <c r="L13" s="82" t="s">
        <v>457</v>
      </c>
      <c r="M13" t="s">
        <v>453</v>
      </c>
      <c r="N13" t="s">
        <v>459</v>
      </c>
      <c r="O13" t="s">
        <v>453</v>
      </c>
      <c r="P13" s="83" t="s">
        <v>453</v>
      </c>
      <c r="Q13" t="s">
        <v>453</v>
      </c>
      <c r="R13" t="s">
        <v>453</v>
      </c>
      <c r="S13" t="s">
        <v>453</v>
      </c>
      <c r="T13" t="s">
        <v>453</v>
      </c>
      <c r="U13" t="s">
        <v>459</v>
      </c>
      <c r="V13" t="s">
        <v>453</v>
      </c>
      <c r="W13" t="s">
        <v>453</v>
      </c>
      <c r="X13" t="s">
        <v>453</v>
      </c>
      <c r="Y13" t="s">
        <v>453</v>
      </c>
      <c r="Z13" t="s">
        <v>457</v>
      </c>
      <c r="AA13" s="83" t="s">
        <v>1091</v>
      </c>
    </row>
    <row r="14" spans="2:27">
      <c r="B14" s="70" t="s">
        <v>1108</v>
      </c>
      <c r="E14" t="s">
        <v>1073</v>
      </c>
      <c r="F14" t="s">
        <v>1109</v>
      </c>
      <c r="K14" s="81" t="s">
        <v>1110</v>
      </c>
      <c r="L14" s="82" t="s">
        <v>1091</v>
      </c>
      <c r="M14" t="s">
        <v>1091</v>
      </c>
      <c r="N14" t="s">
        <v>1091</v>
      </c>
      <c r="O14" t="s">
        <v>1091</v>
      </c>
      <c r="P14" s="83" t="s">
        <v>459</v>
      </c>
      <c r="Q14" t="s">
        <v>459</v>
      </c>
      <c r="R14" t="s">
        <v>459</v>
      </c>
      <c r="S14" t="s">
        <v>457</v>
      </c>
      <c r="T14" t="s">
        <v>459</v>
      </c>
      <c r="U14" t="s">
        <v>453</v>
      </c>
      <c r="V14" t="s">
        <v>1091</v>
      </c>
      <c r="W14" t="s">
        <v>457</v>
      </c>
      <c r="X14" t="s">
        <v>457</v>
      </c>
      <c r="Y14" t="s">
        <v>1091</v>
      </c>
      <c r="Z14" t="s">
        <v>459</v>
      </c>
      <c r="AA14" s="83" t="s">
        <v>457</v>
      </c>
    </row>
    <row r="15" spans="2:27">
      <c r="B15" s="70" t="s">
        <v>1111</v>
      </c>
      <c r="E15" t="s">
        <v>1092</v>
      </c>
      <c r="F15" t="s">
        <v>1112</v>
      </c>
      <c r="K15" s="81" t="s">
        <v>1113</v>
      </c>
      <c r="L15" s="82" t="s">
        <v>453</v>
      </c>
      <c r="M15" t="s">
        <v>453</v>
      </c>
      <c r="N15" t="s">
        <v>457</v>
      </c>
      <c r="O15" t="s">
        <v>453</v>
      </c>
      <c r="P15" s="83" t="s">
        <v>453</v>
      </c>
      <c r="Q15" t="s">
        <v>457</v>
      </c>
      <c r="R15" t="s">
        <v>453</v>
      </c>
      <c r="S15" t="s">
        <v>453</v>
      </c>
      <c r="T15" t="s">
        <v>453</v>
      </c>
      <c r="U15" t="s">
        <v>459</v>
      </c>
      <c r="V15" t="s">
        <v>453</v>
      </c>
      <c r="W15" t="s">
        <v>457</v>
      </c>
      <c r="X15" t="s">
        <v>453</v>
      </c>
      <c r="Y15" t="s">
        <v>457</v>
      </c>
      <c r="Z15" t="s">
        <v>453</v>
      </c>
      <c r="AA15" s="83" t="s">
        <v>453</v>
      </c>
    </row>
    <row r="16" spans="2:27">
      <c r="B16" s="73" t="s">
        <v>1114</v>
      </c>
      <c r="E16" t="s">
        <v>1092</v>
      </c>
      <c r="F16" t="s">
        <v>1115</v>
      </c>
      <c r="K16" s="84" t="s">
        <v>1116</v>
      </c>
      <c r="L16" s="85" t="s">
        <v>1091</v>
      </c>
      <c r="M16" s="86" t="s">
        <v>459</v>
      </c>
      <c r="N16" s="86" t="s">
        <v>459</v>
      </c>
      <c r="O16" s="86" t="s">
        <v>457</v>
      </c>
      <c r="P16" s="87" t="s">
        <v>459</v>
      </c>
      <c r="Q16" s="86" t="s">
        <v>453</v>
      </c>
      <c r="R16" s="86" t="s">
        <v>457</v>
      </c>
      <c r="S16" s="86" t="s">
        <v>457</v>
      </c>
      <c r="T16" s="86" t="s">
        <v>453</v>
      </c>
      <c r="U16" s="86" t="s">
        <v>457</v>
      </c>
      <c r="V16" s="86" t="s">
        <v>457</v>
      </c>
      <c r="W16" s="86" t="s">
        <v>457</v>
      </c>
      <c r="X16" s="86" t="s">
        <v>457</v>
      </c>
      <c r="Y16" s="86" t="s">
        <v>453</v>
      </c>
      <c r="Z16" s="86" t="s">
        <v>457</v>
      </c>
      <c r="AA16" s="87" t="s">
        <v>453</v>
      </c>
    </row>
    <row r="17" spans="2:22">
      <c r="B17" s="73" t="s">
        <v>1117</v>
      </c>
      <c r="E17" t="s">
        <v>1092</v>
      </c>
      <c r="F17" t="s">
        <v>1118</v>
      </c>
    </row>
    <row r="18" spans="2:22" hidden="1">
      <c r="B18" s="70" t="s">
        <v>1119</v>
      </c>
      <c r="E18" t="s">
        <v>1092</v>
      </c>
      <c r="F18" t="s">
        <v>1120</v>
      </c>
    </row>
    <row r="19" spans="2:22" hidden="1">
      <c r="B19" s="70" t="s">
        <v>1121</v>
      </c>
      <c r="E19" t="s">
        <v>1092</v>
      </c>
      <c r="F19" t="s">
        <v>1122</v>
      </c>
      <c r="L19" s="88" t="s">
        <v>1073</v>
      </c>
      <c r="M19" s="89" t="s">
        <v>1092</v>
      </c>
      <c r="N19" s="89" t="s">
        <v>1095</v>
      </c>
      <c r="O19" s="89" t="s">
        <v>1077</v>
      </c>
      <c r="P19" s="89" t="s">
        <v>1100</v>
      </c>
      <c r="Q19" s="89" t="s">
        <v>1103</v>
      </c>
      <c r="R19" s="89" t="s">
        <v>1106</v>
      </c>
      <c r="S19" s="89" t="s">
        <v>364</v>
      </c>
      <c r="T19" s="89" t="s">
        <v>1110</v>
      </c>
      <c r="U19" s="89" t="s">
        <v>1113</v>
      </c>
      <c r="V19" s="90" t="s">
        <v>1116</v>
      </c>
    </row>
    <row r="20" spans="2:22" hidden="1">
      <c r="B20" s="70" t="s">
        <v>425</v>
      </c>
      <c r="E20" t="s">
        <v>1092</v>
      </c>
      <c r="F20" t="s">
        <v>1123</v>
      </c>
      <c r="L20" s="82" t="s">
        <v>1074</v>
      </c>
      <c r="M20" t="s">
        <v>1112</v>
      </c>
      <c r="N20" t="s">
        <v>1124</v>
      </c>
      <c r="O20" t="s">
        <v>1125</v>
      </c>
      <c r="P20" t="s">
        <v>1126</v>
      </c>
      <c r="Q20" t="s">
        <v>1127</v>
      </c>
      <c r="R20" t="s">
        <v>1128</v>
      </c>
      <c r="S20" t="s">
        <v>1129</v>
      </c>
      <c r="T20" t="s">
        <v>1130</v>
      </c>
      <c r="U20" t="s">
        <v>1131</v>
      </c>
      <c r="V20" s="83" t="s">
        <v>1132</v>
      </c>
    </row>
    <row r="21" spans="2:22" hidden="1">
      <c r="B21" s="70" t="s">
        <v>431</v>
      </c>
      <c r="E21" t="s">
        <v>1092</v>
      </c>
      <c r="F21" t="s">
        <v>1133</v>
      </c>
      <c r="L21" s="82" t="s">
        <v>1089</v>
      </c>
      <c r="M21" t="s">
        <v>1115</v>
      </c>
      <c r="N21" t="s">
        <v>1134</v>
      </c>
      <c r="O21" t="s">
        <v>1135</v>
      </c>
      <c r="P21" t="s">
        <v>1136</v>
      </c>
      <c r="Q21" t="s">
        <v>1137</v>
      </c>
      <c r="R21" t="s">
        <v>1138</v>
      </c>
      <c r="S21" t="s">
        <v>1139</v>
      </c>
      <c r="T21" t="s">
        <v>1140</v>
      </c>
      <c r="U21" t="s">
        <v>1141</v>
      </c>
      <c r="V21" s="83" t="s">
        <v>1142</v>
      </c>
    </row>
    <row r="22" spans="2:22" hidden="1">
      <c r="B22" s="70" t="s">
        <v>436</v>
      </c>
      <c r="E22" t="s">
        <v>1092</v>
      </c>
      <c r="F22" t="s">
        <v>1143</v>
      </c>
      <c r="L22" s="82" t="s">
        <v>1090</v>
      </c>
      <c r="M22" t="s">
        <v>1118</v>
      </c>
      <c r="N22" t="s">
        <v>1144</v>
      </c>
      <c r="O22" t="s">
        <v>1145</v>
      </c>
      <c r="P22" t="s">
        <v>1146</v>
      </c>
      <c r="Q22" t="s">
        <v>1147</v>
      </c>
      <c r="R22" t="s">
        <v>1148</v>
      </c>
      <c r="S22" t="s">
        <v>1149</v>
      </c>
      <c r="T22" t="s">
        <v>1150</v>
      </c>
      <c r="U22" t="s">
        <v>1151</v>
      </c>
      <c r="V22" s="83" t="s">
        <v>1152</v>
      </c>
    </row>
    <row r="23" spans="2:22" hidden="1">
      <c r="B23" s="70" t="s">
        <v>440</v>
      </c>
      <c r="E23" t="s">
        <v>1092</v>
      </c>
      <c r="F23" t="s">
        <v>1153</v>
      </c>
      <c r="L23" s="82" t="s">
        <v>1094</v>
      </c>
      <c r="M23" t="s">
        <v>1120</v>
      </c>
      <c r="N23" t="s">
        <v>1154</v>
      </c>
      <c r="O23" t="s">
        <v>1155</v>
      </c>
      <c r="P23" t="s">
        <v>1156</v>
      </c>
      <c r="Q23" t="s">
        <v>1157</v>
      </c>
      <c r="R23" t="s">
        <v>1158</v>
      </c>
      <c r="S23" t="s">
        <v>1159</v>
      </c>
      <c r="T23" t="s">
        <v>1160</v>
      </c>
      <c r="U23" t="s">
        <v>1161</v>
      </c>
      <c r="V23" s="83" t="s">
        <v>1162</v>
      </c>
    </row>
    <row r="24" spans="2:22" hidden="1">
      <c r="B24" s="72" t="s">
        <v>441</v>
      </c>
      <c r="E24" t="s">
        <v>1092</v>
      </c>
      <c r="F24" t="s">
        <v>1163</v>
      </c>
      <c r="L24" s="82" t="s">
        <v>1097</v>
      </c>
      <c r="M24" t="s">
        <v>1122</v>
      </c>
      <c r="N24" t="s">
        <v>1164</v>
      </c>
      <c r="O24" t="s">
        <v>1165</v>
      </c>
      <c r="P24" t="s">
        <v>1166</v>
      </c>
      <c r="Q24" t="s">
        <v>1167</v>
      </c>
      <c r="R24" t="s">
        <v>1168</v>
      </c>
      <c r="S24" t="s">
        <v>1169</v>
      </c>
      <c r="T24" t="s">
        <v>1170</v>
      </c>
      <c r="U24" t="s">
        <v>1171</v>
      </c>
      <c r="V24" s="83" t="s">
        <v>1172</v>
      </c>
    </row>
    <row r="25" spans="2:22" hidden="1">
      <c r="E25" t="s">
        <v>1092</v>
      </c>
      <c r="F25" t="s">
        <v>1173</v>
      </c>
      <c r="L25" s="82" t="s">
        <v>1099</v>
      </c>
      <c r="M25" t="s">
        <v>1123</v>
      </c>
      <c r="N25" t="s">
        <v>1174</v>
      </c>
      <c r="P25" t="s">
        <v>1175</v>
      </c>
      <c r="Q25" t="s">
        <v>1176</v>
      </c>
      <c r="R25" t="s">
        <v>1177</v>
      </c>
      <c r="S25" t="s">
        <v>1178</v>
      </c>
      <c r="T25" t="s">
        <v>1179</v>
      </c>
      <c r="U25" t="s">
        <v>1180</v>
      </c>
      <c r="V25" s="83"/>
    </row>
    <row r="26" spans="2:22" hidden="1">
      <c r="E26" t="s">
        <v>1092</v>
      </c>
      <c r="F26" t="s">
        <v>1181</v>
      </c>
      <c r="L26" s="82" t="s">
        <v>1102</v>
      </c>
      <c r="M26" t="s">
        <v>1133</v>
      </c>
      <c r="N26" t="s">
        <v>1182</v>
      </c>
      <c r="P26" t="s">
        <v>1183</v>
      </c>
      <c r="Q26" t="s">
        <v>1184</v>
      </c>
      <c r="R26" t="s">
        <v>1185</v>
      </c>
      <c r="S26" t="s">
        <v>1186</v>
      </c>
      <c r="T26" t="s">
        <v>1187</v>
      </c>
      <c r="U26" t="s">
        <v>1188</v>
      </c>
      <c r="V26" s="83"/>
    </row>
    <row r="27" spans="2:22" hidden="1">
      <c r="E27" t="s">
        <v>1092</v>
      </c>
      <c r="F27" t="s">
        <v>1189</v>
      </c>
      <c r="L27" s="82" t="s">
        <v>1105</v>
      </c>
      <c r="M27" t="s">
        <v>1143</v>
      </c>
      <c r="N27" t="s">
        <v>1190</v>
      </c>
      <c r="P27" t="s">
        <v>1191</v>
      </c>
      <c r="Q27" t="s">
        <v>1192</v>
      </c>
      <c r="R27" t="s">
        <v>1193</v>
      </c>
      <c r="S27" t="s">
        <v>1194</v>
      </c>
      <c r="T27" t="s">
        <v>1195</v>
      </c>
      <c r="U27" t="s">
        <v>1196</v>
      </c>
      <c r="V27" s="83"/>
    </row>
    <row r="28" spans="2:22" hidden="1">
      <c r="E28" t="s">
        <v>1092</v>
      </c>
      <c r="F28" t="s">
        <v>1197</v>
      </c>
      <c r="L28" s="82" t="s">
        <v>1107</v>
      </c>
      <c r="M28" t="s">
        <v>1153</v>
      </c>
      <c r="N28" t="s">
        <v>1198</v>
      </c>
      <c r="P28" t="s">
        <v>1199</v>
      </c>
      <c r="Q28" t="s">
        <v>1200</v>
      </c>
      <c r="R28" t="s">
        <v>1201</v>
      </c>
      <c r="S28" t="s">
        <v>1202</v>
      </c>
      <c r="T28" t="s">
        <v>1203</v>
      </c>
      <c r="V28" s="83"/>
    </row>
    <row r="29" spans="2:22" hidden="1">
      <c r="E29" t="s">
        <v>1092</v>
      </c>
      <c r="F29" t="s">
        <v>1204</v>
      </c>
      <c r="L29" s="85" t="s">
        <v>1109</v>
      </c>
      <c r="M29" s="86" t="s">
        <v>1163</v>
      </c>
      <c r="N29" s="86" t="s">
        <v>1205</v>
      </c>
      <c r="O29" s="86"/>
      <c r="P29" s="86" t="s">
        <v>1206</v>
      </c>
      <c r="Q29" s="86" t="s">
        <v>1207</v>
      </c>
      <c r="R29" s="86" t="s">
        <v>1208</v>
      </c>
      <c r="S29" s="86" t="s">
        <v>1209</v>
      </c>
      <c r="T29" s="86" t="s">
        <v>1210</v>
      </c>
      <c r="U29" s="86"/>
      <c r="V29" s="87"/>
    </row>
    <row r="30" spans="2:22" hidden="1">
      <c r="E30" t="s">
        <v>1092</v>
      </c>
      <c r="F30" t="s">
        <v>1211</v>
      </c>
      <c r="M30" t="s">
        <v>1173</v>
      </c>
      <c r="N30" t="s">
        <v>1212</v>
      </c>
      <c r="P30" t="s">
        <v>1213</v>
      </c>
      <c r="R30" t="s">
        <v>1214</v>
      </c>
      <c r="S30" t="s">
        <v>1215</v>
      </c>
      <c r="T30" t="s">
        <v>1216</v>
      </c>
    </row>
    <row r="31" spans="2:22" hidden="1">
      <c r="E31" t="s">
        <v>1092</v>
      </c>
      <c r="F31" t="s">
        <v>1217</v>
      </c>
      <c r="M31" t="s">
        <v>1181</v>
      </c>
      <c r="N31" t="s">
        <v>1218</v>
      </c>
      <c r="P31" t="s">
        <v>1219</v>
      </c>
      <c r="R31" t="s">
        <v>1220</v>
      </c>
      <c r="S31" t="s">
        <v>1221</v>
      </c>
    </row>
    <row r="32" spans="2:22" hidden="1">
      <c r="E32" t="s">
        <v>1092</v>
      </c>
      <c r="F32" t="s">
        <v>1222</v>
      </c>
      <c r="M32" t="s">
        <v>1189</v>
      </c>
      <c r="P32" t="s">
        <v>1223</v>
      </c>
      <c r="R32" t="s">
        <v>1224</v>
      </c>
      <c r="S32" t="s">
        <v>1225</v>
      </c>
    </row>
    <row r="33" spans="5:18" hidden="1">
      <c r="E33" t="s">
        <v>1092</v>
      </c>
      <c r="F33" t="s">
        <v>1226</v>
      </c>
      <c r="M33" t="s">
        <v>1197</v>
      </c>
      <c r="R33" t="s">
        <v>1227</v>
      </c>
    </row>
    <row r="34" spans="5:18" hidden="1">
      <c r="E34" t="s">
        <v>1092</v>
      </c>
      <c r="F34" t="s">
        <v>1228</v>
      </c>
      <c r="M34" t="s">
        <v>1204</v>
      </c>
      <c r="R34" t="s">
        <v>1229</v>
      </c>
    </row>
    <row r="35" spans="5:18" hidden="1">
      <c r="E35" t="s">
        <v>1095</v>
      </c>
      <c r="F35" t="s">
        <v>1124</v>
      </c>
      <c r="M35" t="s">
        <v>1211</v>
      </c>
      <c r="R35" t="s">
        <v>1230</v>
      </c>
    </row>
    <row r="36" spans="5:18" hidden="1">
      <c r="E36" t="s">
        <v>1095</v>
      </c>
      <c r="F36" t="s">
        <v>1134</v>
      </c>
      <c r="M36" t="s">
        <v>1217</v>
      </c>
      <c r="R36" t="s">
        <v>1231</v>
      </c>
    </row>
    <row r="37" spans="5:18" hidden="1">
      <c r="E37" t="s">
        <v>1095</v>
      </c>
      <c r="F37" t="s">
        <v>1144</v>
      </c>
      <c r="M37" t="s">
        <v>1222</v>
      </c>
    </row>
    <row r="38" spans="5:18" hidden="1">
      <c r="E38" t="s">
        <v>1095</v>
      </c>
      <c r="F38" t="s">
        <v>1154</v>
      </c>
      <c r="M38" t="s">
        <v>1226</v>
      </c>
    </row>
    <row r="39" spans="5:18" hidden="1">
      <c r="E39" t="s">
        <v>1095</v>
      </c>
      <c r="F39" t="s">
        <v>1164</v>
      </c>
      <c r="M39" t="s">
        <v>1228</v>
      </c>
    </row>
    <row r="40" spans="5:18" hidden="1">
      <c r="E40" t="s">
        <v>1095</v>
      </c>
      <c r="F40" t="s">
        <v>1174</v>
      </c>
    </row>
    <row r="41" spans="5:18" hidden="1">
      <c r="E41" t="s">
        <v>1095</v>
      </c>
      <c r="F41" t="s">
        <v>1182</v>
      </c>
    </row>
    <row r="42" spans="5:18">
      <c r="E42" t="s">
        <v>1095</v>
      </c>
      <c r="F42" t="s">
        <v>1190</v>
      </c>
    </row>
    <row r="43" spans="5:18">
      <c r="E43" t="s">
        <v>1095</v>
      </c>
      <c r="F43" t="s">
        <v>1198</v>
      </c>
    </row>
    <row r="44" spans="5:18">
      <c r="E44" t="s">
        <v>1095</v>
      </c>
      <c r="F44" t="s">
        <v>1205</v>
      </c>
    </row>
    <row r="45" spans="5:18">
      <c r="E45" t="s">
        <v>1095</v>
      </c>
      <c r="F45" t="s">
        <v>1212</v>
      </c>
    </row>
    <row r="46" spans="5:18">
      <c r="E46" t="s">
        <v>1095</v>
      </c>
      <c r="F46" t="s">
        <v>1218</v>
      </c>
    </row>
    <row r="47" spans="5:18">
      <c r="E47" t="s">
        <v>1077</v>
      </c>
      <c r="F47" t="s">
        <v>1125</v>
      </c>
    </row>
    <row r="48" spans="5:18">
      <c r="E48" t="s">
        <v>1077</v>
      </c>
      <c r="F48" t="s">
        <v>1135</v>
      </c>
    </row>
    <row r="49" spans="5:6">
      <c r="E49" t="s">
        <v>1077</v>
      </c>
      <c r="F49" t="s">
        <v>1145</v>
      </c>
    </row>
    <row r="50" spans="5:6">
      <c r="E50" t="s">
        <v>1077</v>
      </c>
      <c r="F50" t="s">
        <v>1155</v>
      </c>
    </row>
    <row r="51" spans="5:6">
      <c r="E51" t="s">
        <v>1077</v>
      </c>
      <c r="F51" t="s">
        <v>1165</v>
      </c>
    </row>
    <row r="52" spans="5:6">
      <c r="E52" t="s">
        <v>1100</v>
      </c>
      <c r="F52" t="s">
        <v>1126</v>
      </c>
    </row>
    <row r="53" spans="5:6">
      <c r="E53" t="s">
        <v>1100</v>
      </c>
      <c r="F53" t="s">
        <v>1136</v>
      </c>
    </row>
    <row r="54" spans="5:6">
      <c r="E54" t="s">
        <v>1100</v>
      </c>
      <c r="F54" t="s">
        <v>1146</v>
      </c>
    </row>
    <row r="55" spans="5:6">
      <c r="E55" t="s">
        <v>1100</v>
      </c>
      <c r="F55" t="s">
        <v>1156</v>
      </c>
    </row>
    <row r="56" spans="5:6">
      <c r="E56" t="s">
        <v>1100</v>
      </c>
      <c r="F56" t="s">
        <v>1166</v>
      </c>
    </row>
    <row r="57" spans="5:6">
      <c r="E57" t="s">
        <v>1100</v>
      </c>
      <c r="F57" t="s">
        <v>1175</v>
      </c>
    </row>
    <row r="58" spans="5:6">
      <c r="E58" t="s">
        <v>1100</v>
      </c>
      <c r="F58" t="s">
        <v>1183</v>
      </c>
    </row>
    <row r="59" spans="5:6">
      <c r="E59" t="s">
        <v>1100</v>
      </c>
      <c r="F59" t="s">
        <v>1191</v>
      </c>
    </row>
    <row r="60" spans="5:6">
      <c r="E60" t="s">
        <v>1100</v>
      </c>
      <c r="F60" t="s">
        <v>1199</v>
      </c>
    </row>
    <row r="61" spans="5:6">
      <c r="E61" t="s">
        <v>1100</v>
      </c>
      <c r="F61" t="s">
        <v>1206</v>
      </c>
    </row>
    <row r="62" spans="5:6">
      <c r="E62" t="s">
        <v>1100</v>
      </c>
      <c r="F62" t="s">
        <v>1213</v>
      </c>
    </row>
    <row r="63" spans="5:6">
      <c r="E63" t="s">
        <v>1100</v>
      </c>
      <c r="F63" t="s">
        <v>1219</v>
      </c>
    </row>
    <row r="64" spans="5:6">
      <c r="E64" t="s">
        <v>1100</v>
      </c>
      <c r="F64" t="s">
        <v>1223</v>
      </c>
    </row>
    <row r="65" spans="5:6">
      <c r="E65" t="s">
        <v>1103</v>
      </c>
      <c r="F65" t="s">
        <v>1127</v>
      </c>
    </row>
    <row r="66" spans="5:6">
      <c r="E66" t="s">
        <v>1103</v>
      </c>
      <c r="F66" t="s">
        <v>1137</v>
      </c>
    </row>
    <row r="67" spans="5:6">
      <c r="E67" t="s">
        <v>1103</v>
      </c>
      <c r="F67" t="s">
        <v>1147</v>
      </c>
    </row>
    <row r="68" spans="5:6">
      <c r="E68" t="s">
        <v>1103</v>
      </c>
      <c r="F68" t="s">
        <v>1157</v>
      </c>
    </row>
    <row r="69" spans="5:6">
      <c r="E69" t="s">
        <v>1103</v>
      </c>
      <c r="F69" t="s">
        <v>1167</v>
      </c>
    </row>
    <row r="70" spans="5:6">
      <c r="E70" t="s">
        <v>1103</v>
      </c>
      <c r="F70" t="s">
        <v>1176</v>
      </c>
    </row>
    <row r="71" spans="5:6">
      <c r="E71" t="s">
        <v>1103</v>
      </c>
      <c r="F71" t="s">
        <v>1184</v>
      </c>
    </row>
    <row r="72" spans="5:6">
      <c r="E72" t="s">
        <v>1103</v>
      </c>
      <c r="F72" t="s">
        <v>1192</v>
      </c>
    </row>
    <row r="73" spans="5:6">
      <c r="E73" t="s">
        <v>1103</v>
      </c>
      <c r="F73" t="s">
        <v>1200</v>
      </c>
    </row>
    <row r="74" spans="5:6">
      <c r="E74" t="s">
        <v>1103</v>
      </c>
      <c r="F74" t="s">
        <v>1207</v>
      </c>
    </row>
    <row r="75" spans="5:6">
      <c r="E75" t="s">
        <v>1106</v>
      </c>
      <c r="F75" t="s">
        <v>1128</v>
      </c>
    </row>
    <row r="76" spans="5:6">
      <c r="E76" t="s">
        <v>1106</v>
      </c>
      <c r="F76" t="s">
        <v>1138</v>
      </c>
    </row>
    <row r="77" spans="5:6">
      <c r="E77" t="s">
        <v>1106</v>
      </c>
      <c r="F77" t="s">
        <v>1148</v>
      </c>
    </row>
    <row r="78" spans="5:6">
      <c r="E78" t="s">
        <v>1106</v>
      </c>
      <c r="F78" t="s">
        <v>1158</v>
      </c>
    </row>
    <row r="79" spans="5:6">
      <c r="E79" t="s">
        <v>1106</v>
      </c>
      <c r="F79" t="s">
        <v>1168</v>
      </c>
    </row>
    <row r="80" spans="5:6">
      <c r="E80" t="s">
        <v>1106</v>
      </c>
      <c r="F80" t="s">
        <v>1177</v>
      </c>
    </row>
    <row r="81" spans="5:6">
      <c r="E81" t="s">
        <v>1106</v>
      </c>
      <c r="F81" t="s">
        <v>1185</v>
      </c>
    </row>
    <row r="82" spans="5:6">
      <c r="E82" t="s">
        <v>1106</v>
      </c>
      <c r="F82" t="s">
        <v>1193</v>
      </c>
    </row>
    <row r="83" spans="5:6">
      <c r="E83" t="s">
        <v>1106</v>
      </c>
      <c r="F83" t="s">
        <v>1201</v>
      </c>
    </row>
    <row r="84" spans="5:6">
      <c r="E84" t="s">
        <v>1106</v>
      </c>
      <c r="F84" t="s">
        <v>1208</v>
      </c>
    </row>
    <row r="85" spans="5:6">
      <c r="E85" t="s">
        <v>1106</v>
      </c>
      <c r="F85" t="s">
        <v>1214</v>
      </c>
    </row>
    <row r="86" spans="5:6">
      <c r="E86" t="s">
        <v>1106</v>
      </c>
      <c r="F86" t="s">
        <v>1220</v>
      </c>
    </row>
    <row r="87" spans="5:6">
      <c r="E87" t="s">
        <v>1106</v>
      </c>
      <c r="F87" t="s">
        <v>1224</v>
      </c>
    </row>
    <row r="88" spans="5:6">
      <c r="E88" t="s">
        <v>1106</v>
      </c>
      <c r="F88" t="s">
        <v>1227</v>
      </c>
    </row>
    <row r="89" spans="5:6">
      <c r="E89" t="s">
        <v>1106</v>
      </c>
      <c r="F89" t="s">
        <v>1229</v>
      </c>
    </row>
    <row r="90" spans="5:6">
      <c r="E90" t="s">
        <v>1106</v>
      </c>
      <c r="F90" t="s">
        <v>1230</v>
      </c>
    </row>
    <row r="91" spans="5:6">
      <c r="E91" t="s">
        <v>1106</v>
      </c>
      <c r="F91" t="s">
        <v>1231</v>
      </c>
    </row>
    <row r="92" spans="5:6">
      <c r="E92" t="s">
        <v>364</v>
      </c>
      <c r="F92" t="s">
        <v>1129</v>
      </c>
    </row>
    <row r="93" spans="5:6">
      <c r="E93" t="s">
        <v>364</v>
      </c>
      <c r="F93" t="s">
        <v>1139</v>
      </c>
    </row>
    <row r="94" spans="5:6">
      <c r="E94" t="s">
        <v>364</v>
      </c>
      <c r="F94" t="s">
        <v>1149</v>
      </c>
    </row>
    <row r="95" spans="5:6">
      <c r="E95" t="s">
        <v>364</v>
      </c>
      <c r="F95" t="s">
        <v>1159</v>
      </c>
    </row>
    <row r="96" spans="5:6">
      <c r="E96" t="s">
        <v>364</v>
      </c>
      <c r="F96" t="s">
        <v>1169</v>
      </c>
    </row>
    <row r="97" spans="5:6">
      <c r="E97" t="s">
        <v>364</v>
      </c>
      <c r="F97" t="s">
        <v>1178</v>
      </c>
    </row>
    <row r="98" spans="5:6">
      <c r="E98" t="s">
        <v>364</v>
      </c>
      <c r="F98" t="s">
        <v>1186</v>
      </c>
    </row>
    <row r="99" spans="5:6">
      <c r="E99" t="s">
        <v>364</v>
      </c>
      <c r="F99" t="s">
        <v>1194</v>
      </c>
    </row>
    <row r="100" spans="5:6">
      <c r="E100" t="s">
        <v>364</v>
      </c>
      <c r="F100" t="s">
        <v>1202</v>
      </c>
    </row>
    <row r="101" spans="5:6">
      <c r="E101" t="s">
        <v>364</v>
      </c>
      <c r="F101" t="s">
        <v>1209</v>
      </c>
    </row>
    <row r="102" spans="5:6">
      <c r="E102" t="s">
        <v>364</v>
      </c>
      <c r="F102" t="s">
        <v>1215</v>
      </c>
    </row>
    <row r="103" spans="5:6">
      <c r="E103" t="s">
        <v>364</v>
      </c>
      <c r="F103" t="s">
        <v>1221</v>
      </c>
    </row>
    <row r="104" spans="5:6">
      <c r="E104" t="s">
        <v>364</v>
      </c>
      <c r="F104" t="s">
        <v>1225</v>
      </c>
    </row>
    <row r="105" spans="5:6">
      <c r="E105" t="s">
        <v>1110</v>
      </c>
      <c r="F105" t="s">
        <v>1130</v>
      </c>
    </row>
    <row r="106" spans="5:6">
      <c r="E106" t="s">
        <v>1110</v>
      </c>
      <c r="F106" t="s">
        <v>1140</v>
      </c>
    </row>
    <row r="107" spans="5:6">
      <c r="E107" t="s">
        <v>1110</v>
      </c>
      <c r="F107" t="s">
        <v>1150</v>
      </c>
    </row>
    <row r="108" spans="5:6">
      <c r="E108" t="s">
        <v>1110</v>
      </c>
      <c r="F108" t="s">
        <v>1160</v>
      </c>
    </row>
    <row r="109" spans="5:6">
      <c r="E109" t="s">
        <v>1110</v>
      </c>
      <c r="F109" t="s">
        <v>1170</v>
      </c>
    </row>
    <row r="110" spans="5:6">
      <c r="E110" t="s">
        <v>1110</v>
      </c>
      <c r="F110" t="s">
        <v>1179</v>
      </c>
    </row>
    <row r="111" spans="5:6">
      <c r="E111" t="s">
        <v>1110</v>
      </c>
      <c r="F111" t="s">
        <v>1187</v>
      </c>
    </row>
    <row r="112" spans="5:6">
      <c r="E112" t="s">
        <v>1110</v>
      </c>
      <c r="F112" t="s">
        <v>1195</v>
      </c>
    </row>
    <row r="113" spans="5:6">
      <c r="E113" t="s">
        <v>1110</v>
      </c>
      <c r="F113" t="s">
        <v>1203</v>
      </c>
    </row>
    <row r="114" spans="5:6">
      <c r="E114" t="s">
        <v>1110</v>
      </c>
      <c r="F114" t="s">
        <v>1210</v>
      </c>
    </row>
    <row r="115" spans="5:6">
      <c r="E115" t="s">
        <v>1110</v>
      </c>
      <c r="F115" t="s">
        <v>1216</v>
      </c>
    </row>
    <row r="116" spans="5:6">
      <c r="E116" t="s">
        <v>1113</v>
      </c>
      <c r="F116" t="s">
        <v>1131</v>
      </c>
    </row>
    <row r="117" spans="5:6">
      <c r="E117" t="s">
        <v>1113</v>
      </c>
      <c r="F117" t="s">
        <v>1141</v>
      </c>
    </row>
    <row r="118" spans="5:6">
      <c r="E118" t="s">
        <v>1113</v>
      </c>
      <c r="F118" t="s">
        <v>1151</v>
      </c>
    </row>
    <row r="119" spans="5:6">
      <c r="E119" t="s">
        <v>1113</v>
      </c>
      <c r="F119" t="s">
        <v>1161</v>
      </c>
    </row>
    <row r="120" spans="5:6">
      <c r="E120" t="s">
        <v>1113</v>
      </c>
      <c r="F120" t="s">
        <v>1171</v>
      </c>
    </row>
    <row r="121" spans="5:6">
      <c r="E121" t="s">
        <v>1113</v>
      </c>
      <c r="F121" t="s">
        <v>1180</v>
      </c>
    </row>
    <row r="122" spans="5:6">
      <c r="E122" t="s">
        <v>1113</v>
      </c>
      <c r="F122" t="s">
        <v>1188</v>
      </c>
    </row>
    <row r="123" spans="5:6">
      <c r="E123" t="s">
        <v>1113</v>
      </c>
      <c r="F123" t="s">
        <v>1196</v>
      </c>
    </row>
    <row r="124" spans="5:6">
      <c r="E124" t="s">
        <v>1116</v>
      </c>
      <c r="F124" t="s">
        <v>1132</v>
      </c>
    </row>
    <row r="125" spans="5:6">
      <c r="E125" t="s">
        <v>1116</v>
      </c>
      <c r="F125" t="s">
        <v>1142</v>
      </c>
    </row>
    <row r="126" spans="5:6">
      <c r="E126" t="s">
        <v>1116</v>
      </c>
      <c r="F126" t="s">
        <v>1152</v>
      </c>
    </row>
    <row r="127" spans="5:6">
      <c r="E127" t="s">
        <v>1116</v>
      </c>
      <c r="F127" t="s">
        <v>1162</v>
      </c>
    </row>
    <row r="128" spans="5:6">
      <c r="E128" t="s">
        <v>1116</v>
      </c>
      <c r="F128" t="s">
        <v>1172</v>
      </c>
    </row>
  </sheetData>
  <mergeCells count="3">
    <mergeCell ref="K2:K3"/>
    <mergeCell ref="L2:P2"/>
    <mergeCell ref="Q2:AA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81089C-6E2A-4FD7-A402-55E9C86C97B5}">
  <ds:schemaRef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8c89d0e4-a8d9-42ba-a773-c59a56f7723e"/>
    <ds:schemaRef ds:uri="http://www.w3.org/XML/1998/namespace"/>
    <ds:schemaRef ds:uri="6ba73c8a-1af7-4183-b158-1cd1291da2b6"/>
    <ds:schemaRef ds:uri="http://purl.org/dc/term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E4E33FEE-1117-4802-A5BB-FA073D1C6E04}">
  <ds:schemaRefs>
    <ds:schemaRef ds:uri="http://schemas.microsoft.com/sharepoint/v3/contenttype/forms"/>
  </ds:schemaRefs>
</ds:datastoreItem>
</file>

<file path=customXml/itemProps3.xml><?xml version="1.0" encoding="utf-8"?>
<ds:datastoreItem xmlns:ds="http://schemas.openxmlformats.org/officeDocument/2006/customXml" ds:itemID="{FE3FAA9F-BE10-4706-A731-14D2091088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OP</vt:lpstr>
      <vt:lpstr>Segments</vt:lpstr>
      <vt:lpstr>Acuerdo</vt:lpstr>
      <vt:lpstr>Peers</vt:lpstr>
      <vt:lpstr>SARD</vt:lpstr>
      <vt:lpstr>ESG</vt:lpstr>
      <vt:lpstr>Multiples valuation</vt:lpstr>
      <vt:lpstr>Assumptions</vt:lpstr>
      <vt:lpstr>Pessimistic</vt:lpstr>
      <vt:lpstr>Optimistic</vt:lpstr>
      <vt:lpstr>Base Case</vt:lpstr>
      <vt:lpstr>Inputs</vt:lpstr>
      <vt:lpstr>Fin. Data</vt:lpstr>
      <vt:lpstr>Sector Impact</vt:lpstr>
      <vt:lpstr>OP!Print_Area</vt:lpstr>
      <vt:lpstr>Sectors</vt:lpstr>
    </vt:vector>
  </TitlesOfParts>
  <Manager/>
  <Company>HIL CONSULTORES, 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Madalena Oliveira da Silva</cp:lastModifiedBy>
  <cp:revision/>
  <dcterms:created xsi:type="dcterms:W3CDTF">2000-04-19T14:51:26Z</dcterms:created>
  <dcterms:modified xsi:type="dcterms:W3CDTF">2025-04-08T20:24:06Z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