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4.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Research/Equity Research/23-24/Food Industry (Telmo Santos)/The Kraft Heinz Company (KHC.O)/"/>
    </mc:Choice>
  </mc:AlternateContent>
  <xr:revisionPtr revIDLastSave="7778" documentId="13_ncr:1_{26D5CA1E-45FE-425A-8F05-72ED85C7BA47}" xr6:coauthVersionLast="47" xr6:coauthVersionMax="47" xr10:uidLastSave="{105C395A-78A5-46F7-B8A2-F217AED25A50}"/>
  <bookViews>
    <workbookView xWindow="3720" yWindow="3480" windowWidth="9960" windowHeight="6408" tabRatio="644" activeTab="3" xr2:uid="{00000000-000D-0000-FFFF-FFFF00000000}"/>
  </bookViews>
  <sheets>
    <sheet name="OP" sheetId="1" r:id="rId1"/>
    <sheet name="Acuerdo" sheetId="11" state="hidden" r:id="rId2"/>
    <sheet name="Segments" sheetId="3" r:id="rId3"/>
    <sheet name="Peers" sheetId="10" r:id="rId4"/>
    <sheet name="SARD" sheetId="23" r:id="rId5"/>
    <sheet name="ESG" sheetId="19" r:id="rId6"/>
    <sheet name="DCF" sheetId="4" r:id="rId7"/>
    <sheet name="Assumptions" sheetId="22" r:id="rId8"/>
    <sheet name="Fin. Data" sheetId="16" r:id="rId9"/>
    <sheet name="Sector Impact" sheetId="18" state="hidden" r:id="rId10"/>
    <sheet name="Inputs" sheetId="17" r:id="rId11"/>
  </sheets>
  <externalReferences>
    <externalReference r:id="rId12"/>
  </externalReferences>
  <definedNames>
    <definedName name="_xlnm.Print_Area" localSheetId="0">OP!$A$1:$M$82</definedName>
    <definedName name="_xlnm.Print_Area" localSheetId="2">Segments!#REF!</definedName>
    <definedName name="Sectors" localSheetId="7">'[1]Sector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 l="1" a="1"/>
  <c r="D4" i="1" s="1"/>
  <c r="M140" i="22"/>
  <c r="G25" i="4"/>
  <c r="F27" i="4"/>
  <c r="F28" i="4"/>
  <c r="E27" i="22"/>
  <c r="D27" i="22"/>
  <c r="C153" i="22"/>
  <c r="D153" i="22" s="1"/>
  <c r="E153" i="22" s="1"/>
  <c r="F153" i="22" s="1"/>
  <c r="G153" i="22" s="1"/>
  <c r="H153" i="22" s="1"/>
  <c r="I153" i="22" s="1"/>
  <c r="J153" i="22" s="1"/>
  <c r="K153" i="22" s="1"/>
  <c r="L153" i="22" s="1"/>
  <c r="M153" i="22" s="1"/>
  <c r="N153" i="22" s="1"/>
  <c r="O153" i="22" s="1"/>
  <c r="P153" i="22" s="1"/>
  <c r="Q153" i="22" s="1"/>
  <c r="R153" i="22" s="1"/>
  <c r="S153" i="22" s="1"/>
  <c r="T153" i="22" s="1"/>
  <c r="U153" i="22" s="1"/>
  <c r="V153" i="22" s="1"/>
  <c r="W153" i="22" s="1"/>
  <c r="X153" i="22" s="1"/>
  <c r="Y153" i="22" s="1"/>
  <c r="Z153" i="22" s="1"/>
  <c r="AA153" i="22" s="1"/>
  <c r="J144" i="22"/>
  <c r="I144" i="22"/>
  <c r="H144" i="22"/>
  <c r="G144" i="22"/>
  <c r="F144" i="22"/>
  <c r="E144" i="22"/>
  <c r="D144" i="22"/>
  <c r="C144" i="22"/>
  <c r="B144" i="22"/>
  <c r="C143" i="22"/>
  <c r="D143" i="22"/>
  <c r="E143" i="22"/>
  <c r="F143" i="22"/>
  <c r="G143" i="22"/>
  <c r="H143" i="22"/>
  <c r="I143" i="22"/>
  <c r="J143" i="22"/>
  <c r="B143" i="22"/>
  <c r="J142" i="22"/>
  <c r="J145" i="22" s="1"/>
  <c r="I142" i="22"/>
  <c r="I145" i="22" s="1"/>
  <c r="H142" i="22"/>
  <c r="H145" i="22" s="1"/>
  <c r="G142" i="22"/>
  <c r="G145" i="22" s="1"/>
  <c r="F142" i="22"/>
  <c r="F145" i="22" s="1"/>
  <c r="E142" i="22"/>
  <c r="E145" i="22" s="1"/>
  <c r="D142" i="22"/>
  <c r="D145" i="22" s="1"/>
  <c r="C142" i="22"/>
  <c r="C145" i="22" s="1"/>
  <c r="B142" i="22"/>
  <c r="B145" i="22" s="1"/>
  <c r="C139" i="22"/>
  <c r="D139" i="22"/>
  <c r="E139" i="22"/>
  <c r="F139" i="22"/>
  <c r="G139" i="22"/>
  <c r="H139" i="22"/>
  <c r="I139" i="22"/>
  <c r="J139" i="22"/>
  <c r="B139" i="22"/>
  <c r="C138" i="22"/>
  <c r="C140" i="22" s="1"/>
  <c r="D138" i="22"/>
  <c r="D140" i="22" s="1"/>
  <c r="E138" i="22"/>
  <c r="E140" i="22" s="1"/>
  <c r="F138" i="22"/>
  <c r="F140" i="22" s="1"/>
  <c r="G138" i="22"/>
  <c r="G140" i="22" s="1"/>
  <c r="H138" i="22"/>
  <c r="H140" i="22" s="1"/>
  <c r="I138" i="22"/>
  <c r="I140" i="22" s="1"/>
  <c r="J138" i="22"/>
  <c r="J140" i="22" s="1"/>
  <c r="B138" i="22"/>
  <c r="B140" i="22" s="1"/>
  <c r="H29" i="4"/>
  <c r="I29" i="4"/>
  <c r="G29" i="4"/>
  <c r="E28" i="22"/>
  <c r="D28" i="22"/>
  <c r="C136" i="22"/>
  <c r="D136" i="22"/>
  <c r="E136" i="22"/>
  <c r="F136" i="22"/>
  <c r="G136" i="22"/>
  <c r="H136" i="22"/>
  <c r="I136" i="22"/>
  <c r="J136" i="22"/>
  <c r="B136" i="22"/>
  <c r="E26" i="22"/>
  <c r="E22" i="22"/>
  <c r="H28" i="1"/>
  <c r="H29" i="1"/>
  <c r="H30" i="1"/>
  <c r="H31" i="1"/>
  <c r="F28" i="1"/>
  <c r="F29" i="1"/>
  <c r="F30" i="1"/>
  <c r="F31" i="1"/>
  <c r="C134" i="22"/>
  <c r="D134" i="22"/>
  <c r="E134" i="22"/>
  <c r="F134" i="22"/>
  <c r="G134" i="22"/>
  <c r="H134" i="22"/>
  <c r="I134" i="22"/>
  <c r="J134" i="22"/>
  <c r="B134" i="22"/>
  <c r="L134" i="22" s="1"/>
  <c r="E17" i="22"/>
  <c r="P113" i="22"/>
  <c r="M111" i="22" s="1"/>
  <c r="E21" i="22" s="1"/>
  <c r="P112" i="22"/>
  <c r="C130" i="22"/>
  <c r="C131" i="22" s="1"/>
  <c r="D130" i="22"/>
  <c r="D131" i="22" s="1"/>
  <c r="E130" i="22"/>
  <c r="E131" i="22" s="1"/>
  <c r="F130" i="22"/>
  <c r="F131" i="22" s="1"/>
  <c r="G130" i="22"/>
  <c r="G131" i="22" s="1"/>
  <c r="I130" i="22"/>
  <c r="I131" i="22" s="1"/>
  <c r="J130" i="22"/>
  <c r="J131" i="22" s="1"/>
  <c r="C127" i="22"/>
  <c r="C128" i="22" s="1"/>
  <c r="D127" i="22"/>
  <c r="D128" i="22" s="1"/>
  <c r="E127" i="22"/>
  <c r="E128" i="22" s="1"/>
  <c r="F127" i="22"/>
  <c r="F128" i="22" s="1"/>
  <c r="G127" i="22"/>
  <c r="G128" i="22" s="1"/>
  <c r="H127" i="22"/>
  <c r="H128" i="22" s="1"/>
  <c r="I127" i="22"/>
  <c r="I128" i="22" s="1"/>
  <c r="J127" i="22"/>
  <c r="J128" i="22" s="1"/>
  <c r="B127" i="22"/>
  <c r="B128" i="22" s="1"/>
  <c r="C124" i="22"/>
  <c r="C125" i="22" s="1"/>
  <c r="D124" i="22"/>
  <c r="D125" i="22" s="1"/>
  <c r="E124" i="22"/>
  <c r="E125" i="22" s="1"/>
  <c r="F124" i="22"/>
  <c r="F125" i="22" s="1"/>
  <c r="G124" i="22"/>
  <c r="G125" i="22" s="1"/>
  <c r="H124" i="22"/>
  <c r="H125" i="22" s="1"/>
  <c r="I124" i="22"/>
  <c r="I125" i="22" s="1"/>
  <c r="J124" i="22"/>
  <c r="J125" i="22" s="1"/>
  <c r="B124" i="22"/>
  <c r="B125" i="22" s="1"/>
  <c r="C121" i="22"/>
  <c r="C122" i="22" s="1"/>
  <c r="D121" i="22"/>
  <c r="D122" i="22" s="1"/>
  <c r="E121" i="22"/>
  <c r="E122" i="22" s="1"/>
  <c r="F121" i="22"/>
  <c r="F122" i="22" s="1"/>
  <c r="G121" i="22"/>
  <c r="G122" i="22" s="1"/>
  <c r="H121" i="22"/>
  <c r="H122" i="22" s="1"/>
  <c r="I121" i="22"/>
  <c r="I122" i="22" s="1"/>
  <c r="J121" i="22"/>
  <c r="J122" i="22" s="1"/>
  <c r="B121" i="22"/>
  <c r="B122" i="22" s="1"/>
  <c r="L122" i="22" s="1"/>
  <c r="D26" i="22" s="1"/>
  <c r="C115" i="22"/>
  <c r="D115" i="22"/>
  <c r="E115" i="22"/>
  <c r="F115" i="22"/>
  <c r="G115" i="22"/>
  <c r="H115" i="22"/>
  <c r="B115" i="22"/>
  <c r="L115" i="22" s="1"/>
  <c r="D17" i="22" s="1"/>
  <c r="H118" i="22"/>
  <c r="H119" i="22" s="1"/>
  <c r="G118" i="22"/>
  <c r="G119" i="22" s="1"/>
  <c r="F118" i="22"/>
  <c r="F119" i="22" s="1"/>
  <c r="E118" i="22"/>
  <c r="E119" i="22" s="1"/>
  <c r="D118" i="22"/>
  <c r="D119" i="22" s="1"/>
  <c r="C118" i="22"/>
  <c r="C119" i="22" s="1"/>
  <c r="B118" i="22"/>
  <c r="B119" i="22" s="1"/>
  <c r="L119" i="22" s="1"/>
  <c r="F38" i="4"/>
  <c r="E111" i="22"/>
  <c r="F111" i="22"/>
  <c r="E110" i="22"/>
  <c r="F110" i="22"/>
  <c r="C106" i="22"/>
  <c r="D106" i="22" s="1"/>
  <c r="E106" i="22" s="1"/>
  <c r="F106" i="22" s="1"/>
  <c r="G106" i="22" s="1"/>
  <c r="H106" i="22" s="1"/>
  <c r="I106" i="22" s="1"/>
  <c r="J106" i="22" s="1"/>
  <c r="AB87" i="22"/>
  <c r="H85" i="22"/>
  <c r="I85" i="22" s="1"/>
  <c r="J85" i="22" s="1"/>
  <c r="K85" i="22" s="1"/>
  <c r="L85" i="22" s="1"/>
  <c r="M85" i="22" s="1"/>
  <c r="N85" i="22" s="1"/>
  <c r="O85" i="22" s="1"/>
  <c r="P85" i="22" s="1"/>
  <c r="Q85" i="22" s="1"/>
  <c r="R85" i="22" s="1"/>
  <c r="S85" i="22" s="1"/>
  <c r="T85" i="22" s="1"/>
  <c r="U85" i="22" s="1"/>
  <c r="V85" i="22" s="1"/>
  <c r="W85" i="22" s="1"/>
  <c r="X85" i="22" s="1"/>
  <c r="Y85" i="22" s="1"/>
  <c r="Z85" i="22" s="1"/>
  <c r="AA85" i="22" s="1"/>
  <c r="AB85" i="22" s="1"/>
  <c r="N69" i="22"/>
  <c r="N68" i="22"/>
  <c r="M69" i="22"/>
  <c r="L69" i="22"/>
  <c r="O69" i="22" s="1"/>
  <c r="M68" i="22"/>
  <c r="L68" i="22"/>
  <c r="O68" i="22" s="1"/>
  <c r="M67" i="22"/>
  <c r="L67" i="22"/>
  <c r="N67" i="22"/>
  <c r="O67" i="22" s="1"/>
  <c r="N66" i="22"/>
  <c r="O66" i="22" s="1"/>
  <c r="M66" i="22"/>
  <c r="L66" i="22"/>
  <c r="C65" i="22"/>
  <c r="D65" i="22" s="1"/>
  <c r="E65" i="22" s="1"/>
  <c r="F65" i="22" s="1"/>
  <c r="G65" i="22" s="1"/>
  <c r="H65" i="22" s="1"/>
  <c r="I65" i="22" s="1"/>
  <c r="J65" i="22" s="1"/>
  <c r="V58" i="22"/>
  <c r="V57" i="22"/>
  <c r="W57" i="22" s="1"/>
  <c r="X57" i="22" s="1"/>
  <c r="V55" i="22"/>
  <c r="W55" i="22" s="1"/>
  <c r="X55" i="22" s="1"/>
  <c r="V56" i="22"/>
  <c r="W56" i="22" s="1"/>
  <c r="X56" i="22" s="1"/>
  <c r="V54" i="22"/>
  <c r="W54" i="22" s="1"/>
  <c r="X54" i="22" s="1"/>
  <c r="X58" i="22" s="1"/>
  <c r="M21" i="1"/>
  <c r="B13" i="17"/>
  <c r="B14" i="16"/>
  <c r="F13" i="4" s="1"/>
  <c r="D10" i="4"/>
  <c r="E10" i="4"/>
  <c r="F10" i="4"/>
  <c r="K93" i="17"/>
  <c r="L92" i="17"/>
  <c r="B93" i="17"/>
  <c r="D38" i="4"/>
  <c r="E38" i="4"/>
  <c r="C85" i="22"/>
  <c r="D85" i="22" s="1"/>
  <c r="E85" i="22" s="1"/>
  <c r="F85" i="22" s="1"/>
  <c r="B45" i="22"/>
  <c r="C41" i="22"/>
  <c r="D41" i="22" s="1"/>
  <c r="E41" i="22" s="1"/>
  <c r="F41" i="22" s="1"/>
  <c r="G41" i="22" s="1"/>
  <c r="H41" i="22" s="1"/>
  <c r="I41" i="22" s="1"/>
  <c r="J41" i="22" s="1"/>
  <c r="K41" i="22" s="1"/>
  <c r="L41" i="22" s="1"/>
  <c r="M41" i="22" s="1"/>
  <c r="N41" i="22" s="1"/>
  <c r="O41" i="22" s="1"/>
  <c r="P41" i="22" s="1"/>
  <c r="Q41" i="22" s="1"/>
  <c r="R41" i="22" s="1"/>
  <c r="S41" i="22" s="1"/>
  <c r="T41" i="22" s="1"/>
  <c r="U41" i="22" s="1"/>
  <c r="V41" i="22" s="1"/>
  <c r="W41" i="22" s="1"/>
  <c r="X41" i="22" s="1"/>
  <c r="Y41" i="22" s="1"/>
  <c r="Z41" i="22" s="1"/>
  <c r="AA41" i="22" s="1"/>
  <c r="AB41" i="22" s="1"/>
  <c r="H39" i="10"/>
  <c r="G39" i="10"/>
  <c r="F39" i="10"/>
  <c r="E39" i="10"/>
  <c r="D55" i="10"/>
  <c r="F49" i="10"/>
  <c r="D49" i="10"/>
  <c r="D39" i="10"/>
  <c r="AM9" i="23"/>
  <c r="O4" i="23"/>
  <c r="O5" i="23"/>
  <c r="O6" i="23"/>
  <c r="O7" i="23"/>
  <c r="O8" i="23"/>
  <c r="O9" i="23"/>
  <c r="O10" i="23"/>
  <c r="O11" i="23"/>
  <c r="O12" i="23"/>
  <c r="O13" i="23"/>
  <c r="O14" i="23"/>
  <c r="O15" i="23"/>
  <c r="O16" i="23"/>
  <c r="O17" i="23"/>
  <c r="O18" i="23"/>
  <c r="O19" i="23"/>
  <c r="O20" i="23"/>
  <c r="O21" i="23"/>
  <c r="O22" i="23"/>
  <c r="O23" i="23"/>
  <c r="O24" i="23"/>
  <c r="O25" i="23"/>
  <c r="O26" i="23"/>
  <c r="O27" i="23"/>
  <c r="O28" i="23"/>
  <c r="O29" i="23"/>
  <c r="O30" i="23"/>
  <c r="O31" i="23"/>
  <c r="O32" i="23"/>
  <c r="O33" i="23"/>
  <c r="O34" i="23"/>
  <c r="O35" i="23"/>
  <c r="O36" i="23"/>
  <c r="O37" i="23"/>
  <c r="O38" i="23"/>
  <c r="O39" i="23"/>
  <c r="O40" i="23"/>
  <c r="O41" i="23"/>
  <c r="O42" i="23"/>
  <c r="O43" i="23"/>
  <c r="O44" i="23"/>
  <c r="O45" i="23"/>
  <c r="O46" i="23"/>
  <c r="O47" i="23"/>
  <c r="O48" i="23"/>
  <c r="O49" i="23"/>
  <c r="O50" i="23"/>
  <c r="O51" i="23"/>
  <c r="O52" i="23"/>
  <c r="O53" i="23"/>
  <c r="O54" i="23"/>
  <c r="O55" i="23"/>
  <c r="O56" i="23"/>
  <c r="O57" i="23"/>
  <c r="O58" i="23"/>
  <c r="O59" i="23"/>
  <c r="O60" i="23"/>
  <c r="O61" i="23"/>
  <c r="O62" i="23"/>
  <c r="O63" i="23"/>
  <c r="O64" i="23"/>
  <c r="O65" i="23"/>
  <c r="O66" i="23"/>
  <c r="O67" i="23"/>
  <c r="O68" i="23"/>
  <c r="O69" i="23"/>
  <c r="O70" i="23"/>
  <c r="O71" i="23"/>
  <c r="O72" i="23"/>
  <c r="O73" i="23"/>
  <c r="O74" i="23"/>
  <c r="O75" i="23"/>
  <c r="O76" i="23"/>
  <c r="O77" i="23"/>
  <c r="O78" i="23"/>
  <c r="O79" i="23"/>
  <c r="O80" i="23"/>
  <c r="O81" i="23"/>
  <c r="O82" i="23"/>
  <c r="O83" i="23"/>
  <c r="O84" i="23"/>
  <c r="O85" i="23"/>
  <c r="O86" i="23"/>
  <c r="O87" i="23"/>
  <c r="O88" i="23"/>
  <c r="O89" i="23"/>
  <c r="O90" i="23"/>
  <c r="O91" i="23"/>
  <c r="O92" i="23"/>
  <c r="O93" i="23"/>
  <c r="O94" i="23"/>
  <c r="O95" i="23"/>
  <c r="O96" i="23"/>
  <c r="O97" i="23"/>
  <c r="O98" i="23"/>
  <c r="O99" i="23"/>
  <c r="O100" i="23"/>
  <c r="O101" i="23"/>
  <c r="O102" i="23"/>
  <c r="O103" i="23"/>
  <c r="O104" i="23"/>
  <c r="O105" i="23"/>
  <c r="O106" i="23"/>
  <c r="O107" i="23"/>
  <c r="O108" i="23"/>
  <c r="O109" i="23"/>
  <c r="O110" i="23"/>
  <c r="O111" i="23"/>
  <c r="O112" i="23"/>
  <c r="O113" i="23"/>
  <c r="O114" i="23"/>
  <c r="O115" i="23"/>
  <c r="O116" i="23"/>
  <c r="O117" i="23"/>
  <c r="O118" i="23"/>
  <c r="O119" i="23"/>
  <c r="O120" i="23"/>
  <c r="O121" i="23"/>
  <c r="O122" i="23"/>
  <c r="O123" i="23"/>
  <c r="O124" i="23"/>
  <c r="O125" i="23"/>
  <c r="O126" i="23"/>
  <c r="O127" i="23"/>
  <c r="O128" i="23"/>
  <c r="O129" i="23"/>
  <c r="O130" i="23"/>
  <c r="O131" i="23"/>
  <c r="O132" i="23"/>
  <c r="O133" i="23"/>
  <c r="O134" i="23"/>
  <c r="O135" i="23"/>
  <c r="O136" i="23"/>
  <c r="O137" i="23"/>
  <c r="O138" i="23"/>
  <c r="O139" i="23"/>
  <c r="O140" i="23"/>
  <c r="O141" i="23"/>
  <c r="O142" i="23"/>
  <c r="O143" i="23"/>
  <c r="O144" i="23"/>
  <c r="O145" i="23"/>
  <c r="O146" i="23"/>
  <c r="O147" i="23"/>
  <c r="O148" i="23"/>
  <c r="O149" i="23"/>
  <c r="O150" i="23"/>
  <c r="O151" i="23"/>
  <c r="O152" i="23"/>
  <c r="O153" i="23"/>
  <c r="O154" i="23"/>
  <c r="O155" i="23"/>
  <c r="O156" i="23"/>
  <c r="O157" i="23"/>
  <c r="O158" i="23"/>
  <c r="O159" i="23"/>
  <c r="O160" i="23"/>
  <c r="O161" i="23"/>
  <c r="O162" i="23"/>
  <c r="O163" i="23"/>
  <c r="O164" i="23"/>
  <c r="O165" i="23"/>
  <c r="O166" i="23"/>
  <c r="O167" i="23"/>
  <c r="O168" i="23"/>
  <c r="O169" i="23"/>
  <c r="O170" i="23"/>
  <c r="O171" i="23"/>
  <c r="O172" i="23"/>
  <c r="O173" i="23"/>
  <c r="O174" i="23"/>
  <c r="O175" i="23"/>
  <c r="O176" i="23"/>
  <c r="O177" i="23"/>
  <c r="O178" i="23"/>
  <c r="O179" i="23"/>
  <c r="O180" i="23"/>
  <c r="O181" i="23"/>
  <c r="O182" i="23"/>
  <c r="O183" i="23"/>
  <c r="O184" i="23"/>
  <c r="O185" i="23"/>
  <c r="O186" i="23"/>
  <c r="O187" i="23"/>
  <c r="O188" i="23"/>
  <c r="O189" i="23"/>
  <c r="O190" i="23"/>
  <c r="O191" i="23"/>
  <c r="O192" i="23"/>
  <c r="O193" i="23"/>
  <c r="O194" i="23"/>
  <c r="O195" i="23"/>
  <c r="O196" i="23"/>
  <c r="O197" i="23"/>
  <c r="O198" i="23"/>
  <c r="O199" i="23"/>
  <c r="O200" i="23"/>
  <c r="O201" i="23"/>
  <c r="O202" i="23"/>
  <c r="O203" i="23"/>
  <c r="O204" i="23"/>
  <c r="O205" i="23"/>
  <c r="O206" i="23"/>
  <c r="O207" i="23"/>
  <c r="O208" i="23"/>
  <c r="O209" i="23"/>
  <c r="O210" i="23"/>
  <c r="O211" i="23"/>
  <c r="O212" i="23"/>
  <c r="O213" i="23"/>
  <c r="O214" i="23"/>
  <c r="O215" i="23"/>
  <c r="O216" i="23"/>
  <c r="O217" i="23"/>
  <c r="O218" i="23"/>
  <c r="O219" i="23"/>
  <c r="O220" i="23"/>
  <c r="O221" i="23"/>
  <c r="O222" i="23"/>
  <c r="O223" i="23"/>
  <c r="O224" i="23"/>
  <c r="O225" i="23"/>
  <c r="O226" i="23"/>
  <c r="O227" i="23"/>
  <c r="O228" i="23"/>
  <c r="O229" i="23"/>
  <c r="O230" i="23"/>
  <c r="O231" i="23"/>
  <c r="O232" i="23"/>
  <c r="O233" i="23"/>
  <c r="O234" i="23"/>
  <c r="O235" i="23"/>
  <c r="O236" i="23"/>
  <c r="O237" i="23"/>
  <c r="O238" i="23"/>
  <c r="O239" i="23"/>
  <c r="O240" i="23"/>
  <c r="O241" i="23"/>
  <c r="O242" i="23"/>
  <c r="O243" i="23"/>
  <c r="O244" i="23"/>
  <c r="O245" i="23"/>
  <c r="O246" i="23"/>
  <c r="O247" i="23"/>
  <c r="O248" i="23"/>
  <c r="O249" i="23"/>
  <c r="O250" i="23"/>
  <c r="O251" i="23"/>
  <c r="O252" i="23"/>
  <c r="O253" i="23"/>
  <c r="O254" i="23"/>
  <c r="O255" i="23"/>
  <c r="O256" i="23"/>
  <c r="O257" i="23"/>
  <c r="O258" i="23"/>
  <c r="O259" i="23"/>
  <c r="O260" i="23"/>
  <c r="O261" i="23"/>
  <c r="O262" i="23"/>
  <c r="O263" i="23"/>
  <c r="O264" i="23"/>
  <c r="O265" i="23"/>
  <c r="O266" i="23"/>
  <c r="O267" i="23"/>
  <c r="O268" i="23"/>
  <c r="O269" i="23"/>
  <c r="O270" i="23"/>
  <c r="O271" i="23"/>
  <c r="O272" i="23"/>
  <c r="O273" i="23"/>
  <c r="O274" i="23"/>
  <c r="O275" i="23"/>
  <c r="O276" i="23"/>
  <c r="O277" i="23"/>
  <c r="O278" i="23"/>
  <c r="O279" i="23"/>
  <c r="O280" i="23"/>
  <c r="O281" i="23"/>
  <c r="O282" i="23"/>
  <c r="O283" i="23"/>
  <c r="O284" i="23"/>
  <c r="O285" i="23"/>
  <c r="O286" i="23"/>
  <c r="O287" i="23"/>
  <c r="O288" i="23"/>
  <c r="O289" i="23"/>
  <c r="O290" i="23"/>
  <c r="O291" i="23"/>
  <c r="O292" i="23"/>
  <c r="O293" i="23"/>
  <c r="O294" i="23"/>
  <c r="O295" i="23"/>
  <c r="O296" i="23"/>
  <c r="O297" i="23"/>
  <c r="O298" i="23"/>
  <c r="O299" i="23"/>
  <c r="O300" i="23"/>
  <c r="O301" i="23"/>
  <c r="O302" i="23"/>
  <c r="O303" i="23"/>
  <c r="O304" i="23"/>
  <c r="O305" i="23"/>
  <c r="O306" i="23"/>
  <c r="O307" i="23"/>
  <c r="O308" i="23"/>
  <c r="O309" i="23"/>
  <c r="O310" i="23"/>
  <c r="O311" i="23"/>
  <c r="O312" i="23"/>
  <c r="O313" i="23"/>
  <c r="O314" i="23"/>
  <c r="O315" i="23"/>
  <c r="O316" i="23"/>
  <c r="O317" i="23"/>
  <c r="O318" i="23"/>
  <c r="O319" i="23"/>
  <c r="O320" i="23"/>
  <c r="O321" i="23"/>
  <c r="O322" i="23"/>
  <c r="O323" i="23"/>
  <c r="O324" i="23"/>
  <c r="O325" i="23"/>
  <c r="O326" i="23"/>
  <c r="O327" i="23"/>
  <c r="O328" i="23"/>
  <c r="O329" i="23"/>
  <c r="O330" i="23"/>
  <c r="O331" i="23"/>
  <c r="O332" i="23"/>
  <c r="O333" i="23"/>
  <c r="O334" i="23"/>
  <c r="O335" i="23"/>
  <c r="O336" i="23"/>
  <c r="O337" i="23"/>
  <c r="O338" i="23"/>
  <c r="O339" i="23"/>
  <c r="O340" i="23"/>
  <c r="O341" i="23"/>
  <c r="O342" i="23"/>
  <c r="O343" i="23"/>
  <c r="O344" i="23"/>
  <c r="O345" i="23"/>
  <c r="O346" i="23"/>
  <c r="O347" i="23"/>
  <c r="O348" i="23"/>
  <c r="O349" i="23"/>
  <c r="O350" i="23"/>
  <c r="O351" i="23"/>
  <c r="O352" i="23"/>
  <c r="O353" i="23"/>
  <c r="O354" i="23"/>
  <c r="O355" i="23"/>
  <c r="O356" i="23"/>
  <c r="O357" i="23"/>
  <c r="O358" i="23"/>
  <c r="O359" i="23"/>
  <c r="O360" i="23"/>
  <c r="O361" i="23"/>
  <c r="O362" i="23"/>
  <c r="O363" i="23"/>
  <c r="O364" i="23"/>
  <c r="O365" i="23"/>
  <c r="O366" i="23"/>
  <c r="O367" i="23"/>
  <c r="O368" i="23"/>
  <c r="O369" i="23"/>
  <c r="O370" i="23"/>
  <c r="O371" i="23"/>
  <c r="O372" i="23"/>
  <c r="O373" i="23"/>
  <c r="O374" i="23"/>
  <c r="O375" i="23"/>
  <c r="O376" i="23"/>
  <c r="O377" i="23"/>
  <c r="O378" i="23"/>
  <c r="O379" i="23"/>
  <c r="O380" i="23"/>
  <c r="O381" i="23"/>
  <c r="O382" i="23"/>
  <c r="O383" i="23"/>
  <c r="O384" i="23"/>
  <c r="O385" i="23"/>
  <c r="O386" i="23"/>
  <c r="O387" i="23"/>
  <c r="O388" i="23"/>
  <c r="O389" i="23"/>
  <c r="O390" i="23"/>
  <c r="O391" i="23"/>
  <c r="O392" i="23"/>
  <c r="O393" i="23"/>
  <c r="O394" i="23"/>
  <c r="O395" i="23"/>
  <c r="O396" i="23"/>
  <c r="O397" i="23"/>
  <c r="O398" i="23"/>
  <c r="O399" i="23"/>
  <c r="O400" i="23"/>
  <c r="O401" i="23"/>
  <c r="O402" i="23"/>
  <c r="O403" i="23"/>
  <c r="O404" i="23"/>
  <c r="O405" i="23"/>
  <c r="O406" i="23"/>
  <c r="O407" i="23"/>
  <c r="O408" i="23"/>
  <c r="O409" i="23"/>
  <c r="O410" i="23"/>
  <c r="O411" i="23"/>
  <c r="O412" i="23"/>
  <c r="O413" i="23"/>
  <c r="O414" i="23"/>
  <c r="O415" i="23"/>
  <c r="O416" i="23"/>
  <c r="O417" i="23"/>
  <c r="O418" i="23"/>
  <c r="O419" i="23"/>
  <c r="O420" i="23"/>
  <c r="O421" i="23"/>
  <c r="O422" i="23"/>
  <c r="O423" i="23"/>
  <c r="O424" i="23"/>
  <c r="O425" i="23"/>
  <c r="O426" i="23"/>
  <c r="O427" i="23"/>
  <c r="O428" i="23"/>
  <c r="O429" i="23"/>
  <c r="O430" i="23"/>
  <c r="O431" i="23"/>
  <c r="O432" i="23"/>
  <c r="O433" i="23"/>
  <c r="O434" i="23"/>
  <c r="O435" i="23"/>
  <c r="O436" i="23"/>
  <c r="O437" i="23"/>
  <c r="O438" i="23"/>
  <c r="O439" i="23"/>
  <c r="O440" i="23"/>
  <c r="O441" i="23"/>
  <c r="O442" i="23"/>
  <c r="O443" i="23"/>
  <c r="O444" i="23"/>
  <c r="O445" i="23"/>
  <c r="O446" i="23"/>
  <c r="O447" i="23"/>
  <c r="O448" i="23"/>
  <c r="O449" i="23"/>
  <c r="O450" i="23"/>
  <c r="O451" i="23"/>
  <c r="O452" i="23"/>
  <c r="O453" i="23"/>
  <c r="O454" i="23"/>
  <c r="O455" i="23"/>
  <c r="O456" i="23"/>
  <c r="O457" i="23"/>
  <c r="O458" i="23"/>
  <c r="O459" i="23"/>
  <c r="O460" i="23"/>
  <c r="O461" i="23"/>
  <c r="O462" i="23"/>
  <c r="O463" i="23"/>
  <c r="O464" i="23"/>
  <c r="O465" i="23"/>
  <c r="O466" i="23"/>
  <c r="O467" i="23"/>
  <c r="O468" i="23"/>
  <c r="O469" i="23"/>
  <c r="O470" i="23"/>
  <c r="O471" i="23"/>
  <c r="O472" i="23"/>
  <c r="O473" i="23"/>
  <c r="O474" i="23"/>
  <c r="O475" i="23"/>
  <c r="O476" i="23"/>
  <c r="O477" i="23"/>
  <c r="O478" i="23"/>
  <c r="O479" i="23"/>
  <c r="O480" i="23"/>
  <c r="O481" i="23"/>
  <c r="O482" i="23"/>
  <c r="O483" i="23"/>
  <c r="O484" i="23"/>
  <c r="O48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516" i="23"/>
  <c r="O517" i="23"/>
  <c r="O518" i="23"/>
  <c r="O519" i="23"/>
  <c r="O520" i="23"/>
  <c r="O521" i="23"/>
  <c r="O522" i="23"/>
  <c r="O523" i="23"/>
  <c r="O524" i="23"/>
  <c r="O525" i="23"/>
  <c r="O526" i="23"/>
  <c r="O527" i="23"/>
  <c r="O528" i="23"/>
  <c r="O529" i="23"/>
  <c r="O530" i="23"/>
  <c r="O531" i="23"/>
  <c r="O532" i="23"/>
  <c r="O533" i="23"/>
  <c r="O534" i="23"/>
  <c r="O535" i="23"/>
  <c r="O536" i="23"/>
  <c r="O537" i="23"/>
  <c r="O538" i="23"/>
  <c r="O539" i="23"/>
  <c r="O540" i="23"/>
  <c r="O541" i="23"/>
  <c r="O542" i="23"/>
  <c r="O543" i="23"/>
  <c r="O544" i="23"/>
  <c r="O545" i="23"/>
  <c r="O546" i="23"/>
  <c r="O547" i="23"/>
  <c r="O548" i="23"/>
  <c r="O549" i="23"/>
  <c r="O550" i="23"/>
  <c r="O551" i="23"/>
  <c r="O552" i="23"/>
  <c r="O553" i="23"/>
  <c r="O554" i="23"/>
  <c r="O555" i="23"/>
  <c r="O556" i="23"/>
  <c r="O557" i="23"/>
  <c r="O558" i="23"/>
  <c r="O559" i="23"/>
  <c r="O560" i="23"/>
  <c r="O561" i="23"/>
  <c r="O562" i="23"/>
  <c r="O563" i="23"/>
  <c r="O564" i="23"/>
  <c r="O565" i="23"/>
  <c r="O566" i="23"/>
  <c r="O567" i="23"/>
  <c r="O568" i="23"/>
  <c r="O569" i="23"/>
  <c r="O570" i="23"/>
  <c r="O571" i="23"/>
  <c r="O572" i="23"/>
  <c r="O573" i="23"/>
  <c r="O574" i="23"/>
  <c r="O575" i="23"/>
  <c r="O576" i="23"/>
  <c r="O577" i="23"/>
  <c r="O578" i="23"/>
  <c r="O579" i="23"/>
  <c r="O580" i="23"/>
  <c r="O581" i="23"/>
  <c r="O582" i="23"/>
  <c r="O583" i="23"/>
  <c r="O584" i="23"/>
  <c r="O585" i="23"/>
  <c r="O586" i="23"/>
  <c r="O587" i="23"/>
  <c r="O588" i="23"/>
  <c r="O589" i="23"/>
  <c r="O590" i="23"/>
  <c r="O591" i="23"/>
  <c r="O592" i="23"/>
  <c r="O593" i="23"/>
  <c r="O594" i="23"/>
  <c r="O595" i="23"/>
  <c r="O596" i="23"/>
  <c r="O597" i="23"/>
  <c r="O598" i="23"/>
  <c r="O599" i="23"/>
  <c r="O600" i="23"/>
  <c r="O601" i="23"/>
  <c r="O602" i="23"/>
  <c r="O603" i="23"/>
  <c r="O604" i="23"/>
  <c r="O605" i="23"/>
  <c r="O606" i="23"/>
  <c r="O607" i="23"/>
  <c r="O608" i="23"/>
  <c r="O609" i="23"/>
  <c r="O610" i="23"/>
  <c r="O611" i="23"/>
  <c r="O612" i="23"/>
  <c r="O613" i="23"/>
  <c r="O614" i="23"/>
  <c r="O615" i="23"/>
  <c r="O616" i="23"/>
  <c r="O617" i="23"/>
  <c r="O618" i="23"/>
  <c r="O619" i="23"/>
  <c r="O620" i="23"/>
  <c r="O621" i="23"/>
  <c r="O622" i="23"/>
  <c r="O623" i="23"/>
  <c r="O624" i="23"/>
  <c r="O625" i="23"/>
  <c r="O626" i="23"/>
  <c r="O627" i="23"/>
  <c r="O628" i="23"/>
  <c r="O629" i="23"/>
  <c r="O630" i="23"/>
  <c r="O631" i="23"/>
  <c r="O632" i="23"/>
  <c r="O633" i="23"/>
  <c r="O634" i="23"/>
  <c r="O635" i="23"/>
  <c r="O636" i="23"/>
  <c r="O637" i="23"/>
  <c r="O638" i="23"/>
  <c r="O639" i="23"/>
  <c r="O640" i="23"/>
  <c r="O641" i="23"/>
  <c r="O642" i="23"/>
  <c r="O643" i="23"/>
  <c r="O644" i="23"/>
  <c r="O645" i="23"/>
  <c r="O646" i="23"/>
  <c r="O647" i="23"/>
  <c r="O648" i="23"/>
  <c r="O649" i="23"/>
  <c r="O650" i="23"/>
  <c r="O651" i="23"/>
  <c r="O652" i="23"/>
  <c r="O653" i="23"/>
  <c r="O654" i="23"/>
  <c r="O655" i="23"/>
  <c r="O656" i="23"/>
  <c r="O657" i="23"/>
  <c r="O658" i="23"/>
  <c r="O659" i="23"/>
  <c r="O660" i="23"/>
  <c r="O661" i="23"/>
  <c r="O662" i="23"/>
  <c r="O663" i="23"/>
  <c r="O664" i="23"/>
  <c r="O665" i="23"/>
  <c r="O666" i="23"/>
  <c r="O667" i="23"/>
  <c r="O668" i="23"/>
  <c r="O669" i="23"/>
  <c r="O670" i="23"/>
  <c r="O671" i="23"/>
  <c r="O672" i="23"/>
  <c r="O673" i="23"/>
  <c r="O674" i="23"/>
  <c r="O675" i="23"/>
  <c r="O676" i="23"/>
  <c r="O677" i="23"/>
  <c r="O678" i="23"/>
  <c r="O679" i="23"/>
  <c r="O680" i="23"/>
  <c r="O681" i="23"/>
  <c r="O682" i="23"/>
  <c r="O683" i="23"/>
  <c r="O684" i="23"/>
  <c r="O685" i="23"/>
  <c r="O686" i="23"/>
  <c r="O687" i="23"/>
  <c r="O688" i="23"/>
  <c r="O689" i="23"/>
  <c r="O690" i="23"/>
  <c r="O691" i="23"/>
  <c r="O692" i="23"/>
  <c r="O693" i="23"/>
  <c r="O694" i="23"/>
  <c r="O695" i="23"/>
  <c r="O696" i="23"/>
  <c r="O697" i="23"/>
  <c r="O698" i="23"/>
  <c r="O699" i="23"/>
  <c r="O700" i="23"/>
  <c r="O701" i="23"/>
  <c r="O702" i="23"/>
  <c r="O703" i="23"/>
  <c r="O704" i="23"/>
  <c r="O705" i="23"/>
  <c r="O706" i="23"/>
  <c r="O707" i="23"/>
  <c r="O708" i="23"/>
  <c r="O709" i="23"/>
  <c r="O710" i="23"/>
  <c r="O711" i="23"/>
  <c r="O712" i="23"/>
  <c r="O713" i="23"/>
  <c r="O714" i="23"/>
  <c r="O715" i="23"/>
  <c r="O716" i="23"/>
  <c r="O717" i="23"/>
  <c r="O718" i="23"/>
  <c r="O719" i="23"/>
  <c r="O720" i="23"/>
  <c r="O721" i="23"/>
  <c r="O722" i="23"/>
  <c r="O723" i="23"/>
  <c r="O724" i="23"/>
  <c r="O725" i="23"/>
  <c r="O726" i="23"/>
  <c r="O727" i="23"/>
  <c r="O728" i="23"/>
  <c r="O729" i="23"/>
  <c r="O730" i="23"/>
  <c r="O731" i="23"/>
  <c r="O732" i="23"/>
  <c r="O733" i="23"/>
  <c r="O734" i="23"/>
  <c r="O735" i="23"/>
  <c r="O736" i="23"/>
  <c r="O737" i="23"/>
  <c r="O738" i="23"/>
  <c r="O739" i="23"/>
  <c r="O740" i="23"/>
  <c r="O741" i="23"/>
  <c r="O742" i="23"/>
  <c r="O743" i="23"/>
  <c r="O744" i="23"/>
  <c r="O745" i="23"/>
  <c r="O746" i="23"/>
  <c r="O747" i="23"/>
  <c r="O748" i="23"/>
  <c r="O749" i="23"/>
  <c r="O750" i="23"/>
  <c r="O751" i="23"/>
  <c r="O752" i="23"/>
  <c r="O753" i="23"/>
  <c r="O754" i="23"/>
  <c r="O755" i="23"/>
  <c r="O756" i="23"/>
  <c r="O757" i="23"/>
  <c r="O758" i="23"/>
  <c r="O759" i="23"/>
  <c r="O760" i="23"/>
  <c r="O761" i="23"/>
  <c r="O762" i="23"/>
  <c r="O763" i="23"/>
  <c r="O764" i="23"/>
  <c r="O765" i="23"/>
  <c r="O766" i="23"/>
  <c r="O767" i="23"/>
  <c r="O768" i="23"/>
  <c r="O769" i="23"/>
  <c r="O770" i="23"/>
  <c r="O771" i="23"/>
  <c r="O772" i="23"/>
  <c r="O773" i="23"/>
  <c r="O774" i="23"/>
  <c r="O775" i="23"/>
  <c r="O776" i="23"/>
  <c r="O777" i="23"/>
  <c r="O778" i="23"/>
  <c r="O779" i="23"/>
  <c r="O780" i="23"/>
  <c r="O781" i="23"/>
  <c r="O782" i="23"/>
  <c r="O783" i="23"/>
  <c r="O784" i="23"/>
  <c r="O785" i="23"/>
  <c r="O786" i="23"/>
  <c r="O787" i="23"/>
  <c r="O788" i="23"/>
  <c r="O789" i="23"/>
  <c r="O790" i="23"/>
  <c r="O791" i="23"/>
  <c r="O792" i="23"/>
  <c r="O793" i="23"/>
  <c r="O794" i="23"/>
  <c r="O795" i="23"/>
  <c r="O796" i="23"/>
  <c r="O797" i="23"/>
  <c r="O798" i="23"/>
  <c r="O799" i="23"/>
  <c r="O800" i="23"/>
  <c r="O801" i="23"/>
  <c r="O802" i="23"/>
  <c r="O803" i="23"/>
  <c r="O804" i="23"/>
  <c r="O805" i="23"/>
  <c r="O806" i="23"/>
  <c r="O807" i="23"/>
  <c r="O808" i="23"/>
  <c r="O809" i="23"/>
  <c r="O810" i="23"/>
  <c r="O811" i="23"/>
  <c r="O812" i="23"/>
  <c r="O813" i="23"/>
  <c r="O814" i="23"/>
  <c r="O815" i="23"/>
  <c r="O816" i="23"/>
  <c r="O817" i="23"/>
  <c r="O818" i="23"/>
  <c r="O819" i="23"/>
  <c r="O820" i="23"/>
  <c r="O821" i="23"/>
  <c r="O822" i="23"/>
  <c r="O823" i="23"/>
  <c r="O824" i="23"/>
  <c r="O825" i="23"/>
  <c r="O826" i="23"/>
  <c r="O827" i="23"/>
  <c r="O828" i="23"/>
  <c r="O829" i="23"/>
  <c r="O830" i="23"/>
  <c r="O831" i="23"/>
  <c r="O832" i="23"/>
  <c r="O833" i="23"/>
  <c r="O834" i="23"/>
  <c r="O835" i="23"/>
  <c r="O836" i="23"/>
  <c r="O837" i="23"/>
  <c r="O838" i="23"/>
  <c r="O839" i="23"/>
  <c r="O840" i="23"/>
  <c r="O841" i="23"/>
  <c r="O842" i="23"/>
  <c r="O843" i="23"/>
  <c r="O844" i="23"/>
  <c r="O845" i="23"/>
  <c r="O846" i="23"/>
  <c r="O847" i="23"/>
  <c r="O848" i="23"/>
  <c r="O849" i="23"/>
  <c r="O850" i="23"/>
  <c r="O851" i="23"/>
  <c r="O852" i="23"/>
  <c r="O853" i="23"/>
  <c r="O854" i="23"/>
  <c r="O855" i="23"/>
  <c r="O856" i="23"/>
  <c r="O857" i="23"/>
  <c r="O858" i="23"/>
  <c r="O859" i="23"/>
  <c r="O860" i="23"/>
  <c r="O861" i="23"/>
  <c r="O862" i="23"/>
  <c r="O863" i="23"/>
  <c r="O864" i="23"/>
  <c r="O865" i="23"/>
  <c r="O866" i="23"/>
  <c r="O867" i="23"/>
  <c r="O868" i="23"/>
  <c r="O869" i="23"/>
  <c r="O870" i="23"/>
  <c r="O871" i="23"/>
  <c r="O872" i="23"/>
  <c r="O873" i="23"/>
  <c r="O874" i="23"/>
  <c r="O875" i="23"/>
  <c r="O876" i="23"/>
  <c r="O877" i="23"/>
  <c r="O878" i="23"/>
  <c r="O879" i="23"/>
  <c r="O880" i="23"/>
  <c r="O881" i="23"/>
  <c r="O882" i="23"/>
  <c r="O883" i="23"/>
  <c r="O884" i="23"/>
  <c r="O885" i="23"/>
  <c r="O886" i="23"/>
  <c r="O887" i="23"/>
  <c r="O888" i="23"/>
  <c r="O889" i="23"/>
  <c r="O890" i="23"/>
  <c r="O891" i="23"/>
  <c r="O892" i="23"/>
  <c r="O893" i="23"/>
  <c r="O894" i="23"/>
  <c r="O895" i="23"/>
  <c r="O896" i="23"/>
  <c r="O897" i="23"/>
  <c r="O898" i="23"/>
  <c r="O899" i="23"/>
  <c r="O900" i="23"/>
  <c r="O901" i="23"/>
  <c r="O902" i="23"/>
  <c r="O903" i="23"/>
  <c r="O904" i="23"/>
  <c r="O905" i="23"/>
  <c r="O906" i="23"/>
  <c r="O907" i="23"/>
  <c r="O908" i="23"/>
  <c r="O909" i="23"/>
  <c r="O910" i="23"/>
  <c r="O911" i="23"/>
  <c r="O912" i="23"/>
  <c r="O913" i="23"/>
  <c r="O914" i="23"/>
  <c r="O915" i="23"/>
  <c r="O916" i="23"/>
  <c r="O917" i="23"/>
  <c r="O918" i="23"/>
  <c r="O919" i="23"/>
  <c r="O920" i="23"/>
  <c r="O921" i="23"/>
  <c r="O922" i="23"/>
  <c r="O923" i="23"/>
  <c r="O924" i="23"/>
  <c r="O925" i="23"/>
  <c r="O926" i="23"/>
  <c r="O927" i="23"/>
  <c r="O928" i="23"/>
  <c r="O929" i="23"/>
  <c r="O930" i="23"/>
  <c r="O931" i="23"/>
  <c r="O932" i="23"/>
  <c r="O933" i="23"/>
  <c r="O934" i="23"/>
  <c r="O935" i="23"/>
  <c r="O936" i="23"/>
  <c r="O937" i="23"/>
  <c r="O938" i="23"/>
  <c r="O939" i="23"/>
  <c r="O940" i="23"/>
  <c r="O941" i="23"/>
  <c r="O942" i="23"/>
  <c r="O943" i="23"/>
  <c r="O944" i="23"/>
  <c r="O945" i="23"/>
  <c r="O946" i="23"/>
  <c r="O947" i="23"/>
  <c r="O948" i="23"/>
  <c r="O949" i="23"/>
  <c r="O950" i="23"/>
  <c r="O951" i="23"/>
  <c r="O952" i="23"/>
  <c r="O953" i="23"/>
  <c r="O954" i="23"/>
  <c r="O955" i="23"/>
  <c r="O956" i="23"/>
  <c r="O957" i="23"/>
  <c r="O958" i="23"/>
  <c r="O959" i="23"/>
  <c r="O960" i="23"/>
  <c r="O961" i="23"/>
  <c r="O962" i="23"/>
  <c r="O963" i="23"/>
  <c r="O964" i="23"/>
  <c r="O965" i="23"/>
  <c r="O966" i="23"/>
  <c r="O967" i="23"/>
  <c r="O968" i="23"/>
  <c r="O969" i="23"/>
  <c r="O970" i="23"/>
  <c r="O971" i="23"/>
  <c r="O972" i="23"/>
  <c r="O973" i="23"/>
  <c r="O974" i="23"/>
  <c r="O975" i="23"/>
  <c r="O976" i="23"/>
  <c r="O977" i="23"/>
  <c r="O978" i="23"/>
  <c r="O979" i="23"/>
  <c r="O980" i="23"/>
  <c r="O981" i="23"/>
  <c r="O982" i="23"/>
  <c r="O983" i="23"/>
  <c r="O984" i="23"/>
  <c r="O985" i="23"/>
  <c r="O986" i="23"/>
  <c r="O987" i="23"/>
  <c r="O988" i="23"/>
  <c r="O989" i="23"/>
  <c r="O990" i="23"/>
  <c r="O991" i="23"/>
  <c r="O992" i="23"/>
  <c r="O993" i="23"/>
  <c r="O994" i="23"/>
  <c r="O995" i="23"/>
  <c r="O996" i="23"/>
  <c r="O997" i="23"/>
  <c r="O998" i="23"/>
  <c r="O999" i="23"/>
  <c r="O1000" i="23"/>
  <c r="O1001" i="23"/>
  <c r="O1002" i="23"/>
  <c r="O1003" i="23"/>
  <c r="O1004" i="23"/>
  <c r="O1005" i="23"/>
  <c r="O1006" i="23"/>
  <c r="O1007" i="23"/>
  <c r="O1008" i="23"/>
  <c r="O1009" i="23"/>
  <c r="O1010" i="23"/>
  <c r="O1011" i="23"/>
  <c r="O1012" i="23"/>
  <c r="O1013" i="23"/>
  <c r="O1014" i="23"/>
  <c r="O1015" i="23"/>
  <c r="O1016" i="23"/>
  <c r="O1017" i="23"/>
  <c r="O1018" i="23"/>
  <c r="O1019" i="23"/>
  <c r="O1020" i="23"/>
  <c r="O1021" i="23"/>
  <c r="O1022" i="23"/>
  <c r="O1023" i="23"/>
  <c r="O1024" i="23"/>
  <c r="O1025" i="23"/>
  <c r="O1026" i="23"/>
  <c r="O1027" i="23"/>
  <c r="O1028" i="23"/>
  <c r="O1029" i="23"/>
  <c r="O1030" i="23"/>
  <c r="O1031" i="23"/>
  <c r="O1032" i="23"/>
  <c r="O1033" i="23"/>
  <c r="O1034" i="23"/>
  <c r="O1035" i="23"/>
  <c r="O1036" i="23"/>
  <c r="O1037" i="23"/>
  <c r="O1038" i="23"/>
  <c r="O1039" i="23"/>
  <c r="O1040" i="23"/>
  <c r="O1041" i="23"/>
  <c r="O1042" i="23"/>
  <c r="O1043" i="23"/>
  <c r="O1044" i="23"/>
  <c r="O1045" i="23"/>
  <c r="O1046" i="23"/>
  <c r="O1047" i="23"/>
  <c r="O1048" i="23"/>
  <c r="O1049" i="23"/>
  <c r="O1050" i="23"/>
  <c r="O1051" i="23"/>
  <c r="O1052" i="23"/>
  <c r="O1053" i="23"/>
  <c r="O1054" i="23"/>
  <c r="O1055" i="23"/>
  <c r="O1056" i="23"/>
  <c r="O1057" i="23"/>
  <c r="O1058" i="23"/>
  <c r="O1059" i="23"/>
  <c r="O1060" i="23"/>
  <c r="O1061" i="23"/>
  <c r="O1062" i="23"/>
  <c r="O1063" i="23"/>
  <c r="O1064" i="23"/>
  <c r="O1065" i="23"/>
  <c r="O1066" i="23"/>
  <c r="O1067" i="23"/>
  <c r="O1068" i="23"/>
  <c r="O1069" i="23"/>
  <c r="O1070" i="23"/>
  <c r="O1071" i="23"/>
  <c r="O1072" i="23"/>
  <c r="O1073" i="23"/>
  <c r="O1074" i="23"/>
  <c r="O1075" i="23"/>
  <c r="O1076" i="23"/>
  <c r="O1077" i="23"/>
  <c r="O1078" i="23"/>
  <c r="O1079" i="23"/>
  <c r="O1080" i="23"/>
  <c r="O1081" i="23"/>
  <c r="O1082" i="23"/>
  <c r="O1083" i="23"/>
  <c r="O1084" i="23"/>
  <c r="O1085" i="23"/>
  <c r="O1086" i="23"/>
  <c r="O1087" i="23"/>
  <c r="O1088" i="23"/>
  <c r="O1089" i="23"/>
  <c r="O1090" i="23"/>
  <c r="O1091" i="23"/>
  <c r="O1092" i="23"/>
  <c r="O1093" i="23"/>
  <c r="O1094" i="23"/>
  <c r="O1095" i="23"/>
  <c r="O1096" i="23"/>
  <c r="O1097" i="23"/>
  <c r="O1098" i="23"/>
  <c r="O1099" i="23"/>
  <c r="O1100" i="23"/>
  <c r="O1101" i="23"/>
  <c r="O1102" i="23"/>
  <c r="O1103" i="23"/>
  <c r="O1104" i="23"/>
  <c r="O1105" i="23"/>
  <c r="O1106" i="23"/>
  <c r="O1107" i="23"/>
  <c r="O1108" i="23"/>
  <c r="O1109" i="23"/>
  <c r="O1110" i="23"/>
  <c r="O1111" i="23"/>
  <c r="O1112" i="23"/>
  <c r="O1113" i="23"/>
  <c r="O1114" i="23"/>
  <c r="O1115" i="23"/>
  <c r="O1116" i="23"/>
  <c r="O1117" i="23"/>
  <c r="O1118" i="23"/>
  <c r="O1119" i="23"/>
  <c r="O1120" i="23"/>
  <c r="O1121" i="23"/>
  <c r="O1122" i="23"/>
  <c r="O1123" i="23"/>
  <c r="O1124" i="23"/>
  <c r="O1125" i="23"/>
  <c r="O1126" i="23"/>
  <c r="O1127" i="23"/>
  <c r="O1128" i="23"/>
  <c r="O1129" i="23"/>
  <c r="O1130" i="23"/>
  <c r="O1131" i="23"/>
  <c r="O1132" i="23"/>
  <c r="O1133" i="23"/>
  <c r="O1134" i="23"/>
  <c r="O1135" i="23"/>
  <c r="O1136" i="23"/>
  <c r="O1137" i="23"/>
  <c r="O1138" i="23"/>
  <c r="O1139" i="23"/>
  <c r="O1140" i="23"/>
  <c r="O1141" i="23"/>
  <c r="O1142" i="23"/>
  <c r="O1143" i="23"/>
  <c r="O1144" i="23"/>
  <c r="O1145" i="23"/>
  <c r="O1146" i="23"/>
  <c r="O1147" i="23"/>
  <c r="O1148" i="23"/>
  <c r="O1149" i="23"/>
  <c r="O1150" i="23"/>
  <c r="O1151" i="23"/>
  <c r="O1152" i="23"/>
  <c r="O1153" i="23"/>
  <c r="O1154" i="23"/>
  <c r="O1155" i="23"/>
  <c r="O1156" i="23"/>
  <c r="O1157" i="23"/>
  <c r="O1158" i="23"/>
  <c r="O1159" i="23"/>
  <c r="O1160" i="23"/>
  <c r="O1161" i="23"/>
  <c r="O1162" i="23"/>
  <c r="O1163" i="23"/>
  <c r="O1164" i="23"/>
  <c r="O1165" i="23"/>
  <c r="O1166" i="23"/>
  <c r="O1167" i="23"/>
  <c r="O1168" i="23"/>
  <c r="O1169" i="23"/>
  <c r="O1170" i="23"/>
  <c r="O1171" i="23"/>
  <c r="O1172" i="23"/>
  <c r="O1173" i="23"/>
  <c r="O1174" i="23"/>
  <c r="O1175" i="23"/>
  <c r="O1176" i="23"/>
  <c r="O1177" i="23"/>
  <c r="O1178" i="23"/>
  <c r="O1179" i="23"/>
  <c r="O1180" i="23"/>
  <c r="O1181" i="23"/>
  <c r="O1182" i="23"/>
  <c r="O1183" i="23"/>
  <c r="O1184" i="23"/>
  <c r="O1185" i="23"/>
  <c r="O1186" i="23"/>
  <c r="O1187" i="23"/>
  <c r="O1188" i="23"/>
  <c r="O1189" i="23"/>
  <c r="O1190" i="23"/>
  <c r="O1191" i="23"/>
  <c r="O1192" i="23"/>
  <c r="O1193" i="23"/>
  <c r="O1194" i="23"/>
  <c r="O1195" i="23"/>
  <c r="O1196" i="23"/>
  <c r="O1197" i="23"/>
  <c r="O1198" i="23"/>
  <c r="O1199" i="23"/>
  <c r="O1200" i="23"/>
  <c r="O1201" i="23"/>
  <c r="O1202" i="23"/>
  <c r="O1203" i="23"/>
  <c r="O1204" i="23"/>
  <c r="O1205" i="23"/>
  <c r="O1206" i="23"/>
  <c r="O1207" i="23"/>
  <c r="O1208" i="23"/>
  <c r="O1209" i="23"/>
  <c r="O1210" i="23"/>
  <c r="O1211" i="23"/>
  <c r="O1212" i="23"/>
  <c r="O1213" i="23"/>
  <c r="O1214" i="23"/>
  <c r="O1215" i="23"/>
  <c r="O1216" i="23"/>
  <c r="O1217" i="23"/>
  <c r="O1218" i="23"/>
  <c r="O1219" i="23"/>
  <c r="O1220" i="23"/>
  <c r="O1221" i="23"/>
  <c r="O1222" i="23"/>
  <c r="O1223" i="23"/>
  <c r="O1224" i="23"/>
  <c r="O1225" i="23"/>
  <c r="O1226" i="23"/>
  <c r="O1227" i="23"/>
  <c r="O1228" i="23"/>
  <c r="O1229" i="23"/>
  <c r="O1230" i="23"/>
  <c r="O1231" i="23"/>
  <c r="O1232" i="23"/>
  <c r="O1233" i="23"/>
  <c r="O1234" i="23"/>
  <c r="O1235" i="23"/>
  <c r="O1236" i="23"/>
  <c r="O1237" i="23"/>
  <c r="O1238" i="23"/>
  <c r="O1239" i="23"/>
  <c r="O1240" i="23"/>
  <c r="O1241" i="23"/>
  <c r="O1242" i="23"/>
  <c r="O1243" i="23"/>
  <c r="O1244" i="23"/>
  <c r="O1245" i="23"/>
  <c r="O1246" i="23"/>
  <c r="O1247" i="23"/>
  <c r="O1248" i="23"/>
  <c r="O1249" i="23"/>
  <c r="O1250" i="23"/>
  <c r="O1251" i="23"/>
  <c r="O1252" i="23"/>
  <c r="O1253" i="23"/>
  <c r="O1254" i="23"/>
  <c r="O1255" i="23"/>
  <c r="O1256" i="23"/>
  <c r="O1257" i="23"/>
  <c r="O1258" i="23"/>
  <c r="O1259" i="23"/>
  <c r="O1260" i="23"/>
  <c r="O1261" i="23"/>
  <c r="O1262" i="23"/>
  <c r="O1263" i="23"/>
  <c r="O1264" i="23"/>
  <c r="O1265" i="23"/>
  <c r="O1266" i="23"/>
  <c r="O1267" i="23"/>
  <c r="O1268" i="23"/>
  <c r="O1269" i="23"/>
  <c r="O1270" i="23"/>
  <c r="O1271" i="23"/>
  <c r="O1272" i="23"/>
  <c r="O1273" i="23"/>
  <c r="O1274" i="23"/>
  <c r="O1275" i="23"/>
  <c r="O1276" i="23"/>
  <c r="O1277" i="23"/>
  <c r="O1278" i="23"/>
  <c r="O1279" i="23"/>
  <c r="O1280" i="23"/>
  <c r="O1281" i="23"/>
  <c r="O1282" i="23"/>
  <c r="O1283" i="23"/>
  <c r="O1284" i="23"/>
  <c r="O1285" i="23"/>
  <c r="O1286" i="23"/>
  <c r="O1287" i="23"/>
  <c r="O1288" i="23"/>
  <c r="O1289" i="23"/>
  <c r="O1290" i="23"/>
  <c r="O1291" i="23"/>
  <c r="O1292" i="23"/>
  <c r="O1293" i="23"/>
  <c r="O1294" i="23"/>
  <c r="O1295" i="23"/>
  <c r="O1296" i="23"/>
  <c r="O1297" i="23"/>
  <c r="O1298" i="23"/>
  <c r="O1299" i="23"/>
  <c r="O1300" i="23"/>
  <c r="O1301" i="23"/>
  <c r="O1302" i="23"/>
  <c r="O1303" i="23"/>
  <c r="O1304" i="23"/>
  <c r="O1305" i="23"/>
  <c r="O1306" i="23"/>
  <c r="O1307" i="23"/>
  <c r="O1308" i="23"/>
  <c r="O1309" i="23"/>
  <c r="O1310" i="23"/>
  <c r="O1311" i="23"/>
  <c r="O1312" i="23"/>
  <c r="O1313" i="23"/>
  <c r="O1314" i="23"/>
  <c r="O1315" i="23"/>
  <c r="O1316" i="23"/>
  <c r="O1317" i="23"/>
  <c r="O1318" i="23"/>
  <c r="O1319" i="23"/>
  <c r="O1320" i="23"/>
  <c r="O1321" i="23"/>
  <c r="O1322" i="23"/>
  <c r="O1323" i="23"/>
  <c r="O1324" i="23"/>
  <c r="O1325" i="23"/>
  <c r="O1326" i="23"/>
  <c r="O1327" i="23"/>
  <c r="O1328" i="23"/>
  <c r="O1329" i="23"/>
  <c r="O1330" i="23"/>
  <c r="O1331" i="23"/>
  <c r="O1332" i="23"/>
  <c r="O1333" i="23"/>
  <c r="O1334" i="23"/>
  <c r="O1335" i="23"/>
  <c r="O1336" i="23"/>
  <c r="O1337" i="23"/>
  <c r="O1338" i="23"/>
  <c r="O1339" i="23"/>
  <c r="O1340" i="23"/>
  <c r="O1341" i="23"/>
  <c r="O1342" i="23"/>
  <c r="O1343" i="23"/>
  <c r="O1344" i="23"/>
  <c r="O1345" i="23"/>
  <c r="O1346" i="23"/>
  <c r="O1347" i="23"/>
  <c r="O1348" i="23"/>
  <c r="O1349" i="23"/>
  <c r="O1350" i="23"/>
  <c r="O1351" i="23"/>
  <c r="O1352" i="23"/>
  <c r="O1353" i="23"/>
  <c r="O1354" i="23"/>
  <c r="O1355" i="23"/>
  <c r="O1356" i="23"/>
  <c r="O1357" i="23"/>
  <c r="O1358" i="23"/>
  <c r="O1359" i="23"/>
  <c r="O1360" i="23"/>
  <c r="O1361" i="23"/>
  <c r="O1362" i="23"/>
  <c r="O1363" i="23"/>
  <c r="O1364" i="23"/>
  <c r="O1365" i="23"/>
  <c r="O1366" i="23"/>
  <c r="O1367" i="23"/>
  <c r="O1368" i="23"/>
  <c r="O1369" i="23"/>
  <c r="O1370" i="23"/>
  <c r="O1371" i="23"/>
  <c r="O1372" i="23"/>
  <c r="O1373" i="23"/>
  <c r="O1374" i="23"/>
  <c r="O1375" i="23"/>
  <c r="O1376" i="23"/>
  <c r="O1377" i="23"/>
  <c r="O1378" i="23"/>
  <c r="O1379" i="23"/>
  <c r="O1380" i="23"/>
  <c r="O1381" i="23"/>
  <c r="O1382" i="23"/>
  <c r="O1383" i="23"/>
  <c r="O1384" i="23"/>
  <c r="O1385" i="23"/>
  <c r="O1386" i="23"/>
  <c r="O1387" i="23"/>
  <c r="O1388" i="23"/>
  <c r="O1389" i="23"/>
  <c r="O1390" i="23"/>
  <c r="O1391" i="23"/>
  <c r="O1392" i="23"/>
  <c r="O1393" i="23"/>
  <c r="O1394" i="23"/>
  <c r="O1395" i="23"/>
  <c r="O1396" i="23"/>
  <c r="O1397" i="23"/>
  <c r="O1398" i="23"/>
  <c r="O1399" i="23"/>
  <c r="O1400" i="23"/>
  <c r="O1401" i="23"/>
  <c r="O1402" i="23"/>
  <c r="O1403" i="23"/>
  <c r="O1404" i="23"/>
  <c r="O1405" i="23"/>
  <c r="O1406" i="23"/>
  <c r="O1407" i="23"/>
  <c r="O1408" i="23"/>
  <c r="O1409" i="23"/>
  <c r="O1410" i="23"/>
  <c r="O1411" i="23"/>
  <c r="O1412" i="23"/>
  <c r="O1413" i="23"/>
  <c r="O1414" i="23"/>
  <c r="O1415" i="23"/>
  <c r="O1416" i="23"/>
  <c r="O1417" i="23"/>
  <c r="O1418" i="23"/>
  <c r="O1419" i="23"/>
  <c r="O1420" i="23"/>
  <c r="O1421" i="23"/>
  <c r="O1422" i="23"/>
  <c r="O1423" i="23"/>
  <c r="O1424" i="23"/>
  <c r="O1425" i="23"/>
  <c r="O1426" i="23"/>
  <c r="O1427" i="23"/>
  <c r="O1428" i="23"/>
  <c r="O1429" i="23"/>
  <c r="O1430" i="23"/>
  <c r="O1431" i="23"/>
  <c r="O1432" i="23"/>
  <c r="O1433" i="23"/>
  <c r="O1434" i="23"/>
  <c r="O1435" i="23"/>
  <c r="O1436" i="23"/>
  <c r="O1437" i="23"/>
  <c r="O1438" i="23"/>
  <c r="O1439" i="23"/>
  <c r="O1440" i="23"/>
  <c r="O1441" i="23"/>
  <c r="O1442" i="23"/>
  <c r="O1443" i="23"/>
  <c r="O1444" i="23"/>
  <c r="O1445" i="23"/>
  <c r="O1446" i="23"/>
  <c r="O1447" i="23"/>
  <c r="O1448" i="23"/>
  <c r="O1449" i="23"/>
  <c r="O1450" i="23"/>
  <c r="O1451" i="23"/>
  <c r="O1452" i="23"/>
  <c r="O1453" i="23"/>
  <c r="O1454" i="23"/>
  <c r="O1455" i="23"/>
  <c r="O1456" i="23"/>
  <c r="O1457" i="23"/>
  <c r="O1458" i="23"/>
  <c r="O1459" i="23"/>
  <c r="O1460" i="23"/>
  <c r="O1461" i="23"/>
  <c r="O1462" i="23"/>
  <c r="O1463" i="23"/>
  <c r="O1464" i="23"/>
  <c r="O1465" i="23"/>
  <c r="O1466" i="23"/>
  <c r="O1467" i="23"/>
  <c r="O1468" i="23"/>
  <c r="O1469" i="23"/>
  <c r="O1470" i="23"/>
  <c r="O1471" i="23"/>
  <c r="O1472" i="23"/>
  <c r="O1473" i="23"/>
  <c r="O1474" i="23"/>
  <c r="O1475" i="23"/>
  <c r="O1476" i="23"/>
  <c r="O1477" i="23"/>
  <c r="O1478" i="23"/>
  <c r="O1479" i="23"/>
  <c r="O1480" i="23"/>
  <c r="O1481" i="23"/>
  <c r="O1482" i="23"/>
  <c r="O1483" i="23"/>
  <c r="O1484" i="23"/>
  <c r="O1485" i="23"/>
  <c r="O1486" i="23"/>
  <c r="O1487" i="23"/>
  <c r="O1488" i="23"/>
  <c r="O1489" i="23"/>
  <c r="O1490" i="23"/>
  <c r="O1491" i="23"/>
  <c r="O1492" i="23"/>
  <c r="O1493" i="23"/>
  <c r="O1494" i="23"/>
  <c r="O1495" i="23"/>
  <c r="O1496" i="23"/>
  <c r="O1497" i="23"/>
  <c r="O1498" i="23"/>
  <c r="O1499" i="23"/>
  <c r="O1500" i="23"/>
  <c r="O1501" i="23"/>
  <c r="O1502" i="23"/>
  <c r="O1503" i="23"/>
  <c r="O1504" i="23"/>
  <c r="O1505" i="23"/>
  <c r="O1506" i="23"/>
  <c r="O1507" i="23"/>
  <c r="O1508" i="23"/>
  <c r="O1509" i="23"/>
  <c r="O1510" i="23"/>
  <c r="O1511" i="23"/>
  <c r="O1512" i="23"/>
  <c r="O1513" i="23"/>
  <c r="O1514" i="23"/>
  <c r="O1515" i="23"/>
  <c r="O1516" i="23"/>
  <c r="O1517" i="23"/>
  <c r="O1518" i="23"/>
  <c r="O1519" i="23"/>
  <c r="O1520" i="23"/>
  <c r="O1521" i="23"/>
  <c r="O1522" i="23"/>
  <c r="O1523" i="23"/>
  <c r="O1524" i="23"/>
  <c r="O1525" i="23"/>
  <c r="O1526" i="23"/>
  <c r="O1527" i="23"/>
  <c r="O1528" i="23"/>
  <c r="O1529" i="23"/>
  <c r="O1530" i="23"/>
  <c r="O1531" i="23"/>
  <c r="O1532" i="23"/>
  <c r="O1533" i="23"/>
  <c r="O1534" i="23"/>
  <c r="O1535" i="23"/>
  <c r="O1536" i="23"/>
  <c r="O1537" i="23"/>
  <c r="O1538" i="23"/>
  <c r="O1539" i="23"/>
  <c r="O1540" i="23"/>
  <c r="O1541" i="23"/>
  <c r="O1542" i="23"/>
  <c r="O1543" i="23"/>
  <c r="O1544" i="23"/>
  <c r="O1545" i="23"/>
  <c r="O1546" i="23"/>
  <c r="O1547" i="23"/>
  <c r="O1548" i="23"/>
  <c r="O1549" i="23"/>
  <c r="O1550" i="23"/>
  <c r="O1551" i="23"/>
  <c r="O1552" i="23"/>
  <c r="O1553" i="23"/>
  <c r="O1554" i="23"/>
  <c r="O1555" i="23"/>
  <c r="O1556" i="23"/>
  <c r="O1557" i="23"/>
  <c r="O1558" i="23"/>
  <c r="O1559" i="23"/>
  <c r="O1560" i="23"/>
  <c r="O1561" i="23"/>
  <c r="O1562" i="23"/>
  <c r="O1563" i="23"/>
  <c r="O1564" i="23"/>
  <c r="O1565" i="23"/>
  <c r="O1566" i="23"/>
  <c r="O1567" i="23"/>
  <c r="O1568" i="23"/>
  <c r="O1569" i="23"/>
  <c r="O1570" i="23"/>
  <c r="O1571" i="23"/>
  <c r="O1572" i="23"/>
  <c r="O1573" i="23"/>
  <c r="O1574" i="23"/>
  <c r="O1575" i="23"/>
  <c r="O1576" i="23"/>
  <c r="O1577" i="23"/>
  <c r="O1578" i="23"/>
  <c r="O1579" i="23"/>
  <c r="O1580" i="23"/>
  <c r="O1581" i="23"/>
  <c r="O1582" i="23"/>
  <c r="O1583" i="23"/>
  <c r="O1584" i="23"/>
  <c r="O1585" i="23"/>
  <c r="O1586" i="23"/>
  <c r="O1587" i="23"/>
  <c r="O1588" i="23"/>
  <c r="O1589" i="23"/>
  <c r="O1590" i="23"/>
  <c r="O1591" i="23"/>
  <c r="O1592" i="23"/>
  <c r="O1593" i="23"/>
  <c r="O1594" i="23"/>
  <c r="O1595" i="23"/>
  <c r="O1596" i="23"/>
  <c r="O1597" i="23"/>
  <c r="O1598" i="23"/>
  <c r="O1599" i="23"/>
  <c r="O1600" i="23"/>
  <c r="O1601" i="23"/>
  <c r="O1602" i="23"/>
  <c r="O1603" i="23"/>
  <c r="O1604" i="23"/>
  <c r="O1605" i="23"/>
  <c r="O1606" i="23"/>
  <c r="O1607" i="23"/>
  <c r="O1608" i="23"/>
  <c r="O1609" i="23"/>
  <c r="O1610" i="23"/>
  <c r="O1611" i="23"/>
  <c r="O1612" i="23"/>
  <c r="O1613" i="23"/>
  <c r="O1614" i="23"/>
  <c r="O1615" i="23"/>
  <c r="O1616" i="23"/>
  <c r="O1617" i="23"/>
  <c r="O1618" i="23"/>
  <c r="O1619" i="23"/>
  <c r="O1620" i="23"/>
  <c r="O1621" i="23"/>
  <c r="O1622" i="23"/>
  <c r="O1623" i="23"/>
  <c r="O1624" i="23"/>
  <c r="O1625" i="23"/>
  <c r="O1626" i="23"/>
  <c r="O1627" i="23"/>
  <c r="O1628" i="23"/>
  <c r="O1629" i="23"/>
  <c r="O1630" i="23"/>
  <c r="O1631" i="23"/>
  <c r="O1632" i="23"/>
  <c r="O1633" i="23"/>
  <c r="O1634" i="23"/>
  <c r="O1635" i="23"/>
  <c r="O1636" i="23"/>
  <c r="O1637" i="23"/>
  <c r="O1638" i="23"/>
  <c r="O1639" i="23"/>
  <c r="O1640" i="23"/>
  <c r="O1641" i="23"/>
  <c r="O1642" i="23"/>
  <c r="O1643" i="23"/>
  <c r="O1644" i="23"/>
  <c r="O1645" i="23"/>
  <c r="O1646" i="23"/>
  <c r="O1647" i="23"/>
  <c r="O1648" i="23"/>
  <c r="O1649" i="23"/>
  <c r="O1650" i="23"/>
  <c r="O1651" i="23"/>
  <c r="O1652" i="23"/>
  <c r="O1653" i="23"/>
  <c r="O1654" i="23"/>
  <c r="O1655" i="23"/>
  <c r="O1656" i="23"/>
  <c r="O1657" i="23"/>
  <c r="O1658" i="23"/>
  <c r="O1659" i="23"/>
  <c r="O1660" i="23"/>
  <c r="O1661" i="23"/>
  <c r="O1662" i="23"/>
  <c r="O1663" i="23"/>
  <c r="O1664" i="23"/>
  <c r="O1665" i="23"/>
  <c r="O1666" i="23"/>
  <c r="O1667" i="23"/>
  <c r="O1668" i="23"/>
  <c r="O1669" i="23"/>
  <c r="O1670" i="23"/>
  <c r="O1671" i="23"/>
  <c r="O1672" i="23"/>
  <c r="O1673" i="23"/>
  <c r="O1674" i="23"/>
  <c r="O1675" i="23"/>
  <c r="O1676" i="23"/>
  <c r="O1677" i="23"/>
  <c r="O1678" i="23"/>
  <c r="O1679" i="23"/>
  <c r="O1680" i="23"/>
  <c r="O1681" i="23"/>
  <c r="O1682" i="23"/>
  <c r="O1683" i="23"/>
  <c r="O1684" i="23"/>
  <c r="O1685" i="23"/>
  <c r="O1686" i="23"/>
  <c r="O1687" i="23"/>
  <c r="O1688" i="23"/>
  <c r="O1689" i="23"/>
  <c r="O1690" i="23"/>
  <c r="O1691" i="23"/>
  <c r="O1692" i="23"/>
  <c r="O1693" i="23"/>
  <c r="O1694" i="23"/>
  <c r="O1695" i="23"/>
  <c r="O1696" i="23"/>
  <c r="O1697" i="23"/>
  <c r="O1698" i="23"/>
  <c r="O1699" i="23"/>
  <c r="O1700" i="23"/>
  <c r="O1701" i="23"/>
  <c r="O1702" i="23"/>
  <c r="O1703" i="23"/>
  <c r="O1704" i="23"/>
  <c r="O1705" i="23"/>
  <c r="O1706" i="23"/>
  <c r="O1707" i="23"/>
  <c r="O1708" i="23"/>
  <c r="O1709" i="23"/>
  <c r="O1710" i="23"/>
  <c r="O1711" i="23"/>
  <c r="O1712" i="23"/>
  <c r="O1713" i="23"/>
  <c r="O1714" i="23"/>
  <c r="O1715" i="23"/>
  <c r="O1716" i="23"/>
  <c r="O1717" i="23"/>
  <c r="O1718" i="23"/>
  <c r="O1719" i="23"/>
  <c r="O1720" i="23"/>
  <c r="O1721" i="23"/>
  <c r="O1722" i="23"/>
  <c r="O1723" i="23"/>
  <c r="O1724" i="23"/>
  <c r="O1725" i="23"/>
  <c r="O1726" i="23"/>
  <c r="O1727" i="23"/>
  <c r="O1728" i="23"/>
  <c r="O1729" i="23"/>
  <c r="O1730" i="23"/>
  <c r="O1731" i="23"/>
  <c r="O1732" i="23"/>
  <c r="O1733" i="23"/>
  <c r="O1734" i="23"/>
  <c r="O1735" i="23"/>
  <c r="O1736" i="23"/>
  <c r="O1737" i="23"/>
  <c r="O1738" i="23"/>
  <c r="O1739" i="23"/>
  <c r="O1740" i="23"/>
  <c r="O1741" i="23"/>
  <c r="O1742" i="23"/>
  <c r="O1743" i="23"/>
  <c r="O1744" i="23"/>
  <c r="O1745" i="23"/>
  <c r="O1746" i="23"/>
  <c r="O1747" i="23"/>
  <c r="O1748" i="23"/>
  <c r="O1749" i="23"/>
  <c r="O1750" i="23"/>
  <c r="O1751" i="23"/>
  <c r="O1752" i="23"/>
  <c r="O1753" i="23"/>
  <c r="O1754" i="23"/>
  <c r="O1755" i="23"/>
  <c r="O1756" i="23"/>
  <c r="O1757" i="23"/>
  <c r="O1758" i="23"/>
  <c r="O1759" i="23"/>
  <c r="O1760" i="23"/>
  <c r="O1761" i="23"/>
  <c r="O1762" i="23"/>
  <c r="O1763" i="23"/>
  <c r="O1764" i="23"/>
  <c r="O1765" i="23"/>
  <c r="O1766" i="23"/>
  <c r="O1767" i="23"/>
  <c r="O1768" i="23"/>
  <c r="O1769" i="23"/>
  <c r="O1770" i="23"/>
  <c r="O1771" i="23"/>
  <c r="O1772" i="23"/>
  <c r="O1773" i="23"/>
  <c r="O1774" i="23"/>
  <c r="O1775" i="23"/>
  <c r="O1776" i="23"/>
  <c r="O1777" i="23"/>
  <c r="O1778" i="23"/>
  <c r="O1779" i="23"/>
  <c r="O1780" i="23"/>
  <c r="O1781" i="23"/>
  <c r="O1782" i="23"/>
  <c r="O1783" i="23"/>
  <c r="O1784" i="23"/>
  <c r="O1785" i="23"/>
  <c r="O1786" i="23"/>
  <c r="O1787" i="23"/>
  <c r="O3" i="23"/>
  <c r="T19" i="23" s="1"/>
  <c r="T5" i="23"/>
  <c r="T6" i="23"/>
  <c r="T8" i="23"/>
  <c r="T18" i="23"/>
  <c r="T21" i="23"/>
  <c r="T22" i="23"/>
  <c r="T24" i="23"/>
  <c r="T34" i="23"/>
  <c r="T37" i="23"/>
  <c r="T38" i="23"/>
  <c r="T40" i="23"/>
  <c r="T50" i="23"/>
  <c r="T53" i="23"/>
  <c r="T54" i="23"/>
  <c r="T56" i="23"/>
  <c r="T65" i="23"/>
  <c r="T66" i="23"/>
  <c r="T69" i="23"/>
  <c r="T70" i="23"/>
  <c r="T72" i="23"/>
  <c r="T81" i="23"/>
  <c r="T82" i="23"/>
  <c r="T85" i="23"/>
  <c r="T86" i="23"/>
  <c r="T88" i="23"/>
  <c r="T97" i="23"/>
  <c r="T98" i="23"/>
  <c r="T101" i="23"/>
  <c r="T102" i="23"/>
  <c r="T104" i="23"/>
  <c r="T113" i="23"/>
  <c r="T114" i="23"/>
  <c r="T117" i="23"/>
  <c r="T118" i="23"/>
  <c r="T120" i="23"/>
  <c r="T129" i="23"/>
  <c r="T130" i="23"/>
  <c r="T133" i="23"/>
  <c r="T134" i="23"/>
  <c r="T136" i="23"/>
  <c r="T145" i="23"/>
  <c r="T146" i="23"/>
  <c r="T149" i="23"/>
  <c r="T150" i="23"/>
  <c r="T152" i="23"/>
  <c r="T161" i="23"/>
  <c r="T162" i="23"/>
  <c r="T165" i="23"/>
  <c r="T166" i="23"/>
  <c r="T168" i="23"/>
  <c r="T177" i="23"/>
  <c r="T178" i="23"/>
  <c r="T180" i="23"/>
  <c r="T181" i="23"/>
  <c r="T182" i="23"/>
  <c r="T184" i="23"/>
  <c r="T193" i="23"/>
  <c r="T194" i="23"/>
  <c r="T196" i="23"/>
  <c r="T197" i="23"/>
  <c r="T198" i="23"/>
  <c r="T200" i="23"/>
  <c r="T209" i="23"/>
  <c r="T210" i="23"/>
  <c r="T212" i="23"/>
  <c r="T213" i="23"/>
  <c r="T214" i="23"/>
  <c r="T216" i="23"/>
  <c r="T225" i="23"/>
  <c r="T226" i="23"/>
  <c r="T228" i="23"/>
  <c r="T229" i="23"/>
  <c r="T230" i="23"/>
  <c r="T232" i="23"/>
  <c r="T241" i="23"/>
  <c r="T242" i="23"/>
  <c r="T244" i="23"/>
  <c r="T245" i="23"/>
  <c r="T246" i="23"/>
  <c r="T248" i="23"/>
  <c r="T257" i="23"/>
  <c r="T258" i="23"/>
  <c r="T260" i="23"/>
  <c r="T261" i="23"/>
  <c r="T262" i="23"/>
  <c r="T264" i="23"/>
  <c r="T273" i="23"/>
  <c r="T274" i="23"/>
  <c r="T276" i="23"/>
  <c r="T277" i="23"/>
  <c r="T278" i="23"/>
  <c r="T280" i="23"/>
  <c r="T289" i="23"/>
  <c r="T290" i="23"/>
  <c r="T292" i="23"/>
  <c r="T293" i="23"/>
  <c r="T294" i="23"/>
  <c r="T295" i="23"/>
  <c r="T296" i="23"/>
  <c r="T305" i="23"/>
  <c r="T306" i="23"/>
  <c r="T308" i="23"/>
  <c r="T309" i="23"/>
  <c r="T310" i="23"/>
  <c r="T311" i="23"/>
  <c r="T312" i="23"/>
  <c r="T321" i="23"/>
  <c r="T322" i="23"/>
  <c r="T324" i="23"/>
  <c r="T325" i="23"/>
  <c r="T326" i="23"/>
  <c r="T327" i="23"/>
  <c r="T328" i="23"/>
  <c r="T337" i="23"/>
  <c r="T338" i="23"/>
  <c r="T340" i="23"/>
  <c r="T341" i="23"/>
  <c r="T342" i="23"/>
  <c r="T343" i="23"/>
  <c r="T344" i="23"/>
  <c r="T353" i="23"/>
  <c r="T354" i="23"/>
  <c r="T356" i="23"/>
  <c r="T357" i="23"/>
  <c r="T358" i="23"/>
  <c r="T359" i="23"/>
  <c r="T360" i="23"/>
  <c r="T369" i="23"/>
  <c r="T370" i="23"/>
  <c r="T372" i="23"/>
  <c r="T373" i="23"/>
  <c r="T374" i="23"/>
  <c r="T375" i="23"/>
  <c r="T376" i="23"/>
  <c r="T385" i="23"/>
  <c r="T386" i="23"/>
  <c r="T388" i="23"/>
  <c r="T389" i="23"/>
  <c r="T390" i="23"/>
  <c r="T391" i="23"/>
  <c r="T392" i="23"/>
  <c r="T396" i="23"/>
  <c r="T401" i="23"/>
  <c r="T402" i="23"/>
  <c r="T404" i="23"/>
  <c r="T405" i="23"/>
  <c r="T406" i="23"/>
  <c r="T407" i="23"/>
  <c r="T408" i="23"/>
  <c r="T412" i="23"/>
  <c r="T417" i="23"/>
  <c r="T418" i="23"/>
  <c r="T420" i="23"/>
  <c r="T421" i="23"/>
  <c r="T422" i="23"/>
  <c r="T423" i="23"/>
  <c r="T424" i="23"/>
  <c r="T428" i="23"/>
  <c r="T433" i="23"/>
  <c r="T434" i="23"/>
  <c r="T436" i="23"/>
  <c r="T437" i="23"/>
  <c r="T438" i="23"/>
  <c r="T439" i="23"/>
  <c r="T440" i="23"/>
  <c r="T444" i="23"/>
  <c r="T449" i="23"/>
  <c r="T450" i="23"/>
  <c r="T452" i="23"/>
  <c r="T453" i="23"/>
  <c r="T454" i="23"/>
  <c r="T455" i="23"/>
  <c r="T456" i="23"/>
  <c r="T460" i="23"/>
  <c r="T465" i="23"/>
  <c r="T466" i="23"/>
  <c r="T468" i="23"/>
  <c r="T469" i="23"/>
  <c r="T470" i="23"/>
  <c r="T471" i="23"/>
  <c r="T472" i="23"/>
  <c r="T476" i="23"/>
  <c r="T481" i="23"/>
  <c r="T482" i="23"/>
  <c r="T484" i="23"/>
  <c r="T485" i="23"/>
  <c r="T486" i="23"/>
  <c r="T487" i="23"/>
  <c r="T488" i="23"/>
  <c r="T492" i="23"/>
  <c r="T497" i="23"/>
  <c r="T498" i="23"/>
  <c r="T500" i="23"/>
  <c r="T501" i="23"/>
  <c r="T502" i="23"/>
  <c r="T503" i="23"/>
  <c r="T504" i="23"/>
  <c r="T508" i="23"/>
  <c r="T513" i="23"/>
  <c r="T514" i="23"/>
  <c r="T516" i="23"/>
  <c r="T517" i="23"/>
  <c r="T518" i="23"/>
  <c r="T519" i="23"/>
  <c r="T520" i="23"/>
  <c r="T524" i="23"/>
  <c r="T529" i="23"/>
  <c r="T530" i="23"/>
  <c r="T532" i="23"/>
  <c r="T533" i="23"/>
  <c r="T534" i="23"/>
  <c r="T535" i="23"/>
  <c r="T536" i="23"/>
  <c r="T540" i="23"/>
  <c r="T545" i="23"/>
  <c r="T546" i="23"/>
  <c r="T548" i="23"/>
  <c r="T549" i="23"/>
  <c r="T550" i="23"/>
  <c r="T551" i="23"/>
  <c r="T552" i="23"/>
  <c r="T556" i="23"/>
  <c r="T561" i="23"/>
  <c r="T562" i="23"/>
  <c r="T564" i="23"/>
  <c r="T565" i="23"/>
  <c r="T566" i="23"/>
  <c r="T567" i="23"/>
  <c r="T568" i="23"/>
  <c r="T572" i="23"/>
  <c r="T577" i="23"/>
  <c r="T578" i="23"/>
  <c r="T580" i="23"/>
  <c r="T581" i="23"/>
  <c r="T582" i="23"/>
  <c r="T583" i="23"/>
  <c r="T584" i="23"/>
  <c r="T588" i="23"/>
  <c r="T593" i="23"/>
  <c r="T594" i="23"/>
  <c r="T596" i="23"/>
  <c r="T597" i="23"/>
  <c r="T598" i="23"/>
  <c r="T599" i="23"/>
  <c r="T600" i="23"/>
  <c r="T604" i="23"/>
  <c r="T605" i="23"/>
  <c r="T609" i="23"/>
  <c r="T610" i="23"/>
  <c r="T612" i="23"/>
  <c r="T613" i="23"/>
  <c r="T614" i="23"/>
  <c r="T615" i="23"/>
  <c r="T616" i="23"/>
  <c r="T620" i="23"/>
  <c r="T621" i="23"/>
  <c r="T625" i="23"/>
  <c r="T626" i="23"/>
  <c r="T627" i="23"/>
  <c r="T628" i="23"/>
  <c r="T629" i="23"/>
  <c r="T630" i="23"/>
  <c r="T631" i="23"/>
  <c r="T632" i="23"/>
  <c r="T634" i="23"/>
  <c r="T635" i="23"/>
  <c r="T636" i="23"/>
  <c r="T637" i="23"/>
  <c r="T639" i="23"/>
  <c r="T640" i="23"/>
  <c r="T641" i="23"/>
  <c r="T642" i="23"/>
  <c r="T643" i="23"/>
  <c r="T644" i="23"/>
  <c r="T645" i="23"/>
  <c r="T646" i="23"/>
  <c r="T647" i="23"/>
  <c r="T648" i="23"/>
  <c r="T649" i="23"/>
  <c r="T650" i="23"/>
  <c r="T651" i="23"/>
  <c r="T652" i="23"/>
  <c r="T653" i="23"/>
  <c r="T654" i="23"/>
  <c r="T655" i="23"/>
  <c r="T656" i="23"/>
  <c r="T657" i="23"/>
  <c r="T658" i="23"/>
  <c r="T659" i="23"/>
  <c r="T660" i="23"/>
  <c r="T661" i="23"/>
  <c r="T662" i="23"/>
  <c r="T663" i="23"/>
  <c r="T664" i="23"/>
  <c r="T665" i="23"/>
  <c r="T666" i="23"/>
  <c r="T667" i="23"/>
  <c r="T668" i="23"/>
  <c r="T669" i="23"/>
  <c r="T670" i="23"/>
  <c r="T671" i="23"/>
  <c r="T672" i="23"/>
  <c r="T673" i="23"/>
  <c r="T674" i="23"/>
  <c r="T675" i="23"/>
  <c r="T676" i="23"/>
  <c r="T677" i="23"/>
  <c r="T678" i="23"/>
  <c r="T679" i="23"/>
  <c r="T680" i="23"/>
  <c r="T681" i="23"/>
  <c r="T682" i="23"/>
  <c r="T683" i="23"/>
  <c r="T684" i="23"/>
  <c r="T685" i="23"/>
  <c r="T686" i="23"/>
  <c r="T687" i="23"/>
  <c r="T688" i="23"/>
  <c r="T689" i="23"/>
  <c r="T690" i="23"/>
  <c r="T691" i="23"/>
  <c r="T692" i="23"/>
  <c r="T693" i="23"/>
  <c r="T694" i="23"/>
  <c r="T695" i="23"/>
  <c r="T696" i="23"/>
  <c r="T697" i="23"/>
  <c r="T698" i="23"/>
  <c r="T699" i="23"/>
  <c r="T700" i="23"/>
  <c r="T701" i="23"/>
  <c r="T702" i="23"/>
  <c r="T703" i="23"/>
  <c r="T704" i="23"/>
  <c r="T705" i="23"/>
  <c r="T706" i="23"/>
  <c r="T707" i="23"/>
  <c r="T708" i="23"/>
  <c r="T709" i="23"/>
  <c r="T710" i="23"/>
  <c r="T711" i="23"/>
  <c r="T712" i="23"/>
  <c r="T713" i="23"/>
  <c r="T714" i="23"/>
  <c r="T715" i="23"/>
  <c r="T716" i="23"/>
  <c r="T717" i="23"/>
  <c r="T718" i="23"/>
  <c r="T719" i="23"/>
  <c r="T720" i="23"/>
  <c r="T721" i="23"/>
  <c r="T722" i="23"/>
  <c r="T723" i="23"/>
  <c r="T724" i="23"/>
  <c r="T725" i="23"/>
  <c r="T726" i="23"/>
  <c r="T727" i="23"/>
  <c r="T728" i="23"/>
  <c r="T729" i="23"/>
  <c r="T730" i="23"/>
  <c r="T731" i="23"/>
  <c r="T732" i="23"/>
  <c r="T733" i="23"/>
  <c r="T734" i="23"/>
  <c r="T735" i="23"/>
  <c r="T736" i="23"/>
  <c r="T737" i="23"/>
  <c r="T738" i="23"/>
  <c r="T739" i="23"/>
  <c r="T740" i="23"/>
  <c r="T741" i="23"/>
  <c r="T742" i="23"/>
  <c r="T743" i="23"/>
  <c r="T744" i="23"/>
  <c r="T745" i="23"/>
  <c r="T746" i="23"/>
  <c r="T747" i="23"/>
  <c r="T748" i="23"/>
  <c r="T749" i="23"/>
  <c r="T750" i="23"/>
  <c r="T751" i="23"/>
  <c r="T752" i="23"/>
  <c r="T753" i="23"/>
  <c r="T754" i="23"/>
  <c r="T755" i="23"/>
  <c r="T756" i="23"/>
  <c r="T757" i="23"/>
  <c r="T758" i="23"/>
  <c r="T759" i="23"/>
  <c r="T760" i="23"/>
  <c r="T761" i="23"/>
  <c r="T762" i="23"/>
  <c r="T763" i="23"/>
  <c r="T764" i="23"/>
  <c r="T765" i="23"/>
  <c r="T766" i="23"/>
  <c r="T767" i="23"/>
  <c r="T768" i="23"/>
  <c r="T769" i="23"/>
  <c r="T770" i="23"/>
  <c r="T771" i="23"/>
  <c r="T772" i="23"/>
  <c r="T773" i="23"/>
  <c r="T774" i="23"/>
  <c r="T775" i="23"/>
  <c r="T776" i="23"/>
  <c r="T777" i="23"/>
  <c r="T778" i="23"/>
  <c r="T779" i="23"/>
  <c r="T780" i="23"/>
  <c r="T781" i="23"/>
  <c r="T782" i="23"/>
  <c r="T783" i="23"/>
  <c r="T784" i="23"/>
  <c r="T785" i="23"/>
  <c r="T786" i="23"/>
  <c r="T787" i="23"/>
  <c r="T788" i="23"/>
  <c r="T789" i="23"/>
  <c r="T790" i="23"/>
  <c r="T791" i="23"/>
  <c r="T792" i="23"/>
  <c r="T793" i="23"/>
  <c r="T794" i="23"/>
  <c r="T795" i="23"/>
  <c r="T796" i="23"/>
  <c r="T797" i="23"/>
  <c r="T798" i="23"/>
  <c r="T799" i="23"/>
  <c r="T800" i="23"/>
  <c r="T801" i="23"/>
  <c r="T802" i="23"/>
  <c r="T803" i="23"/>
  <c r="T804" i="23"/>
  <c r="T805" i="23"/>
  <c r="T806" i="23"/>
  <c r="T807" i="23"/>
  <c r="T808" i="23"/>
  <c r="T809" i="23"/>
  <c r="T810" i="23"/>
  <c r="T811" i="23"/>
  <c r="T812" i="23"/>
  <c r="T813" i="23"/>
  <c r="T814" i="23"/>
  <c r="T815" i="23"/>
  <c r="T816" i="23"/>
  <c r="T817" i="23"/>
  <c r="T818" i="23"/>
  <c r="T819" i="23"/>
  <c r="T820" i="23"/>
  <c r="T821" i="23"/>
  <c r="T822" i="23"/>
  <c r="T823" i="23"/>
  <c r="T824" i="23"/>
  <c r="T825" i="23"/>
  <c r="T826" i="23"/>
  <c r="T827" i="23"/>
  <c r="T828" i="23"/>
  <c r="T829" i="23"/>
  <c r="T830" i="23"/>
  <c r="T831" i="23"/>
  <c r="T832" i="23"/>
  <c r="T833" i="23"/>
  <c r="T834" i="23"/>
  <c r="T835" i="23"/>
  <c r="T836" i="23"/>
  <c r="T837" i="23"/>
  <c r="T838" i="23"/>
  <c r="T839" i="23"/>
  <c r="T840" i="23"/>
  <c r="T841" i="23"/>
  <c r="T842" i="23"/>
  <c r="T843" i="23"/>
  <c r="T844" i="23"/>
  <c r="T845" i="23"/>
  <c r="T846" i="23"/>
  <c r="T847" i="23"/>
  <c r="T848" i="23"/>
  <c r="T849" i="23"/>
  <c r="T850" i="23"/>
  <c r="T851" i="23"/>
  <c r="T852" i="23"/>
  <c r="T853" i="23"/>
  <c r="T854" i="23"/>
  <c r="T855" i="23"/>
  <c r="T856" i="23"/>
  <c r="T857" i="23"/>
  <c r="T858" i="23"/>
  <c r="T859" i="23"/>
  <c r="T860" i="23"/>
  <c r="T861" i="23"/>
  <c r="T862" i="23"/>
  <c r="T863" i="23"/>
  <c r="T864" i="23"/>
  <c r="T865" i="23"/>
  <c r="T866" i="23"/>
  <c r="T867" i="23"/>
  <c r="T868" i="23"/>
  <c r="T869" i="23"/>
  <c r="T870" i="23"/>
  <c r="T871" i="23"/>
  <c r="T872" i="23"/>
  <c r="T873" i="23"/>
  <c r="T874" i="23"/>
  <c r="T875" i="23"/>
  <c r="T876" i="23"/>
  <c r="T877" i="23"/>
  <c r="T878" i="23"/>
  <c r="T879" i="23"/>
  <c r="T880" i="23"/>
  <c r="T881" i="23"/>
  <c r="T882" i="23"/>
  <c r="T883" i="23"/>
  <c r="T884" i="23"/>
  <c r="T885" i="23"/>
  <c r="T886" i="23"/>
  <c r="T887" i="23"/>
  <c r="T888" i="23"/>
  <c r="T889" i="23"/>
  <c r="T890" i="23"/>
  <c r="T891" i="23"/>
  <c r="T892" i="23"/>
  <c r="T893" i="23"/>
  <c r="T894" i="23"/>
  <c r="T895" i="23"/>
  <c r="T896" i="23"/>
  <c r="T897" i="23"/>
  <c r="T898" i="23"/>
  <c r="T899" i="23"/>
  <c r="T900" i="23"/>
  <c r="T901" i="23"/>
  <c r="T902" i="23"/>
  <c r="T903" i="23"/>
  <c r="T904" i="23"/>
  <c r="T905" i="23"/>
  <c r="T906" i="23"/>
  <c r="T907" i="23"/>
  <c r="T908" i="23"/>
  <c r="T909" i="23"/>
  <c r="T910" i="23"/>
  <c r="T911" i="23"/>
  <c r="T912" i="23"/>
  <c r="T913" i="23"/>
  <c r="T914" i="23"/>
  <c r="T915" i="23"/>
  <c r="T916" i="23"/>
  <c r="T917" i="23"/>
  <c r="T918" i="23"/>
  <c r="T919" i="23"/>
  <c r="T920" i="23"/>
  <c r="T921" i="23"/>
  <c r="T922" i="23"/>
  <c r="T923" i="23"/>
  <c r="T924" i="23"/>
  <c r="T925" i="23"/>
  <c r="T926" i="23"/>
  <c r="T927" i="23"/>
  <c r="T928" i="23"/>
  <c r="T929" i="23"/>
  <c r="T930" i="23"/>
  <c r="T931" i="23"/>
  <c r="T932" i="23"/>
  <c r="T933" i="23"/>
  <c r="T934" i="23"/>
  <c r="T935" i="23"/>
  <c r="T936" i="23"/>
  <c r="T937" i="23"/>
  <c r="T938" i="23"/>
  <c r="T939" i="23"/>
  <c r="T940" i="23"/>
  <c r="T941" i="23"/>
  <c r="T942" i="23"/>
  <c r="T943" i="23"/>
  <c r="T944" i="23"/>
  <c r="T945" i="23"/>
  <c r="T946" i="23"/>
  <c r="T947" i="23"/>
  <c r="T948" i="23"/>
  <c r="T949" i="23"/>
  <c r="T950" i="23"/>
  <c r="T951" i="23"/>
  <c r="T952" i="23"/>
  <c r="T953" i="23"/>
  <c r="T954" i="23"/>
  <c r="T955" i="23"/>
  <c r="T956" i="23"/>
  <c r="T957" i="23"/>
  <c r="T958" i="23"/>
  <c r="T959" i="23"/>
  <c r="T960" i="23"/>
  <c r="T961" i="23"/>
  <c r="T962" i="23"/>
  <c r="T963" i="23"/>
  <c r="T964" i="23"/>
  <c r="T965" i="23"/>
  <c r="T966" i="23"/>
  <c r="T967" i="23"/>
  <c r="T968" i="23"/>
  <c r="T969" i="23"/>
  <c r="T970" i="23"/>
  <c r="T971" i="23"/>
  <c r="T972" i="23"/>
  <c r="T973" i="23"/>
  <c r="T974" i="23"/>
  <c r="T975" i="23"/>
  <c r="T976" i="23"/>
  <c r="T977" i="23"/>
  <c r="T978" i="23"/>
  <c r="T979" i="23"/>
  <c r="T980" i="23"/>
  <c r="T981" i="23"/>
  <c r="T982" i="23"/>
  <c r="T983" i="23"/>
  <c r="T984" i="23"/>
  <c r="T985" i="23"/>
  <c r="T986" i="23"/>
  <c r="T987" i="23"/>
  <c r="T988" i="23"/>
  <c r="T989" i="23"/>
  <c r="T990" i="23"/>
  <c r="T991" i="23"/>
  <c r="T992" i="23"/>
  <c r="T993" i="23"/>
  <c r="T994" i="23"/>
  <c r="T995" i="23"/>
  <c r="T996" i="23"/>
  <c r="T997" i="23"/>
  <c r="T998" i="23"/>
  <c r="T999" i="23"/>
  <c r="T1000" i="23"/>
  <c r="T1001" i="23"/>
  <c r="T1002" i="23"/>
  <c r="T1003" i="23"/>
  <c r="T1004" i="23"/>
  <c r="T1005" i="23"/>
  <c r="T1006" i="23"/>
  <c r="T1007" i="23"/>
  <c r="T1008" i="23"/>
  <c r="T1009" i="23"/>
  <c r="T1010" i="23"/>
  <c r="T1011" i="23"/>
  <c r="T1012" i="23"/>
  <c r="T1013" i="23"/>
  <c r="T1014" i="23"/>
  <c r="T1015" i="23"/>
  <c r="T1016" i="23"/>
  <c r="T1017" i="23"/>
  <c r="T1018" i="23"/>
  <c r="T1019" i="23"/>
  <c r="T1020" i="23"/>
  <c r="T1021" i="23"/>
  <c r="T1022" i="23"/>
  <c r="T1023" i="23"/>
  <c r="T1024" i="23"/>
  <c r="T1025" i="23"/>
  <c r="T1026" i="23"/>
  <c r="T1027" i="23"/>
  <c r="T1028" i="23"/>
  <c r="T1029" i="23"/>
  <c r="T1030" i="23"/>
  <c r="T1031" i="23"/>
  <c r="T1032" i="23"/>
  <c r="T1033" i="23"/>
  <c r="T1034" i="23"/>
  <c r="T1035" i="23"/>
  <c r="T1036" i="23"/>
  <c r="T1037" i="23"/>
  <c r="T1038" i="23"/>
  <c r="T1039" i="23"/>
  <c r="T1040" i="23"/>
  <c r="T1041" i="23"/>
  <c r="T1042" i="23"/>
  <c r="T1043" i="23"/>
  <c r="T1044" i="23"/>
  <c r="T1045" i="23"/>
  <c r="T1046" i="23"/>
  <c r="T1047" i="23"/>
  <c r="T1048" i="23"/>
  <c r="T1049" i="23"/>
  <c r="T1050" i="23"/>
  <c r="T1051" i="23"/>
  <c r="T1052" i="23"/>
  <c r="T1053" i="23"/>
  <c r="T1054" i="23"/>
  <c r="T1055" i="23"/>
  <c r="T1056" i="23"/>
  <c r="T1057" i="23"/>
  <c r="T1058" i="23"/>
  <c r="T1059" i="23"/>
  <c r="T1060" i="23"/>
  <c r="T1061" i="23"/>
  <c r="T1062" i="23"/>
  <c r="T1063" i="23"/>
  <c r="T1064" i="23"/>
  <c r="T1065" i="23"/>
  <c r="T1066" i="23"/>
  <c r="T1067" i="23"/>
  <c r="T1068" i="23"/>
  <c r="T1069" i="23"/>
  <c r="T1070" i="23"/>
  <c r="T1071" i="23"/>
  <c r="T1072" i="23"/>
  <c r="T1073" i="23"/>
  <c r="T1074" i="23"/>
  <c r="T1075" i="23"/>
  <c r="T1076" i="23"/>
  <c r="T1077" i="23"/>
  <c r="T1078" i="23"/>
  <c r="T1079" i="23"/>
  <c r="T1080" i="23"/>
  <c r="T1081" i="23"/>
  <c r="T1082" i="23"/>
  <c r="T1083" i="23"/>
  <c r="T1084" i="23"/>
  <c r="T1085" i="23"/>
  <c r="T1086" i="23"/>
  <c r="T1087" i="23"/>
  <c r="T1088" i="23"/>
  <c r="T1089" i="23"/>
  <c r="T1090" i="23"/>
  <c r="T1091" i="23"/>
  <c r="T1092" i="23"/>
  <c r="T1093" i="23"/>
  <c r="T1094" i="23"/>
  <c r="T1095" i="23"/>
  <c r="T1096" i="23"/>
  <c r="T1097" i="23"/>
  <c r="T1098" i="23"/>
  <c r="T1099" i="23"/>
  <c r="T1100" i="23"/>
  <c r="T1101" i="23"/>
  <c r="T1102" i="23"/>
  <c r="T1103" i="23"/>
  <c r="T1104" i="23"/>
  <c r="T1105" i="23"/>
  <c r="T1106" i="23"/>
  <c r="T1107" i="23"/>
  <c r="T1108" i="23"/>
  <c r="T1109" i="23"/>
  <c r="T1110" i="23"/>
  <c r="T1111" i="23"/>
  <c r="T1112" i="23"/>
  <c r="T1113" i="23"/>
  <c r="T1114" i="23"/>
  <c r="T1115" i="23"/>
  <c r="T1116" i="23"/>
  <c r="T1117" i="23"/>
  <c r="T1118" i="23"/>
  <c r="T1119" i="23"/>
  <c r="T1120" i="23"/>
  <c r="T1121" i="23"/>
  <c r="T1122" i="23"/>
  <c r="T1123" i="23"/>
  <c r="T1124" i="23"/>
  <c r="T1125" i="23"/>
  <c r="T1126" i="23"/>
  <c r="T1127" i="23"/>
  <c r="T1128" i="23"/>
  <c r="T1129" i="23"/>
  <c r="T1130" i="23"/>
  <c r="T1131" i="23"/>
  <c r="T1132" i="23"/>
  <c r="T1133" i="23"/>
  <c r="T1134" i="23"/>
  <c r="T1135" i="23"/>
  <c r="T1136" i="23"/>
  <c r="T1137" i="23"/>
  <c r="T1138" i="23"/>
  <c r="T1139" i="23"/>
  <c r="T1140" i="23"/>
  <c r="T1141" i="23"/>
  <c r="T1142" i="23"/>
  <c r="T1143" i="23"/>
  <c r="T1144" i="23"/>
  <c r="T1145" i="23"/>
  <c r="T1146" i="23"/>
  <c r="T1147" i="23"/>
  <c r="T1148" i="23"/>
  <c r="T1149" i="23"/>
  <c r="T1150" i="23"/>
  <c r="T1151" i="23"/>
  <c r="T1152" i="23"/>
  <c r="T1153" i="23"/>
  <c r="T1154" i="23"/>
  <c r="T1155" i="23"/>
  <c r="T1156" i="23"/>
  <c r="T1157" i="23"/>
  <c r="T1158" i="23"/>
  <c r="T1159" i="23"/>
  <c r="T1160" i="23"/>
  <c r="T1161" i="23"/>
  <c r="T1162" i="23"/>
  <c r="T1163" i="23"/>
  <c r="T1164" i="23"/>
  <c r="T1165" i="23"/>
  <c r="T1166" i="23"/>
  <c r="T1167" i="23"/>
  <c r="T1168" i="23"/>
  <c r="T1169" i="23"/>
  <c r="T1170" i="23"/>
  <c r="T1171" i="23"/>
  <c r="T1172" i="23"/>
  <c r="T1173" i="23"/>
  <c r="T1174" i="23"/>
  <c r="T1175" i="23"/>
  <c r="T1176" i="23"/>
  <c r="T1177" i="23"/>
  <c r="T1178" i="23"/>
  <c r="T1179" i="23"/>
  <c r="T1180" i="23"/>
  <c r="T1181" i="23"/>
  <c r="T1182" i="23"/>
  <c r="T1183" i="23"/>
  <c r="T1184" i="23"/>
  <c r="T1185" i="23"/>
  <c r="T1186" i="23"/>
  <c r="T1187" i="23"/>
  <c r="T1188" i="23"/>
  <c r="T1189" i="23"/>
  <c r="T1190" i="23"/>
  <c r="T1191" i="23"/>
  <c r="T1192" i="23"/>
  <c r="T1193" i="23"/>
  <c r="T1194" i="23"/>
  <c r="T1195" i="23"/>
  <c r="T1196" i="23"/>
  <c r="T1197" i="23"/>
  <c r="T1198" i="23"/>
  <c r="T1199" i="23"/>
  <c r="T1200" i="23"/>
  <c r="T1201" i="23"/>
  <c r="T1202" i="23"/>
  <c r="T1203" i="23"/>
  <c r="T1204" i="23"/>
  <c r="T1205" i="23"/>
  <c r="T1206" i="23"/>
  <c r="T1207" i="23"/>
  <c r="T1208" i="23"/>
  <c r="T1209" i="23"/>
  <c r="T1210" i="23"/>
  <c r="T1211" i="23"/>
  <c r="T1212" i="23"/>
  <c r="T1213" i="23"/>
  <c r="T1214" i="23"/>
  <c r="T1215" i="23"/>
  <c r="T1216" i="23"/>
  <c r="T1217" i="23"/>
  <c r="T1218" i="23"/>
  <c r="T1219" i="23"/>
  <c r="T1220" i="23"/>
  <c r="T1221" i="23"/>
  <c r="T1222" i="23"/>
  <c r="T1223" i="23"/>
  <c r="T1224" i="23"/>
  <c r="T1225" i="23"/>
  <c r="T1226" i="23"/>
  <c r="T1227" i="23"/>
  <c r="T1228" i="23"/>
  <c r="T1229" i="23"/>
  <c r="T1230" i="23"/>
  <c r="T1231" i="23"/>
  <c r="T1232" i="23"/>
  <c r="T1233" i="23"/>
  <c r="T1234" i="23"/>
  <c r="T1235" i="23"/>
  <c r="T1236" i="23"/>
  <c r="T1237" i="23"/>
  <c r="T1238" i="23"/>
  <c r="T1239" i="23"/>
  <c r="T1240" i="23"/>
  <c r="T1241" i="23"/>
  <c r="T1242" i="23"/>
  <c r="T1243" i="23"/>
  <c r="T1244" i="23"/>
  <c r="T1245" i="23"/>
  <c r="T1246" i="23"/>
  <c r="T1247" i="23"/>
  <c r="T1248" i="23"/>
  <c r="T1249" i="23"/>
  <c r="T1250" i="23"/>
  <c r="T1251" i="23"/>
  <c r="T1252" i="23"/>
  <c r="T1253" i="23"/>
  <c r="T1254" i="23"/>
  <c r="T1255" i="23"/>
  <c r="T1256" i="23"/>
  <c r="T1257" i="23"/>
  <c r="T1258" i="23"/>
  <c r="T1259" i="23"/>
  <c r="T1260" i="23"/>
  <c r="T1261" i="23"/>
  <c r="T1262" i="23"/>
  <c r="T1263" i="23"/>
  <c r="T1264" i="23"/>
  <c r="T1265" i="23"/>
  <c r="T1266" i="23"/>
  <c r="T1267" i="23"/>
  <c r="T1268" i="23"/>
  <c r="T1269" i="23"/>
  <c r="T1270" i="23"/>
  <c r="T1271" i="23"/>
  <c r="T1272" i="23"/>
  <c r="T1273" i="23"/>
  <c r="T1274" i="23"/>
  <c r="T1275" i="23"/>
  <c r="T1276" i="23"/>
  <c r="T1277" i="23"/>
  <c r="T1278" i="23"/>
  <c r="T1279" i="23"/>
  <c r="T1280" i="23"/>
  <c r="T1281" i="23"/>
  <c r="T1282" i="23"/>
  <c r="T1283" i="23"/>
  <c r="T1284" i="23"/>
  <c r="T1285" i="23"/>
  <c r="T1286" i="23"/>
  <c r="T1287" i="23"/>
  <c r="T1288" i="23"/>
  <c r="T1289" i="23"/>
  <c r="T1290" i="23"/>
  <c r="T1291" i="23"/>
  <c r="T1292" i="23"/>
  <c r="T1293" i="23"/>
  <c r="T1294" i="23"/>
  <c r="T1295" i="23"/>
  <c r="T1296" i="23"/>
  <c r="T1297" i="23"/>
  <c r="T1298" i="23"/>
  <c r="T1299" i="23"/>
  <c r="T1300" i="23"/>
  <c r="T1301" i="23"/>
  <c r="T1302" i="23"/>
  <c r="T1303" i="23"/>
  <c r="T1304" i="23"/>
  <c r="T1305" i="23"/>
  <c r="T1306" i="23"/>
  <c r="T1307" i="23"/>
  <c r="T1308" i="23"/>
  <c r="T1309" i="23"/>
  <c r="T1310" i="23"/>
  <c r="T1311" i="23"/>
  <c r="T1312" i="23"/>
  <c r="T1313" i="23"/>
  <c r="T1314" i="23"/>
  <c r="T1315" i="23"/>
  <c r="T1316" i="23"/>
  <c r="T1317" i="23"/>
  <c r="T1318" i="23"/>
  <c r="T1319" i="23"/>
  <c r="T1320" i="23"/>
  <c r="T1321" i="23"/>
  <c r="T1322" i="23"/>
  <c r="T1323" i="23"/>
  <c r="T1324" i="23"/>
  <c r="T1325" i="23"/>
  <c r="T1326" i="23"/>
  <c r="T1327" i="23"/>
  <c r="T1328" i="23"/>
  <c r="T1329" i="23"/>
  <c r="T1330" i="23"/>
  <c r="T1331" i="23"/>
  <c r="T1332" i="23"/>
  <c r="T1333" i="23"/>
  <c r="T1334" i="23"/>
  <c r="T1335" i="23"/>
  <c r="T1336" i="23"/>
  <c r="T1338" i="23"/>
  <c r="T1339" i="23"/>
  <c r="T1340" i="23"/>
  <c r="T1341" i="23"/>
  <c r="T1342" i="23"/>
  <c r="T1343" i="23"/>
  <c r="T1344" i="23"/>
  <c r="T1345" i="23"/>
  <c r="T1346" i="23"/>
  <c r="T1347" i="23"/>
  <c r="T1348" i="23"/>
  <c r="T1349" i="23"/>
  <c r="T1350" i="23"/>
  <c r="T1351" i="23"/>
  <c r="T1352" i="23"/>
  <c r="T1354" i="23"/>
  <c r="T1355" i="23"/>
  <c r="T1356" i="23"/>
  <c r="T1357" i="23"/>
  <c r="T1358" i="23"/>
  <c r="T1359" i="23"/>
  <c r="T1360" i="23"/>
  <c r="T1361" i="23"/>
  <c r="T1362" i="23"/>
  <c r="T1364" i="23"/>
  <c r="T1365" i="23"/>
  <c r="T1366" i="23"/>
  <c r="T1367" i="23"/>
  <c r="T1370" i="23"/>
  <c r="T1371" i="23"/>
  <c r="T1372" i="23"/>
  <c r="T1373" i="23"/>
  <c r="T1374" i="23"/>
  <c r="T1375" i="23"/>
  <c r="T1376" i="23"/>
  <c r="T1377" i="23"/>
  <c r="T1380" i="23"/>
  <c r="T1381" i="23"/>
  <c r="T1382" i="23"/>
  <c r="T1383" i="23"/>
  <c r="T1386" i="23"/>
  <c r="T1387" i="23"/>
  <c r="T1388" i="23"/>
  <c r="T1389" i="23"/>
  <c r="T1390" i="23"/>
  <c r="T1391" i="23"/>
  <c r="T1392" i="23"/>
  <c r="T1393" i="23"/>
  <c r="T1396" i="23"/>
  <c r="T1397" i="23"/>
  <c r="T1398" i="23"/>
  <c r="T1399" i="23"/>
  <c r="T1402" i="23"/>
  <c r="T1403" i="23"/>
  <c r="T1404" i="23"/>
  <c r="T1405" i="23"/>
  <c r="T1406" i="23"/>
  <c r="T1407" i="23"/>
  <c r="T1408" i="23"/>
  <c r="T1409" i="23"/>
  <c r="T1412" i="23"/>
  <c r="T1413" i="23"/>
  <c r="T1414" i="23"/>
  <c r="T1415" i="23"/>
  <c r="T1418" i="23"/>
  <c r="T1419" i="23"/>
  <c r="T1420" i="23"/>
  <c r="T1421" i="23"/>
  <c r="T1422" i="23"/>
  <c r="T1423" i="23"/>
  <c r="T1424" i="23"/>
  <c r="T1425" i="23"/>
  <c r="T1428" i="23"/>
  <c r="T1429" i="23"/>
  <c r="T1430" i="23"/>
  <c r="T1431" i="23"/>
  <c r="T1434" i="23"/>
  <c r="T1435" i="23"/>
  <c r="T1436" i="23"/>
  <c r="T1437" i="23"/>
  <c r="T1438" i="23"/>
  <c r="T1439" i="23"/>
  <c r="T1440" i="23"/>
  <c r="T1441" i="23"/>
  <c r="T1444" i="23"/>
  <c r="T1445" i="23"/>
  <c r="T1446" i="23"/>
  <c r="T1447" i="23"/>
  <c r="T1450" i="23"/>
  <c r="T1451" i="23"/>
  <c r="T1452" i="23"/>
  <c r="T1453" i="23"/>
  <c r="T1454" i="23"/>
  <c r="T1455" i="23"/>
  <c r="T1456" i="23"/>
  <c r="T1457" i="23"/>
  <c r="T1460" i="23"/>
  <c r="T1461" i="23"/>
  <c r="T1462" i="23"/>
  <c r="T1463" i="23"/>
  <c r="T1467" i="23"/>
  <c r="T1468" i="23"/>
  <c r="T1469" i="23"/>
  <c r="T1470" i="23"/>
  <c r="T1471" i="23"/>
  <c r="T1472" i="23"/>
  <c r="T1473" i="23"/>
  <c r="T1476" i="23"/>
  <c r="T1477" i="23"/>
  <c r="T1478" i="23"/>
  <c r="T1479" i="23"/>
  <c r="T1483" i="23"/>
  <c r="T1484" i="23"/>
  <c r="T1485" i="23"/>
  <c r="T1486" i="23"/>
  <c r="T1487" i="23"/>
  <c r="T1488" i="23"/>
  <c r="T1489" i="23"/>
  <c r="T1492" i="23"/>
  <c r="T1493" i="23"/>
  <c r="T1494" i="23"/>
  <c r="T1495" i="23"/>
  <c r="T1499" i="23"/>
  <c r="T1500" i="23"/>
  <c r="T1501" i="23"/>
  <c r="T1502" i="23"/>
  <c r="T1503" i="23"/>
  <c r="T1504" i="23"/>
  <c r="T1505" i="23"/>
  <c r="T1508" i="23"/>
  <c r="T1509" i="23"/>
  <c r="T1510" i="23"/>
  <c r="T1511" i="23"/>
  <c r="T1515" i="23"/>
  <c r="T1516" i="23"/>
  <c r="T1517" i="23"/>
  <c r="T1518" i="23"/>
  <c r="T1519" i="23"/>
  <c r="T1520" i="23"/>
  <c r="T1521" i="23"/>
  <c r="T1524" i="23"/>
  <c r="T1525" i="23"/>
  <c r="T1526" i="23"/>
  <c r="T1531" i="23"/>
  <c r="T1532" i="23"/>
  <c r="T1533" i="23"/>
  <c r="T1534" i="23"/>
  <c r="T1535" i="23"/>
  <c r="T1536" i="23"/>
  <c r="T1537" i="23"/>
  <c r="T1540" i="23"/>
  <c r="T1541" i="23"/>
  <c r="T1548" i="23"/>
  <c r="T1549" i="23"/>
  <c r="T1550" i="23"/>
  <c r="T1551" i="23"/>
  <c r="T1552" i="23"/>
  <c r="T1553" i="23"/>
  <c r="T1556" i="23"/>
  <c r="T1557" i="23"/>
  <c r="T1564" i="23"/>
  <c r="T1565" i="23"/>
  <c r="T1566" i="23"/>
  <c r="T1567" i="23"/>
  <c r="T1568" i="23"/>
  <c r="T1569" i="23"/>
  <c r="T1572" i="23"/>
  <c r="T1573" i="23"/>
  <c r="T1580" i="23"/>
  <c r="T1581" i="23"/>
  <c r="T1582" i="23"/>
  <c r="T1583" i="23"/>
  <c r="T1584" i="23"/>
  <c r="T1585" i="23"/>
  <c r="T1588" i="23"/>
  <c r="T1589" i="23"/>
  <c r="T1596" i="23"/>
  <c r="T1597" i="23"/>
  <c r="T1598" i="23"/>
  <c r="T1599" i="23"/>
  <c r="T1600" i="23"/>
  <c r="T1601" i="23"/>
  <c r="T1604" i="23"/>
  <c r="T1605" i="23"/>
  <c r="T1612" i="23"/>
  <c r="T1613" i="23"/>
  <c r="T1614" i="23"/>
  <c r="T1615" i="23"/>
  <c r="T1616" i="23"/>
  <c r="T1617" i="23"/>
  <c r="T1620" i="23"/>
  <c r="T1621" i="23"/>
  <c r="T1628" i="23"/>
  <c r="T1629" i="23"/>
  <c r="T1630" i="23"/>
  <c r="T1631" i="23"/>
  <c r="T1632" i="23"/>
  <c r="T1633" i="23"/>
  <c r="T1636" i="23"/>
  <c r="T1637" i="23"/>
  <c r="T1644" i="23"/>
  <c r="T1645" i="23"/>
  <c r="T1646" i="23"/>
  <c r="T1647" i="23"/>
  <c r="T1648" i="23"/>
  <c r="T1649" i="23"/>
  <c r="T1652" i="23"/>
  <c r="T1653" i="23"/>
  <c r="T1660" i="23"/>
  <c r="T1661" i="23"/>
  <c r="T1662" i="23"/>
  <c r="T1663" i="23"/>
  <c r="T1664" i="23"/>
  <c r="T1665" i="23"/>
  <c r="T1668" i="23"/>
  <c r="T1669" i="23"/>
  <c r="T1676" i="23"/>
  <c r="T1677" i="23"/>
  <c r="T1678" i="23"/>
  <c r="T1679" i="23"/>
  <c r="T1680" i="23"/>
  <c r="T1681" i="23"/>
  <c r="T1684" i="23"/>
  <c r="T1685" i="23"/>
  <c r="T1692" i="23"/>
  <c r="T1693" i="23"/>
  <c r="T1694" i="23"/>
  <c r="T1695" i="23"/>
  <c r="T1696" i="23"/>
  <c r="T1697" i="23"/>
  <c r="T1700" i="23"/>
  <c r="T1701" i="23"/>
  <c r="T1708" i="23"/>
  <c r="T1709" i="23"/>
  <c r="T1710" i="23"/>
  <c r="T1711" i="23"/>
  <c r="T1712" i="23"/>
  <c r="T1713" i="23"/>
  <c r="T1716" i="23"/>
  <c r="T1717" i="23"/>
  <c r="T1724" i="23"/>
  <c r="T1725" i="23"/>
  <c r="T1726" i="23"/>
  <c r="T1727" i="23"/>
  <c r="T1728" i="23"/>
  <c r="T1729" i="23"/>
  <c r="T1732" i="23"/>
  <c r="T1733" i="23"/>
  <c r="T1740" i="23"/>
  <c r="T1741" i="23"/>
  <c r="T1742" i="23"/>
  <c r="T1743" i="23"/>
  <c r="T1744" i="23"/>
  <c r="T1745" i="23"/>
  <c r="T1749" i="23"/>
  <c r="T1756" i="23"/>
  <c r="T1757" i="23"/>
  <c r="T1758" i="23"/>
  <c r="T1759" i="23"/>
  <c r="T1760" i="23"/>
  <c r="T1761" i="23"/>
  <c r="T1765" i="23"/>
  <c r="T1772" i="23"/>
  <c r="T1773" i="23"/>
  <c r="T1774" i="23"/>
  <c r="T1775" i="23"/>
  <c r="T1776" i="23"/>
  <c r="T1777" i="23"/>
  <c r="T1781" i="23"/>
  <c r="T4" i="23"/>
  <c r="H3" i="23"/>
  <c r="F3" i="23"/>
  <c r="M4" i="23" l="1"/>
  <c r="M5" i="23"/>
  <c r="M6" i="23"/>
  <c r="M7" i="23"/>
  <c r="M8" i="23"/>
  <c r="M9" i="23"/>
  <c r="M10" i="23"/>
  <c r="M11" i="23"/>
  <c r="M12" i="23"/>
  <c r="M13"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M51" i="23"/>
  <c r="M52" i="23"/>
  <c r="M53" i="23"/>
  <c r="M54" i="23"/>
  <c r="M55" i="23"/>
  <c r="M56" i="23"/>
  <c r="M57" i="23"/>
  <c r="M58" i="23"/>
  <c r="M59" i="23"/>
  <c r="M60" i="23"/>
  <c r="M61" i="23"/>
  <c r="M62" i="23"/>
  <c r="M63" i="23"/>
  <c r="M64" i="23"/>
  <c r="M65" i="23"/>
  <c r="M66" i="23"/>
  <c r="M67" i="23"/>
  <c r="M68" i="23"/>
  <c r="M69" i="23"/>
  <c r="M70" i="23"/>
  <c r="M71" i="23"/>
  <c r="M72" i="23"/>
  <c r="M73" i="23"/>
  <c r="M74" i="23"/>
  <c r="M75" i="23"/>
  <c r="M76" i="23"/>
  <c r="M77" i="23"/>
  <c r="M78" i="23"/>
  <c r="M79" i="23"/>
  <c r="M80" i="23"/>
  <c r="M81" i="23"/>
  <c r="M82" i="23"/>
  <c r="M83" i="23"/>
  <c r="M84" i="23"/>
  <c r="M85" i="23"/>
  <c r="M86" i="23"/>
  <c r="M87" i="23"/>
  <c r="M88" i="23"/>
  <c r="M89" i="23"/>
  <c r="M90" i="23"/>
  <c r="M91" i="23"/>
  <c r="M92" i="23"/>
  <c r="M93" i="23"/>
  <c r="M94" i="23"/>
  <c r="M95" i="23"/>
  <c r="M96" i="23"/>
  <c r="M97" i="23"/>
  <c r="M98" i="23"/>
  <c r="M99" i="23"/>
  <c r="M100" i="23"/>
  <c r="M101" i="23"/>
  <c r="M102" i="23"/>
  <c r="M103" i="23"/>
  <c r="M104" i="23"/>
  <c r="M105" i="23"/>
  <c r="M106" i="23"/>
  <c r="M107" i="23"/>
  <c r="M108" i="23"/>
  <c r="M109" i="23"/>
  <c r="M110" i="23"/>
  <c r="M111" i="23"/>
  <c r="M112" i="23"/>
  <c r="M113" i="23"/>
  <c r="M114" i="23"/>
  <c r="M115" i="23"/>
  <c r="M116" i="23"/>
  <c r="M117" i="23"/>
  <c r="M118" i="23"/>
  <c r="M119" i="23"/>
  <c r="M120" i="23"/>
  <c r="M121" i="23"/>
  <c r="M122" i="23"/>
  <c r="M123" i="23"/>
  <c r="M124" i="23"/>
  <c r="M125" i="23"/>
  <c r="M126" i="23"/>
  <c r="M127" i="23"/>
  <c r="M128" i="23"/>
  <c r="M129" i="23"/>
  <c r="M130" i="23"/>
  <c r="M131" i="23"/>
  <c r="M132" i="23"/>
  <c r="M133" i="23"/>
  <c r="M134" i="23"/>
  <c r="M135" i="23"/>
  <c r="M136" i="23"/>
  <c r="M137" i="23"/>
  <c r="M138" i="23"/>
  <c r="M139" i="23"/>
  <c r="M140" i="23"/>
  <c r="M141" i="23"/>
  <c r="M142" i="23"/>
  <c r="M143" i="23"/>
  <c r="M144" i="23"/>
  <c r="M145" i="23"/>
  <c r="M146" i="23"/>
  <c r="M147" i="23"/>
  <c r="M148" i="23"/>
  <c r="M149" i="23"/>
  <c r="M150" i="23"/>
  <c r="M151" i="23"/>
  <c r="M152" i="23"/>
  <c r="M153" i="23"/>
  <c r="M154" i="23"/>
  <c r="M155" i="23"/>
  <c r="M156" i="23"/>
  <c r="M157" i="23"/>
  <c r="M158" i="23"/>
  <c r="M159" i="23"/>
  <c r="M160" i="23"/>
  <c r="M161" i="23"/>
  <c r="M162" i="23"/>
  <c r="M163" i="23"/>
  <c r="M164" i="23"/>
  <c r="M165" i="23"/>
  <c r="M166" i="23"/>
  <c r="M167" i="23"/>
  <c r="M168" i="23"/>
  <c r="M169" i="23"/>
  <c r="M170" i="23"/>
  <c r="M171" i="23"/>
  <c r="M172" i="23"/>
  <c r="M173" i="23"/>
  <c r="M174" i="23"/>
  <c r="M175" i="23"/>
  <c r="M176" i="23"/>
  <c r="M177" i="23"/>
  <c r="M178" i="23"/>
  <c r="M179" i="23"/>
  <c r="M180" i="23"/>
  <c r="M181" i="23"/>
  <c r="M182" i="23"/>
  <c r="M183" i="23"/>
  <c r="M184" i="23"/>
  <c r="M185" i="23"/>
  <c r="M186" i="23"/>
  <c r="M187" i="23"/>
  <c r="M188" i="23"/>
  <c r="M189" i="23"/>
  <c r="M190" i="23"/>
  <c r="M191" i="23"/>
  <c r="M192" i="23"/>
  <c r="M193" i="23"/>
  <c r="M194" i="23"/>
  <c r="M195" i="23"/>
  <c r="M196" i="23"/>
  <c r="M197" i="23"/>
  <c r="M198" i="23"/>
  <c r="M199" i="23"/>
  <c r="M200" i="23"/>
  <c r="M201" i="23"/>
  <c r="M202" i="23"/>
  <c r="M203" i="23"/>
  <c r="M204" i="23"/>
  <c r="M205" i="23"/>
  <c r="M206" i="23"/>
  <c r="M207" i="23"/>
  <c r="M208" i="23"/>
  <c r="M209" i="23"/>
  <c r="M210" i="23"/>
  <c r="M211" i="23"/>
  <c r="M212" i="23"/>
  <c r="M213" i="23"/>
  <c r="M214" i="23"/>
  <c r="M215" i="23"/>
  <c r="M216" i="23"/>
  <c r="M217" i="23"/>
  <c r="M218" i="23"/>
  <c r="M219" i="23"/>
  <c r="M220" i="23"/>
  <c r="M221" i="23"/>
  <c r="M222" i="23"/>
  <c r="M223" i="23"/>
  <c r="M224" i="23"/>
  <c r="M225" i="23"/>
  <c r="M226" i="23"/>
  <c r="M227" i="23"/>
  <c r="M228" i="23"/>
  <c r="M229" i="23"/>
  <c r="M230" i="23"/>
  <c r="M231" i="23"/>
  <c r="M232" i="23"/>
  <c r="M233" i="23"/>
  <c r="M234" i="23"/>
  <c r="M235" i="23"/>
  <c r="M236" i="23"/>
  <c r="M237" i="23"/>
  <c r="M238" i="23"/>
  <c r="M239" i="23"/>
  <c r="M240" i="23"/>
  <c r="M241" i="23"/>
  <c r="M242" i="23"/>
  <c r="M243" i="23"/>
  <c r="M244" i="23"/>
  <c r="M245" i="23"/>
  <c r="M246" i="23"/>
  <c r="M247" i="23"/>
  <c r="M248" i="23"/>
  <c r="M249" i="23"/>
  <c r="M250" i="23"/>
  <c r="M251" i="23"/>
  <c r="M252" i="23"/>
  <c r="M253" i="23"/>
  <c r="M254" i="23"/>
  <c r="M255" i="23"/>
  <c r="M256" i="23"/>
  <c r="M257" i="23"/>
  <c r="M258" i="23"/>
  <c r="M259" i="23"/>
  <c r="M260" i="23"/>
  <c r="M261" i="23"/>
  <c r="M262" i="23"/>
  <c r="M263" i="23"/>
  <c r="M264" i="23"/>
  <c r="M265" i="23"/>
  <c r="M266" i="23"/>
  <c r="M267" i="23"/>
  <c r="M268" i="23"/>
  <c r="M269" i="23"/>
  <c r="M270" i="23"/>
  <c r="M271" i="23"/>
  <c r="M272" i="23"/>
  <c r="M273" i="23"/>
  <c r="M274" i="23"/>
  <c r="M275" i="23"/>
  <c r="M276" i="23"/>
  <c r="M277" i="23"/>
  <c r="M278" i="23"/>
  <c r="M279" i="23"/>
  <c r="M280" i="23"/>
  <c r="M281" i="23"/>
  <c r="M282" i="23"/>
  <c r="M283" i="23"/>
  <c r="M284" i="23"/>
  <c r="M285" i="23"/>
  <c r="M286" i="23"/>
  <c r="M287" i="23"/>
  <c r="M288" i="23"/>
  <c r="M289" i="23"/>
  <c r="M290" i="23"/>
  <c r="M291" i="23"/>
  <c r="M292" i="23"/>
  <c r="M293" i="23"/>
  <c r="M294" i="23"/>
  <c r="M295" i="23"/>
  <c r="M296" i="23"/>
  <c r="M297" i="23"/>
  <c r="M298" i="23"/>
  <c r="M299" i="23"/>
  <c r="M300" i="23"/>
  <c r="M301" i="23"/>
  <c r="M302" i="23"/>
  <c r="M303" i="23"/>
  <c r="M304" i="23"/>
  <c r="M305" i="23"/>
  <c r="M306" i="23"/>
  <c r="M307" i="23"/>
  <c r="M308" i="23"/>
  <c r="M309" i="23"/>
  <c r="M310" i="23"/>
  <c r="M311" i="23"/>
  <c r="M312" i="23"/>
  <c r="M313" i="23"/>
  <c r="M314" i="23"/>
  <c r="M315" i="23"/>
  <c r="M316" i="23"/>
  <c r="M317" i="23"/>
  <c r="M318" i="23"/>
  <c r="M319" i="23"/>
  <c r="M320" i="23"/>
  <c r="M321" i="23"/>
  <c r="M322" i="23"/>
  <c r="M323" i="23"/>
  <c r="M324" i="23"/>
  <c r="M325" i="23"/>
  <c r="M326" i="23"/>
  <c r="M327" i="23"/>
  <c r="M328" i="23"/>
  <c r="M329" i="23"/>
  <c r="M330" i="23"/>
  <c r="M331" i="23"/>
  <c r="M332" i="23"/>
  <c r="M333" i="23"/>
  <c r="M334" i="23"/>
  <c r="M335" i="23"/>
  <c r="M336" i="23"/>
  <c r="M337" i="23"/>
  <c r="M338" i="23"/>
  <c r="M339" i="23"/>
  <c r="M340" i="23"/>
  <c r="M341" i="23"/>
  <c r="M342" i="23"/>
  <c r="M343" i="23"/>
  <c r="M344" i="23"/>
  <c r="M345" i="23"/>
  <c r="M346" i="23"/>
  <c r="M347" i="23"/>
  <c r="M348" i="23"/>
  <c r="M349" i="23"/>
  <c r="M350" i="23"/>
  <c r="M351" i="23"/>
  <c r="M352" i="23"/>
  <c r="M353" i="23"/>
  <c r="M354" i="23"/>
  <c r="M355" i="23"/>
  <c r="M356" i="23"/>
  <c r="M357" i="23"/>
  <c r="M358" i="23"/>
  <c r="M359" i="23"/>
  <c r="M360" i="23"/>
  <c r="M361" i="23"/>
  <c r="M362" i="23"/>
  <c r="M363" i="23"/>
  <c r="M364" i="23"/>
  <c r="M365" i="23"/>
  <c r="M366" i="23"/>
  <c r="M367" i="23"/>
  <c r="M368" i="23"/>
  <c r="M369" i="23"/>
  <c r="M370" i="23"/>
  <c r="M371" i="23"/>
  <c r="M372" i="23"/>
  <c r="M373" i="23"/>
  <c r="M374" i="23"/>
  <c r="M375" i="23"/>
  <c r="M376" i="23"/>
  <c r="M377" i="23"/>
  <c r="M378" i="23"/>
  <c r="M379" i="23"/>
  <c r="M380" i="23"/>
  <c r="M381" i="23"/>
  <c r="M382" i="23"/>
  <c r="M383" i="23"/>
  <c r="M384" i="23"/>
  <c r="M385" i="23"/>
  <c r="M386" i="23"/>
  <c r="M387" i="23"/>
  <c r="M388" i="23"/>
  <c r="M389" i="23"/>
  <c r="M390" i="23"/>
  <c r="M391" i="23"/>
  <c r="M392" i="23"/>
  <c r="M393" i="23"/>
  <c r="M394" i="23"/>
  <c r="M395" i="23"/>
  <c r="M396" i="23"/>
  <c r="M397" i="23"/>
  <c r="M398" i="23"/>
  <c r="M399" i="23"/>
  <c r="M400" i="23"/>
  <c r="M401" i="23"/>
  <c r="M402" i="23"/>
  <c r="M403" i="23"/>
  <c r="M404" i="23"/>
  <c r="M405" i="23"/>
  <c r="M406" i="23"/>
  <c r="M407" i="23"/>
  <c r="M408" i="23"/>
  <c r="M409" i="23"/>
  <c r="M410" i="23"/>
  <c r="M411" i="23"/>
  <c r="M412" i="23"/>
  <c r="M413" i="23"/>
  <c r="M414" i="23"/>
  <c r="M415" i="23"/>
  <c r="M416" i="23"/>
  <c r="M417" i="23"/>
  <c r="M418" i="23"/>
  <c r="M419" i="23"/>
  <c r="M420" i="23"/>
  <c r="M421" i="23"/>
  <c r="M422" i="23"/>
  <c r="M423" i="23"/>
  <c r="M424" i="23"/>
  <c r="M425" i="23"/>
  <c r="M426" i="23"/>
  <c r="M427" i="23"/>
  <c r="M428" i="23"/>
  <c r="M429" i="23"/>
  <c r="M430" i="23"/>
  <c r="M431" i="23"/>
  <c r="M432" i="23"/>
  <c r="M433" i="23"/>
  <c r="M434" i="23"/>
  <c r="M435" i="23"/>
  <c r="M436" i="23"/>
  <c r="M437" i="23"/>
  <c r="M438" i="23"/>
  <c r="M439" i="23"/>
  <c r="M440" i="23"/>
  <c r="M441" i="23"/>
  <c r="M442" i="23"/>
  <c r="M443" i="23"/>
  <c r="M444" i="23"/>
  <c r="M445" i="23"/>
  <c r="M446" i="23"/>
  <c r="M447" i="23"/>
  <c r="M448" i="23"/>
  <c r="M449" i="23"/>
  <c r="M450" i="23"/>
  <c r="M451" i="23"/>
  <c r="M452" i="23"/>
  <c r="M453" i="23"/>
  <c r="M454" i="23"/>
  <c r="M455" i="23"/>
  <c r="M456" i="23"/>
  <c r="M457" i="23"/>
  <c r="M458" i="23"/>
  <c r="M459" i="23"/>
  <c r="M460" i="23"/>
  <c r="M461" i="23"/>
  <c r="M462" i="23"/>
  <c r="M463" i="23"/>
  <c r="M464" i="23"/>
  <c r="M465" i="23"/>
  <c r="M466" i="23"/>
  <c r="M467" i="23"/>
  <c r="M468" i="23"/>
  <c r="M469" i="23"/>
  <c r="M470" i="23"/>
  <c r="M471" i="23"/>
  <c r="M472" i="23"/>
  <c r="M473" i="23"/>
  <c r="M474" i="23"/>
  <c r="M475" i="23"/>
  <c r="M476" i="23"/>
  <c r="M477" i="23"/>
  <c r="M478" i="23"/>
  <c r="M479" i="23"/>
  <c r="M480" i="23"/>
  <c r="M481" i="23"/>
  <c r="M482" i="23"/>
  <c r="M483" i="23"/>
  <c r="M484" i="23"/>
  <c r="M485" i="23"/>
  <c r="M486" i="23"/>
  <c r="M487" i="23"/>
  <c r="M488" i="23"/>
  <c r="M489" i="23"/>
  <c r="M490" i="23"/>
  <c r="M491" i="23"/>
  <c r="M492" i="23"/>
  <c r="M493" i="23"/>
  <c r="M494" i="23"/>
  <c r="M495" i="23"/>
  <c r="M496" i="23"/>
  <c r="M497" i="23"/>
  <c r="M498" i="23"/>
  <c r="M499" i="23"/>
  <c r="M500" i="23"/>
  <c r="M501" i="23"/>
  <c r="M502" i="23"/>
  <c r="M503" i="23"/>
  <c r="M504" i="23"/>
  <c r="M505" i="23"/>
  <c r="M506" i="23"/>
  <c r="M507" i="23"/>
  <c r="M508" i="23"/>
  <c r="M509" i="23"/>
  <c r="M510" i="23"/>
  <c r="M511" i="23"/>
  <c r="M512" i="23"/>
  <c r="M513" i="23"/>
  <c r="M514" i="23"/>
  <c r="M515" i="23"/>
  <c r="M516" i="23"/>
  <c r="M517" i="23"/>
  <c r="M518" i="23"/>
  <c r="M519" i="23"/>
  <c r="M520" i="23"/>
  <c r="M521" i="23"/>
  <c r="M522" i="23"/>
  <c r="M523" i="23"/>
  <c r="M524" i="23"/>
  <c r="M525" i="23"/>
  <c r="M526" i="23"/>
  <c r="M527" i="23"/>
  <c r="M528" i="23"/>
  <c r="M529" i="23"/>
  <c r="M530" i="23"/>
  <c r="M531" i="23"/>
  <c r="M532" i="23"/>
  <c r="M533" i="23"/>
  <c r="M534" i="23"/>
  <c r="M535" i="23"/>
  <c r="M536" i="23"/>
  <c r="M537" i="23"/>
  <c r="M538" i="23"/>
  <c r="M539" i="23"/>
  <c r="M540" i="23"/>
  <c r="M541" i="23"/>
  <c r="M542" i="23"/>
  <c r="M543" i="23"/>
  <c r="M544" i="23"/>
  <c r="M545" i="23"/>
  <c r="M546" i="23"/>
  <c r="M547" i="23"/>
  <c r="M548" i="23"/>
  <c r="M549" i="23"/>
  <c r="M550" i="23"/>
  <c r="M551" i="23"/>
  <c r="M552" i="23"/>
  <c r="M553" i="23"/>
  <c r="M554" i="23"/>
  <c r="M555" i="23"/>
  <c r="M556" i="23"/>
  <c r="M557" i="23"/>
  <c r="M558" i="23"/>
  <c r="M559" i="23"/>
  <c r="M560" i="23"/>
  <c r="M561" i="23"/>
  <c r="M562" i="23"/>
  <c r="M563" i="23"/>
  <c r="M564" i="23"/>
  <c r="M565" i="23"/>
  <c r="M566" i="23"/>
  <c r="M567" i="23"/>
  <c r="M568" i="23"/>
  <c r="M569" i="23"/>
  <c r="M570" i="23"/>
  <c r="M571" i="23"/>
  <c r="M572" i="23"/>
  <c r="M573" i="23"/>
  <c r="M574" i="23"/>
  <c r="M575" i="23"/>
  <c r="M576" i="23"/>
  <c r="M577" i="23"/>
  <c r="M578" i="23"/>
  <c r="M579" i="23"/>
  <c r="M580" i="23"/>
  <c r="M581" i="23"/>
  <c r="M582" i="23"/>
  <c r="M583" i="23"/>
  <c r="M584" i="23"/>
  <c r="M585" i="23"/>
  <c r="M586" i="23"/>
  <c r="M587" i="23"/>
  <c r="M588" i="23"/>
  <c r="M589" i="23"/>
  <c r="M590" i="23"/>
  <c r="M591" i="23"/>
  <c r="M592" i="23"/>
  <c r="M593" i="23"/>
  <c r="M594" i="23"/>
  <c r="M595" i="23"/>
  <c r="M596" i="23"/>
  <c r="M597" i="23"/>
  <c r="M598" i="23"/>
  <c r="M599" i="23"/>
  <c r="M600" i="23"/>
  <c r="M601" i="23"/>
  <c r="M602" i="23"/>
  <c r="M603" i="23"/>
  <c r="M604" i="23"/>
  <c r="M605" i="23"/>
  <c r="M606" i="23"/>
  <c r="M607" i="23"/>
  <c r="M608" i="23"/>
  <c r="M609" i="23"/>
  <c r="M610" i="23"/>
  <c r="M611" i="23"/>
  <c r="M612" i="23"/>
  <c r="M613" i="23"/>
  <c r="M614" i="23"/>
  <c r="M615" i="23"/>
  <c r="M616" i="23"/>
  <c r="M617" i="23"/>
  <c r="M618" i="23"/>
  <c r="M619" i="23"/>
  <c r="M620" i="23"/>
  <c r="M621" i="23"/>
  <c r="M622" i="23"/>
  <c r="M623" i="23"/>
  <c r="M624" i="23"/>
  <c r="M625" i="23"/>
  <c r="M626" i="23"/>
  <c r="M627" i="23"/>
  <c r="M628" i="23"/>
  <c r="M629" i="23"/>
  <c r="M630" i="23"/>
  <c r="M631" i="23"/>
  <c r="M632" i="23"/>
  <c r="M633" i="23"/>
  <c r="M634" i="23"/>
  <c r="M635" i="23"/>
  <c r="M636" i="23"/>
  <c r="M637" i="23"/>
  <c r="M638" i="23"/>
  <c r="M639" i="23"/>
  <c r="M640" i="23"/>
  <c r="M641" i="23"/>
  <c r="M642" i="23"/>
  <c r="M643" i="23"/>
  <c r="M644" i="23"/>
  <c r="M645" i="23"/>
  <c r="M646" i="23"/>
  <c r="M647" i="23"/>
  <c r="M648" i="23"/>
  <c r="M649" i="23"/>
  <c r="M650" i="23"/>
  <c r="M651" i="23"/>
  <c r="M652" i="23"/>
  <c r="M653" i="23"/>
  <c r="M654" i="23"/>
  <c r="M655" i="23"/>
  <c r="M656" i="23"/>
  <c r="M657" i="23"/>
  <c r="M658" i="23"/>
  <c r="M659" i="23"/>
  <c r="M660" i="23"/>
  <c r="M661" i="23"/>
  <c r="M662" i="23"/>
  <c r="M663" i="23"/>
  <c r="M664" i="23"/>
  <c r="M665" i="23"/>
  <c r="M666" i="23"/>
  <c r="M667" i="23"/>
  <c r="M668" i="23"/>
  <c r="M669" i="23"/>
  <c r="M670" i="23"/>
  <c r="M671" i="23"/>
  <c r="M672" i="23"/>
  <c r="M673" i="23"/>
  <c r="M674" i="23"/>
  <c r="M675" i="23"/>
  <c r="M676" i="23"/>
  <c r="M677" i="23"/>
  <c r="M678" i="23"/>
  <c r="M679" i="23"/>
  <c r="M680" i="23"/>
  <c r="M681" i="23"/>
  <c r="M682" i="23"/>
  <c r="M683" i="23"/>
  <c r="M684" i="23"/>
  <c r="M685" i="23"/>
  <c r="M686" i="23"/>
  <c r="M687" i="23"/>
  <c r="M688" i="23"/>
  <c r="M689" i="23"/>
  <c r="M690" i="23"/>
  <c r="M691" i="23"/>
  <c r="M692" i="23"/>
  <c r="M693" i="23"/>
  <c r="M694" i="23"/>
  <c r="M695" i="23"/>
  <c r="M696" i="23"/>
  <c r="M697" i="23"/>
  <c r="M698" i="23"/>
  <c r="M699" i="23"/>
  <c r="M700" i="23"/>
  <c r="M701" i="23"/>
  <c r="M702" i="23"/>
  <c r="M703" i="23"/>
  <c r="M704" i="23"/>
  <c r="M705" i="23"/>
  <c r="M706" i="23"/>
  <c r="M707" i="23"/>
  <c r="M708" i="23"/>
  <c r="M709" i="23"/>
  <c r="M710" i="23"/>
  <c r="M711" i="23"/>
  <c r="M712" i="23"/>
  <c r="M713" i="23"/>
  <c r="M714" i="23"/>
  <c r="M715" i="23"/>
  <c r="M716" i="23"/>
  <c r="M717" i="23"/>
  <c r="M718" i="23"/>
  <c r="M719" i="23"/>
  <c r="M720" i="23"/>
  <c r="M721" i="23"/>
  <c r="M722" i="23"/>
  <c r="M723" i="23"/>
  <c r="M724" i="23"/>
  <c r="M725" i="23"/>
  <c r="M726" i="23"/>
  <c r="M727" i="23"/>
  <c r="M728" i="23"/>
  <c r="M729" i="23"/>
  <c r="M730" i="23"/>
  <c r="M731" i="23"/>
  <c r="M732" i="23"/>
  <c r="M733" i="23"/>
  <c r="M734" i="23"/>
  <c r="M735" i="23"/>
  <c r="M736" i="23"/>
  <c r="M737" i="23"/>
  <c r="M738" i="23"/>
  <c r="M739" i="23"/>
  <c r="M740" i="23"/>
  <c r="M741" i="23"/>
  <c r="M742" i="23"/>
  <c r="M743" i="23"/>
  <c r="M744" i="23"/>
  <c r="M745" i="23"/>
  <c r="M746" i="23"/>
  <c r="M747" i="23"/>
  <c r="M748" i="23"/>
  <c r="M749" i="23"/>
  <c r="M750" i="23"/>
  <c r="M751" i="23"/>
  <c r="M752" i="23"/>
  <c r="M753" i="23"/>
  <c r="M754" i="23"/>
  <c r="M755" i="23"/>
  <c r="M756" i="23"/>
  <c r="M757" i="23"/>
  <c r="M758" i="23"/>
  <c r="M759" i="23"/>
  <c r="M760" i="23"/>
  <c r="M761" i="23"/>
  <c r="M762" i="23"/>
  <c r="M763" i="23"/>
  <c r="M764" i="23"/>
  <c r="M765" i="23"/>
  <c r="M766" i="23"/>
  <c r="M767" i="23"/>
  <c r="M768" i="23"/>
  <c r="M769" i="23"/>
  <c r="M770" i="23"/>
  <c r="M771" i="23"/>
  <c r="M772" i="23"/>
  <c r="M773" i="23"/>
  <c r="M774" i="23"/>
  <c r="M775" i="23"/>
  <c r="M776" i="23"/>
  <c r="M777" i="23"/>
  <c r="M778" i="23"/>
  <c r="M779" i="23"/>
  <c r="M780" i="23"/>
  <c r="M781" i="23"/>
  <c r="M782" i="23"/>
  <c r="M783" i="23"/>
  <c r="M784" i="23"/>
  <c r="M785" i="23"/>
  <c r="M786" i="23"/>
  <c r="M787" i="23"/>
  <c r="M788" i="23"/>
  <c r="M789" i="23"/>
  <c r="M790" i="23"/>
  <c r="M791" i="23"/>
  <c r="M792" i="23"/>
  <c r="M793" i="23"/>
  <c r="M794" i="23"/>
  <c r="M795" i="23"/>
  <c r="M796" i="23"/>
  <c r="M797" i="23"/>
  <c r="M798" i="23"/>
  <c r="M799" i="23"/>
  <c r="M800" i="23"/>
  <c r="M801" i="23"/>
  <c r="M802" i="23"/>
  <c r="M803" i="23"/>
  <c r="M804" i="23"/>
  <c r="M805" i="23"/>
  <c r="M806" i="23"/>
  <c r="M807" i="23"/>
  <c r="M808" i="23"/>
  <c r="M809" i="23"/>
  <c r="M810" i="23"/>
  <c r="M811" i="23"/>
  <c r="M812" i="23"/>
  <c r="M813" i="23"/>
  <c r="M814" i="23"/>
  <c r="M815" i="23"/>
  <c r="M816" i="23"/>
  <c r="M817" i="23"/>
  <c r="M818" i="23"/>
  <c r="M819" i="23"/>
  <c r="M820" i="23"/>
  <c r="M821" i="23"/>
  <c r="M822" i="23"/>
  <c r="M823" i="23"/>
  <c r="M824" i="23"/>
  <c r="M825" i="23"/>
  <c r="M826" i="23"/>
  <c r="M827" i="23"/>
  <c r="M828" i="23"/>
  <c r="M829" i="23"/>
  <c r="M830" i="23"/>
  <c r="M831" i="23"/>
  <c r="M832" i="23"/>
  <c r="M833" i="23"/>
  <c r="M834" i="23"/>
  <c r="M835" i="23"/>
  <c r="M836" i="23"/>
  <c r="M837" i="23"/>
  <c r="M838" i="23"/>
  <c r="M839" i="23"/>
  <c r="M840" i="23"/>
  <c r="M841" i="23"/>
  <c r="M842" i="23"/>
  <c r="M843" i="23"/>
  <c r="M844" i="23"/>
  <c r="M845" i="23"/>
  <c r="M846" i="23"/>
  <c r="M847" i="23"/>
  <c r="M848" i="23"/>
  <c r="M849" i="23"/>
  <c r="M850" i="23"/>
  <c r="M851" i="23"/>
  <c r="M852" i="23"/>
  <c r="M853" i="23"/>
  <c r="M854" i="23"/>
  <c r="M855" i="23"/>
  <c r="M856" i="23"/>
  <c r="M857" i="23"/>
  <c r="M858" i="23"/>
  <c r="M859" i="23"/>
  <c r="M860" i="23"/>
  <c r="M861" i="23"/>
  <c r="M862" i="23"/>
  <c r="M863" i="23"/>
  <c r="M864" i="23"/>
  <c r="M865" i="23"/>
  <c r="M866" i="23"/>
  <c r="M867" i="23"/>
  <c r="M868" i="23"/>
  <c r="M869" i="23"/>
  <c r="M870" i="23"/>
  <c r="M871" i="23"/>
  <c r="M872" i="23"/>
  <c r="M873" i="23"/>
  <c r="M874" i="23"/>
  <c r="M875" i="23"/>
  <c r="M876" i="23"/>
  <c r="M877" i="23"/>
  <c r="M878" i="23"/>
  <c r="M879" i="23"/>
  <c r="M880" i="23"/>
  <c r="M881" i="23"/>
  <c r="M882" i="23"/>
  <c r="M883" i="23"/>
  <c r="M884" i="23"/>
  <c r="M885" i="23"/>
  <c r="M886" i="23"/>
  <c r="M887" i="23"/>
  <c r="M888" i="23"/>
  <c r="M889" i="23"/>
  <c r="M890" i="23"/>
  <c r="M891" i="23"/>
  <c r="M892" i="23"/>
  <c r="M893" i="23"/>
  <c r="M894" i="23"/>
  <c r="M895" i="23"/>
  <c r="M896" i="23"/>
  <c r="M897" i="23"/>
  <c r="M898" i="23"/>
  <c r="M899" i="23"/>
  <c r="M900" i="23"/>
  <c r="M901" i="23"/>
  <c r="M902" i="23"/>
  <c r="M903" i="23"/>
  <c r="M904" i="23"/>
  <c r="M905" i="23"/>
  <c r="M906" i="23"/>
  <c r="M907" i="23"/>
  <c r="M908" i="23"/>
  <c r="M909" i="23"/>
  <c r="M910" i="23"/>
  <c r="M911" i="23"/>
  <c r="M912" i="23"/>
  <c r="M913" i="23"/>
  <c r="M914" i="23"/>
  <c r="M915" i="23"/>
  <c r="M916" i="23"/>
  <c r="M917" i="23"/>
  <c r="M918" i="23"/>
  <c r="M919" i="23"/>
  <c r="M920" i="23"/>
  <c r="M921" i="23"/>
  <c r="M922" i="23"/>
  <c r="M923" i="23"/>
  <c r="M924" i="23"/>
  <c r="M925" i="23"/>
  <c r="M926" i="23"/>
  <c r="M927" i="23"/>
  <c r="M928" i="23"/>
  <c r="M929" i="23"/>
  <c r="M930" i="23"/>
  <c r="M931" i="23"/>
  <c r="M932" i="23"/>
  <c r="M933" i="23"/>
  <c r="M934" i="23"/>
  <c r="M935" i="23"/>
  <c r="M936" i="23"/>
  <c r="M937" i="23"/>
  <c r="M938" i="23"/>
  <c r="M939" i="23"/>
  <c r="M940" i="23"/>
  <c r="M941" i="23"/>
  <c r="M942" i="23"/>
  <c r="M943" i="23"/>
  <c r="M944" i="23"/>
  <c r="M945" i="23"/>
  <c r="M946" i="23"/>
  <c r="M947" i="23"/>
  <c r="M948" i="23"/>
  <c r="M949" i="23"/>
  <c r="M950" i="23"/>
  <c r="M951" i="23"/>
  <c r="M952" i="23"/>
  <c r="M953" i="23"/>
  <c r="M954" i="23"/>
  <c r="M955" i="23"/>
  <c r="M956" i="23"/>
  <c r="M957" i="23"/>
  <c r="M958" i="23"/>
  <c r="M959" i="23"/>
  <c r="M960" i="23"/>
  <c r="M961" i="23"/>
  <c r="M962" i="23"/>
  <c r="M963" i="23"/>
  <c r="M964" i="23"/>
  <c r="M965" i="23"/>
  <c r="M966" i="23"/>
  <c r="M967" i="23"/>
  <c r="M968" i="23"/>
  <c r="M969" i="23"/>
  <c r="M970" i="23"/>
  <c r="M971" i="23"/>
  <c r="M972" i="23"/>
  <c r="M973" i="23"/>
  <c r="M974" i="23"/>
  <c r="M975" i="23"/>
  <c r="M976" i="23"/>
  <c r="M977" i="23"/>
  <c r="M978" i="23"/>
  <c r="M979" i="23"/>
  <c r="M980" i="23"/>
  <c r="M981" i="23"/>
  <c r="M982" i="23"/>
  <c r="M983" i="23"/>
  <c r="M984" i="23"/>
  <c r="M985" i="23"/>
  <c r="M986" i="23"/>
  <c r="M987" i="23"/>
  <c r="M988" i="23"/>
  <c r="M989" i="23"/>
  <c r="M990" i="23"/>
  <c r="M991" i="23"/>
  <c r="M992" i="23"/>
  <c r="M993" i="23"/>
  <c r="M994" i="23"/>
  <c r="M995" i="23"/>
  <c r="M996" i="23"/>
  <c r="M997" i="23"/>
  <c r="M998" i="23"/>
  <c r="M999" i="23"/>
  <c r="M1000" i="23"/>
  <c r="M1001" i="23"/>
  <c r="M1002" i="23"/>
  <c r="M1003" i="23"/>
  <c r="M1004" i="23"/>
  <c r="M1005" i="23"/>
  <c r="M1006" i="23"/>
  <c r="M1007" i="23"/>
  <c r="M1008" i="23"/>
  <c r="M1009" i="23"/>
  <c r="M1010" i="23"/>
  <c r="M1011" i="23"/>
  <c r="M1012" i="23"/>
  <c r="M1013" i="23"/>
  <c r="M1014" i="23"/>
  <c r="M1015" i="23"/>
  <c r="M1016" i="23"/>
  <c r="M1017" i="23"/>
  <c r="M1018" i="23"/>
  <c r="M1019" i="23"/>
  <c r="M1020" i="23"/>
  <c r="M1021" i="23"/>
  <c r="M1022" i="23"/>
  <c r="M1023" i="23"/>
  <c r="M1024" i="23"/>
  <c r="M1025" i="23"/>
  <c r="M1026" i="23"/>
  <c r="M1027" i="23"/>
  <c r="M1028" i="23"/>
  <c r="M1029" i="23"/>
  <c r="M1030" i="23"/>
  <c r="M1031" i="23"/>
  <c r="M1032" i="23"/>
  <c r="M1033" i="23"/>
  <c r="M1034" i="23"/>
  <c r="M1035" i="23"/>
  <c r="M1036" i="23"/>
  <c r="M1037" i="23"/>
  <c r="M1038" i="23"/>
  <c r="M1039" i="23"/>
  <c r="M1040" i="23"/>
  <c r="M1041" i="23"/>
  <c r="M1042" i="23"/>
  <c r="M1043" i="23"/>
  <c r="M1044" i="23"/>
  <c r="M1045" i="23"/>
  <c r="M1046" i="23"/>
  <c r="M1047" i="23"/>
  <c r="M1048" i="23"/>
  <c r="M1049" i="23"/>
  <c r="M1050" i="23"/>
  <c r="M1051" i="23"/>
  <c r="M1052" i="23"/>
  <c r="M1053" i="23"/>
  <c r="M1054" i="23"/>
  <c r="M1055" i="23"/>
  <c r="M1056" i="23"/>
  <c r="M1057" i="23"/>
  <c r="M1058" i="23"/>
  <c r="M1059" i="23"/>
  <c r="M1060" i="23"/>
  <c r="M1061" i="23"/>
  <c r="M1062" i="23"/>
  <c r="M1063" i="23"/>
  <c r="M1064" i="23"/>
  <c r="M1065" i="23"/>
  <c r="M1066" i="23"/>
  <c r="M1067" i="23"/>
  <c r="M1068" i="23"/>
  <c r="M1069" i="23"/>
  <c r="M1070" i="23"/>
  <c r="M1071" i="23"/>
  <c r="M1072" i="23"/>
  <c r="M1073" i="23"/>
  <c r="M1074" i="23"/>
  <c r="M1075" i="23"/>
  <c r="M1076" i="23"/>
  <c r="M1077" i="23"/>
  <c r="M1078" i="23"/>
  <c r="M1079" i="23"/>
  <c r="M1080" i="23"/>
  <c r="M1081" i="23"/>
  <c r="M1082" i="23"/>
  <c r="M1083" i="23"/>
  <c r="M1084" i="23"/>
  <c r="M1085" i="23"/>
  <c r="M1086" i="23"/>
  <c r="M1087" i="23"/>
  <c r="M1088" i="23"/>
  <c r="M1089" i="23"/>
  <c r="M1090" i="23"/>
  <c r="M1091" i="23"/>
  <c r="M1092" i="23"/>
  <c r="M1093" i="23"/>
  <c r="M1094" i="23"/>
  <c r="M1095" i="23"/>
  <c r="M1096" i="23"/>
  <c r="M1097" i="23"/>
  <c r="M1098" i="23"/>
  <c r="M1099" i="23"/>
  <c r="M1100" i="23"/>
  <c r="M1101" i="23"/>
  <c r="M1102" i="23"/>
  <c r="M1103" i="23"/>
  <c r="M1104" i="23"/>
  <c r="M1105" i="23"/>
  <c r="M1106" i="23"/>
  <c r="M1107" i="23"/>
  <c r="M1108" i="23"/>
  <c r="M1109" i="23"/>
  <c r="M1110" i="23"/>
  <c r="M1111" i="23"/>
  <c r="M1112" i="23"/>
  <c r="M1113" i="23"/>
  <c r="M1114" i="23"/>
  <c r="M1115" i="23"/>
  <c r="M1116" i="23"/>
  <c r="M1117" i="23"/>
  <c r="M1118" i="23"/>
  <c r="M1119" i="23"/>
  <c r="M1120" i="23"/>
  <c r="M1121" i="23"/>
  <c r="M1122" i="23"/>
  <c r="M1123" i="23"/>
  <c r="M1124" i="23"/>
  <c r="M1125" i="23"/>
  <c r="M1126" i="23"/>
  <c r="M1127" i="23"/>
  <c r="M1128" i="23"/>
  <c r="M1129" i="23"/>
  <c r="M1130" i="23"/>
  <c r="M1131" i="23"/>
  <c r="M1132" i="23"/>
  <c r="M1133" i="23"/>
  <c r="M1134" i="23"/>
  <c r="M1135" i="23"/>
  <c r="M1136" i="23"/>
  <c r="M1137" i="23"/>
  <c r="M1138" i="23"/>
  <c r="M1139" i="23"/>
  <c r="M1140" i="23"/>
  <c r="M1141" i="23"/>
  <c r="M1142" i="23"/>
  <c r="M1143" i="23"/>
  <c r="M1144" i="23"/>
  <c r="M1145" i="23"/>
  <c r="M1146" i="23"/>
  <c r="M1147" i="23"/>
  <c r="M1148" i="23"/>
  <c r="M1149" i="23"/>
  <c r="M1150" i="23"/>
  <c r="M1151" i="23"/>
  <c r="M1152" i="23"/>
  <c r="M1153" i="23"/>
  <c r="M1154" i="23"/>
  <c r="M1155" i="23"/>
  <c r="M1156" i="23"/>
  <c r="M1157" i="23"/>
  <c r="M1158" i="23"/>
  <c r="M1159" i="23"/>
  <c r="M1160" i="23"/>
  <c r="M1161" i="23"/>
  <c r="M1162" i="23"/>
  <c r="M1163" i="23"/>
  <c r="M1164" i="23"/>
  <c r="M1165" i="23"/>
  <c r="M1166" i="23"/>
  <c r="M1167" i="23"/>
  <c r="M1168" i="23"/>
  <c r="M1169" i="23"/>
  <c r="M1170" i="23"/>
  <c r="M1171" i="23"/>
  <c r="M1172" i="23"/>
  <c r="M1173" i="23"/>
  <c r="M1174" i="23"/>
  <c r="M1175" i="23"/>
  <c r="M1176" i="23"/>
  <c r="M1177" i="23"/>
  <c r="M1178" i="23"/>
  <c r="M1179" i="23"/>
  <c r="M1180" i="23"/>
  <c r="M1181" i="23"/>
  <c r="M1182" i="23"/>
  <c r="M1183" i="23"/>
  <c r="M1184" i="23"/>
  <c r="M1185" i="23"/>
  <c r="M1186" i="23"/>
  <c r="M1187" i="23"/>
  <c r="M1188" i="23"/>
  <c r="M1189" i="23"/>
  <c r="M1190" i="23"/>
  <c r="M1191" i="23"/>
  <c r="M1192" i="23"/>
  <c r="M1193" i="23"/>
  <c r="M1194" i="23"/>
  <c r="M1195" i="23"/>
  <c r="M1196" i="23"/>
  <c r="M1197" i="23"/>
  <c r="M1198" i="23"/>
  <c r="M1199" i="23"/>
  <c r="M1200" i="23"/>
  <c r="M1201" i="23"/>
  <c r="M1202" i="23"/>
  <c r="M1203" i="23"/>
  <c r="M1204" i="23"/>
  <c r="M1205" i="23"/>
  <c r="M1206" i="23"/>
  <c r="M1207" i="23"/>
  <c r="M1208" i="23"/>
  <c r="M1209" i="23"/>
  <c r="M1210" i="23"/>
  <c r="M1211" i="23"/>
  <c r="M1212" i="23"/>
  <c r="M1213" i="23"/>
  <c r="M1214" i="23"/>
  <c r="M1215" i="23"/>
  <c r="M1216" i="23"/>
  <c r="M1217" i="23"/>
  <c r="M1218" i="23"/>
  <c r="M1219" i="23"/>
  <c r="M1220" i="23"/>
  <c r="M1221" i="23"/>
  <c r="M1222" i="23"/>
  <c r="M1223" i="23"/>
  <c r="M1224" i="23"/>
  <c r="M1225" i="23"/>
  <c r="M1226" i="23"/>
  <c r="M1227" i="23"/>
  <c r="M1228" i="23"/>
  <c r="M1229" i="23"/>
  <c r="M1230" i="23"/>
  <c r="M1231" i="23"/>
  <c r="M1232" i="23"/>
  <c r="M1233" i="23"/>
  <c r="M1234" i="23"/>
  <c r="M1235" i="23"/>
  <c r="M1236" i="23"/>
  <c r="M1237" i="23"/>
  <c r="M1238" i="23"/>
  <c r="M1239" i="23"/>
  <c r="M1240" i="23"/>
  <c r="M1241" i="23"/>
  <c r="M1242" i="23"/>
  <c r="M1243" i="23"/>
  <c r="M1244" i="23"/>
  <c r="M1245" i="23"/>
  <c r="M1246" i="23"/>
  <c r="M1247" i="23"/>
  <c r="M1248" i="23"/>
  <c r="M1249" i="23"/>
  <c r="M1250" i="23"/>
  <c r="M1251" i="23"/>
  <c r="M1252" i="23"/>
  <c r="M1253" i="23"/>
  <c r="M1254" i="23"/>
  <c r="M1255" i="23"/>
  <c r="M1256" i="23"/>
  <c r="M1257" i="23"/>
  <c r="M1258" i="23"/>
  <c r="M1259" i="23"/>
  <c r="M1260" i="23"/>
  <c r="M1261" i="23"/>
  <c r="M1262" i="23"/>
  <c r="M1263" i="23"/>
  <c r="M1264" i="23"/>
  <c r="M1265" i="23"/>
  <c r="M1266" i="23"/>
  <c r="M1267" i="23"/>
  <c r="M1268" i="23"/>
  <c r="M1269" i="23"/>
  <c r="M1270" i="23"/>
  <c r="M1271" i="23"/>
  <c r="M1272" i="23"/>
  <c r="M1273" i="23"/>
  <c r="M1274" i="23"/>
  <c r="M1275" i="23"/>
  <c r="M1276" i="23"/>
  <c r="M1277" i="23"/>
  <c r="M1278" i="23"/>
  <c r="M1279" i="23"/>
  <c r="M1280" i="23"/>
  <c r="M1281" i="23"/>
  <c r="M1282" i="23"/>
  <c r="M1283" i="23"/>
  <c r="M1284" i="23"/>
  <c r="M1285" i="23"/>
  <c r="M1286" i="23"/>
  <c r="M1287" i="23"/>
  <c r="M1288" i="23"/>
  <c r="M1289" i="23"/>
  <c r="M1290" i="23"/>
  <c r="M1291" i="23"/>
  <c r="M1292" i="23"/>
  <c r="M1293" i="23"/>
  <c r="M1294" i="23"/>
  <c r="M1295" i="23"/>
  <c r="M1296" i="23"/>
  <c r="M1297" i="23"/>
  <c r="M1298" i="23"/>
  <c r="M1299" i="23"/>
  <c r="M1300" i="23"/>
  <c r="M1301" i="23"/>
  <c r="M1302" i="23"/>
  <c r="M1303" i="23"/>
  <c r="M1304" i="23"/>
  <c r="M1305" i="23"/>
  <c r="M1306" i="23"/>
  <c r="M1307" i="23"/>
  <c r="M1308" i="23"/>
  <c r="M1309" i="23"/>
  <c r="M1310" i="23"/>
  <c r="M1311" i="23"/>
  <c r="M1312" i="23"/>
  <c r="M1313" i="23"/>
  <c r="M1314" i="23"/>
  <c r="M1315" i="23"/>
  <c r="M1316" i="23"/>
  <c r="M1317" i="23"/>
  <c r="M1318" i="23"/>
  <c r="M1319" i="23"/>
  <c r="M1320" i="23"/>
  <c r="M1321" i="23"/>
  <c r="M1322" i="23"/>
  <c r="M1323" i="23"/>
  <c r="M1324" i="23"/>
  <c r="M1325" i="23"/>
  <c r="M1326" i="23"/>
  <c r="M1327" i="23"/>
  <c r="M1328" i="23"/>
  <c r="M1329" i="23"/>
  <c r="M1330" i="23"/>
  <c r="M1331" i="23"/>
  <c r="M1332" i="23"/>
  <c r="M1333" i="23"/>
  <c r="M1334" i="23"/>
  <c r="M1335" i="23"/>
  <c r="M1336" i="23"/>
  <c r="M1337" i="23"/>
  <c r="M1338" i="23"/>
  <c r="M1339" i="23"/>
  <c r="M1340" i="23"/>
  <c r="M1341" i="23"/>
  <c r="M1342" i="23"/>
  <c r="M1343" i="23"/>
  <c r="M1344" i="23"/>
  <c r="M1345" i="23"/>
  <c r="M1346" i="23"/>
  <c r="M1347" i="23"/>
  <c r="M1348" i="23"/>
  <c r="M1349" i="23"/>
  <c r="M1350" i="23"/>
  <c r="M1351" i="23"/>
  <c r="M1352" i="23"/>
  <c r="M1353" i="23"/>
  <c r="M1354" i="23"/>
  <c r="M1355" i="23"/>
  <c r="M1356" i="23"/>
  <c r="M1357" i="23"/>
  <c r="M1358" i="23"/>
  <c r="M1359" i="23"/>
  <c r="M1360" i="23"/>
  <c r="M1361" i="23"/>
  <c r="M1362" i="23"/>
  <c r="M1363" i="23"/>
  <c r="M1364" i="23"/>
  <c r="M1365" i="23"/>
  <c r="M1366" i="23"/>
  <c r="M1367" i="23"/>
  <c r="M1368" i="23"/>
  <c r="M1369" i="23"/>
  <c r="M1370" i="23"/>
  <c r="M1371" i="23"/>
  <c r="M1372" i="23"/>
  <c r="M1373" i="23"/>
  <c r="M1374" i="23"/>
  <c r="M1375" i="23"/>
  <c r="M1376" i="23"/>
  <c r="M1377" i="23"/>
  <c r="M1378" i="23"/>
  <c r="M1379" i="23"/>
  <c r="M1380" i="23"/>
  <c r="M1381" i="23"/>
  <c r="M1382" i="23"/>
  <c r="M1383" i="23"/>
  <c r="M1384" i="23"/>
  <c r="M1385" i="23"/>
  <c r="M1386" i="23"/>
  <c r="M1387" i="23"/>
  <c r="M1388" i="23"/>
  <c r="M1389" i="23"/>
  <c r="M1390" i="23"/>
  <c r="M1391" i="23"/>
  <c r="M1392" i="23"/>
  <c r="M1393" i="23"/>
  <c r="M1394" i="23"/>
  <c r="M1395" i="23"/>
  <c r="M1396" i="23"/>
  <c r="M1397" i="23"/>
  <c r="M1398" i="23"/>
  <c r="M1399" i="23"/>
  <c r="M1400" i="23"/>
  <c r="M1401" i="23"/>
  <c r="M1402" i="23"/>
  <c r="M1403" i="23"/>
  <c r="M1404" i="23"/>
  <c r="M1405" i="23"/>
  <c r="M1406" i="23"/>
  <c r="M1407" i="23"/>
  <c r="M1408" i="23"/>
  <c r="M1409" i="23"/>
  <c r="M1410" i="23"/>
  <c r="M1411" i="23"/>
  <c r="M1412" i="23"/>
  <c r="M1413" i="23"/>
  <c r="M1414" i="23"/>
  <c r="M1415" i="23"/>
  <c r="M1416" i="23"/>
  <c r="M1417" i="23"/>
  <c r="M1418" i="23"/>
  <c r="M1419" i="23"/>
  <c r="M1420" i="23"/>
  <c r="M1421" i="23"/>
  <c r="M1422" i="23"/>
  <c r="M1423" i="23"/>
  <c r="M1424" i="23"/>
  <c r="M1425" i="23"/>
  <c r="M1426" i="23"/>
  <c r="M1427" i="23"/>
  <c r="M1428" i="23"/>
  <c r="M1429" i="23"/>
  <c r="M1430" i="23"/>
  <c r="M1431" i="23"/>
  <c r="M1432" i="23"/>
  <c r="M1433" i="23"/>
  <c r="M1434" i="23"/>
  <c r="M1435" i="23"/>
  <c r="M1436" i="23"/>
  <c r="M1437" i="23"/>
  <c r="M1438" i="23"/>
  <c r="M1439" i="23"/>
  <c r="M1440" i="23"/>
  <c r="M1441" i="23"/>
  <c r="M1442" i="23"/>
  <c r="M1443" i="23"/>
  <c r="M1444" i="23"/>
  <c r="M1445" i="23"/>
  <c r="M1446" i="23"/>
  <c r="M1447" i="23"/>
  <c r="M1448" i="23"/>
  <c r="M1449" i="23"/>
  <c r="M1450" i="23"/>
  <c r="M1451" i="23"/>
  <c r="M1452" i="23"/>
  <c r="M1453" i="23"/>
  <c r="M1454" i="23"/>
  <c r="M1455" i="23"/>
  <c r="M1456" i="23"/>
  <c r="M1457" i="23"/>
  <c r="M1458" i="23"/>
  <c r="M1459" i="23"/>
  <c r="M1460" i="23"/>
  <c r="M1461" i="23"/>
  <c r="M1462" i="23"/>
  <c r="M1463" i="23"/>
  <c r="M1464" i="23"/>
  <c r="M1465" i="23"/>
  <c r="M1466" i="23"/>
  <c r="M1467" i="23"/>
  <c r="M1468" i="23"/>
  <c r="M1469" i="23"/>
  <c r="M1470" i="23"/>
  <c r="M1471" i="23"/>
  <c r="M1472" i="23"/>
  <c r="M1473" i="23"/>
  <c r="M1474" i="23"/>
  <c r="M1475" i="23"/>
  <c r="M1476" i="23"/>
  <c r="M1477" i="23"/>
  <c r="M1478" i="23"/>
  <c r="M1479" i="23"/>
  <c r="M1480" i="23"/>
  <c r="M1481" i="23"/>
  <c r="M1482" i="23"/>
  <c r="M1483" i="23"/>
  <c r="M1484" i="23"/>
  <c r="M1485" i="23"/>
  <c r="M1486" i="23"/>
  <c r="M1487" i="23"/>
  <c r="M1488" i="23"/>
  <c r="M1489" i="23"/>
  <c r="M1490" i="23"/>
  <c r="M1491" i="23"/>
  <c r="M1492" i="23"/>
  <c r="M1493" i="23"/>
  <c r="M1494" i="23"/>
  <c r="M1495" i="23"/>
  <c r="M1496" i="23"/>
  <c r="M1497" i="23"/>
  <c r="M1498" i="23"/>
  <c r="M1499" i="23"/>
  <c r="M1500" i="23"/>
  <c r="M1501" i="23"/>
  <c r="M1502" i="23"/>
  <c r="M1503" i="23"/>
  <c r="M1504" i="23"/>
  <c r="M1505" i="23"/>
  <c r="M1506" i="23"/>
  <c r="M1507" i="23"/>
  <c r="M1508" i="23"/>
  <c r="M1509" i="23"/>
  <c r="M1510" i="23"/>
  <c r="M1511" i="23"/>
  <c r="M1512" i="23"/>
  <c r="M1513" i="23"/>
  <c r="M1514" i="23"/>
  <c r="M1515" i="23"/>
  <c r="M1516" i="23"/>
  <c r="M1517" i="23"/>
  <c r="M1518" i="23"/>
  <c r="M1519" i="23"/>
  <c r="M1520" i="23"/>
  <c r="M1521" i="23"/>
  <c r="M1522" i="23"/>
  <c r="M1523" i="23"/>
  <c r="M1524" i="23"/>
  <c r="M1525" i="23"/>
  <c r="M1526" i="23"/>
  <c r="M1527" i="23"/>
  <c r="M1528" i="23"/>
  <c r="M1529" i="23"/>
  <c r="M1530" i="23"/>
  <c r="M1531" i="23"/>
  <c r="M1532" i="23"/>
  <c r="M1533" i="23"/>
  <c r="M1534" i="23"/>
  <c r="M1535" i="23"/>
  <c r="M1536" i="23"/>
  <c r="M1537" i="23"/>
  <c r="M1538" i="23"/>
  <c r="M1539" i="23"/>
  <c r="M1540" i="23"/>
  <c r="M1541" i="23"/>
  <c r="M1542" i="23"/>
  <c r="M1543" i="23"/>
  <c r="M1544" i="23"/>
  <c r="M1545" i="23"/>
  <c r="M1546" i="23"/>
  <c r="M1547" i="23"/>
  <c r="M1548" i="23"/>
  <c r="M1549" i="23"/>
  <c r="M1550" i="23"/>
  <c r="M1551" i="23"/>
  <c r="M1552" i="23"/>
  <c r="M1553" i="23"/>
  <c r="M1554" i="23"/>
  <c r="M1555" i="23"/>
  <c r="M1556" i="23"/>
  <c r="M1557" i="23"/>
  <c r="M1558" i="23"/>
  <c r="M1559" i="23"/>
  <c r="M1560" i="23"/>
  <c r="M1561" i="23"/>
  <c r="M1562" i="23"/>
  <c r="M1563" i="23"/>
  <c r="M1564" i="23"/>
  <c r="M1565" i="23"/>
  <c r="M1566" i="23"/>
  <c r="M1567" i="23"/>
  <c r="M1568" i="23"/>
  <c r="M1569" i="23"/>
  <c r="M1570" i="23"/>
  <c r="M1571" i="23"/>
  <c r="M1572" i="23"/>
  <c r="M1573" i="23"/>
  <c r="M1574" i="23"/>
  <c r="M1575" i="23"/>
  <c r="M1576" i="23"/>
  <c r="M1577" i="23"/>
  <c r="M1578" i="23"/>
  <c r="M1579" i="23"/>
  <c r="M1580" i="23"/>
  <c r="M1581" i="23"/>
  <c r="M1582" i="23"/>
  <c r="M1583" i="23"/>
  <c r="M1584" i="23"/>
  <c r="M1585" i="23"/>
  <c r="M1586" i="23"/>
  <c r="M1587" i="23"/>
  <c r="M1588" i="23"/>
  <c r="M1589" i="23"/>
  <c r="M1590" i="23"/>
  <c r="M1591" i="23"/>
  <c r="M1592" i="23"/>
  <c r="M1593" i="23"/>
  <c r="M1594" i="23"/>
  <c r="M1595" i="23"/>
  <c r="M1596" i="23"/>
  <c r="M1597" i="23"/>
  <c r="M1598" i="23"/>
  <c r="M1599" i="23"/>
  <c r="M1600" i="23"/>
  <c r="M1601" i="23"/>
  <c r="M1602" i="23"/>
  <c r="M1603" i="23"/>
  <c r="M1604" i="23"/>
  <c r="M1605" i="23"/>
  <c r="M1606" i="23"/>
  <c r="M1607" i="23"/>
  <c r="M1608" i="23"/>
  <c r="M1609" i="23"/>
  <c r="M1610" i="23"/>
  <c r="M1611" i="23"/>
  <c r="M1612" i="23"/>
  <c r="M1613" i="23"/>
  <c r="M1614" i="23"/>
  <c r="M1615" i="23"/>
  <c r="M1616" i="23"/>
  <c r="M1617" i="23"/>
  <c r="M1618" i="23"/>
  <c r="M1619" i="23"/>
  <c r="M1620" i="23"/>
  <c r="M1621" i="23"/>
  <c r="M1622" i="23"/>
  <c r="M1623" i="23"/>
  <c r="M1624" i="23"/>
  <c r="M1625" i="23"/>
  <c r="M1626" i="23"/>
  <c r="M1627" i="23"/>
  <c r="M1628" i="23"/>
  <c r="M1629" i="23"/>
  <c r="M1630" i="23"/>
  <c r="M1631" i="23"/>
  <c r="M1632" i="23"/>
  <c r="M1633" i="23"/>
  <c r="M1634" i="23"/>
  <c r="M1635" i="23"/>
  <c r="M1636" i="23"/>
  <c r="M1637" i="23"/>
  <c r="M1638" i="23"/>
  <c r="M1639" i="23"/>
  <c r="M1640" i="23"/>
  <c r="M1641" i="23"/>
  <c r="M1642" i="23"/>
  <c r="M1643" i="23"/>
  <c r="M1644" i="23"/>
  <c r="M1645" i="23"/>
  <c r="M1646" i="23"/>
  <c r="M1647" i="23"/>
  <c r="M1648" i="23"/>
  <c r="M1649" i="23"/>
  <c r="M1650" i="23"/>
  <c r="M1651" i="23"/>
  <c r="M1652" i="23"/>
  <c r="M1653" i="23"/>
  <c r="M1654" i="23"/>
  <c r="M1655" i="23"/>
  <c r="M1656" i="23"/>
  <c r="M1657" i="23"/>
  <c r="M1658" i="23"/>
  <c r="M1659" i="23"/>
  <c r="M1660" i="23"/>
  <c r="M1661" i="23"/>
  <c r="M1662" i="23"/>
  <c r="M1663" i="23"/>
  <c r="M1664" i="23"/>
  <c r="M1665" i="23"/>
  <c r="M1666" i="23"/>
  <c r="M1667" i="23"/>
  <c r="M1668" i="23"/>
  <c r="M1669" i="23"/>
  <c r="M1670" i="23"/>
  <c r="M1671" i="23"/>
  <c r="M1672" i="23"/>
  <c r="M1673" i="23"/>
  <c r="M1674" i="23"/>
  <c r="M1675" i="23"/>
  <c r="M1676" i="23"/>
  <c r="M1677" i="23"/>
  <c r="M1678" i="23"/>
  <c r="M1679" i="23"/>
  <c r="M1680" i="23"/>
  <c r="M1681" i="23"/>
  <c r="M1682" i="23"/>
  <c r="M1683" i="23"/>
  <c r="M1684" i="23"/>
  <c r="M1685" i="23"/>
  <c r="M1686" i="23"/>
  <c r="M1687" i="23"/>
  <c r="M1688" i="23"/>
  <c r="M1689" i="23"/>
  <c r="M1690" i="23"/>
  <c r="M1691" i="23"/>
  <c r="M1692" i="23"/>
  <c r="M1693" i="23"/>
  <c r="M1694" i="23"/>
  <c r="M1695" i="23"/>
  <c r="M1696" i="23"/>
  <c r="M1697" i="23"/>
  <c r="M1698" i="23"/>
  <c r="M1699" i="23"/>
  <c r="M1700" i="23"/>
  <c r="M1701" i="23"/>
  <c r="M1702" i="23"/>
  <c r="M1703" i="23"/>
  <c r="M1704" i="23"/>
  <c r="M1705" i="23"/>
  <c r="M1706" i="23"/>
  <c r="M1707" i="23"/>
  <c r="M1708" i="23"/>
  <c r="M1709" i="23"/>
  <c r="M1710" i="23"/>
  <c r="M1711" i="23"/>
  <c r="M1712" i="23"/>
  <c r="M1713" i="23"/>
  <c r="M1714" i="23"/>
  <c r="M1715" i="23"/>
  <c r="M1716" i="23"/>
  <c r="M1717" i="23"/>
  <c r="M1718" i="23"/>
  <c r="M1719" i="23"/>
  <c r="M1720" i="23"/>
  <c r="M1721" i="23"/>
  <c r="M1722" i="23"/>
  <c r="M1723" i="23"/>
  <c r="M1724" i="23"/>
  <c r="M1725" i="23"/>
  <c r="M1726" i="23"/>
  <c r="M1727" i="23"/>
  <c r="M1728" i="23"/>
  <c r="M1729" i="23"/>
  <c r="M1730" i="23"/>
  <c r="M1731" i="23"/>
  <c r="M1732" i="23"/>
  <c r="M1733" i="23"/>
  <c r="M1734" i="23"/>
  <c r="M1735" i="23"/>
  <c r="M1736" i="23"/>
  <c r="M1737" i="23"/>
  <c r="M1738" i="23"/>
  <c r="M1739" i="23"/>
  <c r="M1740" i="23"/>
  <c r="M1741" i="23"/>
  <c r="M1742" i="23"/>
  <c r="M1743" i="23"/>
  <c r="M1744" i="23"/>
  <c r="M1745" i="23"/>
  <c r="M1746" i="23"/>
  <c r="M1747" i="23"/>
  <c r="M1748" i="23"/>
  <c r="M1749" i="23"/>
  <c r="M1750" i="23"/>
  <c r="M1751" i="23"/>
  <c r="M1752" i="23"/>
  <c r="M1753" i="23"/>
  <c r="M1754" i="23"/>
  <c r="M1755" i="23"/>
  <c r="M1756" i="23"/>
  <c r="M1757" i="23"/>
  <c r="M1758" i="23"/>
  <c r="M1759" i="23"/>
  <c r="M1760" i="23"/>
  <c r="M1761" i="23"/>
  <c r="M1762" i="23"/>
  <c r="M1763" i="23"/>
  <c r="M1764" i="23"/>
  <c r="M1765" i="23"/>
  <c r="M1766" i="23"/>
  <c r="M1767" i="23"/>
  <c r="M1768" i="23"/>
  <c r="M1769" i="23"/>
  <c r="M1770" i="23"/>
  <c r="M1771" i="23"/>
  <c r="M1772" i="23"/>
  <c r="M1773" i="23"/>
  <c r="M1774" i="23"/>
  <c r="M1775" i="23"/>
  <c r="M1776" i="23"/>
  <c r="M1777" i="23"/>
  <c r="M1778" i="23"/>
  <c r="M1779" i="23"/>
  <c r="M1780" i="23"/>
  <c r="M1781" i="23"/>
  <c r="M1782" i="23"/>
  <c r="M1783" i="23"/>
  <c r="M1784" i="23"/>
  <c r="M1785" i="23"/>
  <c r="M1786" i="23"/>
  <c r="M1787" i="23"/>
  <c r="M3" i="23"/>
  <c r="T1787" i="23"/>
  <c r="T1786" i="23"/>
  <c r="T1785" i="23"/>
  <c r="T1784" i="23"/>
  <c r="T1783" i="23"/>
  <c r="T1782" i="23"/>
  <c r="T1780" i="23"/>
  <c r="T1779" i="23"/>
  <c r="T1778" i="23"/>
  <c r="T1771" i="23"/>
  <c r="T1770" i="23"/>
  <c r="T1769" i="23"/>
  <c r="T1768" i="23"/>
  <c r="T1767" i="23"/>
  <c r="T1766" i="23"/>
  <c r="T1764" i="23"/>
  <c r="T1763" i="23"/>
  <c r="T1762" i="23"/>
  <c r="T1755" i="23"/>
  <c r="T1754" i="23"/>
  <c r="T1753" i="23"/>
  <c r="T1752" i="23"/>
  <c r="T1751" i="23"/>
  <c r="T1750" i="23"/>
  <c r="T1748" i="23"/>
  <c r="T1747" i="23"/>
  <c r="T1746" i="23"/>
  <c r="T1739" i="23"/>
  <c r="T1738" i="23"/>
  <c r="T1737" i="23"/>
  <c r="T1736" i="23"/>
  <c r="T1735" i="23"/>
  <c r="T1734" i="23"/>
  <c r="T1731" i="23"/>
  <c r="T1730" i="23"/>
  <c r="T1723" i="23"/>
  <c r="T1722" i="23"/>
  <c r="T1721" i="23"/>
  <c r="T1720" i="23"/>
  <c r="T1719" i="23"/>
  <c r="T1718" i="23"/>
  <c r="T1715" i="23"/>
  <c r="T1714" i="23"/>
  <c r="T1707" i="23"/>
  <c r="T1706" i="23"/>
  <c r="T1705" i="23"/>
  <c r="T1704" i="23"/>
  <c r="T1703" i="23"/>
  <c r="T1702" i="23"/>
  <c r="T1699" i="23"/>
  <c r="T1698" i="23"/>
  <c r="T1691" i="23"/>
  <c r="T1690" i="23"/>
  <c r="T1689" i="23"/>
  <c r="T1688" i="23"/>
  <c r="T1687" i="23"/>
  <c r="T1686" i="23"/>
  <c r="T1683" i="23"/>
  <c r="T1682" i="23"/>
  <c r="T1675" i="23"/>
  <c r="T1674" i="23"/>
  <c r="T1673" i="23"/>
  <c r="T1672" i="23"/>
  <c r="T1671" i="23"/>
  <c r="T1670" i="23"/>
  <c r="T1667" i="23"/>
  <c r="T1666" i="23"/>
  <c r="T1659" i="23"/>
  <c r="T1658" i="23"/>
  <c r="T1657" i="23"/>
  <c r="T1656" i="23"/>
  <c r="T1655" i="23"/>
  <c r="T1654" i="23"/>
  <c r="T1651" i="23"/>
  <c r="T1650" i="23"/>
  <c r="T1643" i="23"/>
  <c r="T1642" i="23"/>
  <c r="T1641" i="23"/>
  <c r="T1640" i="23"/>
  <c r="T1639" i="23"/>
  <c r="T1638" i="23"/>
  <c r="T1635" i="23"/>
  <c r="T1634" i="23"/>
  <c r="T1627" i="23"/>
  <c r="T1626" i="23"/>
  <c r="T1625" i="23"/>
  <c r="T1624" i="23"/>
  <c r="T1623" i="23"/>
  <c r="T1622" i="23"/>
  <c r="T1619" i="23"/>
  <c r="T1618" i="23"/>
  <c r="T1611" i="23"/>
  <c r="T1610" i="23"/>
  <c r="T1609" i="23"/>
  <c r="T1608" i="23"/>
  <c r="T1607" i="23"/>
  <c r="T1606" i="23"/>
  <c r="T1603" i="23"/>
  <c r="T1602" i="23"/>
  <c r="T1595" i="23"/>
  <c r="T1594" i="23"/>
  <c r="T1593" i="23"/>
  <c r="T1592" i="23"/>
  <c r="T1591" i="23"/>
  <c r="T1590" i="23"/>
  <c r="T1587" i="23"/>
  <c r="T1586" i="23"/>
  <c r="T1579" i="23"/>
  <c r="T1578" i="23"/>
  <c r="T1577" i="23"/>
  <c r="T1576" i="23"/>
  <c r="T1575" i="23"/>
  <c r="T1574" i="23"/>
  <c r="T1571" i="23"/>
  <c r="T1570" i="23"/>
  <c r="T1563" i="23"/>
  <c r="T1562" i="23"/>
  <c r="T1561" i="23"/>
  <c r="T1560" i="23"/>
  <c r="T1559" i="23"/>
  <c r="T1558" i="23"/>
  <c r="T1555" i="23"/>
  <c r="T1554" i="23"/>
  <c r="T1547" i="23"/>
  <c r="T1546" i="23"/>
  <c r="T1545" i="23"/>
  <c r="T1544" i="23"/>
  <c r="T1543" i="23"/>
  <c r="T1542" i="23"/>
  <c r="T1539" i="23"/>
  <c r="T1538" i="23"/>
  <c r="T1530" i="23"/>
  <c r="T1529" i="23"/>
  <c r="T1528" i="23"/>
  <c r="T1527" i="23"/>
  <c r="T1523" i="23"/>
  <c r="T1522" i="23"/>
  <c r="T1514" i="23"/>
  <c r="T1513" i="23"/>
  <c r="T1512" i="23"/>
  <c r="T1507" i="23"/>
  <c r="T1506" i="23"/>
  <c r="T1498" i="23"/>
  <c r="T1497" i="23"/>
  <c r="T1496" i="23"/>
  <c r="T1491" i="23"/>
  <c r="T1490" i="23"/>
  <c r="T1482" i="23"/>
  <c r="T1481" i="23"/>
  <c r="T1480" i="23"/>
  <c r="T1475" i="23"/>
  <c r="T1474" i="23"/>
  <c r="T1466" i="23"/>
  <c r="T1465" i="23"/>
  <c r="T1464" i="23"/>
  <c r="T1459" i="23"/>
  <c r="T1458" i="23"/>
  <c r="T1449" i="23"/>
  <c r="T1448" i="23"/>
  <c r="T1443" i="23"/>
  <c r="T1442" i="23"/>
  <c r="T1433" i="23"/>
  <c r="T1432" i="23"/>
  <c r="T1427" i="23"/>
  <c r="T1426" i="23"/>
  <c r="T1417" i="23"/>
  <c r="T1416" i="23"/>
  <c r="T1411" i="23"/>
  <c r="T1410" i="23"/>
  <c r="T1401" i="23"/>
  <c r="T1400" i="23"/>
  <c r="T1395" i="23"/>
  <c r="T1394" i="23"/>
  <c r="T1385" i="23"/>
  <c r="T1384" i="23"/>
  <c r="T1379" i="23"/>
  <c r="T1378" i="23"/>
  <c r="T1369" i="23"/>
  <c r="T1368" i="23"/>
  <c r="T1363" i="23"/>
  <c r="T1353" i="23"/>
  <c r="T1337" i="23"/>
  <c r="D18" i="22"/>
  <c r="E18" i="22" s="1"/>
  <c r="M119" i="22"/>
  <c r="D19" i="22"/>
  <c r="E19" i="22" s="1"/>
  <c r="M134" i="22"/>
  <c r="B46" i="22"/>
  <c r="B44" i="22"/>
  <c r="C44" i="22" s="1"/>
  <c r="D44" i="22" s="1"/>
  <c r="E44" i="22" s="1"/>
  <c r="F44" i="22" s="1"/>
  <c r="B43" i="22"/>
  <c r="C43" i="22" s="1"/>
  <c r="D43" i="22" s="1"/>
  <c r="E43" i="22" s="1"/>
  <c r="F43" i="22" s="1"/>
  <c r="B42" i="22"/>
  <c r="C42" i="22" s="1"/>
  <c r="G49" i="10"/>
  <c r="H49" i="10"/>
  <c r="E49" i="10"/>
  <c r="T49" i="23"/>
  <c r="T33" i="23"/>
  <c r="T17" i="23"/>
  <c r="T624" i="23"/>
  <c r="T608" i="23"/>
  <c r="T592" i="23"/>
  <c r="T576" i="23"/>
  <c r="T560" i="23"/>
  <c r="T544" i="23"/>
  <c r="T528" i="23"/>
  <c r="T512" i="23"/>
  <c r="T496" i="23"/>
  <c r="T480" i="23"/>
  <c r="T464" i="23"/>
  <c r="T448" i="23"/>
  <c r="T432" i="23"/>
  <c r="T416" i="23"/>
  <c r="T400" i="23"/>
  <c r="T384" i="23"/>
  <c r="T368" i="23"/>
  <c r="T352" i="23"/>
  <c r="T336" i="23"/>
  <c r="T320" i="23"/>
  <c r="T304" i="23"/>
  <c r="T288" i="23"/>
  <c r="T272" i="23"/>
  <c r="T256" i="23"/>
  <c r="T240" i="23"/>
  <c r="T224" i="23"/>
  <c r="T208" i="23"/>
  <c r="T192" i="23"/>
  <c r="T176" i="23"/>
  <c r="T160" i="23"/>
  <c r="T144" i="23"/>
  <c r="T128" i="23"/>
  <c r="T112" i="23"/>
  <c r="T96" i="23"/>
  <c r="T80" i="23"/>
  <c r="T64" i="23"/>
  <c r="T48" i="23"/>
  <c r="T32" i="23"/>
  <c r="T16" i="23"/>
  <c r="T623" i="23"/>
  <c r="T607" i="23"/>
  <c r="T591" i="23"/>
  <c r="T575" i="23"/>
  <c r="T559" i="23"/>
  <c r="T543" i="23"/>
  <c r="T527" i="23"/>
  <c r="T511" i="23"/>
  <c r="T495" i="23"/>
  <c r="T479" i="23"/>
  <c r="T463" i="23"/>
  <c r="T447" i="23"/>
  <c r="T431" i="23"/>
  <c r="T415" i="23"/>
  <c r="T399" i="23"/>
  <c r="T383" i="23"/>
  <c r="T367" i="23"/>
  <c r="T351" i="23"/>
  <c r="T335" i="23"/>
  <c r="T319" i="23"/>
  <c r="T303" i="23"/>
  <c r="T287" i="23"/>
  <c r="T271" i="23"/>
  <c r="T255" i="23"/>
  <c r="T239" i="23"/>
  <c r="T223" i="23"/>
  <c r="T207" i="23"/>
  <c r="T191" i="23"/>
  <c r="T175" i="23"/>
  <c r="T159" i="23"/>
  <c r="T143" i="23"/>
  <c r="T127" i="23"/>
  <c r="T111" i="23"/>
  <c r="T95" i="23"/>
  <c r="T79" i="23"/>
  <c r="T63" i="23"/>
  <c r="T47" i="23"/>
  <c r="T31" i="23"/>
  <c r="T15" i="23"/>
  <c r="T638" i="23"/>
  <c r="T622" i="23"/>
  <c r="T606" i="23"/>
  <c r="T590" i="23"/>
  <c r="T574" i="23"/>
  <c r="T558" i="23"/>
  <c r="T542" i="23"/>
  <c r="T526" i="23"/>
  <c r="T510" i="23"/>
  <c r="T494" i="23"/>
  <c r="T478" i="23"/>
  <c r="T462" i="23"/>
  <c r="T446" i="23"/>
  <c r="T430" i="23"/>
  <c r="T414" i="23"/>
  <c r="T398" i="23"/>
  <c r="T382" i="23"/>
  <c r="T366" i="23"/>
  <c r="T350" i="23"/>
  <c r="T334" i="23"/>
  <c r="T318" i="23"/>
  <c r="T302" i="23"/>
  <c r="T286" i="23"/>
  <c r="T270" i="23"/>
  <c r="T254" i="23"/>
  <c r="T238" i="23"/>
  <c r="T222" i="23"/>
  <c r="T206" i="23"/>
  <c r="T190" i="23"/>
  <c r="T174" i="23"/>
  <c r="T158" i="23"/>
  <c r="T142" i="23"/>
  <c r="T126" i="23"/>
  <c r="T110" i="23"/>
  <c r="T94" i="23"/>
  <c r="T78" i="23"/>
  <c r="T62" i="23"/>
  <c r="T46" i="23"/>
  <c r="T30" i="23"/>
  <c r="T14" i="23"/>
  <c r="T589" i="23"/>
  <c r="T573" i="23"/>
  <c r="T557" i="23"/>
  <c r="T541" i="23"/>
  <c r="T525" i="23"/>
  <c r="T509" i="23"/>
  <c r="T493" i="23"/>
  <c r="T477" i="23"/>
  <c r="T461" i="23"/>
  <c r="T445" i="23"/>
  <c r="T429" i="23"/>
  <c r="T413" i="23"/>
  <c r="T397" i="23"/>
  <c r="T381" i="23"/>
  <c r="T365" i="23"/>
  <c r="T349" i="23"/>
  <c r="T333" i="23"/>
  <c r="T317" i="23"/>
  <c r="T301" i="23"/>
  <c r="T285" i="23"/>
  <c r="T269" i="23"/>
  <c r="T253" i="23"/>
  <c r="T237" i="23"/>
  <c r="T221" i="23"/>
  <c r="T205" i="23"/>
  <c r="T189" i="23"/>
  <c r="T173" i="23"/>
  <c r="T157" i="23"/>
  <c r="T141" i="23"/>
  <c r="T125" i="23"/>
  <c r="T109" i="23"/>
  <c r="T93" i="23"/>
  <c r="T77" i="23"/>
  <c r="T61" i="23"/>
  <c r="T45" i="23"/>
  <c r="T29" i="23"/>
  <c r="T13" i="23"/>
  <c r="T380" i="23"/>
  <c r="T364" i="23"/>
  <c r="T348" i="23"/>
  <c r="T332" i="23"/>
  <c r="T316" i="23"/>
  <c r="T300" i="23"/>
  <c r="T284" i="23"/>
  <c r="T268" i="23"/>
  <c r="T252" i="23"/>
  <c r="T236" i="23"/>
  <c r="T220" i="23"/>
  <c r="T204" i="23"/>
  <c r="T188" i="23"/>
  <c r="T172" i="23"/>
  <c r="T156" i="23"/>
  <c r="T140" i="23"/>
  <c r="T124" i="23"/>
  <c r="T108" i="23"/>
  <c r="T92" i="23"/>
  <c r="T76" i="23"/>
  <c r="T60" i="23"/>
  <c r="T44" i="23"/>
  <c r="T28" i="23"/>
  <c r="T12" i="23"/>
  <c r="T619" i="23"/>
  <c r="T603" i="23"/>
  <c r="T587" i="23"/>
  <c r="T571" i="23"/>
  <c r="T555" i="23"/>
  <c r="T539" i="23"/>
  <c r="T523" i="23"/>
  <c r="T507" i="23"/>
  <c r="T491" i="23"/>
  <c r="T475" i="23"/>
  <c r="T459" i="23"/>
  <c r="T443" i="23"/>
  <c r="T427" i="23"/>
  <c r="T411" i="23"/>
  <c r="T395" i="23"/>
  <c r="T379" i="23"/>
  <c r="T363" i="23"/>
  <c r="T347" i="23"/>
  <c r="T331" i="23"/>
  <c r="T315" i="23"/>
  <c r="T299" i="23"/>
  <c r="T283" i="23"/>
  <c r="T267" i="23"/>
  <c r="T251" i="23"/>
  <c r="T235" i="23"/>
  <c r="T219" i="23"/>
  <c r="T203" i="23"/>
  <c r="T187" i="23"/>
  <c r="T171" i="23"/>
  <c r="T155" i="23"/>
  <c r="T139" i="23"/>
  <c r="T123" i="23"/>
  <c r="T107" i="23"/>
  <c r="T91" i="23"/>
  <c r="T75" i="23"/>
  <c r="T59" i="23"/>
  <c r="T43" i="23"/>
  <c r="T27" i="23"/>
  <c r="T11" i="23"/>
  <c r="T618" i="23"/>
  <c r="T602" i="23"/>
  <c r="T586" i="23"/>
  <c r="T570" i="23"/>
  <c r="T554" i="23"/>
  <c r="T538" i="23"/>
  <c r="T522" i="23"/>
  <c r="T506" i="23"/>
  <c r="T490" i="23"/>
  <c r="T474" i="23"/>
  <c r="T458" i="23"/>
  <c r="T442" i="23"/>
  <c r="T426" i="23"/>
  <c r="T410" i="23"/>
  <c r="T394" i="23"/>
  <c r="T378" i="23"/>
  <c r="T362" i="23"/>
  <c r="T346" i="23"/>
  <c r="T330" i="23"/>
  <c r="T314" i="23"/>
  <c r="T298" i="23"/>
  <c r="T282" i="23"/>
  <c r="T266" i="23"/>
  <c r="T250" i="23"/>
  <c r="T234" i="23"/>
  <c r="T218" i="23"/>
  <c r="T202" i="23"/>
  <c r="T186" i="23"/>
  <c r="T170" i="23"/>
  <c r="T154" i="23"/>
  <c r="T138" i="23"/>
  <c r="T122" i="23"/>
  <c r="T106" i="23"/>
  <c r="T90" i="23"/>
  <c r="T74" i="23"/>
  <c r="T58" i="23"/>
  <c r="T42" i="23"/>
  <c r="T26" i="23"/>
  <c r="T10" i="23"/>
  <c r="T633" i="23"/>
  <c r="T617" i="23"/>
  <c r="T601" i="23"/>
  <c r="T585" i="23"/>
  <c r="T569" i="23"/>
  <c r="T553" i="23"/>
  <c r="T537" i="23"/>
  <c r="T521" i="23"/>
  <c r="T505" i="23"/>
  <c r="T489" i="23"/>
  <c r="T473" i="23"/>
  <c r="T457" i="23"/>
  <c r="T441" i="23"/>
  <c r="T425" i="23"/>
  <c r="T409" i="23"/>
  <c r="T393" i="23"/>
  <c r="T377" i="23"/>
  <c r="T361" i="23"/>
  <c r="T345" i="23"/>
  <c r="T329" i="23"/>
  <c r="T313" i="23"/>
  <c r="T297" i="23"/>
  <c r="T281" i="23"/>
  <c r="T265" i="23"/>
  <c r="T249" i="23"/>
  <c r="T233" i="23"/>
  <c r="T217" i="23"/>
  <c r="T201" i="23"/>
  <c r="T185" i="23"/>
  <c r="T169" i="23"/>
  <c r="T153" i="23"/>
  <c r="T137" i="23"/>
  <c r="T121" i="23"/>
  <c r="T105" i="23"/>
  <c r="T89" i="23"/>
  <c r="T73" i="23"/>
  <c r="T57" i="23"/>
  <c r="T41" i="23"/>
  <c r="T25" i="23"/>
  <c r="T9" i="23"/>
  <c r="T279" i="23"/>
  <c r="T263" i="23"/>
  <c r="T247" i="23"/>
  <c r="T231" i="23"/>
  <c r="T215" i="23"/>
  <c r="T199" i="23"/>
  <c r="T183" i="23"/>
  <c r="T167" i="23"/>
  <c r="T151" i="23"/>
  <c r="T135" i="23"/>
  <c r="T119" i="23"/>
  <c r="T103" i="23"/>
  <c r="T87" i="23"/>
  <c r="T71" i="23"/>
  <c r="T55" i="23"/>
  <c r="T39" i="23"/>
  <c r="T23" i="23"/>
  <c r="T7" i="23"/>
  <c r="T164" i="23"/>
  <c r="T148" i="23"/>
  <c r="T132" i="23"/>
  <c r="T116" i="23"/>
  <c r="T100" i="23"/>
  <c r="T84" i="23"/>
  <c r="T68" i="23"/>
  <c r="T52" i="23"/>
  <c r="T36" i="23"/>
  <c r="T20" i="23"/>
  <c r="T611" i="23"/>
  <c r="T595" i="23"/>
  <c r="T579" i="23"/>
  <c r="T563" i="23"/>
  <c r="T547" i="23"/>
  <c r="T531" i="23"/>
  <c r="T515" i="23"/>
  <c r="T499" i="23"/>
  <c r="T483" i="23"/>
  <c r="T467" i="23"/>
  <c r="T451" i="23"/>
  <c r="T435" i="23"/>
  <c r="T419" i="23"/>
  <c r="T403" i="23"/>
  <c r="T387" i="23"/>
  <c r="T371" i="23"/>
  <c r="T355" i="23"/>
  <c r="T339" i="23"/>
  <c r="T323" i="23"/>
  <c r="T307" i="23"/>
  <c r="T291" i="23"/>
  <c r="T275" i="23"/>
  <c r="T259" i="23"/>
  <c r="T243" i="23"/>
  <c r="T227" i="23"/>
  <c r="T211" i="23"/>
  <c r="T195" i="23"/>
  <c r="T179" i="23"/>
  <c r="T163" i="23"/>
  <c r="T147" i="23"/>
  <c r="T131" i="23"/>
  <c r="T115" i="23"/>
  <c r="T99" i="23"/>
  <c r="T83" i="23"/>
  <c r="T67" i="23"/>
  <c r="T51" i="23"/>
  <c r="T35" i="23"/>
  <c r="R944" i="23"/>
  <c r="R928" i="23"/>
  <c r="R912" i="23"/>
  <c r="R896" i="23"/>
  <c r="R880" i="23"/>
  <c r="R864" i="23"/>
  <c r="R848" i="23"/>
  <c r="R832" i="23"/>
  <c r="R816" i="23"/>
  <c r="R800" i="23"/>
  <c r="R784" i="23"/>
  <c r="R768" i="23"/>
  <c r="R752" i="23"/>
  <c r="R736" i="23"/>
  <c r="R720" i="23"/>
  <c r="R704" i="23"/>
  <c r="R688" i="23"/>
  <c r="R672" i="23"/>
  <c r="R656" i="23"/>
  <c r="R640" i="23"/>
  <c r="R624" i="23"/>
  <c r="R608" i="23"/>
  <c r="R592" i="23"/>
  <c r="R576" i="23"/>
  <c r="R560" i="23"/>
  <c r="R544" i="23"/>
  <c r="R528" i="23"/>
  <c r="R512" i="23"/>
  <c r="R496" i="23"/>
  <c r="R480" i="23"/>
  <c r="R464" i="23"/>
  <c r="R448" i="23"/>
  <c r="R432" i="23"/>
  <c r="R416" i="23"/>
  <c r="R400" i="23"/>
  <c r="R384" i="23"/>
  <c r="R368" i="23"/>
  <c r="R352" i="23"/>
  <c r="R336" i="23"/>
  <c r="R320" i="23"/>
  <c r="R304" i="23"/>
  <c r="R288" i="23"/>
  <c r="R272" i="23"/>
  <c r="R256" i="23"/>
  <c r="R240" i="23"/>
  <c r="R224" i="23"/>
  <c r="R208" i="23"/>
  <c r="R192" i="23"/>
  <c r="R176" i="23"/>
  <c r="R160" i="23"/>
  <c r="R144" i="23"/>
  <c r="R128" i="23"/>
  <c r="R112" i="23"/>
  <c r="R96" i="23"/>
  <c r="R80" i="23"/>
  <c r="R64" i="23"/>
  <c r="R48" i="23"/>
  <c r="R32" i="23"/>
  <c r="R16" i="23"/>
  <c r="R15" i="23"/>
  <c r="R1358" i="23"/>
  <c r="R1342" i="23"/>
  <c r="R1326" i="23"/>
  <c r="R1310" i="23"/>
  <c r="R1294" i="23"/>
  <c r="R1278" i="23"/>
  <c r="R1262" i="23"/>
  <c r="R1246" i="23"/>
  <c r="R1230" i="23"/>
  <c r="R1214" i="23"/>
  <c r="R1198" i="23"/>
  <c r="R1182" i="23"/>
  <c r="R1166" i="23"/>
  <c r="R1150" i="23"/>
  <c r="R1134" i="23"/>
  <c r="R1118" i="23"/>
  <c r="R1102" i="23"/>
  <c r="R1086" i="23"/>
  <c r="R1070" i="23"/>
  <c r="R1054" i="23"/>
  <c r="R1038" i="23"/>
  <c r="R1022" i="23"/>
  <c r="R1006" i="23"/>
  <c r="R990" i="23"/>
  <c r="R974" i="23"/>
  <c r="R958" i="23"/>
  <c r="R942" i="23"/>
  <c r="R926" i="23"/>
  <c r="R910" i="23"/>
  <c r="R894" i="23"/>
  <c r="R878" i="23"/>
  <c r="R862" i="23"/>
  <c r="R846" i="23"/>
  <c r="R830" i="23"/>
  <c r="R814" i="23"/>
  <c r="R798" i="23"/>
  <c r="R782" i="23"/>
  <c r="R766" i="23"/>
  <c r="R750" i="23"/>
  <c r="R734" i="23"/>
  <c r="R718" i="23"/>
  <c r="R702" i="23"/>
  <c r="R686" i="23"/>
  <c r="R670" i="23"/>
  <c r="R654" i="23"/>
  <c r="R638" i="23"/>
  <c r="R622" i="23"/>
  <c r="R606" i="23"/>
  <c r="R590" i="23"/>
  <c r="R574" i="23"/>
  <c r="R558" i="23"/>
  <c r="R542" i="23"/>
  <c r="R526" i="23"/>
  <c r="R510" i="23"/>
  <c r="R494" i="23"/>
  <c r="R478" i="23"/>
  <c r="R462" i="23"/>
  <c r="R446" i="23"/>
  <c r="R430" i="23"/>
  <c r="R414" i="23"/>
  <c r="R398" i="23"/>
  <c r="R382" i="23"/>
  <c r="R366" i="23"/>
  <c r="R350" i="23"/>
  <c r="R334" i="23"/>
  <c r="R318" i="23"/>
  <c r="R302" i="23"/>
  <c r="R286" i="23"/>
  <c r="R270" i="23"/>
  <c r="R254" i="23"/>
  <c r="R238" i="23"/>
  <c r="R222" i="23"/>
  <c r="R206" i="23"/>
  <c r="R190" i="23"/>
  <c r="R174" i="23"/>
  <c r="R158" i="23"/>
  <c r="R142" i="23"/>
  <c r="R126" i="23"/>
  <c r="R110" i="23"/>
  <c r="R94" i="23"/>
  <c r="R78" i="23"/>
  <c r="R62" i="23"/>
  <c r="R46" i="23"/>
  <c r="R30" i="23"/>
  <c r="R14" i="23"/>
  <c r="R1197" i="23"/>
  <c r="R1181" i="23"/>
  <c r="R1165" i="23"/>
  <c r="R1149" i="23"/>
  <c r="R1133" i="23"/>
  <c r="R1117" i="23"/>
  <c r="R1101" i="23"/>
  <c r="R1085" i="23"/>
  <c r="R1069" i="23"/>
  <c r="R1053" i="23"/>
  <c r="R1037" i="23"/>
  <c r="R1021" i="23"/>
  <c r="R1005" i="23"/>
  <c r="R989" i="23"/>
  <c r="R973" i="23"/>
  <c r="R957" i="23"/>
  <c r="R941" i="23"/>
  <c r="R925" i="23"/>
  <c r="R909" i="23"/>
  <c r="R893" i="23"/>
  <c r="R877" i="23"/>
  <c r="R861" i="23"/>
  <c r="R845" i="23"/>
  <c r="R829" i="23"/>
  <c r="R813" i="23"/>
  <c r="R797" i="23"/>
  <c r="R781" i="23"/>
  <c r="R765" i="23"/>
  <c r="R749" i="23"/>
  <c r="R733" i="23"/>
  <c r="R717" i="23"/>
  <c r="R701" i="23"/>
  <c r="R685" i="23"/>
  <c r="R669" i="23"/>
  <c r="R653" i="23"/>
  <c r="R637" i="23"/>
  <c r="R621" i="23"/>
  <c r="R605" i="23"/>
  <c r="R589" i="23"/>
  <c r="R573" i="23"/>
  <c r="R557" i="23"/>
  <c r="R541" i="23"/>
  <c r="R525" i="23"/>
  <c r="R509" i="23"/>
  <c r="R493" i="23"/>
  <c r="R477" i="23"/>
  <c r="R461" i="23"/>
  <c r="R445" i="23"/>
  <c r="R429" i="23"/>
  <c r="R413" i="23"/>
  <c r="R397" i="23"/>
  <c r="R381" i="23"/>
  <c r="R365" i="23"/>
  <c r="R349" i="23"/>
  <c r="R333" i="23"/>
  <c r="R317" i="23"/>
  <c r="R301" i="23"/>
  <c r="R285" i="23"/>
  <c r="R269" i="23"/>
  <c r="R253" i="23"/>
  <c r="R237" i="23"/>
  <c r="R221" i="23"/>
  <c r="R205" i="23"/>
  <c r="R189" i="23"/>
  <c r="R173" i="23"/>
  <c r="R157" i="23"/>
  <c r="R141" i="23"/>
  <c r="R125" i="23"/>
  <c r="R109" i="23"/>
  <c r="R93" i="23"/>
  <c r="R77" i="23"/>
  <c r="R61" i="23"/>
  <c r="R45" i="23"/>
  <c r="R29" i="23"/>
  <c r="R13" i="23"/>
  <c r="R1196" i="23"/>
  <c r="R1180" i="23"/>
  <c r="R1164" i="23"/>
  <c r="R1148" i="23"/>
  <c r="R1132" i="23"/>
  <c r="R1116" i="23"/>
  <c r="R1100" i="23"/>
  <c r="R1084" i="23"/>
  <c r="R1068" i="23"/>
  <c r="R1052" i="23"/>
  <c r="R1036" i="23"/>
  <c r="R1020" i="23"/>
  <c r="R1004" i="23"/>
  <c r="R988" i="23"/>
  <c r="R972" i="23"/>
  <c r="R956" i="23"/>
  <c r="R940" i="23"/>
  <c r="R924" i="23"/>
  <c r="R908" i="23"/>
  <c r="R892" i="23"/>
  <c r="R876" i="23"/>
  <c r="R860" i="23"/>
  <c r="R844" i="23"/>
  <c r="R828" i="23"/>
  <c r="R812" i="23"/>
  <c r="R796" i="23"/>
  <c r="R780" i="23"/>
  <c r="R764" i="23"/>
  <c r="R748" i="23"/>
  <c r="R732" i="23"/>
  <c r="R716" i="23"/>
  <c r="R700" i="23"/>
  <c r="R684" i="23"/>
  <c r="R668" i="23"/>
  <c r="R652" i="23"/>
  <c r="R636" i="23"/>
  <c r="R620" i="23"/>
  <c r="R604" i="23"/>
  <c r="R588" i="23"/>
  <c r="R572" i="23"/>
  <c r="R556" i="23"/>
  <c r="R540" i="23"/>
  <c r="R524" i="23"/>
  <c r="R508" i="23"/>
  <c r="R492" i="23"/>
  <c r="R476" i="23"/>
  <c r="R460" i="23"/>
  <c r="R444" i="23"/>
  <c r="R428" i="23"/>
  <c r="R412" i="23"/>
  <c r="R396" i="23"/>
  <c r="R380" i="23"/>
  <c r="R364" i="23"/>
  <c r="R348" i="23"/>
  <c r="R332" i="23"/>
  <c r="R316" i="23"/>
  <c r="R300" i="23"/>
  <c r="R284" i="23"/>
  <c r="R268" i="23"/>
  <c r="R252" i="23"/>
  <c r="R236" i="23"/>
  <c r="R220" i="23"/>
  <c r="R204" i="23"/>
  <c r="R188" i="23"/>
  <c r="R172" i="23"/>
  <c r="R156" i="23"/>
  <c r="R140" i="23"/>
  <c r="R124" i="23"/>
  <c r="R108" i="23"/>
  <c r="R92" i="23"/>
  <c r="R76" i="23"/>
  <c r="R60" i="23"/>
  <c r="R44" i="23"/>
  <c r="R28" i="23"/>
  <c r="R12" i="23"/>
  <c r="R171" i="23"/>
  <c r="R155" i="23"/>
  <c r="R139" i="23"/>
  <c r="R123" i="23"/>
  <c r="R107" i="23"/>
  <c r="R91" i="23"/>
  <c r="R75" i="23"/>
  <c r="R59" i="23"/>
  <c r="R43" i="23"/>
  <c r="R27" i="23"/>
  <c r="R11" i="23"/>
  <c r="R1349" i="23"/>
  <c r="R1333" i="23"/>
  <c r="R1317" i="23"/>
  <c r="R1301" i="23"/>
  <c r="R1285" i="23"/>
  <c r="R1269" i="23"/>
  <c r="R1253" i="23"/>
  <c r="R1237" i="23"/>
  <c r="R1221" i="23"/>
  <c r="R1205" i="23"/>
  <c r="R1189" i="23"/>
  <c r="R1173" i="23"/>
  <c r="R1157" i="23"/>
  <c r="R1141" i="23"/>
  <c r="R1125" i="23"/>
  <c r="R1109" i="23"/>
  <c r="R1093" i="23"/>
  <c r="R1077" i="23"/>
  <c r="R1061" i="23"/>
  <c r="R1045" i="23"/>
  <c r="R1029" i="23"/>
  <c r="R1013" i="23"/>
  <c r="R997" i="23"/>
  <c r="R981" i="23"/>
  <c r="R965" i="23"/>
  <c r="R949" i="23"/>
  <c r="R933" i="23"/>
  <c r="R917" i="23"/>
  <c r="R901" i="23"/>
  <c r="R885" i="23"/>
  <c r="R869" i="23"/>
  <c r="R853" i="23"/>
  <c r="R837" i="23"/>
  <c r="R821" i="23"/>
  <c r="R805" i="23"/>
  <c r="R789" i="23"/>
  <c r="R773" i="23"/>
  <c r="R757" i="23"/>
  <c r="R741" i="23"/>
  <c r="R725" i="23"/>
  <c r="R709" i="23"/>
  <c r="R693" i="23"/>
  <c r="R677" i="23"/>
  <c r="R661" i="23"/>
  <c r="R645" i="23"/>
  <c r="R629" i="23"/>
  <c r="R613" i="23"/>
  <c r="R597" i="23"/>
  <c r="R581" i="23"/>
  <c r="R565" i="23"/>
  <c r="R549" i="23"/>
  <c r="R533" i="23"/>
  <c r="R517" i="23"/>
  <c r="R501" i="23"/>
  <c r="R485" i="23"/>
  <c r="R469" i="23"/>
  <c r="R453" i="23"/>
  <c r="R437" i="23"/>
  <c r="R421" i="23"/>
  <c r="R405" i="23"/>
  <c r="R389" i="23"/>
  <c r="R373" i="23"/>
  <c r="R357" i="23"/>
  <c r="R341" i="23"/>
  <c r="R325" i="23"/>
  <c r="R309" i="23"/>
  <c r="R293" i="23"/>
  <c r="R277" i="23"/>
  <c r="R261" i="23"/>
  <c r="R245" i="23"/>
  <c r="R229" i="23"/>
  <c r="R213" i="23"/>
  <c r="R197" i="23"/>
  <c r="R181" i="23"/>
  <c r="R165" i="23"/>
  <c r="R149" i="23"/>
  <c r="R133" i="23"/>
  <c r="R117" i="23"/>
  <c r="R101" i="23"/>
  <c r="R85" i="23"/>
  <c r="R69" i="23"/>
  <c r="R53" i="23"/>
  <c r="R37" i="23"/>
  <c r="R21" i="23"/>
  <c r="R5" i="23" l="1"/>
  <c r="R6" i="23"/>
  <c r="R7" i="23"/>
  <c r="R8" i="23"/>
  <c r="R9" i="23"/>
  <c r="R10" i="23"/>
  <c r="R17" i="23"/>
  <c r="R18" i="23"/>
  <c r="R20" i="23"/>
  <c r="R22" i="23"/>
  <c r="R23" i="23"/>
  <c r="R24" i="23"/>
  <c r="R25" i="23"/>
  <c r="R26" i="23"/>
  <c r="R31" i="23"/>
  <c r="R33" i="23"/>
  <c r="R34" i="23"/>
  <c r="R36" i="23"/>
  <c r="R38" i="23"/>
  <c r="R39" i="23"/>
  <c r="R40" i="23"/>
  <c r="R41" i="23"/>
  <c r="R42" i="23"/>
  <c r="R47" i="23"/>
  <c r="R49" i="23"/>
  <c r="R50" i="23"/>
  <c r="R51" i="23"/>
  <c r="R52" i="23"/>
  <c r="R54" i="23"/>
  <c r="R55" i="23"/>
  <c r="R56" i="23"/>
  <c r="R57" i="23"/>
  <c r="R58" i="23"/>
  <c r="R63" i="23"/>
  <c r="R65" i="23"/>
  <c r="R66" i="23"/>
  <c r="R68" i="23"/>
  <c r="R70" i="23"/>
  <c r="R71" i="23"/>
  <c r="R72" i="23"/>
  <c r="R73" i="23"/>
  <c r="R74" i="23"/>
  <c r="R79" i="23"/>
  <c r="R81" i="23"/>
  <c r="R82" i="23"/>
  <c r="R83" i="23"/>
  <c r="R84" i="23"/>
  <c r="R86" i="23"/>
  <c r="R87" i="23"/>
  <c r="R88" i="23"/>
  <c r="R89" i="23"/>
  <c r="R90" i="23"/>
  <c r="R95" i="23"/>
  <c r="R97" i="23"/>
  <c r="R98" i="23"/>
  <c r="R99" i="23"/>
  <c r="R100" i="23"/>
  <c r="R102" i="23"/>
  <c r="R103" i="23"/>
  <c r="R104" i="23"/>
  <c r="R105" i="23"/>
  <c r="R106" i="23"/>
  <c r="R111" i="23"/>
  <c r="R113" i="23"/>
  <c r="R114" i="23"/>
  <c r="R116" i="23"/>
  <c r="R118" i="23"/>
  <c r="R119" i="23"/>
  <c r="R120" i="23"/>
  <c r="R121" i="23"/>
  <c r="R122" i="23"/>
  <c r="R127" i="23"/>
  <c r="R129" i="23"/>
  <c r="R130" i="23"/>
  <c r="R131" i="23"/>
  <c r="R132" i="23"/>
  <c r="R134" i="23"/>
  <c r="R135" i="23"/>
  <c r="R136" i="23"/>
  <c r="R137" i="23"/>
  <c r="R138" i="23"/>
  <c r="R143" i="23"/>
  <c r="R145" i="23"/>
  <c r="R146" i="23"/>
  <c r="R148" i="23"/>
  <c r="R150" i="23"/>
  <c r="R151" i="23"/>
  <c r="R152" i="23"/>
  <c r="R153" i="23"/>
  <c r="R154" i="23"/>
  <c r="R159" i="23"/>
  <c r="R161" i="23"/>
  <c r="R162" i="23"/>
  <c r="R164" i="23"/>
  <c r="R166" i="23"/>
  <c r="R167" i="23"/>
  <c r="R168" i="23"/>
  <c r="R169" i="23"/>
  <c r="R170" i="23"/>
  <c r="R175" i="23"/>
  <c r="R177" i="23"/>
  <c r="R178" i="23"/>
  <c r="R179" i="23"/>
  <c r="R180" i="23"/>
  <c r="R182" i="23"/>
  <c r="R183" i="23"/>
  <c r="R184" i="23"/>
  <c r="R185" i="23"/>
  <c r="R186" i="23"/>
  <c r="R187" i="23"/>
  <c r="R191" i="23"/>
  <c r="R193" i="23"/>
  <c r="R194" i="23"/>
  <c r="R195" i="23"/>
  <c r="R196" i="23"/>
  <c r="R198" i="23"/>
  <c r="R199" i="23"/>
  <c r="R200" i="23"/>
  <c r="R201" i="23"/>
  <c r="R202" i="23"/>
  <c r="R203" i="23"/>
  <c r="R207" i="23"/>
  <c r="R209" i="23"/>
  <c r="R210" i="23"/>
  <c r="R212" i="23"/>
  <c r="R214" i="23"/>
  <c r="R215" i="23"/>
  <c r="R216" i="23"/>
  <c r="R217" i="23"/>
  <c r="R218" i="23"/>
  <c r="R219" i="23"/>
  <c r="R223" i="23"/>
  <c r="R225" i="23"/>
  <c r="R226" i="23"/>
  <c r="R227" i="23"/>
  <c r="R228" i="23"/>
  <c r="R230" i="23"/>
  <c r="R231" i="23"/>
  <c r="R232" i="23"/>
  <c r="R233" i="23"/>
  <c r="R234" i="23"/>
  <c r="R235" i="23"/>
  <c r="R239" i="23"/>
  <c r="R241" i="23"/>
  <c r="R242" i="23"/>
  <c r="R244" i="23"/>
  <c r="R246" i="23"/>
  <c r="R247" i="23"/>
  <c r="R248" i="23"/>
  <c r="R249" i="23"/>
  <c r="R250" i="23"/>
  <c r="R251" i="23"/>
  <c r="R255" i="23"/>
  <c r="R257" i="23"/>
  <c r="R258" i="23"/>
  <c r="R260" i="23"/>
  <c r="R262" i="23"/>
  <c r="R263" i="23"/>
  <c r="R264" i="23"/>
  <c r="R265" i="23"/>
  <c r="R266" i="23"/>
  <c r="R267" i="23"/>
  <c r="R271" i="23"/>
  <c r="R273" i="23"/>
  <c r="R274" i="23"/>
  <c r="R275" i="23"/>
  <c r="R276" i="23"/>
  <c r="R278" i="23"/>
  <c r="R279" i="23"/>
  <c r="R280" i="23"/>
  <c r="R281" i="23"/>
  <c r="R282" i="23"/>
  <c r="R283" i="23"/>
  <c r="R287" i="23"/>
  <c r="R289" i="23"/>
  <c r="R290" i="23"/>
  <c r="R291" i="23"/>
  <c r="R292" i="23"/>
  <c r="R294" i="23"/>
  <c r="R295" i="23"/>
  <c r="R296" i="23"/>
  <c r="R297" i="23"/>
  <c r="R298" i="23"/>
  <c r="R299" i="23"/>
  <c r="R303" i="23"/>
  <c r="R305" i="23"/>
  <c r="R306" i="23"/>
  <c r="R308" i="23"/>
  <c r="R310" i="23"/>
  <c r="R311" i="23"/>
  <c r="R312" i="23"/>
  <c r="R313" i="23"/>
  <c r="R314" i="23"/>
  <c r="R315" i="23"/>
  <c r="R319" i="23"/>
  <c r="R321" i="23"/>
  <c r="R322" i="23"/>
  <c r="R324" i="23"/>
  <c r="R326" i="23"/>
  <c r="R327" i="23"/>
  <c r="R328" i="23"/>
  <c r="R329" i="23"/>
  <c r="R330" i="23"/>
  <c r="R331" i="23"/>
  <c r="R335" i="23"/>
  <c r="R337" i="23"/>
  <c r="R338" i="23"/>
  <c r="R339" i="23"/>
  <c r="R340" i="23"/>
  <c r="R342" i="23"/>
  <c r="R343" i="23"/>
  <c r="R344" i="23"/>
  <c r="R345" i="23"/>
  <c r="R346" i="23"/>
  <c r="R347" i="23"/>
  <c r="R351" i="23"/>
  <c r="R353" i="23"/>
  <c r="R354" i="23"/>
  <c r="R356" i="23"/>
  <c r="R358" i="23"/>
  <c r="R359" i="23"/>
  <c r="R360" i="23"/>
  <c r="R361" i="23"/>
  <c r="R362" i="23"/>
  <c r="R363" i="23"/>
  <c r="R367" i="23"/>
  <c r="R369" i="23"/>
  <c r="R370" i="23"/>
  <c r="R371" i="23"/>
  <c r="R372" i="23"/>
  <c r="R374" i="23"/>
  <c r="R375" i="23"/>
  <c r="R376" i="23"/>
  <c r="R377" i="23"/>
  <c r="R378" i="23"/>
  <c r="R379" i="23"/>
  <c r="R383" i="23"/>
  <c r="R385" i="23"/>
  <c r="R386" i="23"/>
  <c r="R387" i="23"/>
  <c r="R388" i="23"/>
  <c r="R390" i="23"/>
  <c r="R391" i="23"/>
  <c r="R392" i="23"/>
  <c r="R393" i="23"/>
  <c r="R394" i="23"/>
  <c r="R395" i="23"/>
  <c r="R399" i="23"/>
  <c r="R401" i="23"/>
  <c r="R402" i="23"/>
  <c r="R404" i="23"/>
  <c r="R406" i="23"/>
  <c r="R407" i="23"/>
  <c r="R408" i="23"/>
  <c r="R409" i="23"/>
  <c r="R410" i="23"/>
  <c r="R411" i="23"/>
  <c r="R415" i="23"/>
  <c r="R417" i="23"/>
  <c r="R418" i="23"/>
  <c r="R420" i="23"/>
  <c r="R422" i="23"/>
  <c r="R423" i="23"/>
  <c r="R424" i="23"/>
  <c r="R425" i="23"/>
  <c r="R426" i="23"/>
  <c r="R427" i="23"/>
  <c r="R431" i="23"/>
  <c r="R433" i="23"/>
  <c r="R434" i="23"/>
  <c r="R435" i="23"/>
  <c r="R436" i="23"/>
  <c r="R438" i="23"/>
  <c r="R439" i="23"/>
  <c r="R440" i="23"/>
  <c r="R441" i="23"/>
  <c r="R442" i="23"/>
  <c r="R443" i="23"/>
  <c r="R447" i="23"/>
  <c r="R449" i="23"/>
  <c r="R450" i="23"/>
  <c r="R451" i="23"/>
  <c r="R452" i="23"/>
  <c r="R454" i="23"/>
  <c r="R455" i="23"/>
  <c r="R456" i="23"/>
  <c r="R457" i="23"/>
  <c r="R458" i="23"/>
  <c r="R459" i="23"/>
  <c r="R463" i="23"/>
  <c r="R465" i="23"/>
  <c r="R466" i="23"/>
  <c r="R468" i="23"/>
  <c r="R470" i="23"/>
  <c r="R471" i="23"/>
  <c r="R472" i="23"/>
  <c r="R473" i="23"/>
  <c r="R474" i="23"/>
  <c r="R475" i="23"/>
  <c r="R479" i="23"/>
  <c r="R481" i="23"/>
  <c r="R482" i="23"/>
  <c r="R483" i="23"/>
  <c r="R484" i="23"/>
  <c r="R486" i="23"/>
  <c r="R487" i="23"/>
  <c r="R488" i="23"/>
  <c r="R489" i="23"/>
  <c r="R490" i="23"/>
  <c r="R491" i="23"/>
  <c r="R495" i="23"/>
  <c r="R497" i="23"/>
  <c r="R498" i="23"/>
  <c r="R500" i="23"/>
  <c r="R502" i="23"/>
  <c r="R503" i="23"/>
  <c r="R504" i="23"/>
  <c r="R505" i="23"/>
  <c r="R506" i="23"/>
  <c r="R507" i="23"/>
  <c r="R511" i="23"/>
  <c r="R513" i="23"/>
  <c r="R514" i="23"/>
  <c r="R516" i="23"/>
  <c r="R518" i="23"/>
  <c r="R519" i="23"/>
  <c r="R520" i="23"/>
  <c r="R521" i="23"/>
  <c r="R522" i="23"/>
  <c r="R523" i="23"/>
  <c r="R527" i="23"/>
  <c r="R529" i="23"/>
  <c r="R530" i="23"/>
  <c r="R531" i="23"/>
  <c r="R532" i="23"/>
  <c r="R534" i="23"/>
  <c r="R535" i="23"/>
  <c r="R536" i="23"/>
  <c r="R537" i="23"/>
  <c r="R538" i="23"/>
  <c r="R539" i="23"/>
  <c r="R543" i="23"/>
  <c r="R545" i="23"/>
  <c r="R546" i="23"/>
  <c r="R547" i="23"/>
  <c r="R548" i="23"/>
  <c r="R550" i="23"/>
  <c r="R551" i="23"/>
  <c r="R552" i="23"/>
  <c r="R553" i="23"/>
  <c r="R554" i="23"/>
  <c r="R555" i="23"/>
  <c r="R559" i="23"/>
  <c r="R561" i="23"/>
  <c r="R562" i="23"/>
  <c r="R564" i="23"/>
  <c r="R566" i="23"/>
  <c r="R567" i="23"/>
  <c r="R568" i="23"/>
  <c r="R569" i="23"/>
  <c r="R570" i="23"/>
  <c r="R571" i="23"/>
  <c r="R575" i="23"/>
  <c r="R577" i="23"/>
  <c r="R578" i="23"/>
  <c r="R580" i="23"/>
  <c r="R582" i="23"/>
  <c r="R583" i="23"/>
  <c r="R584" i="23"/>
  <c r="R585" i="23"/>
  <c r="R586" i="23"/>
  <c r="R587" i="23"/>
  <c r="R591" i="23"/>
  <c r="R593" i="23"/>
  <c r="R594" i="23"/>
  <c r="R595" i="23"/>
  <c r="R596" i="23"/>
  <c r="R598" i="23"/>
  <c r="R599" i="23"/>
  <c r="R600" i="23"/>
  <c r="R601" i="23"/>
  <c r="R602" i="23"/>
  <c r="R603" i="23"/>
  <c r="R607" i="23"/>
  <c r="R609" i="23"/>
  <c r="R610" i="23"/>
  <c r="R612" i="23"/>
  <c r="R614" i="23"/>
  <c r="R615" i="23"/>
  <c r="R616" i="23"/>
  <c r="R617" i="23"/>
  <c r="R618" i="23"/>
  <c r="R619" i="23"/>
  <c r="R623" i="23"/>
  <c r="R625" i="23"/>
  <c r="R626" i="23"/>
  <c r="R627" i="23"/>
  <c r="R628" i="23"/>
  <c r="R630" i="23"/>
  <c r="R631" i="23"/>
  <c r="R632" i="23"/>
  <c r="R633" i="23"/>
  <c r="R634" i="23"/>
  <c r="R635" i="23"/>
  <c r="R639" i="23"/>
  <c r="R641" i="23"/>
  <c r="R642" i="23"/>
  <c r="R643" i="23"/>
  <c r="R644" i="23"/>
  <c r="R646" i="23"/>
  <c r="R647" i="23"/>
  <c r="R648" i="23"/>
  <c r="R649" i="23"/>
  <c r="R650" i="23"/>
  <c r="R651" i="23"/>
  <c r="R655" i="23"/>
  <c r="R657" i="23"/>
  <c r="R658" i="23"/>
  <c r="R660" i="23"/>
  <c r="R662" i="23"/>
  <c r="R663" i="23"/>
  <c r="R664" i="23"/>
  <c r="R665" i="23"/>
  <c r="R666" i="23"/>
  <c r="R667" i="23"/>
  <c r="R671" i="23"/>
  <c r="R673" i="23"/>
  <c r="R674" i="23"/>
  <c r="R676" i="23"/>
  <c r="R678" i="23"/>
  <c r="R679" i="23"/>
  <c r="R680" i="23"/>
  <c r="R681" i="23"/>
  <c r="R682" i="23"/>
  <c r="R683" i="23"/>
  <c r="R687" i="23"/>
  <c r="R689" i="23"/>
  <c r="R690" i="23"/>
  <c r="R691" i="23"/>
  <c r="R692" i="23"/>
  <c r="R694" i="23"/>
  <c r="R695" i="23"/>
  <c r="R696" i="23"/>
  <c r="R697" i="23"/>
  <c r="R698" i="23"/>
  <c r="R699" i="23"/>
  <c r="R703" i="23"/>
  <c r="R705" i="23"/>
  <c r="R706" i="23"/>
  <c r="R707" i="23"/>
  <c r="R708" i="23"/>
  <c r="R710" i="23"/>
  <c r="R711" i="23"/>
  <c r="R712" i="23"/>
  <c r="R713" i="23"/>
  <c r="R714" i="23"/>
  <c r="R715" i="23"/>
  <c r="R719" i="23"/>
  <c r="R721" i="23"/>
  <c r="R722" i="23"/>
  <c r="R724" i="23"/>
  <c r="R726" i="23"/>
  <c r="R727" i="23"/>
  <c r="R728" i="23"/>
  <c r="R729" i="23"/>
  <c r="R730" i="23"/>
  <c r="R731" i="23"/>
  <c r="R735" i="23"/>
  <c r="R737" i="23"/>
  <c r="R738" i="23"/>
  <c r="R739" i="23"/>
  <c r="R740" i="23"/>
  <c r="R742" i="23"/>
  <c r="R743" i="23"/>
  <c r="R744" i="23"/>
  <c r="R745" i="23"/>
  <c r="R746" i="23"/>
  <c r="R747" i="23"/>
  <c r="R751" i="23"/>
  <c r="R753" i="23"/>
  <c r="R754" i="23"/>
  <c r="R756" i="23"/>
  <c r="R758" i="23"/>
  <c r="R759" i="23"/>
  <c r="R760" i="23"/>
  <c r="R761" i="23"/>
  <c r="R762" i="23"/>
  <c r="R763" i="23"/>
  <c r="R767" i="23"/>
  <c r="R769" i="23"/>
  <c r="R770" i="23"/>
  <c r="R772" i="23"/>
  <c r="R774" i="23"/>
  <c r="R775" i="23"/>
  <c r="R776" i="23"/>
  <c r="R777" i="23"/>
  <c r="R778" i="23"/>
  <c r="R779" i="23"/>
  <c r="R783" i="23"/>
  <c r="R785" i="23"/>
  <c r="R786" i="23"/>
  <c r="R787" i="23"/>
  <c r="R788" i="23"/>
  <c r="R790" i="23"/>
  <c r="R791" i="23"/>
  <c r="R792" i="23"/>
  <c r="R793" i="23"/>
  <c r="R794" i="23"/>
  <c r="R795" i="23"/>
  <c r="R799" i="23"/>
  <c r="R801" i="23"/>
  <c r="R802" i="23"/>
  <c r="R803" i="23"/>
  <c r="R804" i="23"/>
  <c r="R806" i="23"/>
  <c r="R807" i="23"/>
  <c r="R808" i="23"/>
  <c r="R809" i="23"/>
  <c r="R810" i="23"/>
  <c r="R811" i="23"/>
  <c r="R815" i="23"/>
  <c r="R817" i="23"/>
  <c r="R818" i="23"/>
  <c r="R820" i="23"/>
  <c r="R822" i="23"/>
  <c r="R823" i="23"/>
  <c r="R824" i="23"/>
  <c r="R825" i="23"/>
  <c r="R826" i="23"/>
  <c r="R827" i="23"/>
  <c r="R831" i="23"/>
  <c r="R833" i="23"/>
  <c r="R834" i="23"/>
  <c r="R836" i="23"/>
  <c r="R838" i="23"/>
  <c r="R839" i="23"/>
  <c r="R840" i="23"/>
  <c r="R841" i="23"/>
  <c r="R842" i="23"/>
  <c r="R843" i="23"/>
  <c r="R847" i="23"/>
  <c r="R849" i="23"/>
  <c r="R850" i="23"/>
  <c r="R851" i="23"/>
  <c r="R852" i="23"/>
  <c r="R854" i="23"/>
  <c r="R855" i="23"/>
  <c r="R856" i="23"/>
  <c r="R857" i="23"/>
  <c r="R858" i="23"/>
  <c r="R859" i="23"/>
  <c r="R863" i="23"/>
  <c r="R865" i="23"/>
  <c r="R866" i="23"/>
  <c r="R868" i="23"/>
  <c r="R870" i="23"/>
  <c r="R871" i="23"/>
  <c r="R872" i="23"/>
  <c r="R873" i="23"/>
  <c r="R874" i="23"/>
  <c r="R875" i="23"/>
  <c r="R879" i="23"/>
  <c r="R881" i="23"/>
  <c r="R882" i="23"/>
  <c r="R884" i="23"/>
  <c r="R886" i="23"/>
  <c r="R887" i="23"/>
  <c r="R888" i="23"/>
  <c r="R889" i="23"/>
  <c r="R890" i="23"/>
  <c r="R891" i="23"/>
  <c r="R895" i="23"/>
  <c r="R897" i="23"/>
  <c r="R898" i="23"/>
  <c r="R899" i="23"/>
  <c r="R900" i="23"/>
  <c r="R902" i="23"/>
  <c r="R903" i="23"/>
  <c r="R904" i="23"/>
  <c r="R905" i="23"/>
  <c r="R906" i="23"/>
  <c r="R907" i="23"/>
  <c r="R911" i="23"/>
  <c r="R913" i="23"/>
  <c r="R914" i="23"/>
  <c r="R916" i="23"/>
  <c r="R918" i="23"/>
  <c r="R919" i="23"/>
  <c r="R920" i="23"/>
  <c r="R921" i="23"/>
  <c r="R922" i="23"/>
  <c r="R923" i="23"/>
  <c r="R927" i="23"/>
  <c r="R929" i="23"/>
  <c r="R930" i="23"/>
  <c r="R932" i="23"/>
  <c r="R934" i="23"/>
  <c r="R935" i="23"/>
  <c r="R936" i="23"/>
  <c r="R937" i="23"/>
  <c r="R938" i="23"/>
  <c r="R939" i="23"/>
  <c r="R943" i="23"/>
  <c r="R945" i="23"/>
  <c r="R946" i="23"/>
  <c r="R947" i="23"/>
  <c r="R948" i="23"/>
  <c r="R950" i="23"/>
  <c r="R951" i="23"/>
  <c r="R952" i="23"/>
  <c r="R953" i="23"/>
  <c r="R954" i="23"/>
  <c r="R955" i="23"/>
  <c r="R959" i="23"/>
  <c r="R960" i="23"/>
  <c r="R961" i="23"/>
  <c r="R962" i="23"/>
  <c r="R964" i="23"/>
  <c r="R966" i="23"/>
  <c r="R967" i="23"/>
  <c r="R968" i="23"/>
  <c r="R969" i="23"/>
  <c r="R970" i="23"/>
  <c r="R971" i="23"/>
  <c r="R975" i="23"/>
  <c r="R976" i="23"/>
  <c r="R977" i="23"/>
  <c r="R978" i="23"/>
  <c r="R980" i="23"/>
  <c r="R982" i="23"/>
  <c r="R983" i="23"/>
  <c r="R984" i="23"/>
  <c r="R985" i="23"/>
  <c r="R986" i="23"/>
  <c r="R987" i="23"/>
  <c r="R991" i="23"/>
  <c r="R992" i="23"/>
  <c r="R993" i="23"/>
  <c r="R994" i="23"/>
  <c r="R996" i="23"/>
  <c r="R998" i="23"/>
  <c r="R999" i="23"/>
  <c r="R1000" i="23"/>
  <c r="R1001" i="23"/>
  <c r="R1002" i="23"/>
  <c r="R1003" i="23"/>
  <c r="R1007" i="23"/>
  <c r="R1008" i="23"/>
  <c r="R1009" i="23"/>
  <c r="R1010" i="23"/>
  <c r="R1011" i="23"/>
  <c r="R1012" i="23"/>
  <c r="R1014" i="23"/>
  <c r="R1015" i="23"/>
  <c r="R1016" i="23"/>
  <c r="R1017" i="23"/>
  <c r="R1018" i="23"/>
  <c r="R1019" i="23"/>
  <c r="R1023" i="23"/>
  <c r="R1024" i="23"/>
  <c r="R1025" i="23"/>
  <c r="R1026" i="23"/>
  <c r="R1028" i="23"/>
  <c r="R1030" i="23"/>
  <c r="R1031" i="23"/>
  <c r="R1032" i="23"/>
  <c r="R1033" i="23"/>
  <c r="R1034" i="23"/>
  <c r="R1035" i="23"/>
  <c r="R1039" i="23"/>
  <c r="R1040" i="23"/>
  <c r="R1041" i="23"/>
  <c r="R1042" i="23"/>
  <c r="R1044" i="23"/>
  <c r="R1046" i="23"/>
  <c r="R1047" i="23"/>
  <c r="R1048" i="23"/>
  <c r="R1049" i="23"/>
  <c r="R1050" i="23"/>
  <c r="R1051" i="23"/>
  <c r="R1055" i="23"/>
  <c r="R1056" i="23"/>
  <c r="R1057" i="23"/>
  <c r="R1058" i="23"/>
  <c r="R1060" i="23"/>
  <c r="R1062" i="23"/>
  <c r="R1063" i="23"/>
  <c r="R1064" i="23"/>
  <c r="R1065" i="23"/>
  <c r="R1066" i="23"/>
  <c r="R1067" i="23"/>
  <c r="R1071" i="23"/>
  <c r="R1072" i="23"/>
  <c r="R1073" i="23"/>
  <c r="R1074" i="23"/>
  <c r="R1075" i="23"/>
  <c r="R1076" i="23"/>
  <c r="R1078" i="23"/>
  <c r="R1079" i="23"/>
  <c r="R1080" i="23"/>
  <c r="R1081" i="23"/>
  <c r="R1082" i="23"/>
  <c r="R1083" i="23"/>
  <c r="R1087" i="23"/>
  <c r="R1088" i="23"/>
  <c r="R1089" i="23"/>
  <c r="R1090" i="23"/>
  <c r="R1092" i="23"/>
  <c r="R1094" i="23"/>
  <c r="R1095" i="23"/>
  <c r="R1096" i="23"/>
  <c r="R1097" i="23"/>
  <c r="R1098" i="23"/>
  <c r="R1099" i="23"/>
  <c r="R1103" i="23"/>
  <c r="R1104" i="23"/>
  <c r="R1105" i="23"/>
  <c r="R1106" i="23"/>
  <c r="R1108" i="23"/>
  <c r="R1110" i="23"/>
  <c r="R1111" i="23"/>
  <c r="R1112" i="23"/>
  <c r="R1113" i="23"/>
  <c r="R1114" i="23"/>
  <c r="R1115" i="23"/>
  <c r="R1119" i="23"/>
  <c r="R1120" i="23"/>
  <c r="R1121" i="23"/>
  <c r="R1122" i="23"/>
  <c r="R1124" i="23"/>
  <c r="R1126" i="23"/>
  <c r="R1127" i="23"/>
  <c r="R1128" i="23"/>
  <c r="R1129" i="23"/>
  <c r="R1130" i="23"/>
  <c r="R1131" i="23"/>
  <c r="R1135" i="23"/>
  <c r="R1136" i="23"/>
  <c r="R1137" i="23"/>
  <c r="R1138" i="23"/>
  <c r="R1139" i="23"/>
  <c r="R1140" i="23"/>
  <c r="R1142" i="23"/>
  <c r="R1143" i="23"/>
  <c r="R1144" i="23"/>
  <c r="R1146" i="23"/>
  <c r="R1147" i="23"/>
  <c r="R1151" i="23"/>
  <c r="R1152" i="23"/>
  <c r="R1153" i="23"/>
  <c r="R1154" i="23"/>
  <c r="R1156" i="23"/>
  <c r="R1158" i="23"/>
  <c r="R1159" i="23"/>
  <c r="R1160" i="23"/>
  <c r="R1161" i="23"/>
  <c r="R1162" i="23"/>
  <c r="R1163" i="23"/>
  <c r="R1167" i="23"/>
  <c r="R1168" i="23"/>
  <c r="R1169" i="23"/>
  <c r="R1170" i="23"/>
  <c r="R1172" i="23"/>
  <c r="R1174" i="23"/>
  <c r="R1175" i="23"/>
  <c r="R1176" i="23"/>
  <c r="R1177" i="23"/>
  <c r="R1178" i="23"/>
  <c r="R1179" i="23"/>
  <c r="R1183" i="23"/>
  <c r="R1184" i="23"/>
  <c r="R1185" i="23"/>
  <c r="R1186" i="23"/>
  <c r="R1188" i="23"/>
  <c r="R1190" i="23"/>
  <c r="R1191" i="23"/>
  <c r="R1192" i="23"/>
  <c r="R1193" i="23"/>
  <c r="R1194" i="23"/>
  <c r="R1195" i="23"/>
  <c r="R1199" i="23"/>
  <c r="R1200" i="23"/>
  <c r="R1201" i="23"/>
  <c r="R1202" i="23"/>
  <c r="R1203" i="23"/>
  <c r="R1204" i="23"/>
  <c r="R1206" i="23"/>
  <c r="R1207" i="23"/>
  <c r="R1208" i="23"/>
  <c r="R1210" i="23"/>
  <c r="R1211" i="23"/>
  <c r="R1212" i="23"/>
  <c r="R1213" i="23"/>
  <c r="R1215" i="23"/>
  <c r="R1216" i="23"/>
  <c r="R1217" i="23"/>
  <c r="R1218" i="23"/>
  <c r="R1219" i="23"/>
  <c r="R1220" i="23"/>
  <c r="R1222" i="23"/>
  <c r="R1223" i="23"/>
  <c r="R1224" i="23"/>
  <c r="R1225" i="23"/>
  <c r="R1226" i="23"/>
  <c r="R1227" i="23"/>
  <c r="R1228" i="23"/>
  <c r="R1229" i="23"/>
  <c r="R1231" i="23"/>
  <c r="R1232" i="23"/>
  <c r="R1233" i="23"/>
  <c r="R1234" i="23"/>
  <c r="R1236" i="23"/>
  <c r="R1238" i="23"/>
  <c r="R1239" i="23"/>
  <c r="R1240" i="23"/>
  <c r="R1241" i="23"/>
  <c r="R1242" i="23"/>
  <c r="R1243" i="23"/>
  <c r="R1244" i="23"/>
  <c r="R1245" i="23"/>
  <c r="R1247" i="23"/>
  <c r="R1248" i="23"/>
  <c r="R1249" i="23"/>
  <c r="R1250" i="23"/>
  <c r="R1252" i="23"/>
  <c r="R1254" i="23"/>
  <c r="R1255" i="23"/>
  <c r="R1256" i="23"/>
  <c r="R1257" i="23"/>
  <c r="R1258" i="23"/>
  <c r="R1259" i="23"/>
  <c r="R1260" i="23"/>
  <c r="R1261" i="23"/>
  <c r="R1263" i="23"/>
  <c r="R1264" i="23"/>
  <c r="R1265" i="23"/>
  <c r="R1266" i="23"/>
  <c r="R1268" i="23"/>
  <c r="R1270" i="23"/>
  <c r="R1271" i="23"/>
  <c r="R1272" i="23"/>
  <c r="R1273" i="23"/>
  <c r="R1274" i="23"/>
  <c r="R1275" i="23"/>
  <c r="R1276" i="23"/>
  <c r="R1277" i="23"/>
  <c r="R1279" i="23"/>
  <c r="R1280" i="23"/>
  <c r="R1281" i="23"/>
  <c r="R1284" i="23"/>
  <c r="R1286" i="23"/>
  <c r="R1287" i="23"/>
  <c r="R1288" i="23"/>
  <c r="R1289" i="23"/>
  <c r="R1290" i="23"/>
  <c r="R1291" i="23"/>
  <c r="R1292" i="23"/>
  <c r="R1293" i="23"/>
  <c r="R1295" i="23"/>
  <c r="R1296" i="23"/>
  <c r="R1297" i="23"/>
  <c r="R1298" i="23"/>
  <c r="R1300" i="23"/>
  <c r="R1302" i="23"/>
  <c r="R1303" i="23"/>
  <c r="R1304" i="23"/>
  <c r="R1305" i="23"/>
  <c r="R1306" i="23"/>
  <c r="R1307" i="23"/>
  <c r="R1308" i="23"/>
  <c r="R1309" i="23"/>
  <c r="R1311" i="23"/>
  <c r="R1312" i="23"/>
  <c r="R1313" i="23"/>
  <c r="R1314" i="23"/>
  <c r="R1315" i="23"/>
  <c r="R1316" i="23"/>
  <c r="R1318" i="23"/>
  <c r="R1321" i="23"/>
  <c r="R1322" i="23"/>
  <c r="R1323" i="23"/>
  <c r="R1324" i="23"/>
  <c r="R1325" i="23"/>
  <c r="R1327" i="23"/>
  <c r="R1328" i="23"/>
  <c r="R1329" i="23"/>
  <c r="R1330" i="23"/>
  <c r="R1331" i="23"/>
  <c r="R1332" i="23"/>
  <c r="R1334" i="23"/>
  <c r="R1335" i="23"/>
  <c r="R1336" i="23"/>
  <c r="R1339" i="23"/>
  <c r="R1340" i="23"/>
  <c r="R1341" i="23"/>
  <c r="R1343" i="23"/>
  <c r="R1344" i="23"/>
  <c r="R1345" i="23"/>
  <c r="R1346" i="23"/>
  <c r="R1347" i="23"/>
  <c r="R1348" i="23"/>
  <c r="R1350" i="23"/>
  <c r="R1351" i="23"/>
  <c r="R1352" i="23"/>
  <c r="R1353" i="23"/>
  <c r="R1354" i="23"/>
  <c r="R1355" i="23"/>
  <c r="R1357" i="23"/>
  <c r="R1359" i="23"/>
  <c r="R1360" i="23"/>
  <c r="R1361" i="23"/>
  <c r="R1362" i="23"/>
  <c r="R1364" i="23"/>
  <c r="R1365" i="23"/>
  <c r="R1366" i="23"/>
  <c r="R1367" i="23"/>
  <c r="R1368" i="23"/>
  <c r="R1369" i="23"/>
  <c r="R1370" i="23"/>
  <c r="R1371" i="23"/>
  <c r="R1373" i="23"/>
  <c r="R1374" i="23"/>
  <c r="R1375" i="23"/>
  <c r="R1376" i="23"/>
  <c r="R1377" i="23"/>
  <c r="R1378" i="23"/>
  <c r="R1380" i="23"/>
  <c r="R1381" i="23"/>
  <c r="R1382" i="23"/>
  <c r="R1383" i="23"/>
  <c r="R1384" i="23"/>
  <c r="R1385" i="23"/>
  <c r="R1386" i="23"/>
  <c r="R1387" i="23"/>
  <c r="R1389" i="23"/>
  <c r="R1390" i="23"/>
  <c r="R1391" i="23"/>
  <c r="R1392" i="23"/>
  <c r="R1393" i="23"/>
  <c r="R1394" i="23"/>
  <c r="R1396" i="23"/>
  <c r="R1397" i="23"/>
  <c r="R1398" i="23"/>
  <c r="R1399" i="23"/>
  <c r="R1400" i="23"/>
  <c r="R1401" i="23"/>
  <c r="R1403" i="23"/>
  <c r="R1405" i="23"/>
  <c r="R1406" i="23"/>
  <c r="R1407" i="23"/>
  <c r="R1408" i="23"/>
  <c r="R1409" i="23"/>
  <c r="R1410" i="23"/>
  <c r="R1412" i="23"/>
  <c r="R1413" i="23"/>
  <c r="R1414" i="23"/>
  <c r="R1415" i="23"/>
  <c r="R1416" i="23"/>
  <c r="R1417" i="23"/>
  <c r="R1419" i="23"/>
  <c r="R1421" i="23"/>
  <c r="R1422" i="23"/>
  <c r="R1423" i="23"/>
  <c r="R1424" i="23"/>
  <c r="R1425" i="23"/>
  <c r="R1426" i="23"/>
  <c r="R1428" i="23"/>
  <c r="R1429" i="23"/>
  <c r="R1430" i="23"/>
  <c r="R1431" i="23"/>
  <c r="R1432" i="23"/>
  <c r="R1433" i="23"/>
  <c r="R1435" i="23"/>
  <c r="R1437" i="23"/>
  <c r="R1438" i="23"/>
  <c r="R1439" i="23"/>
  <c r="R1440" i="23"/>
  <c r="R1441" i="23"/>
  <c r="R1442" i="23"/>
  <c r="R1444" i="23"/>
  <c r="R1445" i="23"/>
  <c r="R1446" i="23"/>
  <c r="R1447" i="23"/>
  <c r="R1448" i="23"/>
  <c r="R1449" i="23"/>
  <c r="R1451" i="23"/>
  <c r="R1453" i="23"/>
  <c r="R1454" i="23"/>
  <c r="R1455" i="23"/>
  <c r="R1456" i="23"/>
  <c r="R1457" i="23"/>
  <c r="R1458" i="23"/>
  <c r="R1460" i="23"/>
  <c r="R1461" i="23"/>
  <c r="R1462" i="23"/>
  <c r="R1463" i="23"/>
  <c r="R1464" i="23"/>
  <c r="R1465" i="23"/>
  <c r="R1467" i="23"/>
  <c r="R1469" i="23"/>
  <c r="R1470" i="23"/>
  <c r="R1471" i="23"/>
  <c r="R1472" i="23"/>
  <c r="R1473" i="23"/>
  <c r="R1474" i="23"/>
  <c r="R1476" i="23"/>
  <c r="R1477" i="23"/>
  <c r="R1478" i="23"/>
  <c r="R1479" i="23"/>
  <c r="R1480" i="23"/>
  <c r="R1481" i="23"/>
  <c r="R1483" i="23"/>
  <c r="R1485" i="23"/>
  <c r="R1486" i="23"/>
  <c r="R1487" i="23"/>
  <c r="R1488" i="23"/>
  <c r="R1489" i="23"/>
  <c r="R1490" i="23"/>
  <c r="R1492" i="23"/>
  <c r="R1493" i="23"/>
  <c r="R1494" i="23"/>
  <c r="R1495" i="23"/>
  <c r="R1496" i="23"/>
  <c r="R1497" i="23"/>
  <c r="R1499" i="23"/>
  <c r="R1501" i="23"/>
  <c r="R1502" i="23"/>
  <c r="R1503" i="23"/>
  <c r="R1504" i="23"/>
  <c r="R1505" i="23"/>
  <c r="R1506" i="23"/>
  <c r="R1508" i="23"/>
  <c r="R1509" i="23"/>
  <c r="R1510" i="23"/>
  <c r="R1511" i="23"/>
  <c r="R1512" i="23"/>
  <c r="R1513" i="23"/>
  <c r="R1515" i="23"/>
  <c r="R1517" i="23"/>
  <c r="R1518" i="23"/>
  <c r="R1519" i="23"/>
  <c r="R1520" i="23"/>
  <c r="R1521" i="23"/>
  <c r="R1522" i="23"/>
  <c r="R1524" i="23"/>
  <c r="R1525" i="23"/>
  <c r="R1526" i="23"/>
  <c r="R1527" i="23"/>
  <c r="R1528" i="23"/>
  <c r="R1529" i="23"/>
  <c r="R1531" i="23"/>
  <c r="R1533" i="23"/>
  <c r="R1534" i="23"/>
  <c r="R1535" i="23"/>
  <c r="R1536" i="23"/>
  <c r="R1537" i="23"/>
  <c r="R1538" i="23"/>
  <c r="R1540" i="23"/>
  <c r="R1541" i="23"/>
  <c r="R1542" i="23"/>
  <c r="R1543" i="23"/>
  <c r="R1544" i="23"/>
  <c r="R1545" i="23"/>
  <c r="R1547" i="23"/>
  <c r="R1549" i="23"/>
  <c r="R1550" i="23"/>
  <c r="R1551" i="23"/>
  <c r="R1552" i="23"/>
  <c r="R1553" i="23"/>
  <c r="R1554" i="23"/>
  <c r="R1556" i="23"/>
  <c r="R1557" i="23"/>
  <c r="R1558" i="23"/>
  <c r="R1559" i="23"/>
  <c r="R1560" i="23"/>
  <c r="R1561" i="23"/>
  <c r="R1563" i="23"/>
  <c r="R1565" i="23"/>
  <c r="R1566" i="23"/>
  <c r="R1567" i="23"/>
  <c r="R1568" i="23"/>
  <c r="R1569" i="23"/>
  <c r="R1570" i="23"/>
  <c r="R1572" i="23"/>
  <c r="R1573" i="23"/>
  <c r="R1574" i="23"/>
  <c r="R1575" i="23"/>
  <c r="R1576" i="23"/>
  <c r="R1577" i="23"/>
  <c r="R1579" i="23"/>
  <c r="R1581" i="23"/>
  <c r="R1582" i="23"/>
  <c r="R1583" i="23"/>
  <c r="R1584" i="23"/>
  <c r="R1585" i="23"/>
  <c r="R1586" i="23"/>
  <c r="R1588" i="23"/>
  <c r="R1589" i="23"/>
  <c r="R1590" i="23"/>
  <c r="R1591" i="23"/>
  <c r="R1592" i="23"/>
  <c r="R1593" i="23"/>
  <c r="R1595" i="23"/>
  <c r="R1597" i="23"/>
  <c r="R1598" i="23"/>
  <c r="R1599" i="23"/>
  <c r="R1600" i="23"/>
  <c r="R1601" i="23"/>
  <c r="R1602" i="23"/>
  <c r="R1604" i="23"/>
  <c r="R1605" i="23"/>
  <c r="R1606" i="23"/>
  <c r="R1607" i="23"/>
  <c r="R1608" i="23"/>
  <c r="R1609" i="23"/>
  <c r="R1611" i="23"/>
  <c r="R1613" i="23"/>
  <c r="R1614" i="23"/>
  <c r="R1615" i="23"/>
  <c r="R1616" i="23"/>
  <c r="R1617" i="23"/>
  <c r="R1618" i="23"/>
  <c r="R1620" i="23"/>
  <c r="R1621" i="23"/>
  <c r="R1622" i="23"/>
  <c r="R1623" i="23"/>
  <c r="R1624" i="23"/>
  <c r="R1625" i="23"/>
  <c r="R1627" i="23"/>
  <c r="R1629" i="23"/>
  <c r="R1630" i="23"/>
  <c r="R1631" i="23"/>
  <c r="R1632" i="23"/>
  <c r="R1633" i="23"/>
  <c r="R1634" i="23"/>
  <c r="R1636" i="23"/>
  <c r="R1637" i="23"/>
  <c r="R1638" i="23"/>
  <c r="R1639" i="23"/>
  <c r="R1640" i="23"/>
  <c r="R1641" i="23"/>
  <c r="R1643" i="23"/>
  <c r="R1645" i="23"/>
  <c r="R1646" i="23"/>
  <c r="R1647" i="23"/>
  <c r="R1648" i="23"/>
  <c r="R1649" i="23"/>
  <c r="R1650" i="23"/>
  <c r="R1652" i="23"/>
  <c r="R1653" i="23"/>
  <c r="R1654" i="23"/>
  <c r="R1655" i="23"/>
  <c r="R1656" i="23"/>
  <c r="R1657" i="23"/>
  <c r="R1659" i="23"/>
  <c r="R1661" i="23"/>
  <c r="R1662" i="23"/>
  <c r="R1663" i="23"/>
  <c r="R1664" i="23"/>
  <c r="R1665" i="23"/>
  <c r="R1666" i="23"/>
  <c r="R1668" i="23"/>
  <c r="R1669" i="23"/>
  <c r="R1670" i="23"/>
  <c r="R1671" i="23"/>
  <c r="R1672" i="23"/>
  <c r="R1673" i="23"/>
  <c r="R1675" i="23"/>
  <c r="R1677" i="23"/>
  <c r="R1678" i="23"/>
  <c r="R1679" i="23"/>
  <c r="R1680" i="23"/>
  <c r="R1681" i="23"/>
  <c r="R1682" i="23"/>
  <c r="R1684" i="23"/>
  <c r="R1685" i="23"/>
  <c r="R1686" i="23"/>
  <c r="R1687" i="23"/>
  <c r="R1688" i="23"/>
  <c r="R1689" i="23"/>
  <c r="R1691" i="23"/>
  <c r="R1693" i="23"/>
  <c r="R1694" i="23"/>
  <c r="R1695" i="23"/>
  <c r="R1696" i="23"/>
  <c r="R1697" i="23"/>
  <c r="R1698" i="23"/>
  <c r="R1700" i="23"/>
  <c r="R1701" i="23"/>
  <c r="R1702" i="23"/>
  <c r="R1703" i="23"/>
  <c r="R1704" i="23"/>
  <c r="R1705" i="23"/>
  <c r="R1707" i="23"/>
  <c r="R1709" i="23"/>
  <c r="R1710" i="23"/>
  <c r="R1711" i="23"/>
  <c r="R1712" i="23"/>
  <c r="R1713" i="23"/>
  <c r="R1714" i="23"/>
  <c r="R1716" i="23"/>
  <c r="R1717" i="23"/>
  <c r="R1718" i="23"/>
  <c r="R1719" i="23"/>
  <c r="R1720" i="23"/>
  <c r="R1721" i="23"/>
  <c r="R1723" i="23"/>
  <c r="R1725" i="23"/>
  <c r="R1726" i="23"/>
  <c r="R1727" i="23"/>
  <c r="R1728" i="23"/>
  <c r="R1729" i="23"/>
  <c r="R1730" i="23"/>
  <c r="R1732" i="23"/>
  <c r="R1733" i="23"/>
  <c r="R1734" i="23"/>
  <c r="R1735" i="23"/>
  <c r="R1736" i="23"/>
  <c r="R1737" i="23"/>
  <c r="R1739" i="23"/>
  <c r="R1741" i="23"/>
  <c r="R1742" i="23"/>
  <c r="R1743" i="23"/>
  <c r="R1744" i="23"/>
  <c r="R1745" i="23"/>
  <c r="R1746" i="23"/>
  <c r="R1748" i="23"/>
  <c r="R1749" i="23"/>
  <c r="R1750" i="23"/>
  <c r="R1751" i="23"/>
  <c r="R1752" i="23"/>
  <c r="R1753" i="23"/>
  <c r="R1755" i="23"/>
  <c r="R1757" i="23"/>
  <c r="R1758" i="23"/>
  <c r="R1759" i="23"/>
  <c r="R1760" i="23"/>
  <c r="R1761" i="23"/>
  <c r="R1762" i="23"/>
  <c r="R1764" i="23"/>
  <c r="R1765" i="23"/>
  <c r="R1766" i="23"/>
  <c r="R1767" i="23"/>
  <c r="R1768" i="23"/>
  <c r="R1769" i="23"/>
  <c r="R1771" i="23"/>
  <c r="R1773" i="23"/>
  <c r="R1774" i="23"/>
  <c r="R1775" i="23"/>
  <c r="R1776" i="23"/>
  <c r="R1777" i="23"/>
  <c r="R1778" i="23"/>
  <c r="R1780" i="23"/>
  <c r="R1781" i="23"/>
  <c r="R1782" i="23"/>
  <c r="R1783" i="23"/>
  <c r="R1784" i="23"/>
  <c r="R1785" i="23"/>
  <c r="R1787" i="23"/>
  <c r="R4" i="23"/>
  <c r="R1786" i="23"/>
  <c r="R1779" i="23"/>
  <c r="R1772" i="23"/>
  <c r="R1770" i="23"/>
  <c r="R1763" i="23"/>
  <c r="R1756" i="23"/>
  <c r="R1754" i="23"/>
  <c r="R1747" i="23"/>
  <c r="R1740" i="23"/>
  <c r="R1738" i="23"/>
  <c r="R1731" i="23"/>
  <c r="R1724" i="23"/>
  <c r="R1722" i="23"/>
  <c r="R1715" i="23"/>
  <c r="R1708" i="23"/>
  <c r="R1706" i="23"/>
  <c r="R1699" i="23"/>
  <c r="R1692" i="23"/>
  <c r="R1690" i="23"/>
  <c r="R1683" i="23"/>
  <c r="R1676" i="23"/>
  <c r="R1674" i="23"/>
  <c r="R1667" i="23"/>
  <c r="R1660" i="23"/>
  <c r="R1658" i="23"/>
  <c r="R1651" i="23"/>
  <c r="R1644" i="23"/>
  <c r="R1642" i="23"/>
  <c r="R1635" i="23"/>
  <c r="R1628" i="23"/>
  <c r="R1626" i="23"/>
  <c r="R1619" i="23"/>
  <c r="R1612" i="23"/>
  <c r="R1610" i="23"/>
  <c r="R1603" i="23"/>
  <c r="R1596" i="23"/>
  <c r="R1594" i="23"/>
  <c r="R1587" i="23"/>
  <c r="R1580" i="23"/>
  <c r="R1578" i="23"/>
  <c r="R1571" i="23"/>
  <c r="R1564" i="23"/>
  <c r="R1562" i="23"/>
  <c r="R1555" i="23"/>
  <c r="R1548" i="23"/>
  <c r="R1546" i="23"/>
  <c r="R1539" i="23"/>
  <c r="R1532" i="23"/>
  <c r="R1530" i="23"/>
  <c r="R1523" i="23"/>
  <c r="R1516" i="23"/>
  <c r="R1514" i="23"/>
  <c r="R1507" i="23"/>
  <c r="R1500" i="23"/>
  <c r="R1498" i="23"/>
  <c r="R1491" i="23"/>
  <c r="R1484" i="23"/>
  <c r="R1482" i="23"/>
  <c r="R1475" i="23"/>
  <c r="R1468" i="23"/>
  <c r="R1466" i="23"/>
  <c r="R1459" i="23"/>
  <c r="R1452" i="23"/>
  <c r="R1450" i="23"/>
  <c r="R1443" i="23"/>
  <c r="R1436" i="23"/>
  <c r="R1434" i="23"/>
  <c r="R1427" i="23"/>
  <c r="R1420" i="23"/>
  <c r="R1418" i="23"/>
  <c r="R1411" i="23"/>
  <c r="R1404" i="23"/>
  <c r="R1402" i="23"/>
  <c r="R1395" i="23"/>
  <c r="R1388" i="23"/>
  <c r="R1379" i="23"/>
  <c r="R1372" i="23"/>
  <c r="R1363" i="23"/>
  <c r="R1356" i="23"/>
  <c r="R1338" i="23"/>
  <c r="R1337" i="23"/>
  <c r="R1320" i="23"/>
  <c r="R1319" i="23"/>
  <c r="R1299" i="23"/>
  <c r="R1283" i="23"/>
  <c r="R1282" i="23"/>
  <c r="R1267" i="23"/>
  <c r="R1251" i="23"/>
  <c r="R1235" i="23"/>
  <c r="R1209" i="23"/>
  <c r="R1187" i="23"/>
  <c r="R1171" i="23"/>
  <c r="R1155" i="23"/>
  <c r="R1145" i="23"/>
  <c r="R1123" i="23"/>
  <c r="R1107" i="23"/>
  <c r="R1091" i="23"/>
  <c r="R1059" i="23"/>
  <c r="R1043" i="23"/>
  <c r="R1027" i="23"/>
  <c r="R995" i="23"/>
  <c r="R979" i="23"/>
  <c r="R963" i="23"/>
  <c r="R931" i="23"/>
  <c r="R915" i="23"/>
  <c r="R883" i="23"/>
  <c r="R867" i="23"/>
  <c r="R835" i="23"/>
  <c r="R819" i="23"/>
  <c r="R771" i="23"/>
  <c r="R755" i="23"/>
  <c r="R723" i="23"/>
  <c r="R675" i="23"/>
  <c r="R659" i="23"/>
  <c r="R611" i="23"/>
  <c r="R579" i="23"/>
  <c r="R563" i="23"/>
  <c r="R515" i="23"/>
  <c r="R499" i="23"/>
  <c r="R467" i="23"/>
  <c r="R419" i="23"/>
  <c r="R403" i="23"/>
  <c r="R355" i="23"/>
  <c r="R323" i="23"/>
  <c r="R307" i="23"/>
  <c r="R259" i="23"/>
  <c r="R243" i="23"/>
  <c r="R211" i="23"/>
  <c r="R163" i="23"/>
  <c r="R147" i="23"/>
  <c r="R115" i="23"/>
  <c r="R67" i="23"/>
  <c r="R35" i="23"/>
  <c r="R19" i="23"/>
  <c r="C45" i="22"/>
  <c r="D42" i="22"/>
  <c r="D44" i="3"/>
  <c r="C93" i="17"/>
  <c r="D93" i="17"/>
  <c r="E93" i="17"/>
  <c r="F93" i="17"/>
  <c r="G93" i="17"/>
  <c r="H93" i="17"/>
  <c r="I93" i="17"/>
  <c r="J93" i="17"/>
  <c r="C92" i="17"/>
  <c r="D92" i="17"/>
  <c r="E92" i="17"/>
  <c r="F92" i="17"/>
  <c r="G92" i="17"/>
  <c r="H92" i="17"/>
  <c r="I92" i="17"/>
  <c r="J92" i="17"/>
  <c r="K92" i="17"/>
  <c r="B92" i="17"/>
  <c r="C13" i="17"/>
  <c r="D13" i="17"/>
  <c r="E13" i="17"/>
  <c r="F13" i="17"/>
  <c r="G13" i="17"/>
  <c r="H13" i="17"/>
  <c r="I13" i="17"/>
  <c r="J13" i="17"/>
  <c r="K13" i="17"/>
  <c r="L13" i="17"/>
  <c r="M13" i="17"/>
  <c r="L4" i="23"/>
  <c r="L6" i="23"/>
  <c r="K101" i="23"/>
  <c r="K102" i="23"/>
  <c r="K103" i="23"/>
  <c r="K104" i="23"/>
  <c r="K105" i="23"/>
  <c r="K106" i="23"/>
  <c r="K107" i="23"/>
  <c r="K108" i="23"/>
  <c r="K109" i="23"/>
  <c r="K110" i="23"/>
  <c r="K111" i="23"/>
  <c r="K112" i="23"/>
  <c r="K113" i="23"/>
  <c r="K114" i="23"/>
  <c r="K115" i="23"/>
  <c r="K116" i="23"/>
  <c r="K117" i="23"/>
  <c r="K118" i="23"/>
  <c r="K119" i="23"/>
  <c r="K120" i="23"/>
  <c r="K121" i="23"/>
  <c r="K122" i="23"/>
  <c r="K123" i="23"/>
  <c r="K124" i="23"/>
  <c r="K125" i="23"/>
  <c r="K126" i="23"/>
  <c r="K127" i="23"/>
  <c r="K128" i="23"/>
  <c r="K129" i="23"/>
  <c r="K130" i="23"/>
  <c r="K131" i="23"/>
  <c r="K132" i="23"/>
  <c r="K133" i="23"/>
  <c r="K134" i="23"/>
  <c r="K135" i="23"/>
  <c r="K136" i="23"/>
  <c r="K137" i="23"/>
  <c r="K138" i="23"/>
  <c r="K139" i="23"/>
  <c r="K140" i="23"/>
  <c r="K141" i="23"/>
  <c r="K142" i="23"/>
  <c r="K143" i="23"/>
  <c r="K144" i="23"/>
  <c r="K145" i="23"/>
  <c r="K146" i="23"/>
  <c r="K147" i="23"/>
  <c r="K148" i="23"/>
  <c r="K149" i="23"/>
  <c r="K150" i="23"/>
  <c r="K151" i="23"/>
  <c r="K152" i="23"/>
  <c r="K153" i="23"/>
  <c r="K154" i="23"/>
  <c r="K155" i="23"/>
  <c r="K156" i="23"/>
  <c r="K157" i="23"/>
  <c r="K158" i="23"/>
  <c r="K159" i="23"/>
  <c r="K160" i="23"/>
  <c r="K161" i="23"/>
  <c r="K162" i="23"/>
  <c r="K163" i="23"/>
  <c r="K164" i="23"/>
  <c r="K165" i="23"/>
  <c r="K166" i="23"/>
  <c r="K167" i="23"/>
  <c r="K168" i="23"/>
  <c r="K169" i="23"/>
  <c r="K170" i="23"/>
  <c r="K171" i="23"/>
  <c r="K172" i="23"/>
  <c r="K173" i="23"/>
  <c r="K174" i="23"/>
  <c r="K175" i="23"/>
  <c r="K176" i="23"/>
  <c r="K177" i="23"/>
  <c r="K178" i="23"/>
  <c r="K179" i="23"/>
  <c r="K180" i="23"/>
  <c r="K181" i="23"/>
  <c r="K182" i="23"/>
  <c r="K183" i="23"/>
  <c r="K184" i="23"/>
  <c r="K185" i="23"/>
  <c r="K186" i="23"/>
  <c r="K187" i="23"/>
  <c r="K188" i="23"/>
  <c r="K189" i="23"/>
  <c r="K190" i="23"/>
  <c r="K191" i="23"/>
  <c r="K192" i="23"/>
  <c r="K193" i="23"/>
  <c r="K194" i="23"/>
  <c r="K195" i="23"/>
  <c r="K196" i="23"/>
  <c r="K197" i="23"/>
  <c r="K198" i="23"/>
  <c r="K199" i="23"/>
  <c r="K200" i="23"/>
  <c r="K201" i="23"/>
  <c r="K202" i="23"/>
  <c r="K203" i="23"/>
  <c r="K204" i="23"/>
  <c r="K205" i="23"/>
  <c r="K206" i="23"/>
  <c r="K207" i="23"/>
  <c r="K208" i="23"/>
  <c r="K209" i="23"/>
  <c r="K210" i="23"/>
  <c r="K211" i="23"/>
  <c r="K212" i="23"/>
  <c r="K213" i="23"/>
  <c r="K214" i="23"/>
  <c r="K215" i="23"/>
  <c r="K216" i="23"/>
  <c r="K217" i="23"/>
  <c r="K218" i="23"/>
  <c r="K219" i="23"/>
  <c r="K220" i="23"/>
  <c r="K221" i="23"/>
  <c r="K222" i="23"/>
  <c r="K223" i="23"/>
  <c r="K224" i="23"/>
  <c r="K225" i="23"/>
  <c r="K226" i="23"/>
  <c r="K227" i="23"/>
  <c r="K228" i="23"/>
  <c r="K229" i="23"/>
  <c r="K230" i="23"/>
  <c r="K231" i="23"/>
  <c r="K232" i="23"/>
  <c r="K233" i="23"/>
  <c r="K234" i="23"/>
  <c r="K235" i="23"/>
  <c r="K236" i="23"/>
  <c r="K237" i="23"/>
  <c r="K238" i="23"/>
  <c r="K239" i="23"/>
  <c r="K240" i="23"/>
  <c r="K241" i="23"/>
  <c r="K242" i="23"/>
  <c r="K243" i="23"/>
  <c r="K244" i="23"/>
  <c r="K245" i="23"/>
  <c r="K246" i="23"/>
  <c r="K247" i="23"/>
  <c r="K248" i="23"/>
  <c r="K249" i="23"/>
  <c r="K250" i="23"/>
  <c r="K251" i="23"/>
  <c r="K252" i="23"/>
  <c r="K253" i="23"/>
  <c r="K254" i="23"/>
  <c r="K255" i="23"/>
  <c r="K256" i="23"/>
  <c r="K257" i="23"/>
  <c r="K258" i="23"/>
  <c r="K259" i="23"/>
  <c r="K260" i="23"/>
  <c r="K261" i="23"/>
  <c r="K262" i="23"/>
  <c r="K263" i="23"/>
  <c r="K264" i="23"/>
  <c r="K265" i="23"/>
  <c r="K266" i="23"/>
  <c r="K267" i="23"/>
  <c r="K268" i="23"/>
  <c r="K269" i="23"/>
  <c r="K270" i="23"/>
  <c r="K271" i="23"/>
  <c r="K272" i="23"/>
  <c r="K273" i="23"/>
  <c r="K274" i="23"/>
  <c r="K275" i="23"/>
  <c r="K276" i="23"/>
  <c r="K277" i="23"/>
  <c r="K278" i="23"/>
  <c r="K279" i="23"/>
  <c r="K280" i="23"/>
  <c r="K281" i="23"/>
  <c r="K282" i="23"/>
  <c r="K283" i="23"/>
  <c r="K284" i="23"/>
  <c r="K285" i="23"/>
  <c r="K286" i="23"/>
  <c r="K287" i="23"/>
  <c r="K288" i="23"/>
  <c r="K289" i="23"/>
  <c r="K290" i="23"/>
  <c r="K291" i="23"/>
  <c r="K292" i="23"/>
  <c r="K293" i="23"/>
  <c r="K294" i="23"/>
  <c r="K295" i="23"/>
  <c r="K296" i="23"/>
  <c r="K297" i="23"/>
  <c r="K298" i="23"/>
  <c r="K299" i="23"/>
  <c r="K300" i="23"/>
  <c r="K301" i="23"/>
  <c r="K302" i="23"/>
  <c r="K303" i="23"/>
  <c r="K304" i="23"/>
  <c r="K305" i="23"/>
  <c r="K306" i="23"/>
  <c r="K307" i="23"/>
  <c r="K308" i="23"/>
  <c r="K309" i="23"/>
  <c r="K310" i="23"/>
  <c r="K311" i="23"/>
  <c r="K312" i="23"/>
  <c r="K313" i="23"/>
  <c r="K314" i="23"/>
  <c r="K315" i="23"/>
  <c r="K316" i="23"/>
  <c r="K317" i="23"/>
  <c r="K318" i="23"/>
  <c r="K319" i="23"/>
  <c r="K320" i="23"/>
  <c r="K321" i="23"/>
  <c r="K322" i="23"/>
  <c r="K323" i="23"/>
  <c r="K324" i="23"/>
  <c r="K325" i="23"/>
  <c r="K326" i="23"/>
  <c r="K327" i="23"/>
  <c r="K328" i="23"/>
  <c r="K329" i="23"/>
  <c r="K330" i="23"/>
  <c r="K331" i="23"/>
  <c r="K332" i="23"/>
  <c r="K333" i="23"/>
  <c r="K334" i="23"/>
  <c r="K335" i="23"/>
  <c r="K336" i="23"/>
  <c r="K337" i="23"/>
  <c r="K338" i="23"/>
  <c r="K339" i="23"/>
  <c r="K340" i="23"/>
  <c r="K341" i="23"/>
  <c r="K342" i="23"/>
  <c r="K343" i="23"/>
  <c r="K344" i="23"/>
  <c r="K345" i="23"/>
  <c r="K346" i="23"/>
  <c r="K347" i="23"/>
  <c r="K348" i="23"/>
  <c r="K349" i="23"/>
  <c r="K350" i="23"/>
  <c r="K351" i="23"/>
  <c r="K352" i="23"/>
  <c r="K353" i="23"/>
  <c r="K354" i="23"/>
  <c r="K355" i="23"/>
  <c r="K356" i="23"/>
  <c r="K357" i="23"/>
  <c r="K358" i="23"/>
  <c r="K359" i="23"/>
  <c r="K360" i="23"/>
  <c r="K361" i="23"/>
  <c r="K362" i="23"/>
  <c r="K363" i="23"/>
  <c r="K364" i="23"/>
  <c r="K365" i="23"/>
  <c r="K366" i="23"/>
  <c r="K367" i="23"/>
  <c r="K368" i="23"/>
  <c r="K369" i="23"/>
  <c r="K370" i="23"/>
  <c r="K371" i="23"/>
  <c r="K372" i="23"/>
  <c r="K373" i="23"/>
  <c r="K374" i="23"/>
  <c r="K375" i="23"/>
  <c r="K376" i="23"/>
  <c r="K377" i="23"/>
  <c r="K378" i="23"/>
  <c r="K379" i="23"/>
  <c r="K380" i="23"/>
  <c r="K381" i="23"/>
  <c r="K382" i="23"/>
  <c r="K383" i="23"/>
  <c r="K384" i="23"/>
  <c r="K385" i="23"/>
  <c r="K386" i="23"/>
  <c r="K387" i="23"/>
  <c r="K388" i="23"/>
  <c r="K389" i="23"/>
  <c r="K390" i="23"/>
  <c r="K391" i="23"/>
  <c r="K392" i="23"/>
  <c r="K393" i="23"/>
  <c r="K394" i="23"/>
  <c r="K395" i="23"/>
  <c r="K396" i="23"/>
  <c r="K397" i="23"/>
  <c r="K398" i="23"/>
  <c r="K399" i="23"/>
  <c r="K400" i="23"/>
  <c r="K401" i="23"/>
  <c r="K402" i="23"/>
  <c r="K403" i="23"/>
  <c r="K404" i="23"/>
  <c r="K405" i="23"/>
  <c r="K406" i="23"/>
  <c r="K407" i="23"/>
  <c r="K408" i="23"/>
  <c r="K409" i="23"/>
  <c r="K410" i="23"/>
  <c r="K411" i="23"/>
  <c r="K412" i="23"/>
  <c r="K413" i="23"/>
  <c r="K414" i="23"/>
  <c r="K415" i="23"/>
  <c r="K416" i="23"/>
  <c r="K417" i="23"/>
  <c r="K418" i="23"/>
  <c r="K419" i="23"/>
  <c r="K420"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46" i="23"/>
  <c r="K447" i="23"/>
  <c r="K448" i="23"/>
  <c r="K449" i="23"/>
  <c r="K450" i="23"/>
  <c r="K451" i="23"/>
  <c r="K452" i="23"/>
  <c r="K453" i="23"/>
  <c r="K454" i="23"/>
  <c r="K455" i="23"/>
  <c r="K456" i="23"/>
  <c r="K457" i="23"/>
  <c r="K458" i="23"/>
  <c r="K459" i="23"/>
  <c r="K460" i="23"/>
  <c r="K461" i="23"/>
  <c r="K462" i="23"/>
  <c r="K463" i="23"/>
  <c r="K464" i="23"/>
  <c r="K465" i="23"/>
  <c r="K466" i="23"/>
  <c r="K467" i="23"/>
  <c r="K468" i="23"/>
  <c r="K469" i="23"/>
  <c r="K470" i="23"/>
  <c r="K471" i="23"/>
  <c r="K472" i="23"/>
  <c r="K473" i="23"/>
  <c r="K474" i="23"/>
  <c r="K475" i="23"/>
  <c r="K476" i="23"/>
  <c r="K477" i="23"/>
  <c r="K478" i="23"/>
  <c r="K479" i="23"/>
  <c r="K480" i="23"/>
  <c r="K481" i="23"/>
  <c r="K482" i="23"/>
  <c r="K483" i="23"/>
  <c r="K484" i="23"/>
  <c r="K485" i="23"/>
  <c r="K486" i="23"/>
  <c r="K487" i="23"/>
  <c r="K488" i="23"/>
  <c r="K489" i="23"/>
  <c r="K490" i="23"/>
  <c r="K491" i="23"/>
  <c r="K492" i="23"/>
  <c r="K493" i="23"/>
  <c r="K494" i="23"/>
  <c r="K495" i="23"/>
  <c r="K496" i="23"/>
  <c r="K497" i="23"/>
  <c r="K498" i="23"/>
  <c r="K499" i="23"/>
  <c r="K500" i="23"/>
  <c r="K501" i="23"/>
  <c r="K502" i="23"/>
  <c r="K503" i="23"/>
  <c r="K504" i="23"/>
  <c r="K505" i="23"/>
  <c r="K506" i="23"/>
  <c r="K507" i="23"/>
  <c r="K508" i="23"/>
  <c r="K509" i="23"/>
  <c r="K510" i="23"/>
  <c r="K511" i="23"/>
  <c r="K512" i="23"/>
  <c r="K513" i="23"/>
  <c r="K514" i="23"/>
  <c r="K515" i="23"/>
  <c r="K516" i="23"/>
  <c r="K517" i="23"/>
  <c r="K518" i="23"/>
  <c r="K519" i="23"/>
  <c r="K520" i="23"/>
  <c r="K521" i="23"/>
  <c r="K522" i="23"/>
  <c r="K523" i="23"/>
  <c r="K524" i="23"/>
  <c r="K525" i="23"/>
  <c r="K526" i="23"/>
  <c r="K527" i="23"/>
  <c r="K528" i="23"/>
  <c r="K529" i="23"/>
  <c r="K530" i="23"/>
  <c r="K531" i="23"/>
  <c r="K532" i="23"/>
  <c r="K533" i="23"/>
  <c r="K534" i="23"/>
  <c r="K535" i="23"/>
  <c r="K536" i="23"/>
  <c r="K537" i="23"/>
  <c r="K538" i="23"/>
  <c r="K539" i="23"/>
  <c r="K540" i="23"/>
  <c r="K541" i="23"/>
  <c r="K542" i="23"/>
  <c r="K543" i="23"/>
  <c r="K544" i="23"/>
  <c r="K545" i="23"/>
  <c r="K546" i="23"/>
  <c r="K547" i="23"/>
  <c r="K548" i="23"/>
  <c r="K549" i="23"/>
  <c r="K550" i="23"/>
  <c r="K551" i="23"/>
  <c r="K552" i="23"/>
  <c r="K553" i="23"/>
  <c r="K554" i="23"/>
  <c r="K555" i="23"/>
  <c r="K556" i="23"/>
  <c r="K557" i="23"/>
  <c r="K558" i="23"/>
  <c r="K559" i="23"/>
  <c r="K560" i="23"/>
  <c r="K561" i="23"/>
  <c r="K562" i="23"/>
  <c r="K563" i="23"/>
  <c r="K564" i="23"/>
  <c r="K565" i="23"/>
  <c r="K566" i="23"/>
  <c r="K567" i="23"/>
  <c r="K568" i="23"/>
  <c r="K569" i="23"/>
  <c r="K570" i="23"/>
  <c r="K571" i="23"/>
  <c r="K572" i="23"/>
  <c r="K573" i="23"/>
  <c r="K574" i="23"/>
  <c r="K575" i="23"/>
  <c r="K576" i="23"/>
  <c r="K577" i="23"/>
  <c r="K578" i="23"/>
  <c r="K579" i="23"/>
  <c r="K580" i="23"/>
  <c r="K581" i="23"/>
  <c r="K582" i="23"/>
  <c r="K583" i="23"/>
  <c r="K584" i="23"/>
  <c r="K585" i="23"/>
  <c r="K586" i="23"/>
  <c r="K587" i="23"/>
  <c r="K588" i="23"/>
  <c r="K589" i="23"/>
  <c r="K590" i="23"/>
  <c r="K591" i="23"/>
  <c r="K592" i="23"/>
  <c r="K593" i="23"/>
  <c r="K594" i="23"/>
  <c r="K595" i="23"/>
  <c r="K596" i="23"/>
  <c r="K597" i="23"/>
  <c r="K598" i="23"/>
  <c r="K599" i="23"/>
  <c r="K600" i="23"/>
  <c r="K601" i="23"/>
  <c r="K602" i="23"/>
  <c r="K603" i="23"/>
  <c r="K604" i="23"/>
  <c r="K605" i="23"/>
  <c r="K606" i="23"/>
  <c r="K607" i="23"/>
  <c r="K608" i="23"/>
  <c r="K609" i="23"/>
  <c r="K610" i="23"/>
  <c r="K611" i="23"/>
  <c r="K612" i="23"/>
  <c r="K613" i="23"/>
  <c r="K614" i="23"/>
  <c r="K615" i="23"/>
  <c r="K616" i="23"/>
  <c r="K617" i="23"/>
  <c r="K618" i="23"/>
  <c r="K619" i="23"/>
  <c r="K620" i="23"/>
  <c r="K621" i="23"/>
  <c r="K622" i="23"/>
  <c r="K623" i="23"/>
  <c r="K624" i="23"/>
  <c r="K625" i="23"/>
  <c r="K626" i="23"/>
  <c r="K627" i="23"/>
  <c r="K628" i="23"/>
  <c r="K629" i="23"/>
  <c r="K630" i="23"/>
  <c r="K631" i="23"/>
  <c r="K632" i="23"/>
  <c r="K633" i="23"/>
  <c r="K634" i="23"/>
  <c r="K635" i="23"/>
  <c r="K636" i="23"/>
  <c r="K637" i="23"/>
  <c r="K638" i="23"/>
  <c r="K639" i="23"/>
  <c r="K640" i="23"/>
  <c r="K641" i="23"/>
  <c r="K642" i="23"/>
  <c r="K643" i="23"/>
  <c r="K644" i="23"/>
  <c r="K645" i="23"/>
  <c r="K646" i="23"/>
  <c r="K647" i="23"/>
  <c r="K648" i="23"/>
  <c r="K649" i="23"/>
  <c r="K650" i="23"/>
  <c r="K651" i="23"/>
  <c r="K652" i="23"/>
  <c r="K653" i="23"/>
  <c r="K654" i="23"/>
  <c r="K655" i="23"/>
  <c r="K656" i="23"/>
  <c r="K657" i="23"/>
  <c r="K658" i="23"/>
  <c r="K659" i="23"/>
  <c r="K660" i="23"/>
  <c r="K661" i="23"/>
  <c r="K662" i="23"/>
  <c r="K663" i="23"/>
  <c r="K664" i="23"/>
  <c r="K665" i="23"/>
  <c r="K666" i="23"/>
  <c r="K667" i="23"/>
  <c r="K668" i="23"/>
  <c r="K669" i="23"/>
  <c r="K670" i="23"/>
  <c r="K671" i="23"/>
  <c r="K672" i="23"/>
  <c r="K673" i="23"/>
  <c r="K674" i="23"/>
  <c r="K675" i="23"/>
  <c r="K676" i="23"/>
  <c r="K677" i="23"/>
  <c r="K678" i="23"/>
  <c r="K679" i="23"/>
  <c r="K680" i="23"/>
  <c r="K681" i="23"/>
  <c r="K682" i="23"/>
  <c r="K683" i="23"/>
  <c r="K684" i="23"/>
  <c r="K685" i="23"/>
  <c r="K686" i="23"/>
  <c r="K687" i="23"/>
  <c r="K688" i="23"/>
  <c r="K689" i="23"/>
  <c r="K690" i="23"/>
  <c r="K691" i="23"/>
  <c r="K692" i="23"/>
  <c r="K693" i="23"/>
  <c r="K694" i="23"/>
  <c r="K695" i="23"/>
  <c r="K696" i="23"/>
  <c r="K697" i="23"/>
  <c r="K698" i="23"/>
  <c r="K699" i="23"/>
  <c r="K700" i="23"/>
  <c r="K701" i="23"/>
  <c r="K702" i="23"/>
  <c r="K703" i="23"/>
  <c r="K704" i="23"/>
  <c r="K705" i="23"/>
  <c r="K706" i="23"/>
  <c r="K707" i="23"/>
  <c r="K708" i="23"/>
  <c r="K709" i="23"/>
  <c r="K710" i="23"/>
  <c r="K711" i="23"/>
  <c r="K712" i="23"/>
  <c r="K713" i="23"/>
  <c r="K714" i="23"/>
  <c r="K715" i="23"/>
  <c r="K716" i="23"/>
  <c r="K717" i="23"/>
  <c r="K718" i="23"/>
  <c r="K719" i="23"/>
  <c r="K720" i="23"/>
  <c r="K721" i="23"/>
  <c r="K722" i="23"/>
  <c r="K723" i="23"/>
  <c r="K724" i="23"/>
  <c r="K725" i="23"/>
  <c r="K726" i="23"/>
  <c r="K727" i="23"/>
  <c r="K728" i="23"/>
  <c r="K729" i="23"/>
  <c r="K730" i="23"/>
  <c r="K731" i="23"/>
  <c r="K732" i="23"/>
  <c r="K733" i="23"/>
  <c r="K734" i="23"/>
  <c r="K735" i="23"/>
  <c r="K736" i="23"/>
  <c r="K737" i="23"/>
  <c r="K738" i="23"/>
  <c r="K739" i="23"/>
  <c r="K740" i="23"/>
  <c r="K741" i="23"/>
  <c r="K742" i="23"/>
  <c r="K743" i="23"/>
  <c r="K744" i="23"/>
  <c r="K745" i="23"/>
  <c r="K746" i="23"/>
  <c r="K747" i="23"/>
  <c r="K748" i="23"/>
  <c r="K749" i="23"/>
  <c r="K750" i="23"/>
  <c r="K751" i="23"/>
  <c r="K752" i="23"/>
  <c r="K753" i="23"/>
  <c r="K754" i="23"/>
  <c r="K755" i="23"/>
  <c r="K756" i="23"/>
  <c r="K757" i="23"/>
  <c r="K758" i="23"/>
  <c r="K759" i="23"/>
  <c r="K760" i="23"/>
  <c r="K761" i="23"/>
  <c r="K762" i="23"/>
  <c r="K763" i="23"/>
  <c r="K764" i="23"/>
  <c r="K765" i="23"/>
  <c r="K766" i="23"/>
  <c r="K767" i="23"/>
  <c r="K768" i="23"/>
  <c r="K769" i="23"/>
  <c r="K770" i="23"/>
  <c r="K771" i="23"/>
  <c r="K772" i="23"/>
  <c r="K773" i="23"/>
  <c r="K774" i="23"/>
  <c r="K775" i="23"/>
  <c r="K776" i="23"/>
  <c r="K777" i="23"/>
  <c r="K778" i="23"/>
  <c r="K779" i="23"/>
  <c r="K780" i="23"/>
  <c r="K781" i="23"/>
  <c r="K782" i="23"/>
  <c r="K783" i="23"/>
  <c r="K784" i="23"/>
  <c r="K785" i="23"/>
  <c r="K786" i="23"/>
  <c r="K787" i="23"/>
  <c r="K788" i="23"/>
  <c r="K789" i="23"/>
  <c r="K790" i="23"/>
  <c r="K791" i="23"/>
  <c r="K792" i="23"/>
  <c r="K793" i="23"/>
  <c r="K794" i="23"/>
  <c r="K795" i="23"/>
  <c r="K796" i="23"/>
  <c r="K797" i="23"/>
  <c r="K798" i="23"/>
  <c r="K799" i="23"/>
  <c r="K800" i="23"/>
  <c r="K801" i="23"/>
  <c r="K802" i="23"/>
  <c r="K803" i="23"/>
  <c r="K804" i="23"/>
  <c r="K805" i="23"/>
  <c r="K806" i="23"/>
  <c r="K807" i="23"/>
  <c r="K808" i="23"/>
  <c r="K809" i="23"/>
  <c r="K810" i="23"/>
  <c r="K811" i="23"/>
  <c r="K812" i="23"/>
  <c r="K813" i="23"/>
  <c r="K814" i="23"/>
  <c r="K815" i="23"/>
  <c r="K816" i="23"/>
  <c r="K817" i="23"/>
  <c r="K818" i="23"/>
  <c r="K819" i="23"/>
  <c r="K820" i="23"/>
  <c r="K821" i="23"/>
  <c r="K822" i="23"/>
  <c r="K823" i="23"/>
  <c r="K824" i="23"/>
  <c r="K825" i="23"/>
  <c r="K826" i="23"/>
  <c r="K827" i="23"/>
  <c r="K828" i="23"/>
  <c r="K829" i="23"/>
  <c r="K830" i="23"/>
  <c r="K831" i="23"/>
  <c r="K832" i="23"/>
  <c r="K833" i="23"/>
  <c r="K834" i="23"/>
  <c r="K835" i="23"/>
  <c r="K836" i="23"/>
  <c r="K837" i="23"/>
  <c r="K838" i="23"/>
  <c r="K839" i="23"/>
  <c r="K840" i="23"/>
  <c r="K841" i="23"/>
  <c r="K842" i="23"/>
  <c r="K843" i="23"/>
  <c r="K844" i="23"/>
  <c r="K845" i="23"/>
  <c r="K846" i="23"/>
  <c r="K847" i="23"/>
  <c r="K848" i="23"/>
  <c r="K849" i="23"/>
  <c r="K850" i="23"/>
  <c r="K851" i="23"/>
  <c r="K852" i="23"/>
  <c r="K853" i="23"/>
  <c r="K854" i="23"/>
  <c r="K855" i="23"/>
  <c r="K856" i="23"/>
  <c r="K857" i="23"/>
  <c r="K858" i="23"/>
  <c r="K859" i="23"/>
  <c r="K860" i="23"/>
  <c r="K861" i="23"/>
  <c r="K862" i="23"/>
  <c r="K863" i="23"/>
  <c r="K864" i="23"/>
  <c r="K865" i="23"/>
  <c r="K866" i="23"/>
  <c r="K867" i="23"/>
  <c r="K868" i="23"/>
  <c r="K869" i="23"/>
  <c r="K870" i="23"/>
  <c r="K871" i="23"/>
  <c r="K872" i="23"/>
  <c r="K873" i="23"/>
  <c r="K874" i="23"/>
  <c r="K875" i="23"/>
  <c r="K876" i="23"/>
  <c r="K877" i="23"/>
  <c r="K878" i="23"/>
  <c r="K879" i="23"/>
  <c r="K880" i="23"/>
  <c r="K881" i="23"/>
  <c r="K882" i="23"/>
  <c r="K883" i="23"/>
  <c r="K884" i="23"/>
  <c r="K885" i="23"/>
  <c r="K886" i="23"/>
  <c r="K887" i="23"/>
  <c r="K888" i="23"/>
  <c r="K889" i="23"/>
  <c r="K890" i="23"/>
  <c r="K891" i="23"/>
  <c r="K892" i="23"/>
  <c r="K893" i="23"/>
  <c r="K894" i="23"/>
  <c r="K895" i="23"/>
  <c r="K896" i="23"/>
  <c r="K897" i="23"/>
  <c r="K898" i="23"/>
  <c r="K899" i="23"/>
  <c r="K900" i="23"/>
  <c r="K901" i="23"/>
  <c r="K902" i="23"/>
  <c r="K903" i="23"/>
  <c r="K904" i="23"/>
  <c r="K905" i="23"/>
  <c r="K906" i="23"/>
  <c r="K907" i="23"/>
  <c r="K908" i="23"/>
  <c r="K909" i="23"/>
  <c r="K910" i="23"/>
  <c r="K911" i="23"/>
  <c r="K912" i="23"/>
  <c r="K913" i="23"/>
  <c r="K914" i="23"/>
  <c r="K915" i="23"/>
  <c r="K916" i="23"/>
  <c r="K917" i="23"/>
  <c r="K918" i="23"/>
  <c r="K919" i="23"/>
  <c r="K920" i="23"/>
  <c r="K921" i="23"/>
  <c r="K922" i="23"/>
  <c r="K923" i="23"/>
  <c r="K924" i="23"/>
  <c r="K925" i="23"/>
  <c r="K926" i="23"/>
  <c r="K927" i="23"/>
  <c r="K928" i="23"/>
  <c r="K929" i="23"/>
  <c r="K930" i="23"/>
  <c r="K931" i="23"/>
  <c r="K932" i="23"/>
  <c r="K933" i="23"/>
  <c r="K934" i="23"/>
  <c r="K935" i="23"/>
  <c r="K936" i="23"/>
  <c r="K937" i="23"/>
  <c r="K938" i="23"/>
  <c r="K939" i="23"/>
  <c r="K940" i="23"/>
  <c r="K941" i="23"/>
  <c r="K942" i="23"/>
  <c r="K943" i="23"/>
  <c r="K944" i="23"/>
  <c r="K945" i="23"/>
  <c r="K946" i="23"/>
  <c r="K947" i="23"/>
  <c r="K948" i="23"/>
  <c r="K949" i="23"/>
  <c r="K950" i="23"/>
  <c r="K951" i="23"/>
  <c r="K952" i="23"/>
  <c r="K953" i="23"/>
  <c r="K954" i="23"/>
  <c r="K955" i="23"/>
  <c r="K956" i="23"/>
  <c r="K957" i="23"/>
  <c r="K958" i="23"/>
  <c r="K959" i="23"/>
  <c r="K960" i="23"/>
  <c r="K961" i="23"/>
  <c r="K962" i="23"/>
  <c r="K963" i="23"/>
  <c r="K964" i="23"/>
  <c r="K965" i="23"/>
  <c r="K966" i="23"/>
  <c r="K967" i="23"/>
  <c r="K968" i="23"/>
  <c r="K969" i="23"/>
  <c r="K970" i="23"/>
  <c r="K971" i="23"/>
  <c r="K972" i="23"/>
  <c r="K973" i="23"/>
  <c r="K974" i="23"/>
  <c r="K975" i="23"/>
  <c r="K976" i="23"/>
  <c r="K977" i="23"/>
  <c r="K978" i="23"/>
  <c r="K979" i="23"/>
  <c r="K980" i="23"/>
  <c r="K981" i="23"/>
  <c r="K982" i="23"/>
  <c r="K983" i="23"/>
  <c r="K984" i="23"/>
  <c r="K985" i="23"/>
  <c r="K986" i="23"/>
  <c r="K987" i="23"/>
  <c r="K988" i="23"/>
  <c r="K989" i="23"/>
  <c r="K990" i="23"/>
  <c r="K991" i="23"/>
  <c r="K992" i="23"/>
  <c r="K993" i="23"/>
  <c r="K994" i="23"/>
  <c r="K995" i="23"/>
  <c r="K996" i="23"/>
  <c r="K997" i="23"/>
  <c r="K998" i="23"/>
  <c r="K999" i="23"/>
  <c r="K1000" i="23"/>
  <c r="K1001" i="23"/>
  <c r="K1002" i="23"/>
  <c r="K1003" i="23"/>
  <c r="K1004" i="23"/>
  <c r="K1005" i="23"/>
  <c r="K1006" i="23"/>
  <c r="K1007" i="23"/>
  <c r="K1008" i="23"/>
  <c r="K1009" i="23"/>
  <c r="K1010" i="23"/>
  <c r="K1011" i="23"/>
  <c r="K1012" i="23"/>
  <c r="K1013" i="23"/>
  <c r="K1014" i="23"/>
  <c r="K1015" i="23"/>
  <c r="K1016" i="23"/>
  <c r="K1017" i="23"/>
  <c r="K1018" i="23"/>
  <c r="K1019" i="23"/>
  <c r="K1020" i="23"/>
  <c r="K1021" i="23"/>
  <c r="K1022" i="23"/>
  <c r="K1023" i="23"/>
  <c r="K1024" i="23"/>
  <c r="K1025" i="23"/>
  <c r="K1026" i="23"/>
  <c r="K1027" i="23"/>
  <c r="K1028" i="23"/>
  <c r="K1029" i="23"/>
  <c r="K1030" i="23"/>
  <c r="K1031" i="23"/>
  <c r="K1032" i="23"/>
  <c r="K1033" i="23"/>
  <c r="K1034" i="23"/>
  <c r="K1035" i="23"/>
  <c r="K1036" i="23"/>
  <c r="K1037" i="23"/>
  <c r="K1038" i="23"/>
  <c r="K1039" i="23"/>
  <c r="K1040" i="23"/>
  <c r="K1041" i="23"/>
  <c r="K1042" i="23"/>
  <c r="K1043" i="23"/>
  <c r="K1044" i="23"/>
  <c r="K1045" i="23"/>
  <c r="K1046" i="23"/>
  <c r="K1047" i="23"/>
  <c r="K1048" i="23"/>
  <c r="K1049" i="23"/>
  <c r="K1050" i="23"/>
  <c r="K1051" i="23"/>
  <c r="K1052" i="23"/>
  <c r="K1053" i="23"/>
  <c r="K1054" i="23"/>
  <c r="K1055" i="23"/>
  <c r="K1056" i="23"/>
  <c r="K1057" i="23"/>
  <c r="K1058" i="23"/>
  <c r="K1059" i="23"/>
  <c r="K1060" i="23"/>
  <c r="K1061" i="23"/>
  <c r="K1062" i="23"/>
  <c r="K1063" i="23"/>
  <c r="K1064" i="23"/>
  <c r="K1065" i="23"/>
  <c r="K1066" i="23"/>
  <c r="K1067" i="23"/>
  <c r="K1068" i="23"/>
  <c r="K1069" i="23"/>
  <c r="K1070" i="23"/>
  <c r="K1071" i="23"/>
  <c r="K1072" i="23"/>
  <c r="K1073" i="23"/>
  <c r="K1074" i="23"/>
  <c r="K1075" i="23"/>
  <c r="K1076" i="23"/>
  <c r="K1077" i="23"/>
  <c r="K1078" i="23"/>
  <c r="K1079" i="23"/>
  <c r="K1080" i="23"/>
  <c r="K1081" i="23"/>
  <c r="K1082" i="23"/>
  <c r="K1083" i="23"/>
  <c r="K1084" i="23"/>
  <c r="K1085" i="23"/>
  <c r="K1086" i="23"/>
  <c r="K1087" i="23"/>
  <c r="K1088" i="23"/>
  <c r="K1089" i="23"/>
  <c r="K1090" i="23"/>
  <c r="K1091" i="23"/>
  <c r="K1092" i="23"/>
  <c r="K1093" i="23"/>
  <c r="K1094" i="23"/>
  <c r="K1095" i="23"/>
  <c r="K1096" i="23"/>
  <c r="K1097" i="23"/>
  <c r="K1098" i="23"/>
  <c r="K1099" i="23"/>
  <c r="K1100" i="23"/>
  <c r="K1101" i="23"/>
  <c r="K1102" i="23"/>
  <c r="K1103" i="23"/>
  <c r="K1104" i="23"/>
  <c r="K1105" i="23"/>
  <c r="K1106" i="23"/>
  <c r="K1107" i="23"/>
  <c r="K1108" i="23"/>
  <c r="K1109" i="23"/>
  <c r="K1110" i="23"/>
  <c r="K1111" i="23"/>
  <c r="K1112" i="23"/>
  <c r="K1113" i="23"/>
  <c r="K1114" i="23"/>
  <c r="K1115" i="23"/>
  <c r="K1116" i="23"/>
  <c r="K1117" i="23"/>
  <c r="K1118" i="23"/>
  <c r="K1119" i="23"/>
  <c r="K1120" i="23"/>
  <c r="K1121" i="23"/>
  <c r="K1122" i="23"/>
  <c r="K1123" i="23"/>
  <c r="K1124" i="23"/>
  <c r="K1125" i="23"/>
  <c r="K1126" i="23"/>
  <c r="K1127" i="23"/>
  <c r="K1128" i="23"/>
  <c r="K1129" i="23"/>
  <c r="K1130" i="23"/>
  <c r="K1131" i="23"/>
  <c r="K1132" i="23"/>
  <c r="K1133" i="23"/>
  <c r="K1134" i="23"/>
  <c r="K1135" i="23"/>
  <c r="K1136" i="23"/>
  <c r="K1137" i="23"/>
  <c r="K1138" i="23"/>
  <c r="K1139" i="23"/>
  <c r="K1140" i="23"/>
  <c r="K1141" i="23"/>
  <c r="K1142" i="23"/>
  <c r="K1143" i="23"/>
  <c r="K1144" i="23"/>
  <c r="K1145" i="23"/>
  <c r="K1146" i="23"/>
  <c r="K1147" i="23"/>
  <c r="K1148" i="23"/>
  <c r="K1149" i="23"/>
  <c r="K1150" i="23"/>
  <c r="K1151" i="23"/>
  <c r="K1152" i="23"/>
  <c r="K1153" i="23"/>
  <c r="K1154" i="23"/>
  <c r="K1155" i="23"/>
  <c r="K1156" i="23"/>
  <c r="K1157" i="23"/>
  <c r="K1158" i="23"/>
  <c r="K1159" i="23"/>
  <c r="K1160" i="23"/>
  <c r="K1161" i="23"/>
  <c r="K1162" i="23"/>
  <c r="K1163" i="23"/>
  <c r="K1164" i="23"/>
  <c r="K1165" i="23"/>
  <c r="K1166" i="23"/>
  <c r="K1167" i="23"/>
  <c r="K1168" i="23"/>
  <c r="K1169" i="23"/>
  <c r="K1170" i="23"/>
  <c r="K1171" i="23"/>
  <c r="K1172" i="23"/>
  <c r="K1173" i="23"/>
  <c r="K1174" i="23"/>
  <c r="K1175" i="23"/>
  <c r="K1176" i="23"/>
  <c r="K1177" i="23"/>
  <c r="K1178" i="23"/>
  <c r="K1179" i="23"/>
  <c r="K1180" i="23"/>
  <c r="K1181" i="23"/>
  <c r="K1182" i="23"/>
  <c r="K1183" i="23"/>
  <c r="K1184" i="23"/>
  <c r="K1185" i="23"/>
  <c r="K1186" i="23"/>
  <c r="K1187" i="23"/>
  <c r="K1188" i="23"/>
  <c r="K1189" i="23"/>
  <c r="K1190" i="23"/>
  <c r="K1191" i="23"/>
  <c r="K1192" i="23"/>
  <c r="K1193" i="23"/>
  <c r="K1194" i="23"/>
  <c r="K1195" i="23"/>
  <c r="K1196" i="23"/>
  <c r="K1197" i="23"/>
  <c r="K1198" i="23"/>
  <c r="K1199" i="23"/>
  <c r="K1200" i="23"/>
  <c r="K1201" i="23"/>
  <c r="K1202" i="23"/>
  <c r="K1203" i="23"/>
  <c r="K1204" i="23"/>
  <c r="K1205" i="23"/>
  <c r="K1206" i="23"/>
  <c r="K1207" i="23"/>
  <c r="K1208" i="23"/>
  <c r="K1209" i="23"/>
  <c r="K1210" i="23"/>
  <c r="K1211" i="23"/>
  <c r="K1212" i="23"/>
  <c r="K1213" i="23"/>
  <c r="K1214" i="23"/>
  <c r="K1215" i="23"/>
  <c r="K1216" i="23"/>
  <c r="K1217" i="23"/>
  <c r="K1218" i="23"/>
  <c r="K1219" i="23"/>
  <c r="K1220" i="23"/>
  <c r="K1221" i="23"/>
  <c r="K1222" i="23"/>
  <c r="K1223" i="23"/>
  <c r="K1224" i="23"/>
  <c r="K1225" i="23"/>
  <c r="K1226" i="23"/>
  <c r="K1227" i="23"/>
  <c r="K1228" i="23"/>
  <c r="K1229" i="23"/>
  <c r="K1230" i="23"/>
  <c r="K1231" i="23"/>
  <c r="K1232" i="23"/>
  <c r="K1233" i="23"/>
  <c r="K1234" i="23"/>
  <c r="K1235" i="23"/>
  <c r="K1236" i="23"/>
  <c r="K1237" i="23"/>
  <c r="K1238" i="23"/>
  <c r="K1239" i="23"/>
  <c r="K1240" i="23"/>
  <c r="K1241" i="23"/>
  <c r="K1242" i="23"/>
  <c r="K1243" i="23"/>
  <c r="K1244" i="23"/>
  <c r="K1245" i="23"/>
  <c r="K1246" i="23"/>
  <c r="K1247" i="23"/>
  <c r="K1248" i="23"/>
  <c r="K1249" i="23"/>
  <c r="K1250" i="23"/>
  <c r="K1251" i="23"/>
  <c r="K1252" i="23"/>
  <c r="K1253" i="23"/>
  <c r="K1254" i="23"/>
  <c r="K1255" i="23"/>
  <c r="K1256" i="23"/>
  <c r="K1257" i="23"/>
  <c r="K1258" i="23"/>
  <c r="K1259" i="23"/>
  <c r="K1260" i="23"/>
  <c r="K1261" i="23"/>
  <c r="K1262" i="23"/>
  <c r="K1263" i="23"/>
  <c r="K1264" i="23"/>
  <c r="K1265" i="23"/>
  <c r="K1266" i="23"/>
  <c r="K1267" i="23"/>
  <c r="K1268" i="23"/>
  <c r="K1269" i="23"/>
  <c r="K1270" i="23"/>
  <c r="K1271" i="23"/>
  <c r="K1272" i="23"/>
  <c r="K1273" i="23"/>
  <c r="K1274" i="23"/>
  <c r="K1275" i="23"/>
  <c r="K1276" i="23"/>
  <c r="K1277" i="23"/>
  <c r="K1278" i="23"/>
  <c r="K1279" i="23"/>
  <c r="K1280" i="23"/>
  <c r="K1281" i="23"/>
  <c r="K1282" i="23"/>
  <c r="K1283" i="23"/>
  <c r="K1284" i="23"/>
  <c r="K1285" i="23"/>
  <c r="K1286" i="23"/>
  <c r="K1287" i="23"/>
  <c r="K1288" i="23"/>
  <c r="K1289" i="23"/>
  <c r="K1290" i="23"/>
  <c r="K1291" i="23"/>
  <c r="K1292" i="23"/>
  <c r="K1293" i="23"/>
  <c r="K1294" i="23"/>
  <c r="K1295" i="23"/>
  <c r="K1296" i="23"/>
  <c r="K1297" i="23"/>
  <c r="K1298" i="23"/>
  <c r="K1299" i="23"/>
  <c r="K1300" i="23"/>
  <c r="K1301" i="23"/>
  <c r="K1302" i="23"/>
  <c r="K1303" i="23"/>
  <c r="K1304" i="23"/>
  <c r="K1305" i="23"/>
  <c r="K1306" i="23"/>
  <c r="K1307" i="23"/>
  <c r="K1308" i="23"/>
  <c r="K1309" i="23"/>
  <c r="K1310" i="23"/>
  <c r="K1311" i="23"/>
  <c r="K1312" i="23"/>
  <c r="K1313" i="23"/>
  <c r="K1314" i="23"/>
  <c r="K1315" i="23"/>
  <c r="K1316" i="23"/>
  <c r="K1317" i="23"/>
  <c r="K1318" i="23"/>
  <c r="K1319" i="23"/>
  <c r="K1320" i="23"/>
  <c r="K1321" i="23"/>
  <c r="K1322" i="23"/>
  <c r="K1323" i="23"/>
  <c r="K1324" i="23"/>
  <c r="K1325" i="23"/>
  <c r="K1326" i="23"/>
  <c r="K1327" i="23"/>
  <c r="K1328" i="23"/>
  <c r="K1329" i="23"/>
  <c r="K1330" i="23"/>
  <c r="K1331" i="23"/>
  <c r="K1332" i="23"/>
  <c r="K1333" i="23"/>
  <c r="K1334" i="23"/>
  <c r="K1335" i="23"/>
  <c r="K1336" i="23"/>
  <c r="K1337" i="23"/>
  <c r="K1338" i="23"/>
  <c r="K1339" i="23"/>
  <c r="K1340" i="23"/>
  <c r="K1341" i="23"/>
  <c r="K1342" i="23"/>
  <c r="K1343" i="23"/>
  <c r="K1344" i="23"/>
  <c r="K1345" i="23"/>
  <c r="K1346" i="23"/>
  <c r="K1347" i="23"/>
  <c r="K1348" i="23"/>
  <c r="K1349" i="23"/>
  <c r="K1350" i="23"/>
  <c r="K1351" i="23"/>
  <c r="K1352" i="23"/>
  <c r="K1353" i="23"/>
  <c r="K1354" i="23"/>
  <c r="K1355" i="23"/>
  <c r="K1356" i="23"/>
  <c r="K1357" i="23"/>
  <c r="K1358" i="23"/>
  <c r="K1359" i="23"/>
  <c r="K1360" i="23"/>
  <c r="K1361" i="23"/>
  <c r="K1362" i="23"/>
  <c r="K1363" i="23"/>
  <c r="K1364" i="23"/>
  <c r="K1365" i="23"/>
  <c r="K1366" i="23"/>
  <c r="K1367" i="23"/>
  <c r="K1368" i="23"/>
  <c r="K1369" i="23"/>
  <c r="K1370" i="23"/>
  <c r="K1371" i="23"/>
  <c r="K1372" i="23"/>
  <c r="K1373" i="23"/>
  <c r="K1374" i="23"/>
  <c r="K1375" i="23"/>
  <c r="K1376" i="23"/>
  <c r="K1377" i="23"/>
  <c r="K1378" i="23"/>
  <c r="K1379" i="23"/>
  <c r="K1380" i="23"/>
  <c r="K1381" i="23"/>
  <c r="K1382" i="23"/>
  <c r="K1383" i="23"/>
  <c r="K1384" i="23"/>
  <c r="K1385" i="23"/>
  <c r="K1386" i="23"/>
  <c r="K1387" i="23"/>
  <c r="K1388" i="23"/>
  <c r="K1389" i="23"/>
  <c r="K1390" i="23"/>
  <c r="K1391" i="23"/>
  <c r="K1392" i="23"/>
  <c r="K1393" i="23"/>
  <c r="K1394" i="23"/>
  <c r="K1395" i="23"/>
  <c r="K1396" i="23"/>
  <c r="K1397" i="23"/>
  <c r="K1398" i="23"/>
  <c r="K1399" i="23"/>
  <c r="K1400" i="23"/>
  <c r="K1401" i="23"/>
  <c r="K1402" i="23"/>
  <c r="K1403" i="23"/>
  <c r="K1404" i="23"/>
  <c r="K1405" i="23"/>
  <c r="K1406" i="23"/>
  <c r="K1407" i="23"/>
  <c r="K1408" i="23"/>
  <c r="K1409" i="23"/>
  <c r="K1410" i="23"/>
  <c r="K1411" i="23"/>
  <c r="K1412" i="23"/>
  <c r="K1413" i="23"/>
  <c r="K1414" i="23"/>
  <c r="K1415" i="23"/>
  <c r="K1416" i="23"/>
  <c r="K1417" i="23"/>
  <c r="K1418" i="23"/>
  <c r="K1419" i="23"/>
  <c r="K1420" i="23"/>
  <c r="K1421" i="23"/>
  <c r="K1422" i="23"/>
  <c r="K1423" i="23"/>
  <c r="K1424" i="23"/>
  <c r="K1425" i="23"/>
  <c r="K1426" i="23"/>
  <c r="K1427" i="23"/>
  <c r="K1428" i="23"/>
  <c r="K1429" i="23"/>
  <c r="K1430" i="23"/>
  <c r="K1431" i="23"/>
  <c r="K1432" i="23"/>
  <c r="K1433" i="23"/>
  <c r="K1434" i="23"/>
  <c r="K1435" i="23"/>
  <c r="K1436" i="23"/>
  <c r="K1437" i="23"/>
  <c r="K1438" i="23"/>
  <c r="K1439" i="23"/>
  <c r="K1440" i="23"/>
  <c r="K1441" i="23"/>
  <c r="K1442" i="23"/>
  <c r="K1443" i="23"/>
  <c r="K1444" i="23"/>
  <c r="K1445" i="23"/>
  <c r="K1446" i="23"/>
  <c r="K1447" i="23"/>
  <c r="K1448" i="23"/>
  <c r="K1449" i="23"/>
  <c r="K1450" i="23"/>
  <c r="K1451" i="23"/>
  <c r="K1452" i="23"/>
  <c r="K1453" i="23"/>
  <c r="K1454" i="23"/>
  <c r="K1455" i="23"/>
  <c r="K1456" i="23"/>
  <c r="K1457" i="23"/>
  <c r="K1458" i="23"/>
  <c r="K1459" i="23"/>
  <c r="K1460" i="23"/>
  <c r="K1461" i="23"/>
  <c r="K1462" i="23"/>
  <c r="K1463" i="23"/>
  <c r="K1464" i="23"/>
  <c r="K1465" i="23"/>
  <c r="K1466" i="23"/>
  <c r="K1467" i="23"/>
  <c r="K1468" i="23"/>
  <c r="K1469" i="23"/>
  <c r="K1470" i="23"/>
  <c r="K1471" i="23"/>
  <c r="K1472" i="23"/>
  <c r="K1473" i="23"/>
  <c r="K1474" i="23"/>
  <c r="K1475" i="23"/>
  <c r="K1476" i="23"/>
  <c r="K1477" i="23"/>
  <c r="K1478" i="23"/>
  <c r="K1479" i="23"/>
  <c r="K1480" i="23"/>
  <c r="K1481" i="23"/>
  <c r="K1482" i="23"/>
  <c r="K1483" i="23"/>
  <c r="K1484" i="23"/>
  <c r="K1485" i="23"/>
  <c r="K1486" i="23"/>
  <c r="K1487" i="23"/>
  <c r="K1488" i="23"/>
  <c r="K1489" i="23"/>
  <c r="K1490" i="23"/>
  <c r="K1491" i="23"/>
  <c r="K1492" i="23"/>
  <c r="K1493" i="23"/>
  <c r="K1494" i="23"/>
  <c r="K1495" i="23"/>
  <c r="K1496" i="23"/>
  <c r="K1497" i="23"/>
  <c r="K1498" i="23"/>
  <c r="K1499" i="23"/>
  <c r="K1500" i="23"/>
  <c r="K1501" i="23"/>
  <c r="K1502" i="23"/>
  <c r="K1503" i="23"/>
  <c r="K1504" i="23"/>
  <c r="K1505" i="23"/>
  <c r="K1506" i="23"/>
  <c r="K1507" i="23"/>
  <c r="K1508" i="23"/>
  <c r="K1509" i="23"/>
  <c r="K1510" i="23"/>
  <c r="K1511" i="23"/>
  <c r="K1512" i="23"/>
  <c r="K1513" i="23"/>
  <c r="K1514" i="23"/>
  <c r="K1515" i="23"/>
  <c r="K1516" i="23"/>
  <c r="K1517" i="23"/>
  <c r="K1518" i="23"/>
  <c r="K1519" i="23"/>
  <c r="K1520" i="23"/>
  <c r="K1521" i="23"/>
  <c r="K1522" i="23"/>
  <c r="K1523" i="23"/>
  <c r="K1524" i="23"/>
  <c r="K1525" i="23"/>
  <c r="K1526" i="23"/>
  <c r="K1527" i="23"/>
  <c r="K1528" i="23"/>
  <c r="K1529" i="23"/>
  <c r="K1530" i="23"/>
  <c r="K1531" i="23"/>
  <c r="K1532" i="23"/>
  <c r="K1533" i="23"/>
  <c r="K1534" i="23"/>
  <c r="K1535" i="23"/>
  <c r="K1536" i="23"/>
  <c r="K1537" i="23"/>
  <c r="K1538" i="23"/>
  <c r="K1539" i="23"/>
  <c r="K1540" i="23"/>
  <c r="K1541" i="23"/>
  <c r="K1542" i="23"/>
  <c r="K1543" i="23"/>
  <c r="K1544" i="23"/>
  <c r="K1545" i="23"/>
  <c r="K1546" i="23"/>
  <c r="K1547" i="23"/>
  <c r="K1548" i="23"/>
  <c r="K1549" i="23"/>
  <c r="K1550" i="23"/>
  <c r="K1551" i="23"/>
  <c r="K1552" i="23"/>
  <c r="K1553" i="23"/>
  <c r="K1554" i="23"/>
  <c r="K1555" i="23"/>
  <c r="K1556" i="23"/>
  <c r="K1557" i="23"/>
  <c r="K1558" i="23"/>
  <c r="K1559" i="23"/>
  <c r="K1560" i="23"/>
  <c r="K1561" i="23"/>
  <c r="K1562" i="23"/>
  <c r="K1563" i="23"/>
  <c r="K1564" i="23"/>
  <c r="K1565" i="23"/>
  <c r="K1566" i="23"/>
  <c r="K1567" i="23"/>
  <c r="K1568" i="23"/>
  <c r="K1569" i="23"/>
  <c r="K1570" i="23"/>
  <c r="K1571" i="23"/>
  <c r="K1572" i="23"/>
  <c r="K1573" i="23"/>
  <c r="K1574" i="23"/>
  <c r="K1575" i="23"/>
  <c r="K1576" i="23"/>
  <c r="K1577" i="23"/>
  <c r="K1578" i="23"/>
  <c r="K1579" i="23"/>
  <c r="K1580" i="23"/>
  <c r="K1581" i="23"/>
  <c r="K1582" i="23"/>
  <c r="K1583" i="23"/>
  <c r="K1584" i="23"/>
  <c r="K1585" i="23"/>
  <c r="K1586" i="23"/>
  <c r="K1587" i="23"/>
  <c r="K1588" i="23"/>
  <c r="K1589" i="23"/>
  <c r="K1590" i="23"/>
  <c r="K1591" i="23"/>
  <c r="K1592" i="23"/>
  <c r="K1593" i="23"/>
  <c r="K1594" i="23"/>
  <c r="K1595" i="23"/>
  <c r="K1596" i="23"/>
  <c r="K1597" i="23"/>
  <c r="K1598" i="23"/>
  <c r="K1599" i="23"/>
  <c r="K1600" i="23"/>
  <c r="K1601" i="23"/>
  <c r="K1602" i="23"/>
  <c r="K1603" i="23"/>
  <c r="K1604" i="23"/>
  <c r="K1605" i="23"/>
  <c r="K1606" i="23"/>
  <c r="K1607" i="23"/>
  <c r="K1608" i="23"/>
  <c r="K1609" i="23"/>
  <c r="K1610" i="23"/>
  <c r="K1611" i="23"/>
  <c r="K1612" i="23"/>
  <c r="K1613" i="23"/>
  <c r="K1614" i="23"/>
  <c r="K1615" i="23"/>
  <c r="K1616" i="23"/>
  <c r="K1617" i="23"/>
  <c r="K1618" i="23"/>
  <c r="K1619" i="23"/>
  <c r="K1620" i="23"/>
  <c r="K1621" i="23"/>
  <c r="K1622" i="23"/>
  <c r="K1623" i="23"/>
  <c r="K1624" i="23"/>
  <c r="K1625" i="23"/>
  <c r="K1626" i="23"/>
  <c r="K1627" i="23"/>
  <c r="K1628" i="23"/>
  <c r="K1629" i="23"/>
  <c r="K1630" i="23"/>
  <c r="K1631" i="23"/>
  <c r="K1632" i="23"/>
  <c r="K1633" i="23"/>
  <c r="K1634" i="23"/>
  <c r="K1635" i="23"/>
  <c r="K1636" i="23"/>
  <c r="K1637" i="23"/>
  <c r="K1638" i="23"/>
  <c r="K1639" i="23"/>
  <c r="K1640" i="23"/>
  <c r="K1641" i="23"/>
  <c r="K1642" i="23"/>
  <c r="K1643" i="23"/>
  <c r="K1644" i="23"/>
  <c r="K1645" i="23"/>
  <c r="K1646" i="23"/>
  <c r="K1647" i="23"/>
  <c r="K1648" i="23"/>
  <c r="K1649" i="23"/>
  <c r="K1650" i="23"/>
  <c r="K1651" i="23"/>
  <c r="K1652" i="23"/>
  <c r="K1653" i="23"/>
  <c r="K1654" i="23"/>
  <c r="K1655" i="23"/>
  <c r="K1656" i="23"/>
  <c r="K1657" i="23"/>
  <c r="K1658" i="23"/>
  <c r="K1659" i="23"/>
  <c r="K1660" i="23"/>
  <c r="K1661" i="23"/>
  <c r="K1662" i="23"/>
  <c r="K1663" i="23"/>
  <c r="K1664" i="23"/>
  <c r="K1665" i="23"/>
  <c r="K1666" i="23"/>
  <c r="K1667" i="23"/>
  <c r="K1668" i="23"/>
  <c r="K1669" i="23"/>
  <c r="K1670" i="23"/>
  <c r="K1671" i="23"/>
  <c r="K1672" i="23"/>
  <c r="K1673" i="23"/>
  <c r="K1674" i="23"/>
  <c r="K1675" i="23"/>
  <c r="K1676" i="23"/>
  <c r="K1677" i="23"/>
  <c r="K1678" i="23"/>
  <c r="K1679" i="23"/>
  <c r="K1680" i="23"/>
  <c r="K1681" i="23"/>
  <c r="K1682" i="23"/>
  <c r="K1683" i="23"/>
  <c r="K1684" i="23"/>
  <c r="K1685" i="23"/>
  <c r="K1686" i="23"/>
  <c r="K1687" i="23"/>
  <c r="K1688" i="23"/>
  <c r="K1689" i="23"/>
  <c r="K1690" i="23"/>
  <c r="K1691" i="23"/>
  <c r="K1692" i="23"/>
  <c r="K1693" i="23"/>
  <c r="K1694" i="23"/>
  <c r="K1695" i="23"/>
  <c r="K1696" i="23"/>
  <c r="K1697" i="23"/>
  <c r="K1698" i="23"/>
  <c r="K1699" i="23"/>
  <c r="K1700" i="23"/>
  <c r="K1701" i="23"/>
  <c r="K1702" i="23"/>
  <c r="K1703" i="23"/>
  <c r="K1704" i="23"/>
  <c r="K1705" i="23"/>
  <c r="K1706" i="23"/>
  <c r="K1707" i="23"/>
  <c r="K1708" i="23"/>
  <c r="K1709" i="23"/>
  <c r="K1710" i="23"/>
  <c r="K1711" i="23"/>
  <c r="K1712" i="23"/>
  <c r="K1713" i="23"/>
  <c r="K1714" i="23"/>
  <c r="K1715" i="23"/>
  <c r="K1716" i="23"/>
  <c r="K1717" i="23"/>
  <c r="K1718" i="23"/>
  <c r="K1719" i="23"/>
  <c r="K1720" i="23"/>
  <c r="K1721" i="23"/>
  <c r="K1722" i="23"/>
  <c r="K1723" i="23"/>
  <c r="K1724" i="23"/>
  <c r="K1725" i="23"/>
  <c r="K1726" i="23"/>
  <c r="K1727" i="23"/>
  <c r="K1728" i="23"/>
  <c r="K1729" i="23"/>
  <c r="K1730" i="23"/>
  <c r="K1731" i="23"/>
  <c r="K1732" i="23"/>
  <c r="K1733" i="23"/>
  <c r="K1734" i="23"/>
  <c r="K1735" i="23"/>
  <c r="K1736" i="23"/>
  <c r="K1737" i="23"/>
  <c r="K1738" i="23"/>
  <c r="K1739" i="23"/>
  <c r="K1740" i="23"/>
  <c r="K1741" i="23"/>
  <c r="K1742" i="23"/>
  <c r="K1743" i="23"/>
  <c r="K1744" i="23"/>
  <c r="K1745" i="23"/>
  <c r="K1746" i="23"/>
  <c r="K1747" i="23"/>
  <c r="K1748" i="23"/>
  <c r="K1749" i="23"/>
  <c r="K1750" i="23"/>
  <c r="K1751" i="23"/>
  <c r="K1752" i="23"/>
  <c r="K1753" i="23"/>
  <c r="K1754" i="23"/>
  <c r="K1755" i="23"/>
  <c r="K1756" i="23"/>
  <c r="K1757" i="23"/>
  <c r="K1758" i="23"/>
  <c r="K1759" i="23"/>
  <c r="K1760" i="23"/>
  <c r="K1761" i="23"/>
  <c r="K1762" i="23"/>
  <c r="K1763" i="23"/>
  <c r="K1764" i="23"/>
  <c r="K1765" i="23"/>
  <c r="K1766" i="23"/>
  <c r="K1767" i="23"/>
  <c r="K1768" i="23"/>
  <c r="K1769" i="23"/>
  <c r="K1770" i="23"/>
  <c r="K1771" i="23"/>
  <c r="K1772" i="23"/>
  <c r="K1773" i="23"/>
  <c r="K1774" i="23"/>
  <c r="K1775" i="23"/>
  <c r="K1776" i="23"/>
  <c r="K1777" i="23"/>
  <c r="K1778" i="23"/>
  <c r="K1779" i="23"/>
  <c r="K1780" i="23"/>
  <c r="K1781" i="23"/>
  <c r="K1782" i="23"/>
  <c r="K1783" i="23"/>
  <c r="K1784" i="23"/>
  <c r="K1785" i="23"/>
  <c r="K1786" i="23"/>
  <c r="K1787" i="23"/>
  <c r="L101" i="23"/>
  <c r="X101" i="23" s="1"/>
  <c r="L102" i="23"/>
  <c r="X102" i="23" s="1"/>
  <c r="L103" i="23"/>
  <c r="X103" i="23" s="1"/>
  <c r="L104" i="23"/>
  <c r="X104" i="23" s="1"/>
  <c r="L105" i="23"/>
  <c r="X105" i="23" s="1"/>
  <c r="L106" i="23"/>
  <c r="X106" i="23" s="1"/>
  <c r="L107" i="23"/>
  <c r="X107" i="23" s="1"/>
  <c r="L108" i="23"/>
  <c r="X108" i="23" s="1"/>
  <c r="L109" i="23"/>
  <c r="X109" i="23" s="1"/>
  <c r="L110" i="23"/>
  <c r="X110" i="23" s="1"/>
  <c r="L111" i="23"/>
  <c r="X111" i="23" s="1"/>
  <c r="L112" i="23"/>
  <c r="X112" i="23" s="1"/>
  <c r="L113" i="23"/>
  <c r="X113" i="23" s="1"/>
  <c r="L114" i="23"/>
  <c r="X114" i="23" s="1"/>
  <c r="L115" i="23"/>
  <c r="X115" i="23" s="1"/>
  <c r="L116" i="23"/>
  <c r="X116" i="23" s="1"/>
  <c r="L117" i="23"/>
  <c r="X117" i="23" s="1"/>
  <c r="L118" i="23"/>
  <c r="X118" i="23" s="1"/>
  <c r="L119" i="23"/>
  <c r="X119" i="23" s="1"/>
  <c r="L120" i="23"/>
  <c r="X120" i="23" s="1"/>
  <c r="L121" i="23"/>
  <c r="X121" i="23" s="1"/>
  <c r="L122" i="23"/>
  <c r="X122" i="23" s="1"/>
  <c r="L123" i="23"/>
  <c r="X123" i="23" s="1"/>
  <c r="L124" i="23"/>
  <c r="X124" i="23" s="1"/>
  <c r="L125" i="23"/>
  <c r="X125" i="23" s="1"/>
  <c r="L126" i="23"/>
  <c r="X126" i="23" s="1"/>
  <c r="L127" i="23"/>
  <c r="X127" i="23" s="1"/>
  <c r="L128" i="23"/>
  <c r="X128" i="23" s="1"/>
  <c r="L129" i="23"/>
  <c r="X129" i="23" s="1"/>
  <c r="L130" i="23"/>
  <c r="X130" i="23" s="1"/>
  <c r="L131" i="23"/>
  <c r="X131" i="23" s="1"/>
  <c r="L132" i="23"/>
  <c r="X132" i="23" s="1"/>
  <c r="L133" i="23"/>
  <c r="X133" i="23" s="1"/>
  <c r="L134" i="23"/>
  <c r="X134" i="23" s="1"/>
  <c r="L135" i="23"/>
  <c r="X135" i="23" s="1"/>
  <c r="L136" i="23"/>
  <c r="X136" i="23" s="1"/>
  <c r="L137" i="23"/>
  <c r="X137" i="23" s="1"/>
  <c r="L138" i="23"/>
  <c r="X138" i="23" s="1"/>
  <c r="L139" i="23"/>
  <c r="X139" i="23" s="1"/>
  <c r="L140" i="23"/>
  <c r="X140" i="23" s="1"/>
  <c r="L141" i="23"/>
  <c r="X141" i="23" s="1"/>
  <c r="L142" i="23"/>
  <c r="X142" i="23" s="1"/>
  <c r="L143" i="23"/>
  <c r="X143" i="23" s="1"/>
  <c r="L144" i="23"/>
  <c r="X144" i="23" s="1"/>
  <c r="L145" i="23"/>
  <c r="X145" i="23" s="1"/>
  <c r="L146" i="23"/>
  <c r="X146" i="23" s="1"/>
  <c r="L147" i="23"/>
  <c r="X147" i="23" s="1"/>
  <c r="L148" i="23"/>
  <c r="X148" i="23" s="1"/>
  <c r="L149" i="23"/>
  <c r="X149" i="23" s="1"/>
  <c r="L150" i="23"/>
  <c r="X150" i="23" s="1"/>
  <c r="L151" i="23"/>
  <c r="X151" i="23" s="1"/>
  <c r="L152" i="23"/>
  <c r="X152" i="23" s="1"/>
  <c r="L153" i="23"/>
  <c r="X153" i="23" s="1"/>
  <c r="L154" i="23"/>
  <c r="X154" i="23" s="1"/>
  <c r="L155" i="23"/>
  <c r="X155" i="23" s="1"/>
  <c r="L156" i="23"/>
  <c r="X156" i="23" s="1"/>
  <c r="L157" i="23"/>
  <c r="X157" i="23" s="1"/>
  <c r="L158" i="23"/>
  <c r="X158" i="23" s="1"/>
  <c r="L159" i="23"/>
  <c r="X159" i="23" s="1"/>
  <c r="L160" i="23"/>
  <c r="X160" i="23" s="1"/>
  <c r="L161" i="23"/>
  <c r="X161" i="23" s="1"/>
  <c r="L162" i="23"/>
  <c r="X162" i="23" s="1"/>
  <c r="L163" i="23"/>
  <c r="X163" i="23" s="1"/>
  <c r="L164" i="23"/>
  <c r="X164" i="23" s="1"/>
  <c r="L165" i="23"/>
  <c r="X165" i="23" s="1"/>
  <c r="L166" i="23"/>
  <c r="X166" i="23" s="1"/>
  <c r="L167" i="23"/>
  <c r="X167" i="23" s="1"/>
  <c r="L168" i="23"/>
  <c r="X168" i="23" s="1"/>
  <c r="L169" i="23"/>
  <c r="X169" i="23" s="1"/>
  <c r="L170" i="23"/>
  <c r="X170" i="23" s="1"/>
  <c r="L171" i="23"/>
  <c r="X171" i="23" s="1"/>
  <c r="L172" i="23"/>
  <c r="X172" i="23" s="1"/>
  <c r="L173" i="23"/>
  <c r="X173" i="23" s="1"/>
  <c r="L174" i="23"/>
  <c r="X174" i="23" s="1"/>
  <c r="L175" i="23"/>
  <c r="X175" i="23" s="1"/>
  <c r="L176" i="23"/>
  <c r="X176" i="23" s="1"/>
  <c r="L177" i="23"/>
  <c r="X177" i="23" s="1"/>
  <c r="L178" i="23"/>
  <c r="X178" i="23" s="1"/>
  <c r="L179" i="23"/>
  <c r="X179" i="23" s="1"/>
  <c r="L180" i="23"/>
  <c r="X180" i="23" s="1"/>
  <c r="L181" i="23"/>
  <c r="X181" i="23" s="1"/>
  <c r="L182" i="23"/>
  <c r="X182" i="23" s="1"/>
  <c r="L183" i="23"/>
  <c r="X183" i="23" s="1"/>
  <c r="L184" i="23"/>
  <c r="X184" i="23" s="1"/>
  <c r="L185" i="23"/>
  <c r="X185" i="23" s="1"/>
  <c r="L186" i="23"/>
  <c r="X186" i="23" s="1"/>
  <c r="L187" i="23"/>
  <c r="X187" i="23" s="1"/>
  <c r="L188" i="23"/>
  <c r="X188" i="23" s="1"/>
  <c r="L189" i="23"/>
  <c r="X189" i="23" s="1"/>
  <c r="L190" i="23"/>
  <c r="X190" i="23" s="1"/>
  <c r="L191" i="23"/>
  <c r="X191" i="23" s="1"/>
  <c r="L192" i="23"/>
  <c r="X192" i="23" s="1"/>
  <c r="L193" i="23"/>
  <c r="X193" i="23" s="1"/>
  <c r="L194" i="23"/>
  <c r="X194" i="23" s="1"/>
  <c r="L195" i="23"/>
  <c r="X195" i="23" s="1"/>
  <c r="L196" i="23"/>
  <c r="X196" i="23" s="1"/>
  <c r="L197" i="23"/>
  <c r="X197" i="23" s="1"/>
  <c r="L198" i="23"/>
  <c r="X198" i="23" s="1"/>
  <c r="L199" i="23"/>
  <c r="X199" i="23" s="1"/>
  <c r="L200" i="23"/>
  <c r="X200" i="23" s="1"/>
  <c r="L201" i="23"/>
  <c r="X201" i="23" s="1"/>
  <c r="L202" i="23"/>
  <c r="X202" i="23" s="1"/>
  <c r="L203" i="23"/>
  <c r="X203" i="23" s="1"/>
  <c r="L204" i="23"/>
  <c r="X204" i="23" s="1"/>
  <c r="L205" i="23"/>
  <c r="X205" i="23" s="1"/>
  <c r="L206" i="23"/>
  <c r="X206" i="23" s="1"/>
  <c r="L207" i="23"/>
  <c r="X207" i="23" s="1"/>
  <c r="L208" i="23"/>
  <c r="X208" i="23" s="1"/>
  <c r="L209" i="23"/>
  <c r="X209" i="23" s="1"/>
  <c r="L210" i="23"/>
  <c r="X210" i="23" s="1"/>
  <c r="L211" i="23"/>
  <c r="X211" i="23" s="1"/>
  <c r="L212" i="23"/>
  <c r="X212" i="23" s="1"/>
  <c r="L213" i="23"/>
  <c r="X213" i="23" s="1"/>
  <c r="L214" i="23"/>
  <c r="X214" i="23" s="1"/>
  <c r="L215" i="23"/>
  <c r="X215" i="23" s="1"/>
  <c r="L216" i="23"/>
  <c r="X216" i="23" s="1"/>
  <c r="L217" i="23"/>
  <c r="X217" i="23" s="1"/>
  <c r="L218" i="23"/>
  <c r="X218" i="23" s="1"/>
  <c r="L219" i="23"/>
  <c r="X219" i="23" s="1"/>
  <c r="L220" i="23"/>
  <c r="X220" i="23" s="1"/>
  <c r="L221" i="23"/>
  <c r="X221" i="23" s="1"/>
  <c r="L222" i="23"/>
  <c r="X222" i="23" s="1"/>
  <c r="L223" i="23"/>
  <c r="X223" i="23" s="1"/>
  <c r="L224" i="23"/>
  <c r="X224" i="23" s="1"/>
  <c r="L225" i="23"/>
  <c r="X225" i="23" s="1"/>
  <c r="L226" i="23"/>
  <c r="X226" i="23" s="1"/>
  <c r="L227" i="23"/>
  <c r="X227" i="23" s="1"/>
  <c r="L228" i="23"/>
  <c r="X228" i="23" s="1"/>
  <c r="L229" i="23"/>
  <c r="X229" i="23" s="1"/>
  <c r="L230" i="23"/>
  <c r="X230" i="23" s="1"/>
  <c r="L231" i="23"/>
  <c r="X231" i="23" s="1"/>
  <c r="L232" i="23"/>
  <c r="X232" i="23" s="1"/>
  <c r="L233" i="23"/>
  <c r="X233" i="23" s="1"/>
  <c r="L234" i="23"/>
  <c r="X234" i="23" s="1"/>
  <c r="L235" i="23"/>
  <c r="X235" i="23" s="1"/>
  <c r="L236" i="23"/>
  <c r="X236" i="23" s="1"/>
  <c r="L237" i="23"/>
  <c r="X237" i="23" s="1"/>
  <c r="L238" i="23"/>
  <c r="X238" i="23" s="1"/>
  <c r="L239" i="23"/>
  <c r="X239" i="23" s="1"/>
  <c r="L240" i="23"/>
  <c r="X240" i="23" s="1"/>
  <c r="L241" i="23"/>
  <c r="X241" i="23" s="1"/>
  <c r="L242" i="23"/>
  <c r="X242" i="23" s="1"/>
  <c r="L243" i="23"/>
  <c r="X243" i="23" s="1"/>
  <c r="L244" i="23"/>
  <c r="X244" i="23" s="1"/>
  <c r="L245" i="23"/>
  <c r="X245" i="23" s="1"/>
  <c r="L246" i="23"/>
  <c r="X246" i="23" s="1"/>
  <c r="L247" i="23"/>
  <c r="X247" i="23" s="1"/>
  <c r="L248" i="23"/>
  <c r="X248" i="23" s="1"/>
  <c r="L249" i="23"/>
  <c r="X249" i="23" s="1"/>
  <c r="L250" i="23"/>
  <c r="X250" i="23" s="1"/>
  <c r="L251" i="23"/>
  <c r="X251" i="23" s="1"/>
  <c r="L252" i="23"/>
  <c r="X252" i="23" s="1"/>
  <c r="L253" i="23"/>
  <c r="X253" i="23" s="1"/>
  <c r="L254" i="23"/>
  <c r="X254" i="23" s="1"/>
  <c r="L255" i="23"/>
  <c r="X255" i="23" s="1"/>
  <c r="L256" i="23"/>
  <c r="X256" i="23" s="1"/>
  <c r="L257" i="23"/>
  <c r="X257" i="23" s="1"/>
  <c r="L258" i="23"/>
  <c r="X258" i="23" s="1"/>
  <c r="L259" i="23"/>
  <c r="X259" i="23" s="1"/>
  <c r="L260" i="23"/>
  <c r="X260" i="23" s="1"/>
  <c r="L261" i="23"/>
  <c r="X261" i="23" s="1"/>
  <c r="L262" i="23"/>
  <c r="X262" i="23" s="1"/>
  <c r="L263" i="23"/>
  <c r="X263" i="23" s="1"/>
  <c r="L264" i="23"/>
  <c r="X264" i="23" s="1"/>
  <c r="L265" i="23"/>
  <c r="X265" i="23" s="1"/>
  <c r="L266" i="23"/>
  <c r="X266" i="23" s="1"/>
  <c r="L267" i="23"/>
  <c r="X267" i="23" s="1"/>
  <c r="L268" i="23"/>
  <c r="X268" i="23" s="1"/>
  <c r="L269" i="23"/>
  <c r="X269" i="23" s="1"/>
  <c r="L270" i="23"/>
  <c r="X270" i="23" s="1"/>
  <c r="L271" i="23"/>
  <c r="X271" i="23" s="1"/>
  <c r="L272" i="23"/>
  <c r="X272" i="23" s="1"/>
  <c r="L273" i="23"/>
  <c r="X273" i="23" s="1"/>
  <c r="L274" i="23"/>
  <c r="X274" i="23" s="1"/>
  <c r="L275" i="23"/>
  <c r="X275" i="23" s="1"/>
  <c r="L276" i="23"/>
  <c r="X276" i="23" s="1"/>
  <c r="L277" i="23"/>
  <c r="X277" i="23" s="1"/>
  <c r="L278" i="23"/>
  <c r="X278" i="23" s="1"/>
  <c r="L279" i="23"/>
  <c r="X279" i="23" s="1"/>
  <c r="L280" i="23"/>
  <c r="X280" i="23" s="1"/>
  <c r="L281" i="23"/>
  <c r="X281" i="23" s="1"/>
  <c r="L282" i="23"/>
  <c r="X282" i="23" s="1"/>
  <c r="L283" i="23"/>
  <c r="X283" i="23" s="1"/>
  <c r="L284" i="23"/>
  <c r="X284" i="23" s="1"/>
  <c r="L285" i="23"/>
  <c r="X285" i="23" s="1"/>
  <c r="L286" i="23"/>
  <c r="X286" i="23" s="1"/>
  <c r="L287" i="23"/>
  <c r="X287" i="23" s="1"/>
  <c r="L288" i="23"/>
  <c r="X288" i="23" s="1"/>
  <c r="L289" i="23"/>
  <c r="X289" i="23" s="1"/>
  <c r="L290" i="23"/>
  <c r="X290" i="23" s="1"/>
  <c r="L291" i="23"/>
  <c r="X291" i="23" s="1"/>
  <c r="L292" i="23"/>
  <c r="X292" i="23" s="1"/>
  <c r="L293" i="23"/>
  <c r="X293" i="23" s="1"/>
  <c r="L294" i="23"/>
  <c r="X294" i="23" s="1"/>
  <c r="L295" i="23"/>
  <c r="X295" i="23" s="1"/>
  <c r="L296" i="23"/>
  <c r="X296" i="23" s="1"/>
  <c r="L297" i="23"/>
  <c r="X297" i="23" s="1"/>
  <c r="L298" i="23"/>
  <c r="X298" i="23" s="1"/>
  <c r="L299" i="23"/>
  <c r="X299" i="23" s="1"/>
  <c r="L300" i="23"/>
  <c r="X300" i="23" s="1"/>
  <c r="L301" i="23"/>
  <c r="X301" i="23" s="1"/>
  <c r="L302" i="23"/>
  <c r="X302" i="23" s="1"/>
  <c r="L303" i="23"/>
  <c r="X303" i="23" s="1"/>
  <c r="L304" i="23"/>
  <c r="X304" i="23" s="1"/>
  <c r="L305" i="23"/>
  <c r="X305" i="23" s="1"/>
  <c r="L306" i="23"/>
  <c r="X306" i="23" s="1"/>
  <c r="L307" i="23"/>
  <c r="X307" i="23" s="1"/>
  <c r="L308" i="23"/>
  <c r="X308" i="23" s="1"/>
  <c r="L309" i="23"/>
  <c r="X309" i="23" s="1"/>
  <c r="L310" i="23"/>
  <c r="X310" i="23" s="1"/>
  <c r="L311" i="23"/>
  <c r="X311" i="23" s="1"/>
  <c r="L312" i="23"/>
  <c r="X312" i="23" s="1"/>
  <c r="L313" i="23"/>
  <c r="X313" i="23" s="1"/>
  <c r="L314" i="23"/>
  <c r="X314" i="23" s="1"/>
  <c r="L315" i="23"/>
  <c r="X315" i="23" s="1"/>
  <c r="L316" i="23"/>
  <c r="X316" i="23" s="1"/>
  <c r="L317" i="23"/>
  <c r="X317" i="23" s="1"/>
  <c r="L318" i="23"/>
  <c r="X318" i="23" s="1"/>
  <c r="L319" i="23"/>
  <c r="X319" i="23" s="1"/>
  <c r="L320" i="23"/>
  <c r="X320" i="23" s="1"/>
  <c r="L321" i="23"/>
  <c r="X321" i="23" s="1"/>
  <c r="L322" i="23"/>
  <c r="X322" i="23" s="1"/>
  <c r="L323" i="23"/>
  <c r="X323" i="23" s="1"/>
  <c r="L324" i="23"/>
  <c r="X324" i="23" s="1"/>
  <c r="L325" i="23"/>
  <c r="X325" i="23" s="1"/>
  <c r="L326" i="23"/>
  <c r="X326" i="23" s="1"/>
  <c r="L327" i="23"/>
  <c r="X327" i="23" s="1"/>
  <c r="L328" i="23"/>
  <c r="X328" i="23" s="1"/>
  <c r="L329" i="23"/>
  <c r="X329" i="23" s="1"/>
  <c r="L330" i="23"/>
  <c r="X330" i="23" s="1"/>
  <c r="L331" i="23"/>
  <c r="X331" i="23" s="1"/>
  <c r="L332" i="23"/>
  <c r="X332" i="23" s="1"/>
  <c r="L333" i="23"/>
  <c r="X333" i="23" s="1"/>
  <c r="L334" i="23"/>
  <c r="X334" i="23" s="1"/>
  <c r="L335" i="23"/>
  <c r="X335" i="23" s="1"/>
  <c r="L336" i="23"/>
  <c r="X336" i="23" s="1"/>
  <c r="L337" i="23"/>
  <c r="X337" i="23" s="1"/>
  <c r="L338" i="23"/>
  <c r="X338" i="23" s="1"/>
  <c r="L339" i="23"/>
  <c r="X339" i="23" s="1"/>
  <c r="L340" i="23"/>
  <c r="X340" i="23" s="1"/>
  <c r="L341" i="23"/>
  <c r="X341" i="23" s="1"/>
  <c r="L342" i="23"/>
  <c r="X342" i="23" s="1"/>
  <c r="L343" i="23"/>
  <c r="X343" i="23" s="1"/>
  <c r="L344" i="23"/>
  <c r="X344" i="23" s="1"/>
  <c r="L345" i="23"/>
  <c r="X345" i="23" s="1"/>
  <c r="L346" i="23"/>
  <c r="X346" i="23" s="1"/>
  <c r="L347" i="23"/>
  <c r="X347" i="23" s="1"/>
  <c r="L348" i="23"/>
  <c r="X348" i="23" s="1"/>
  <c r="L349" i="23"/>
  <c r="X349" i="23" s="1"/>
  <c r="L350" i="23"/>
  <c r="X350" i="23" s="1"/>
  <c r="L351" i="23"/>
  <c r="X351" i="23" s="1"/>
  <c r="L352" i="23"/>
  <c r="X352" i="23" s="1"/>
  <c r="L353" i="23"/>
  <c r="X353" i="23" s="1"/>
  <c r="L354" i="23"/>
  <c r="X354" i="23" s="1"/>
  <c r="L355" i="23"/>
  <c r="X355" i="23" s="1"/>
  <c r="L356" i="23"/>
  <c r="X356" i="23" s="1"/>
  <c r="L357" i="23"/>
  <c r="X357" i="23" s="1"/>
  <c r="L358" i="23"/>
  <c r="X358" i="23" s="1"/>
  <c r="L359" i="23"/>
  <c r="X359" i="23" s="1"/>
  <c r="L360" i="23"/>
  <c r="X360" i="23" s="1"/>
  <c r="L361" i="23"/>
  <c r="X361" i="23" s="1"/>
  <c r="L362" i="23"/>
  <c r="X362" i="23" s="1"/>
  <c r="L363" i="23"/>
  <c r="X363" i="23" s="1"/>
  <c r="L364" i="23"/>
  <c r="X364" i="23" s="1"/>
  <c r="L365" i="23"/>
  <c r="X365" i="23" s="1"/>
  <c r="L366" i="23"/>
  <c r="X366" i="23" s="1"/>
  <c r="L367" i="23"/>
  <c r="X367" i="23" s="1"/>
  <c r="L368" i="23"/>
  <c r="X368" i="23" s="1"/>
  <c r="L369" i="23"/>
  <c r="X369" i="23" s="1"/>
  <c r="L370" i="23"/>
  <c r="X370" i="23" s="1"/>
  <c r="L371" i="23"/>
  <c r="X371" i="23" s="1"/>
  <c r="L372" i="23"/>
  <c r="X372" i="23" s="1"/>
  <c r="L373" i="23"/>
  <c r="X373" i="23" s="1"/>
  <c r="L374" i="23"/>
  <c r="X374" i="23" s="1"/>
  <c r="L375" i="23"/>
  <c r="X375" i="23" s="1"/>
  <c r="L376" i="23"/>
  <c r="X376" i="23" s="1"/>
  <c r="L377" i="23"/>
  <c r="X377" i="23" s="1"/>
  <c r="L378" i="23"/>
  <c r="X378" i="23" s="1"/>
  <c r="L379" i="23"/>
  <c r="X379" i="23" s="1"/>
  <c r="L380" i="23"/>
  <c r="X380" i="23" s="1"/>
  <c r="L381" i="23"/>
  <c r="X381" i="23" s="1"/>
  <c r="L382" i="23"/>
  <c r="X382" i="23" s="1"/>
  <c r="L383" i="23"/>
  <c r="X383" i="23" s="1"/>
  <c r="L384" i="23"/>
  <c r="X384" i="23" s="1"/>
  <c r="L385" i="23"/>
  <c r="X385" i="23" s="1"/>
  <c r="L386" i="23"/>
  <c r="X386" i="23" s="1"/>
  <c r="L387" i="23"/>
  <c r="X387" i="23" s="1"/>
  <c r="L388" i="23"/>
  <c r="X388" i="23" s="1"/>
  <c r="L389" i="23"/>
  <c r="X389" i="23" s="1"/>
  <c r="L390" i="23"/>
  <c r="X390" i="23" s="1"/>
  <c r="L391" i="23"/>
  <c r="X391" i="23" s="1"/>
  <c r="L392" i="23"/>
  <c r="X392" i="23" s="1"/>
  <c r="L393" i="23"/>
  <c r="X393" i="23" s="1"/>
  <c r="L394" i="23"/>
  <c r="X394" i="23" s="1"/>
  <c r="L395" i="23"/>
  <c r="X395" i="23" s="1"/>
  <c r="L396" i="23"/>
  <c r="X396" i="23" s="1"/>
  <c r="L397" i="23"/>
  <c r="X397" i="23" s="1"/>
  <c r="L398" i="23"/>
  <c r="X398" i="23" s="1"/>
  <c r="L399" i="23"/>
  <c r="X399" i="23" s="1"/>
  <c r="L400" i="23"/>
  <c r="X400" i="23" s="1"/>
  <c r="L401" i="23"/>
  <c r="X401" i="23" s="1"/>
  <c r="L402" i="23"/>
  <c r="X402" i="23" s="1"/>
  <c r="L403" i="23"/>
  <c r="X403" i="23" s="1"/>
  <c r="L404" i="23"/>
  <c r="X404" i="23" s="1"/>
  <c r="L405" i="23"/>
  <c r="X405" i="23" s="1"/>
  <c r="L406" i="23"/>
  <c r="X406" i="23" s="1"/>
  <c r="L407" i="23"/>
  <c r="X407" i="23" s="1"/>
  <c r="L408" i="23"/>
  <c r="X408" i="23" s="1"/>
  <c r="L409" i="23"/>
  <c r="X409" i="23" s="1"/>
  <c r="L410" i="23"/>
  <c r="X410" i="23" s="1"/>
  <c r="L411" i="23"/>
  <c r="X411" i="23" s="1"/>
  <c r="L412" i="23"/>
  <c r="X412" i="23" s="1"/>
  <c r="L413" i="23"/>
  <c r="X413" i="23" s="1"/>
  <c r="L414" i="23"/>
  <c r="X414" i="23" s="1"/>
  <c r="L415" i="23"/>
  <c r="X415" i="23" s="1"/>
  <c r="L416" i="23"/>
  <c r="X416" i="23" s="1"/>
  <c r="L417" i="23"/>
  <c r="X417" i="23" s="1"/>
  <c r="L418" i="23"/>
  <c r="X418" i="23" s="1"/>
  <c r="L419" i="23"/>
  <c r="X419" i="23" s="1"/>
  <c r="L420" i="23"/>
  <c r="X420" i="23" s="1"/>
  <c r="L421" i="23"/>
  <c r="X421" i="23" s="1"/>
  <c r="L422" i="23"/>
  <c r="X422" i="23" s="1"/>
  <c r="L423" i="23"/>
  <c r="X423" i="23" s="1"/>
  <c r="L424" i="23"/>
  <c r="X424" i="23" s="1"/>
  <c r="L425" i="23"/>
  <c r="X425" i="23" s="1"/>
  <c r="L426" i="23"/>
  <c r="X426" i="23" s="1"/>
  <c r="L427" i="23"/>
  <c r="X427" i="23" s="1"/>
  <c r="L428" i="23"/>
  <c r="X428" i="23" s="1"/>
  <c r="L429" i="23"/>
  <c r="X429" i="23" s="1"/>
  <c r="L430" i="23"/>
  <c r="X430" i="23" s="1"/>
  <c r="L431" i="23"/>
  <c r="X431" i="23" s="1"/>
  <c r="L432" i="23"/>
  <c r="X432" i="23" s="1"/>
  <c r="L433" i="23"/>
  <c r="X433" i="23" s="1"/>
  <c r="L434" i="23"/>
  <c r="X434" i="23" s="1"/>
  <c r="L435" i="23"/>
  <c r="X435" i="23" s="1"/>
  <c r="L436" i="23"/>
  <c r="X436" i="23" s="1"/>
  <c r="L437" i="23"/>
  <c r="X437" i="23" s="1"/>
  <c r="L438" i="23"/>
  <c r="X438" i="23" s="1"/>
  <c r="L439" i="23"/>
  <c r="X439" i="23" s="1"/>
  <c r="L440" i="23"/>
  <c r="X440" i="23" s="1"/>
  <c r="L441" i="23"/>
  <c r="X441" i="23" s="1"/>
  <c r="L442" i="23"/>
  <c r="X442" i="23" s="1"/>
  <c r="L443" i="23"/>
  <c r="X443" i="23" s="1"/>
  <c r="L444" i="23"/>
  <c r="X444" i="23" s="1"/>
  <c r="L445" i="23"/>
  <c r="X445" i="23" s="1"/>
  <c r="L446" i="23"/>
  <c r="X446" i="23" s="1"/>
  <c r="L447" i="23"/>
  <c r="X447" i="23" s="1"/>
  <c r="L448" i="23"/>
  <c r="X448" i="23" s="1"/>
  <c r="L449" i="23"/>
  <c r="X449" i="23" s="1"/>
  <c r="L450" i="23"/>
  <c r="X450" i="23" s="1"/>
  <c r="L451" i="23"/>
  <c r="X451" i="23" s="1"/>
  <c r="L452" i="23"/>
  <c r="X452" i="23" s="1"/>
  <c r="L453" i="23"/>
  <c r="X453" i="23" s="1"/>
  <c r="L454" i="23"/>
  <c r="X454" i="23" s="1"/>
  <c r="L455" i="23"/>
  <c r="X455" i="23" s="1"/>
  <c r="L456" i="23"/>
  <c r="X456" i="23" s="1"/>
  <c r="L457" i="23"/>
  <c r="X457" i="23" s="1"/>
  <c r="L458" i="23"/>
  <c r="X458" i="23" s="1"/>
  <c r="L459" i="23"/>
  <c r="X459" i="23" s="1"/>
  <c r="L460" i="23"/>
  <c r="X460" i="23" s="1"/>
  <c r="L461" i="23"/>
  <c r="X461" i="23" s="1"/>
  <c r="L462" i="23"/>
  <c r="X462" i="23" s="1"/>
  <c r="L463" i="23"/>
  <c r="X463" i="23" s="1"/>
  <c r="L464" i="23"/>
  <c r="X464" i="23" s="1"/>
  <c r="L465" i="23"/>
  <c r="X465" i="23" s="1"/>
  <c r="L466" i="23"/>
  <c r="X466" i="23" s="1"/>
  <c r="L467" i="23"/>
  <c r="X467" i="23" s="1"/>
  <c r="L468" i="23"/>
  <c r="X468" i="23" s="1"/>
  <c r="L469" i="23"/>
  <c r="X469" i="23" s="1"/>
  <c r="L470" i="23"/>
  <c r="X470" i="23" s="1"/>
  <c r="L471" i="23"/>
  <c r="X471" i="23" s="1"/>
  <c r="L472" i="23"/>
  <c r="X472" i="23" s="1"/>
  <c r="L473" i="23"/>
  <c r="X473" i="23" s="1"/>
  <c r="L474" i="23"/>
  <c r="X474" i="23" s="1"/>
  <c r="L475" i="23"/>
  <c r="X475" i="23" s="1"/>
  <c r="L476" i="23"/>
  <c r="X476" i="23" s="1"/>
  <c r="L477" i="23"/>
  <c r="X477" i="23" s="1"/>
  <c r="L478" i="23"/>
  <c r="X478" i="23" s="1"/>
  <c r="L479" i="23"/>
  <c r="X479" i="23" s="1"/>
  <c r="L480" i="23"/>
  <c r="X480" i="23" s="1"/>
  <c r="L481" i="23"/>
  <c r="X481" i="23" s="1"/>
  <c r="L482" i="23"/>
  <c r="X482" i="23" s="1"/>
  <c r="L483" i="23"/>
  <c r="X483" i="23" s="1"/>
  <c r="L484" i="23"/>
  <c r="X484" i="23" s="1"/>
  <c r="L485" i="23"/>
  <c r="X485" i="23" s="1"/>
  <c r="L486" i="23"/>
  <c r="X486" i="23" s="1"/>
  <c r="L487" i="23"/>
  <c r="X487" i="23" s="1"/>
  <c r="L488" i="23"/>
  <c r="X488" i="23" s="1"/>
  <c r="L489" i="23"/>
  <c r="X489" i="23" s="1"/>
  <c r="L490" i="23"/>
  <c r="X490" i="23" s="1"/>
  <c r="L491" i="23"/>
  <c r="X491" i="23" s="1"/>
  <c r="L492" i="23"/>
  <c r="X492" i="23" s="1"/>
  <c r="L493" i="23"/>
  <c r="X493" i="23" s="1"/>
  <c r="L494" i="23"/>
  <c r="X494" i="23" s="1"/>
  <c r="L495" i="23"/>
  <c r="X495" i="23" s="1"/>
  <c r="L496" i="23"/>
  <c r="X496" i="23" s="1"/>
  <c r="L497" i="23"/>
  <c r="X497" i="23" s="1"/>
  <c r="L498" i="23"/>
  <c r="X498" i="23" s="1"/>
  <c r="L499" i="23"/>
  <c r="X499" i="23" s="1"/>
  <c r="L500" i="23"/>
  <c r="X500" i="23" s="1"/>
  <c r="L501" i="23"/>
  <c r="X501" i="23" s="1"/>
  <c r="L502" i="23"/>
  <c r="X502" i="23" s="1"/>
  <c r="L503" i="23"/>
  <c r="X503" i="23" s="1"/>
  <c r="L504" i="23"/>
  <c r="X504" i="23" s="1"/>
  <c r="L505" i="23"/>
  <c r="X505" i="23" s="1"/>
  <c r="L506" i="23"/>
  <c r="X506" i="23" s="1"/>
  <c r="L507" i="23"/>
  <c r="X507" i="23" s="1"/>
  <c r="L508" i="23"/>
  <c r="X508" i="23" s="1"/>
  <c r="L509" i="23"/>
  <c r="X509" i="23" s="1"/>
  <c r="L510" i="23"/>
  <c r="X510" i="23" s="1"/>
  <c r="L511" i="23"/>
  <c r="X511" i="23" s="1"/>
  <c r="L512" i="23"/>
  <c r="X512" i="23" s="1"/>
  <c r="L513" i="23"/>
  <c r="X513" i="23" s="1"/>
  <c r="L514" i="23"/>
  <c r="X514" i="23" s="1"/>
  <c r="L515" i="23"/>
  <c r="X515" i="23" s="1"/>
  <c r="L516" i="23"/>
  <c r="X516" i="23" s="1"/>
  <c r="L517" i="23"/>
  <c r="X517" i="23" s="1"/>
  <c r="L518" i="23"/>
  <c r="X518" i="23" s="1"/>
  <c r="L519" i="23"/>
  <c r="X519" i="23" s="1"/>
  <c r="L520" i="23"/>
  <c r="X520" i="23" s="1"/>
  <c r="L521" i="23"/>
  <c r="X521" i="23" s="1"/>
  <c r="L522" i="23"/>
  <c r="X522" i="23" s="1"/>
  <c r="L523" i="23"/>
  <c r="X523" i="23" s="1"/>
  <c r="L524" i="23"/>
  <c r="X524" i="23" s="1"/>
  <c r="L525" i="23"/>
  <c r="X525" i="23" s="1"/>
  <c r="L526" i="23"/>
  <c r="X526" i="23" s="1"/>
  <c r="L527" i="23"/>
  <c r="X527" i="23" s="1"/>
  <c r="L528" i="23"/>
  <c r="X528" i="23" s="1"/>
  <c r="L529" i="23"/>
  <c r="X529" i="23" s="1"/>
  <c r="L530" i="23"/>
  <c r="X530" i="23" s="1"/>
  <c r="L531" i="23"/>
  <c r="X531" i="23" s="1"/>
  <c r="L532" i="23"/>
  <c r="X532" i="23" s="1"/>
  <c r="L533" i="23"/>
  <c r="X533" i="23" s="1"/>
  <c r="L534" i="23"/>
  <c r="X534" i="23" s="1"/>
  <c r="L535" i="23"/>
  <c r="X535" i="23" s="1"/>
  <c r="L536" i="23"/>
  <c r="X536" i="23" s="1"/>
  <c r="L537" i="23"/>
  <c r="X537" i="23" s="1"/>
  <c r="L538" i="23"/>
  <c r="X538" i="23" s="1"/>
  <c r="L539" i="23"/>
  <c r="X539" i="23" s="1"/>
  <c r="L540" i="23"/>
  <c r="X540" i="23" s="1"/>
  <c r="L541" i="23"/>
  <c r="X541" i="23" s="1"/>
  <c r="L542" i="23"/>
  <c r="X542" i="23" s="1"/>
  <c r="L543" i="23"/>
  <c r="X543" i="23" s="1"/>
  <c r="L544" i="23"/>
  <c r="X544" i="23" s="1"/>
  <c r="L545" i="23"/>
  <c r="X545" i="23" s="1"/>
  <c r="L546" i="23"/>
  <c r="X546" i="23" s="1"/>
  <c r="L547" i="23"/>
  <c r="X547" i="23" s="1"/>
  <c r="L548" i="23"/>
  <c r="X548" i="23" s="1"/>
  <c r="L549" i="23"/>
  <c r="X549" i="23" s="1"/>
  <c r="L550" i="23"/>
  <c r="X550" i="23" s="1"/>
  <c r="L551" i="23"/>
  <c r="X551" i="23" s="1"/>
  <c r="L552" i="23"/>
  <c r="X552" i="23" s="1"/>
  <c r="L553" i="23"/>
  <c r="X553" i="23" s="1"/>
  <c r="L554" i="23"/>
  <c r="X554" i="23" s="1"/>
  <c r="L555" i="23"/>
  <c r="X555" i="23" s="1"/>
  <c r="L556" i="23"/>
  <c r="X556" i="23" s="1"/>
  <c r="L557" i="23"/>
  <c r="X557" i="23" s="1"/>
  <c r="L558" i="23"/>
  <c r="X558" i="23" s="1"/>
  <c r="L559" i="23"/>
  <c r="X559" i="23" s="1"/>
  <c r="L560" i="23"/>
  <c r="X560" i="23" s="1"/>
  <c r="L561" i="23"/>
  <c r="X561" i="23" s="1"/>
  <c r="L562" i="23"/>
  <c r="X562" i="23" s="1"/>
  <c r="L563" i="23"/>
  <c r="X563" i="23" s="1"/>
  <c r="L564" i="23"/>
  <c r="X564" i="23" s="1"/>
  <c r="L565" i="23"/>
  <c r="X565" i="23" s="1"/>
  <c r="L566" i="23"/>
  <c r="X566" i="23" s="1"/>
  <c r="L567" i="23"/>
  <c r="X567" i="23" s="1"/>
  <c r="L568" i="23"/>
  <c r="X568" i="23" s="1"/>
  <c r="L569" i="23"/>
  <c r="X569" i="23" s="1"/>
  <c r="L570" i="23"/>
  <c r="X570" i="23" s="1"/>
  <c r="L571" i="23"/>
  <c r="X571" i="23" s="1"/>
  <c r="L572" i="23"/>
  <c r="X572" i="23" s="1"/>
  <c r="L573" i="23"/>
  <c r="X573" i="23" s="1"/>
  <c r="L574" i="23"/>
  <c r="X574" i="23" s="1"/>
  <c r="L575" i="23"/>
  <c r="X575" i="23" s="1"/>
  <c r="L576" i="23"/>
  <c r="X576" i="23" s="1"/>
  <c r="L577" i="23"/>
  <c r="X577" i="23" s="1"/>
  <c r="L578" i="23"/>
  <c r="X578" i="23" s="1"/>
  <c r="L579" i="23"/>
  <c r="X579" i="23" s="1"/>
  <c r="L580" i="23"/>
  <c r="X580" i="23" s="1"/>
  <c r="L581" i="23"/>
  <c r="X581" i="23" s="1"/>
  <c r="L582" i="23"/>
  <c r="X582" i="23" s="1"/>
  <c r="L583" i="23"/>
  <c r="X583" i="23" s="1"/>
  <c r="L584" i="23"/>
  <c r="X584" i="23" s="1"/>
  <c r="L585" i="23"/>
  <c r="X585" i="23" s="1"/>
  <c r="L586" i="23"/>
  <c r="X586" i="23" s="1"/>
  <c r="L587" i="23"/>
  <c r="X587" i="23" s="1"/>
  <c r="L588" i="23"/>
  <c r="X588" i="23" s="1"/>
  <c r="L589" i="23"/>
  <c r="X589" i="23" s="1"/>
  <c r="L590" i="23"/>
  <c r="X590" i="23" s="1"/>
  <c r="L591" i="23"/>
  <c r="X591" i="23" s="1"/>
  <c r="L592" i="23"/>
  <c r="X592" i="23" s="1"/>
  <c r="L593" i="23"/>
  <c r="X593" i="23" s="1"/>
  <c r="L594" i="23"/>
  <c r="X594" i="23" s="1"/>
  <c r="L595" i="23"/>
  <c r="X595" i="23" s="1"/>
  <c r="L596" i="23"/>
  <c r="X596" i="23" s="1"/>
  <c r="L597" i="23"/>
  <c r="X597" i="23" s="1"/>
  <c r="L598" i="23"/>
  <c r="X598" i="23" s="1"/>
  <c r="L599" i="23"/>
  <c r="X599" i="23" s="1"/>
  <c r="L600" i="23"/>
  <c r="X600" i="23" s="1"/>
  <c r="L601" i="23"/>
  <c r="X601" i="23" s="1"/>
  <c r="L602" i="23"/>
  <c r="X602" i="23" s="1"/>
  <c r="L603" i="23"/>
  <c r="X603" i="23" s="1"/>
  <c r="L604" i="23"/>
  <c r="X604" i="23" s="1"/>
  <c r="L605" i="23"/>
  <c r="X605" i="23" s="1"/>
  <c r="L606" i="23"/>
  <c r="X606" i="23" s="1"/>
  <c r="L607" i="23"/>
  <c r="X607" i="23" s="1"/>
  <c r="L608" i="23"/>
  <c r="X608" i="23" s="1"/>
  <c r="L609" i="23"/>
  <c r="X609" i="23" s="1"/>
  <c r="L610" i="23"/>
  <c r="X610" i="23" s="1"/>
  <c r="L611" i="23"/>
  <c r="X611" i="23" s="1"/>
  <c r="L612" i="23"/>
  <c r="X612" i="23" s="1"/>
  <c r="L613" i="23"/>
  <c r="X613" i="23" s="1"/>
  <c r="L614" i="23"/>
  <c r="X614" i="23" s="1"/>
  <c r="L615" i="23"/>
  <c r="X615" i="23" s="1"/>
  <c r="L616" i="23"/>
  <c r="X616" i="23" s="1"/>
  <c r="L617" i="23"/>
  <c r="X617" i="23" s="1"/>
  <c r="L618" i="23"/>
  <c r="X618" i="23" s="1"/>
  <c r="L619" i="23"/>
  <c r="X619" i="23" s="1"/>
  <c r="L620" i="23"/>
  <c r="X620" i="23" s="1"/>
  <c r="L621" i="23"/>
  <c r="X621" i="23" s="1"/>
  <c r="L622" i="23"/>
  <c r="X622" i="23" s="1"/>
  <c r="L623" i="23"/>
  <c r="X623" i="23" s="1"/>
  <c r="L624" i="23"/>
  <c r="X624" i="23" s="1"/>
  <c r="L625" i="23"/>
  <c r="X625" i="23" s="1"/>
  <c r="L626" i="23"/>
  <c r="X626" i="23" s="1"/>
  <c r="L627" i="23"/>
  <c r="X627" i="23" s="1"/>
  <c r="L628" i="23"/>
  <c r="X628" i="23" s="1"/>
  <c r="L629" i="23"/>
  <c r="X629" i="23" s="1"/>
  <c r="L630" i="23"/>
  <c r="X630" i="23" s="1"/>
  <c r="L631" i="23"/>
  <c r="X631" i="23" s="1"/>
  <c r="L632" i="23"/>
  <c r="X632" i="23" s="1"/>
  <c r="L633" i="23"/>
  <c r="X633" i="23" s="1"/>
  <c r="L634" i="23"/>
  <c r="X634" i="23" s="1"/>
  <c r="L635" i="23"/>
  <c r="X635" i="23" s="1"/>
  <c r="L636" i="23"/>
  <c r="X636" i="23" s="1"/>
  <c r="L637" i="23"/>
  <c r="X637" i="23" s="1"/>
  <c r="L638" i="23"/>
  <c r="X638" i="23" s="1"/>
  <c r="L639" i="23"/>
  <c r="X639" i="23" s="1"/>
  <c r="L640" i="23"/>
  <c r="X640" i="23" s="1"/>
  <c r="L641" i="23"/>
  <c r="X641" i="23" s="1"/>
  <c r="L642" i="23"/>
  <c r="X642" i="23" s="1"/>
  <c r="L643" i="23"/>
  <c r="X643" i="23" s="1"/>
  <c r="L644" i="23"/>
  <c r="X644" i="23" s="1"/>
  <c r="L645" i="23"/>
  <c r="X645" i="23" s="1"/>
  <c r="L646" i="23"/>
  <c r="X646" i="23" s="1"/>
  <c r="L647" i="23"/>
  <c r="X647" i="23" s="1"/>
  <c r="L648" i="23"/>
  <c r="X648" i="23" s="1"/>
  <c r="L649" i="23"/>
  <c r="X649" i="23" s="1"/>
  <c r="L650" i="23"/>
  <c r="X650" i="23" s="1"/>
  <c r="L651" i="23"/>
  <c r="X651" i="23" s="1"/>
  <c r="L652" i="23"/>
  <c r="X652" i="23" s="1"/>
  <c r="L653" i="23"/>
  <c r="X653" i="23" s="1"/>
  <c r="L654" i="23"/>
  <c r="X654" i="23" s="1"/>
  <c r="L655" i="23"/>
  <c r="X655" i="23" s="1"/>
  <c r="L656" i="23"/>
  <c r="X656" i="23" s="1"/>
  <c r="L657" i="23"/>
  <c r="X657" i="23" s="1"/>
  <c r="L658" i="23"/>
  <c r="X658" i="23" s="1"/>
  <c r="L659" i="23"/>
  <c r="X659" i="23" s="1"/>
  <c r="L660" i="23"/>
  <c r="X660" i="23" s="1"/>
  <c r="L661" i="23"/>
  <c r="X661" i="23" s="1"/>
  <c r="L662" i="23"/>
  <c r="X662" i="23" s="1"/>
  <c r="L663" i="23"/>
  <c r="X663" i="23" s="1"/>
  <c r="L664" i="23"/>
  <c r="X664" i="23" s="1"/>
  <c r="L665" i="23"/>
  <c r="X665" i="23" s="1"/>
  <c r="L666" i="23"/>
  <c r="X666" i="23" s="1"/>
  <c r="L667" i="23"/>
  <c r="X667" i="23" s="1"/>
  <c r="L668" i="23"/>
  <c r="X668" i="23" s="1"/>
  <c r="L669" i="23"/>
  <c r="X669" i="23" s="1"/>
  <c r="L670" i="23"/>
  <c r="X670" i="23" s="1"/>
  <c r="L671" i="23"/>
  <c r="X671" i="23" s="1"/>
  <c r="L672" i="23"/>
  <c r="X672" i="23" s="1"/>
  <c r="L673" i="23"/>
  <c r="X673" i="23" s="1"/>
  <c r="L674" i="23"/>
  <c r="X674" i="23" s="1"/>
  <c r="L675" i="23"/>
  <c r="X675" i="23" s="1"/>
  <c r="L676" i="23"/>
  <c r="X676" i="23" s="1"/>
  <c r="L677" i="23"/>
  <c r="X677" i="23" s="1"/>
  <c r="L678" i="23"/>
  <c r="X678" i="23" s="1"/>
  <c r="L679" i="23"/>
  <c r="X679" i="23" s="1"/>
  <c r="L680" i="23"/>
  <c r="X680" i="23" s="1"/>
  <c r="L681" i="23"/>
  <c r="X681" i="23" s="1"/>
  <c r="L682" i="23"/>
  <c r="X682" i="23" s="1"/>
  <c r="L683" i="23"/>
  <c r="X683" i="23" s="1"/>
  <c r="L684" i="23"/>
  <c r="X684" i="23" s="1"/>
  <c r="L685" i="23"/>
  <c r="X685" i="23" s="1"/>
  <c r="L686" i="23"/>
  <c r="X686" i="23" s="1"/>
  <c r="L687" i="23"/>
  <c r="X687" i="23" s="1"/>
  <c r="L688" i="23"/>
  <c r="X688" i="23" s="1"/>
  <c r="L689" i="23"/>
  <c r="X689" i="23" s="1"/>
  <c r="L690" i="23"/>
  <c r="X690" i="23" s="1"/>
  <c r="L691" i="23"/>
  <c r="X691" i="23" s="1"/>
  <c r="L692" i="23"/>
  <c r="X692" i="23" s="1"/>
  <c r="L693" i="23"/>
  <c r="X693" i="23" s="1"/>
  <c r="L694" i="23"/>
  <c r="X694" i="23" s="1"/>
  <c r="L695" i="23"/>
  <c r="X695" i="23" s="1"/>
  <c r="L696" i="23"/>
  <c r="X696" i="23" s="1"/>
  <c r="L697" i="23"/>
  <c r="X697" i="23" s="1"/>
  <c r="L698" i="23"/>
  <c r="X698" i="23" s="1"/>
  <c r="L699" i="23"/>
  <c r="X699" i="23" s="1"/>
  <c r="L700" i="23"/>
  <c r="X700" i="23" s="1"/>
  <c r="L701" i="23"/>
  <c r="X701" i="23" s="1"/>
  <c r="L702" i="23"/>
  <c r="X702" i="23" s="1"/>
  <c r="L703" i="23"/>
  <c r="X703" i="23" s="1"/>
  <c r="L704" i="23"/>
  <c r="X704" i="23" s="1"/>
  <c r="L705" i="23"/>
  <c r="X705" i="23" s="1"/>
  <c r="L706" i="23"/>
  <c r="X706" i="23" s="1"/>
  <c r="L707" i="23"/>
  <c r="X707" i="23" s="1"/>
  <c r="L708" i="23"/>
  <c r="X708" i="23" s="1"/>
  <c r="L709" i="23"/>
  <c r="X709" i="23" s="1"/>
  <c r="L710" i="23"/>
  <c r="X710" i="23" s="1"/>
  <c r="L711" i="23"/>
  <c r="X711" i="23" s="1"/>
  <c r="L712" i="23"/>
  <c r="X712" i="23" s="1"/>
  <c r="L713" i="23"/>
  <c r="X713" i="23" s="1"/>
  <c r="L714" i="23"/>
  <c r="X714" i="23" s="1"/>
  <c r="L715" i="23"/>
  <c r="X715" i="23" s="1"/>
  <c r="L716" i="23"/>
  <c r="X716" i="23" s="1"/>
  <c r="L717" i="23"/>
  <c r="X717" i="23" s="1"/>
  <c r="L718" i="23"/>
  <c r="X718" i="23" s="1"/>
  <c r="L719" i="23"/>
  <c r="X719" i="23" s="1"/>
  <c r="L720" i="23"/>
  <c r="X720" i="23" s="1"/>
  <c r="L721" i="23"/>
  <c r="X721" i="23" s="1"/>
  <c r="L722" i="23"/>
  <c r="X722" i="23" s="1"/>
  <c r="L723" i="23"/>
  <c r="X723" i="23" s="1"/>
  <c r="L724" i="23"/>
  <c r="X724" i="23" s="1"/>
  <c r="L725" i="23"/>
  <c r="X725" i="23" s="1"/>
  <c r="L726" i="23"/>
  <c r="X726" i="23" s="1"/>
  <c r="L727" i="23"/>
  <c r="X727" i="23" s="1"/>
  <c r="L728" i="23"/>
  <c r="X728" i="23" s="1"/>
  <c r="L729" i="23"/>
  <c r="X729" i="23" s="1"/>
  <c r="L730" i="23"/>
  <c r="X730" i="23" s="1"/>
  <c r="L731" i="23"/>
  <c r="X731" i="23" s="1"/>
  <c r="L732" i="23"/>
  <c r="X732" i="23" s="1"/>
  <c r="L733" i="23"/>
  <c r="X733" i="23" s="1"/>
  <c r="L734" i="23"/>
  <c r="X734" i="23" s="1"/>
  <c r="L735" i="23"/>
  <c r="X735" i="23" s="1"/>
  <c r="L736" i="23"/>
  <c r="X736" i="23" s="1"/>
  <c r="L737" i="23"/>
  <c r="X737" i="23" s="1"/>
  <c r="L738" i="23"/>
  <c r="X738" i="23" s="1"/>
  <c r="L739" i="23"/>
  <c r="X739" i="23" s="1"/>
  <c r="L740" i="23"/>
  <c r="X740" i="23" s="1"/>
  <c r="L741" i="23"/>
  <c r="X741" i="23" s="1"/>
  <c r="L742" i="23"/>
  <c r="X742" i="23" s="1"/>
  <c r="L743" i="23"/>
  <c r="X743" i="23" s="1"/>
  <c r="L744" i="23"/>
  <c r="X744" i="23" s="1"/>
  <c r="L745" i="23"/>
  <c r="X745" i="23" s="1"/>
  <c r="L746" i="23"/>
  <c r="X746" i="23" s="1"/>
  <c r="L747" i="23"/>
  <c r="X747" i="23" s="1"/>
  <c r="L748" i="23"/>
  <c r="X748" i="23" s="1"/>
  <c r="L749" i="23"/>
  <c r="X749" i="23" s="1"/>
  <c r="L750" i="23"/>
  <c r="X750" i="23" s="1"/>
  <c r="L751" i="23"/>
  <c r="X751" i="23" s="1"/>
  <c r="L752" i="23"/>
  <c r="X752" i="23" s="1"/>
  <c r="L753" i="23"/>
  <c r="X753" i="23" s="1"/>
  <c r="L754" i="23"/>
  <c r="X754" i="23" s="1"/>
  <c r="L755" i="23"/>
  <c r="X755" i="23" s="1"/>
  <c r="L756" i="23"/>
  <c r="X756" i="23" s="1"/>
  <c r="L757" i="23"/>
  <c r="X757" i="23" s="1"/>
  <c r="L758" i="23"/>
  <c r="X758" i="23" s="1"/>
  <c r="L759" i="23"/>
  <c r="X759" i="23" s="1"/>
  <c r="L760" i="23"/>
  <c r="X760" i="23" s="1"/>
  <c r="L761" i="23"/>
  <c r="X761" i="23" s="1"/>
  <c r="L762" i="23"/>
  <c r="X762" i="23" s="1"/>
  <c r="L763" i="23"/>
  <c r="X763" i="23" s="1"/>
  <c r="L764" i="23"/>
  <c r="X764" i="23" s="1"/>
  <c r="L765" i="23"/>
  <c r="X765" i="23" s="1"/>
  <c r="L766" i="23"/>
  <c r="X766" i="23" s="1"/>
  <c r="L767" i="23"/>
  <c r="X767" i="23" s="1"/>
  <c r="L768" i="23"/>
  <c r="X768" i="23" s="1"/>
  <c r="L769" i="23"/>
  <c r="X769" i="23" s="1"/>
  <c r="L770" i="23"/>
  <c r="X770" i="23" s="1"/>
  <c r="L771" i="23"/>
  <c r="X771" i="23" s="1"/>
  <c r="L772" i="23"/>
  <c r="X772" i="23" s="1"/>
  <c r="L773" i="23"/>
  <c r="X773" i="23" s="1"/>
  <c r="L774" i="23"/>
  <c r="X774" i="23" s="1"/>
  <c r="L775" i="23"/>
  <c r="X775" i="23" s="1"/>
  <c r="L776" i="23"/>
  <c r="X776" i="23" s="1"/>
  <c r="L777" i="23"/>
  <c r="X777" i="23" s="1"/>
  <c r="L778" i="23"/>
  <c r="X778" i="23" s="1"/>
  <c r="L779" i="23"/>
  <c r="X779" i="23" s="1"/>
  <c r="L780" i="23"/>
  <c r="X780" i="23" s="1"/>
  <c r="L781" i="23"/>
  <c r="X781" i="23" s="1"/>
  <c r="L782" i="23"/>
  <c r="X782" i="23" s="1"/>
  <c r="L783" i="23"/>
  <c r="X783" i="23" s="1"/>
  <c r="L784" i="23"/>
  <c r="X784" i="23" s="1"/>
  <c r="L785" i="23"/>
  <c r="X785" i="23" s="1"/>
  <c r="L786" i="23"/>
  <c r="X786" i="23" s="1"/>
  <c r="L787" i="23"/>
  <c r="X787" i="23" s="1"/>
  <c r="L788" i="23"/>
  <c r="X788" i="23" s="1"/>
  <c r="L789" i="23"/>
  <c r="X789" i="23" s="1"/>
  <c r="L790" i="23"/>
  <c r="X790" i="23" s="1"/>
  <c r="L791" i="23"/>
  <c r="X791" i="23" s="1"/>
  <c r="L792" i="23"/>
  <c r="X792" i="23" s="1"/>
  <c r="L793" i="23"/>
  <c r="X793" i="23" s="1"/>
  <c r="L794" i="23"/>
  <c r="X794" i="23" s="1"/>
  <c r="L795" i="23"/>
  <c r="X795" i="23" s="1"/>
  <c r="L796" i="23"/>
  <c r="X796" i="23" s="1"/>
  <c r="L797" i="23"/>
  <c r="X797" i="23" s="1"/>
  <c r="L798" i="23"/>
  <c r="X798" i="23" s="1"/>
  <c r="L799" i="23"/>
  <c r="X799" i="23" s="1"/>
  <c r="L800" i="23"/>
  <c r="X800" i="23" s="1"/>
  <c r="L801" i="23"/>
  <c r="X801" i="23" s="1"/>
  <c r="L802" i="23"/>
  <c r="X802" i="23" s="1"/>
  <c r="L803" i="23"/>
  <c r="X803" i="23" s="1"/>
  <c r="L804" i="23"/>
  <c r="X804" i="23" s="1"/>
  <c r="L805" i="23"/>
  <c r="X805" i="23" s="1"/>
  <c r="L806" i="23"/>
  <c r="X806" i="23" s="1"/>
  <c r="L807" i="23"/>
  <c r="X807" i="23" s="1"/>
  <c r="L808" i="23"/>
  <c r="X808" i="23" s="1"/>
  <c r="L809" i="23"/>
  <c r="X809" i="23" s="1"/>
  <c r="L810" i="23"/>
  <c r="X810" i="23" s="1"/>
  <c r="L811" i="23"/>
  <c r="X811" i="23" s="1"/>
  <c r="L812" i="23"/>
  <c r="X812" i="23" s="1"/>
  <c r="L813" i="23"/>
  <c r="X813" i="23" s="1"/>
  <c r="L814" i="23"/>
  <c r="X814" i="23" s="1"/>
  <c r="L815" i="23"/>
  <c r="X815" i="23" s="1"/>
  <c r="L816" i="23"/>
  <c r="X816" i="23" s="1"/>
  <c r="L817" i="23"/>
  <c r="X817" i="23" s="1"/>
  <c r="L818" i="23"/>
  <c r="X818" i="23" s="1"/>
  <c r="L819" i="23"/>
  <c r="X819" i="23" s="1"/>
  <c r="L820" i="23"/>
  <c r="X820" i="23" s="1"/>
  <c r="L821" i="23"/>
  <c r="X821" i="23" s="1"/>
  <c r="L822" i="23"/>
  <c r="X822" i="23" s="1"/>
  <c r="L823" i="23"/>
  <c r="X823" i="23" s="1"/>
  <c r="L824" i="23"/>
  <c r="X824" i="23" s="1"/>
  <c r="L825" i="23"/>
  <c r="X825" i="23" s="1"/>
  <c r="L826" i="23"/>
  <c r="X826" i="23" s="1"/>
  <c r="L827" i="23"/>
  <c r="X827" i="23" s="1"/>
  <c r="L828" i="23"/>
  <c r="X828" i="23" s="1"/>
  <c r="L829" i="23"/>
  <c r="X829" i="23" s="1"/>
  <c r="L830" i="23"/>
  <c r="X830" i="23" s="1"/>
  <c r="L831" i="23"/>
  <c r="X831" i="23" s="1"/>
  <c r="L832" i="23"/>
  <c r="X832" i="23" s="1"/>
  <c r="L833" i="23"/>
  <c r="X833" i="23" s="1"/>
  <c r="L834" i="23"/>
  <c r="X834" i="23" s="1"/>
  <c r="L835" i="23"/>
  <c r="X835" i="23" s="1"/>
  <c r="L836" i="23"/>
  <c r="X836" i="23" s="1"/>
  <c r="L837" i="23"/>
  <c r="X837" i="23" s="1"/>
  <c r="L838" i="23"/>
  <c r="X838" i="23" s="1"/>
  <c r="L839" i="23"/>
  <c r="X839" i="23" s="1"/>
  <c r="L840" i="23"/>
  <c r="X840" i="23" s="1"/>
  <c r="L841" i="23"/>
  <c r="X841" i="23" s="1"/>
  <c r="L842" i="23"/>
  <c r="X842" i="23" s="1"/>
  <c r="L843" i="23"/>
  <c r="X843" i="23" s="1"/>
  <c r="L844" i="23"/>
  <c r="X844" i="23" s="1"/>
  <c r="L845" i="23"/>
  <c r="X845" i="23" s="1"/>
  <c r="L846" i="23"/>
  <c r="X846" i="23" s="1"/>
  <c r="L847" i="23"/>
  <c r="X847" i="23" s="1"/>
  <c r="L848" i="23"/>
  <c r="X848" i="23" s="1"/>
  <c r="L849" i="23"/>
  <c r="X849" i="23" s="1"/>
  <c r="L850" i="23"/>
  <c r="X850" i="23" s="1"/>
  <c r="L851" i="23"/>
  <c r="X851" i="23" s="1"/>
  <c r="L852" i="23"/>
  <c r="X852" i="23" s="1"/>
  <c r="L853" i="23"/>
  <c r="X853" i="23" s="1"/>
  <c r="L854" i="23"/>
  <c r="X854" i="23" s="1"/>
  <c r="L855" i="23"/>
  <c r="X855" i="23" s="1"/>
  <c r="L856" i="23"/>
  <c r="X856" i="23" s="1"/>
  <c r="L857" i="23"/>
  <c r="X857" i="23" s="1"/>
  <c r="L858" i="23"/>
  <c r="X858" i="23" s="1"/>
  <c r="L859" i="23"/>
  <c r="X859" i="23" s="1"/>
  <c r="L860" i="23"/>
  <c r="X860" i="23" s="1"/>
  <c r="L861" i="23"/>
  <c r="X861" i="23" s="1"/>
  <c r="L862" i="23"/>
  <c r="X862" i="23" s="1"/>
  <c r="L863" i="23"/>
  <c r="X863" i="23" s="1"/>
  <c r="L864" i="23"/>
  <c r="X864" i="23" s="1"/>
  <c r="L865" i="23"/>
  <c r="X865" i="23" s="1"/>
  <c r="L866" i="23"/>
  <c r="X866" i="23" s="1"/>
  <c r="L867" i="23"/>
  <c r="X867" i="23" s="1"/>
  <c r="L868" i="23"/>
  <c r="X868" i="23" s="1"/>
  <c r="L869" i="23"/>
  <c r="X869" i="23" s="1"/>
  <c r="L870" i="23"/>
  <c r="X870" i="23" s="1"/>
  <c r="L871" i="23"/>
  <c r="X871" i="23" s="1"/>
  <c r="L872" i="23"/>
  <c r="X872" i="23" s="1"/>
  <c r="L873" i="23"/>
  <c r="X873" i="23" s="1"/>
  <c r="L874" i="23"/>
  <c r="X874" i="23" s="1"/>
  <c r="L875" i="23"/>
  <c r="X875" i="23" s="1"/>
  <c r="L876" i="23"/>
  <c r="X876" i="23" s="1"/>
  <c r="L877" i="23"/>
  <c r="X877" i="23" s="1"/>
  <c r="L878" i="23"/>
  <c r="X878" i="23" s="1"/>
  <c r="L879" i="23"/>
  <c r="X879" i="23" s="1"/>
  <c r="L880" i="23"/>
  <c r="X880" i="23" s="1"/>
  <c r="L881" i="23"/>
  <c r="X881" i="23" s="1"/>
  <c r="L882" i="23"/>
  <c r="X882" i="23" s="1"/>
  <c r="L883" i="23"/>
  <c r="X883" i="23" s="1"/>
  <c r="L884" i="23"/>
  <c r="X884" i="23" s="1"/>
  <c r="L885" i="23"/>
  <c r="X885" i="23" s="1"/>
  <c r="L886" i="23"/>
  <c r="X886" i="23" s="1"/>
  <c r="L887" i="23"/>
  <c r="X887" i="23" s="1"/>
  <c r="L888" i="23"/>
  <c r="X888" i="23" s="1"/>
  <c r="L889" i="23"/>
  <c r="X889" i="23" s="1"/>
  <c r="L890" i="23"/>
  <c r="X890" i="23" s="1"/>
  <c r="L891" i="23"/>
  <c r="X891" i="23" s="1"/>
  <c r="L892" i="23"/>
  <c r="X892" i="23" s="1"/>
  <c r="L893" i="23"/>
  <c r="X893" i="23" s="1"/>
  <c r="L894" i="23"/>
  <c r="X894" i="23" s="1"/>
  <c r="L895" i="23"/>
  <c r="X895" i="23" s="1"/>
  <c r="L896" i="23"/>
  <c r="X896" i="23" s="1"/>
  <c r="L897" i="23"/>
  <c r="X897" i="23" s="1"/>
  <c r="L898" i="23"/>
  <c r="X898" i="23" s="1"/>
  <c r="L899" i="23"/>
  <c r="X899" i="23" s="1"/>
  <c r="L900" i="23"/>
  <c r="X900" i="23" s="1"/>
  <c r="L901" i="23"/>
  <c r="X901" i="23" s="1"/>
  <c r="L902" i="23"/>
  <c r="X902" i="23" s="1"/>
  <c r="L903" i="23"/>
  <c r="X903" i="23" s="1"/>
  <c r="L904" i="23"/>
  <c r="X904" i="23" s="1"/>
  <c r="L905" i="23"/>
  <c r="X905" i="23" s="1"/>
  <c r="L906" i="23"/>
  <c r="X906" i="23" s="1"/>
  <c r="L907" i="23"/>
  <c r="X907" i="23" s="1"/>
  <c r="L908" i="23"/>
  <c r="X908" i="23" s="1"/>
  <c r="L909" i="23"/>
  <c r="X909" i="23" s="1"/>
  <c r="L910" i="23"/>
  <c r="X910" i="23" s="1"/>
  <c r="L911" i="23"/>
  <c r="X911" i="23" s="1"/>
  <c r="L912" i="23"/>
  <c r="X912" i="23" s="1"/>
  <c r="L913" i="23"/>
  <c r="X913" i="23" s="1"/>
  <c r="L914" i="23"/>
  <c r="X914" i="23" s="1"/>
  <c r="L915" i="23"/>
  <c r="X915" i="23" s="1"/>
  <c r="L916" i="23"/>
  <c r="X916" i="23" s="1"/>
  <c r="L917" i="23"/>
  <c r="X917" i="23" s="1"/>
  <c r="L918" i="23"/>
  <c r="X918" i="23" s="1"/>
  <c r="L919" i="23"/>
  <c r="X919" i="23" s="1"/>
  <c r="L920" i="23"/>
  <c r="X920" i="23" s="1"/>
  <c r="L921" i="23"/>
  <c r="X921" i="23" s="1"/>
  <c r="L922" i="23"/>
  <c r="X922" i="23" s="1"/>
  <c r="L923" i="23"/>
  <c r="X923" i="23" s="1"/>
  <c r="L924" i="23"/>
  <c r="X924" i="23" s="1"/>
  <c r="L925" i="23"/>
  <c r="X925" i="23" s="1"/>
  <c r="L926" i="23"/>
  <c r="X926" i="23" s="1"/>
  <c r="L927" i="23"/>
  <c r="X927" i="23" s="1"/>
  <c r="L928" i="23"/>
  <c r="X928" i="23" s="1"/>
  <c r="L929" i="23"/>
  <c r="X929" i="23" s="1"/>
  <c r="L930" i="23"/>
  <c r="X930" i="23" s="1"/>
  <c r="L931" i="23"/>
  <c r="X931" i="23" s="1"/>
  <c r="L932" i="23"/>
  <c r="X932" i="23" s="1"/>
  <c r="L933" i="23"/>
  <c r="X933" i="23" s="1"/>
  <c r="L934" i="23"/>
  <c r="X934" i="23" s="1"/>
  <c r="L935" i="23"/>
  <c r="X935" i="23" s="1"/>
  <c r="L936" i="23"/>
  <c r="X936" i="23" s="1"/>
  <c r="L937" i="23"/>
  <c r="X937" i="23" s="1"/>
  <c r="L938" i="23"/>
  <c r="X938" i="23" s="1"/>
  <c r="L939" i="23"/>
  <c r="X939" i="23" s="1"/>
  <c r="L940" i="23"/>
  <c r="X940" i="23" s="1"/>
  <c r="L941" i="23"/>
  <c r="X941" i="23" s="1"/>
  <c r="L942" i="23"/>
  <c r="X942" i="23" s="1"/>
  <c r="L943" i="23"/>
  <c r="X943" i="23" s="1"/>
  <c r="L944" i="23"/>
  <c r="X944" i="23" s="1"/>
  <c r="L945" i="23"/>
  <c r="X945" i="23" s="1"/>
  <c r="L946" i="23"/>
  <c r="X946" i="23" s="1"/>
  <c r="L947" i="23"/>
  <c r="X947" i="23" s="1"/>
  <c r="L948" i="23"/>
  <c r="X948" i="23" s="1"/>
  <c r="L949" i="23"/>
  <c r="X949" i="23" s="1"/>
  <c r="L950" i="23"/>
  <c r="X950" i="23" s="1"/>
  <c r="L951" i="23"/>
  <c r="X951" i="23" s="1"/>
  <c r="L952" i="23"/>
  <c r="X952" i="23" s="1"/>
  <c r="L953" i="23"/>
  <c r="X953" i="23" s="1"/>
  <c r="L954" i="23"/>
  <c r="X954" i="23" s="1"/>
  <c r="L955" i="23"/>
  <c r="X955" i="23" s="1"/>
  <c r="L956" i="23"/>
  <c r="X956" i="23" s="1"/>
  <c r="L957" i="23"/>
  <c r="X957" i="23" s="1"/>
  <c r="L958" i="23"/>
  <c r="X958" i="23" s="1"/>
  <c r="L959" i="23"/>
  <c r="X959" i="23" s="1"/>
  <c r="L960" i="23"/>
  <c r="X960" i="23" s="1"/>
  <c r="L961" i="23"/>
  <c r="X961" i="23" s="1"/>
  <c r="L962" i="23"/>
  <c r="X962" i="23" s="1"/>
  <c r="L963" i="23"/>
  <c r="X963" i="23" s="1"/>
  <c r="L964" i="23"/>
  <c r="X964" i="23" s="1"/>
  <c r="L965" i="23"/>
  <c r="X965" i="23" s="1"/>
  <c r="L966" i="23"/>
  <c r="X966" i="23" s="1"/>
  <c r="L967" i="23"/>
  <c r="X967" i="23" s="1"/>
  <c r="L968" i="23"/>
  <c r="X968" i="23" s="1"/>
  <c r="L969" i="23"/>
  <c r="X969" i="23" s="1"/>
  <c r="L970" i="23"/>
  <c r="X970" i="23" s="1"/>
  <c r="L971" i="23"/>
  <c r="X971" i="23" s="1"/>
  <c r="L972" i="23"/>
  <c r="X972" i="23" s="1"/>
  <c r="L973" i="23"/>
  <c r="X973" i="23" s="1"/>
  <c r="L974" i="23"/>
  <c r="X974" i="23" s="1"/>
  <c r="L975" i="23"/>
  <c r="X975" i="23" s="1"/>
  <c r="L976" i="23"/>
  <c r="X976" i="23" s="1"/>
  <c r="L977" i="23"/>
  <c r="X977" i="23" s="1"/>
  <c r="L978" i="23"/>
  <c r="X978" i="23" s="1"/>
  <c r="L979" i="23"/>
  <c r="X979" i="23" s="1"/>
  <c r="L980" i="23"/>
  <c r="X980" i="23" s="1"/>
  <c r="L981" i="23"/>
  <c r="X981" i="23" s="1"/>
  <c r="L982" i="23"/>
  <c r="X982" i="23" s="1"/>
  <c r="L983" i="23"/>
  <c r="X983" i="23" s="1"/>
  <c r="L984" i="23"/>
  <c r="X984" i="23" s="1"/>
  <c r="L985" i="23"/>
  <c r="X985" i="23" s="1"/>
  <c r="L986" i="23"/>
  <c r="X986" i="23" s="1"/>
  <c r="L987" i="23"/>
  <c r="X987" i="23" s="1"/>
  <c r="L988" i="23"/>
  <c r="X988" i="23" s="1"/>
  <c r="L989" i="23"/>
  <c r="X989" i="23" s="1"/>
  <c r="L990" i="23"/>
  <c r="X990" i="23" s="1"/>
  <c r="L991" i="23"/>
  <c r="X991" i="23" s="1"/>
  <c r="L992" i="23"/>
  <c r="X992" i="23" s="1"/>
  <c r="L993" i="23"/>
  <c r="X993" i="23" s="1"/>
  <c r="L994" i="23"/>
  <c r="X994" i="23" s="1"/>
  <c r="L995" i="23"/>
  <c r="X995" i="23" s="1"/>
  <c r="L996" i="23"/>
  <c r="X996" i="23" s="1"/>
  <c r="L997" i="23"/>
  <c r="X997" i="23" s="1"/>
  <c r="L998" i="23"/>
  <c r="X998" i="23" s="1"/>
  <c r="L999" i="23"/>
  <c r="X999" i="23" s="1"/>
  <c r="L1000" i="23"/>
  <c r="X1000" i="23" s="1"/>
  <c r="L1001" i="23"/>
  <c r="X1001" i="23" s="1"/>
  <c r="L1002" i="23"/>
  <c r="X1002" i="23" s="1"/>
  <c r="L1003" i="23"/>
  <c r="X1003" i="23" s="1"/>
  <c r="L1004" i="23"/>
  <c r="X1004" i="23" s="1"/>
  <c r="L1005" i="23"/>
  <c r="X1005" i="23" s="1"/>
  <c r="L1006" i="23"/>
  <c r="X1006" i="23" s="1"/>
  <c r="L1007" i="23"/>
  <c r="X1007" i="23" s="1"/>
  <c r="L1008" i="23"/>
  <c r="X1008" i="23" s="1"/>
  <c r="L1009" i="23"/>
  <c r="X1009" i="23" s="1"/>
  <c r="L1010" i="23"/>
  <c r="X1010" i="23" s="1"/>
  <c r="L1011" i="23"/>
  <c r="X1011" i="23" s="1"/>
  <c r="L1012" i="23"/>
  <c r="X1012" i="23" s="1"/>
  <c r="L1013" i="23"/>
  <c r="X1013" i="23" s="1"/>
  <c r="L1014" i="23"/>
  <c r="X1014" i="23" s="1"/>
  <c r="L1015" i="23"/>
  <c r="X1015" i="23" s="1"/>
  <c r="L1016" i="23"/>
  <c r="X1016" i="23" s="1"/>
  <c r="L1017" i="23"/>
  <c r="X1017" i="23" s="1"/>
  <c r="L1018" i="23"/>
  <c r="X1018" i="23" s="1"/>
  <c r="L1019" i="23"/>
  <c r="X1019" i="23" s="1"/>
  <c r="L1020" i="23"/>
  <c r="X1020" i="23" s="1"/>
  <c r="L1021" i="23"/>
  <c r="X1021" i="23" s="1"/>
  <c r="L1022" i="23"/>
  <c r="X1022" i="23" s="1"/>
  <c r="L1023" i="23"/>
  <c r="X1023" i="23" s="1"/>
  <c r="L1024" i="23"/>
  <c r="X1024" i="23" s="1"/>
  <c r="L1025" i="23"/>
  <c r="X1025" i="23" s="1"/>
  <c r="L1026" i="23"/>
  <c r="X1026" i="23" s="1"/>
  <c r="L1027" i="23"/>
  <c r="X1027" i="23" s="1"/>
  <c r="L1028" i="23"/>
  <c r="X1028" i="23" s="1"/>
  <c r="L1029" i="23"/>
  <c r="X1029" i="23" s="1"/>
  <c r="L1030" i="23"/>
  <c r="X1030" i="23" s="1"/>
  <c r="L1031" i="23"/>
  <c r="X1031" i="23" s="1"/>
  <c r="L1032" i="23"/>
  <c r="X1032" i="23" s="1"/>
  <c r="L1033" i="23"/>
  <c r="X1033" i="23" s="1"/>
  <c r="L1034" i="23"/>
  <c r="X1034" i="23" s="1"/>
  <c r="L1035" i="23"/>
  <c r="X1035" i="23" s="1"/>
  <c r="L1036" i="23"/>
  <c r="X1036" i="23" s="1"/>
  <c r="L1037" i="23"/>
  <c r="X1037" i="23" s="1"/>
  <c r="L1038" i="23"/>
  <c r="X1038" i="23" s="1"/>
  <c r="L1039" i="23"/>
  <c r="X1039" i="23" s="1"/>
  <c r="L1040" i="23"/>
  <c r="X1040" i="23" s="1"/>
  <c r="L1041" i="23"/>
  <c r="X1041" i="23" s="1"/>
  <c r="L1042" i="23"/>
  <c r="X1042" i="23" s="1"/>
  <c r="L1043" i="23"/>
  <c r="X1043" i="23" s="1"/>
  <c r="L1044" i="23"/>
  <c r="X1044" i="23" s="1"/>
  <c r="L1045" i="23"/>
  <c r="X1045" i="23" s="1"/>
  <c r="L1046" i="23"/>
  <c r="X1046" i="23" s="1"/>
  <c r="L1047" i="23"/>
  <c r="X1047" i="23" s="1"/>
  <c r="L1048" i="23"/>
  <c r="X1048" i="23" s="1"/>
  <c r="L1049" i="23"/>
  <c r="X1049" i="23" s="1"/>
  <c r="L1050" i="23"/>
  <c r="X1050" i="23" s="1"/>
  <c r="L1051" i="23"/>
  <c r="X1051" i="23" s="1"/>
  <c r="L1052" i="23"/>
  <c r="X1052" i="23" s="1"/>
  <c r="L1053" i="23"/>
  <c r="X1053" i="23" s="1"/>
  <c r="L1054" i="23"/>
  <c r="X1054" i="23" s="1"/>
  <c r="L1055" i="23"/>
  <c r="X1055" i="23" s="1"/>
  <c r="L1056" i="23"/>
  <c r="X1056" i="23" s="1"/>
  <c r="L1057" i="23"/>
  <c r="X1057" i="23" s="1"/>
  <c r="L1058" i="23"/>
  <c r="X1058" i="23" s="1"/>
  <c r="L1059" i="23"/>
  <c r="X1059" i="23" s="1"/>
  <c r="L1060" i="23"/>
  <c r="X1060" i="23" s="1"/>
  <c r="L1061" i="23"/>
  <c r="X1061" i="23" s="1"/>
  <c r="L1062" i="23"/>
  <c r="X1062" i="23" s="1"/>
  <c r="L1063" i="23"/>
  <c r="X1063" i="23" s="1"/>
  <c r="L1064" i="23"/>
  <c r="X1064" i="23" s="1"/>
  <c r="L1065" i="23"/>
  <c r="X1065" i="23" s="1"/>
  <c r="L1066" i="23"/>
  <c r="X1066" i="23" s="1"/>
  <c r="L1067" i="23"/>
  <c r="X1067" i="23" s="1"/>
  <c r="L1068" i="23"/>
  <c r="X1068" i="23" s="1"/>
  <c r="L1069" i="23"/>
  <c r="X1069" i="23" s="1"/>
  <c r="L1070" i="23"/>
  <c r="X1070" i="23" s="1"/>
  <c r="L1071" i="23"/>
  <c r="X1071" i="23" s="1"/>
  <c r="L1072" i="23"/>
  <c r="X1072" i="23" s="1"/>
  <c r="L1073" i="23"/>
  <c r="X1073" i="23" s="1"/>
  <c r="L1074" i="23"/>
  <c r="X1074" i="23" s="1"/>
  <c r="L1075" i="23"/>
  <c r="X1075" i="23" s="1"/>
  <c r="L1076" i="23"/>
  <c r="X1076" i="23" s="1"/>
  <c r="L1077" i="23"/>
  <c r="X1077" i="23" s="1"/>
  <c r="L1078" i="23"/>
  <c r="X1078" i="23" s="1"/>
  <c r="L1079" i="23"/>
  <c r="X1079" i="23" s="1"/>
  <c r="L1080" i="23"/>
  <c r="X1080" i="23" s="1"/>
  <c r="L1081" i="23"/>
  <c r="X1081" i="23" s="1"/>
  <c r="L1082" i="23"/>
  <c r="X1082" i="23" s="1"/>
  <c r="L1083" i="23"/>
  <c r="X1083" i="23" s="1"/>
  <c r="L1084" i="23"/>
  <c r="X1084" i="23" s="1"/>
  <c r="L1085" i="23"/>
  <c r="X1085" i="23" s="1"/>
  <c r="L1086" i="23"/>
  <c r="X1086" i="23" s="1"/>
  <c r="L1087" i="23"/>
  <c r="X1087" i="23" s="1"/>
  <c r="L1088" i="23"/>
  <c r="X1088" i="23" s="1"/>
  <c r="L1089" i="23"/>
  <c r="X1089" i="23" s="1"/>
  <c r="L1090" i="23"/>
  <c r="X1090" i="23" s="1"/>
  <c r="L1091" i="23"/>
  <c r="X1091" i="23" s="1"/>
  <c r="L1092" i="23"/>
  <c r="X1092" i="23" s="1"/>
  <c r="L1093" i="23"/>
  <c r="X1093" i="23" s="1"/>
  <c r="L1094" i="23"/>
  <c r="X1094" i="23" s="1"/>
  <c r="L1095" i="23"/>
  <c r="X1095" i="23" s="1"/>
  <c r="L1096" i="23"/>
  <c r="X1096" i="23" s="1"/>
  <c r="L1097" i="23"/>
  <c r="X1097" i="23" s="1"/>
  <c r="L1098" i="23"/>
  <c r="X1098" i="23" s="1"/>
  <c r="L1099" i="23"/>
  <c r="X1099" i="23" s="1"/>
  <c r="L1100" i="23"/>
  <c r="X1100" i="23" s="1"/>
  <c r="L1101" i="23"/>
  <c r="X1101" i="23" s="1"/>
  <c r="L1102" i="23"/>
  <c r="X1102" i="23" s="1"/>
  <c r="L1103" i="23"/>
  <c r="X1103" i="23" s="1"/>
  <c r="L1104" i="23"/>
  <c r="X1104" i="23" s="1"/>
  <c r="L1105" i="23"/>
  <c r="X1105" i="23" s="1"/>
  <c r="L1106" i="23"/>
  <c r="X1106" i="23" s="1"/>
  <c r="L1107" i="23"/>
  <c r="X1107" i="23" s="1"/>
  <c r="L1108" i="23"/>
  <c r="X1108" i="23" s="1"/>
  <c r="L1109" i="23"/>
  <c r="X1109" i="23" s="1"/>
  <c r="L1110" i="23"/>
  <c r="X1110" i="23" s="1"/>
  <c r="L1111" i="23"/>
  <c r="X1111" i="23" s="1"/>
  <c r="L1112" i="23"/>
  <c r="X1112" i="23" s="1"/>
  <c r="L1113" i="23"/>
  <c r="X1113" i="23" s="1"/>
  <c r="L1114" i="23"/>
  <c r="X1114" i="23" s="1"/>
  <c r="L1115" i="23"/>
  <c r="X1115" i="23" s="1"/>
  <c r="L1116" i="23"/>
  <c r="X1116" i="23" s="1"/>
  <c r="L1117" i="23"/>
  <c r="X1117" i="23" s="1"/>
  <c r="L1118" i="23"/>
  <c r="X1118" i="23" s="1"/>
  <c r="L1119" i="23"/>
  <c r="X1119" i="23" s="1"/>
  <c r="L1120" i="23"/>
  <c r="X1120" i="23" s="1"/>
  <c r="L1121" i="23"/>
  <c r="X1121" i="23" s="1"/>
  <c r="L1122" i="23"/>
  <c r="X1122" i="23" s="1"/>
  <c r="L1123" i="23"/>
  <c r="X1123" i="23" s="1"/>
  <c r="L1124" i="23"/>
  <c r="X1124" i="23" s="1"/>
  <c r="L1125" i="23"/>
  <c r="X1125" i="23" s="1"/>
  <c r="L1126" i="23"/>
  <c r="X1126" i="23" s="1"/>
  <c r="L1127" i="23"/>
  <c r="X1127" i="23" s="1"/>
  <c r="L1128" i="23"/>
  <c r="X1128" i="23" s="1"/>
  <c r="L1129" i="23"/>
  <c r="X1129" i="23" s="1"/>
  <c r="L1130" i="23"/>
  <c r="X1130" i="23" s="1"/>
  <c r="L1131" i="23"/>
  <c r="X1131" i="23" s="1"/>
  <c r="L1132" i="23"/>
  <c r="X1132" i="23" s="1"/>
  <c r="L1133" i="23"/>
  <c r="X1133" i="23" s="1"/>
  <c r="L1134" i="23"/>
  <c r="X1134" i="23" s="1"/>
  <c r="L1135" i="23"/>
  <c r="X1135" i="23" s="1"/>
  <c r="L1136" i="23"/>
  <c r="X1136" i="23" s="1"/>
  <c r="L1137" i="23"/>
  <c r="X1137" i="23" s="1"/>
  <c r="L1138" i="23"/>
  <c r="X1138" i="23" s="1"/>
  <c r="L1139" i="23"/>
  <c r="X1139" i="23" s="1"/>
  <c r="L1140" i="23"/>
  <c r="X1140" i="23" s="1"/>
  <c r="L1141" i="23"/>
  <c r="X1141" i="23" s="1"/>
  <c r="L1142" i="23"/>
  <c r="X1142" i="23" s="1"/>
  <c r="L1143" i="23"/>
  <c r="X1143" i="23" s="1"/>
  <c r="L1144" i="23"/>
  <c r="X1144" i="23" s="1"/>
  <c r="L1145" i="23"/>
  <c r="X1145" i="23" s="1"/>
  <c r="L1146" i="23"/>
  <c r="X1146" i="23" s="1"/>
  <c r="L1147" i="23"/>
  <c r="X1147" i="23" s="1"/>
  <c r="L1148" i="23"/>
  <c r="X1148" i="23" s="1"/>
  <c r="L1149" i="23"/>
  <c r="X1149" i="23" s="1"/>
  <c r="L1150" i="23"/>
  <c r="X1150" i="23" s="1"/>
  <c r="L1151" i="23"/>
  <c r="X1151" i="23" s="1"/>
  <c r="L1152" i="23"/>
  <c r="X1152" i="23" s="1"/>
  <c r="L1153" i="23"/>
  <c r="X1153" i="23" s="1"/>
  <c r="L1154" i="23"/>
  <c r="X1154" i="23" s="1"/>
  <c r="L1155" i="23"/>
  <c r="X1155" i="23" s="1"/>
  <c r="L1156" i="23"/>
  <c r="X1156" i="23" s="1"/>
  <c r="L1157" i="23"/>
  <c r="X1157" i="23" s="1"/>
  <c r="L1158" i="23"/>
  <c r="X1158" i="23" s="1"/>
  <c r="L1159" i="23"/>
  <c r="X1159" i="23" s="1"/>
  <c r="L1160" i="23"/>
  <c r="X1160" i="23" s="1"/>
  <c r="L1161" i="23"/>
  <c r="X1161" i="23" s="1"/>
  <c r="L1162" i="23"/>
  <c r="X1162" i="23" s="1"/>
  <c r="L1163" i="23"/>
  <c r="X1163" i="23" s="1"/>
  <c r="L1164" i="23"/>
  <c r="X1164" i="23" s="1"/>
  <c r="L1165" i="23"/>
  <c r="X1165" i="23" s="1"/>
  <c r="L1166" i="23"/>
  <c r="X1166" i="23" s="1"/>
  <c r="L1167" i="23"/>
  <c r="X1167" i="23" s="1"/>
  <c r="L1168" i="23"/>
  <c r="X1168" i="23" s="1"/>
  <c r="L1169" i="23"/>
  <c r="X1169" i="23" s="1"/>
  <c r="L1170" i="23"/>
  <c r="X1170" i="23" s="1"/>
  <c r="L1171" i="23"/>
  <c r="X1171" i="23" s="1"/>
  <c r="L1172" i="23"/>
  <c r="X1172" i="23" s="1"/>
  <c r="L1173" i="23"/>
  <c r="X1173" i="23" s="1"/>
  <c r="L1174" i="23"/>
  <c r="X1174" i="23" s="1"/>
  <c r="L1175" i="23"/>
  <c r="X1175" i="23" s="1"/>
  <c r="L1176" i="23"/>
  <c r="X1176" i="23" s="1"/>
  <c r="L1177" i="23"/>
  <c r="X1177" i="23" s="1"/>
  <c r="L1178" i="23"/>
  <c r="X1178" i="23" s="1"/>
  <c r="L1179" i="23"/>
  <c r="X1179" i="23" s="1"/>
  <c r="L1180" i="23"/>
  <c r="X1180" i="23" s="1"/>
  <c r="L1181" i="23"/>
  <c r="X1181" i="23" s="1"/>
  <c r="L1182" i="23"/>
  <c r="X1182" i="23" s="1"/>
  <c r="L1183" i="23"/>
  <c r="X1183" i="23" s="1"/>
  <c r="L1184" i="23"/>
  <c r="X1184" i="23" s="1"/>
  <c r="L1185" i="23"/>
  <c r="X1185" i="23" s="1"/>
  <c r="L1186" i="23"/>
  <c r="X1186" i="23" s="1"/>
  <c r="L1187" i="23"/>
  <c r="X1187" i="23" s="1"/>
  <c r="L1188" i="23"/>
  <c r="X1188" i="23" s="1"/>
  <c r="L1189" i="23"/>
  <c r="X1189" i="23" s="1"/>
  <c r="L1190" i="23"/>
  <c r="X1190" i="23" s="1"/>
  <c r="L1191" i="23"/>
  <c r="X1191" i="23" s="1"/>
  <c r="L1192" i="23"/>
  <c r="X1192" i="23" s="1"/>
  <c r="L1193" i="23"/>
  <c r="X1193" i="23" s="1"/>
  <c r="L1194" i="23"/>
  <c r="X1194" i="23" s="1"/>
  <c r="L1195" i="23"/>
  <c r="X1195" i="23" s="1"/>
  <c r="L1196" i="23"/>
  <c r="X1196" i="23" s="1"/>
  <c r="L1197" i="23"/>
  <c r="X1197" i="23" s="1"/>
  <c r="L1198" i="23"/>
  <c r="X1198" i="23" s="1"/>
  <c r="L1199" i="23"/>
  <c r="X1199" i="23" s="1"/>
  <c r="L1200" i="23"/>
  <c r="X1200" i="23" s="1"/>
  <c r="L1201" i="23"/>
  <c r="X1201" i="23" s="1"/>
  <c r="L1202" i="23"/>
  <c r="X1202" i="23" s="1"/>
  <c r="L1203" i="23"/>
  <c r="X1203" i="23" s="1"/>
  <c r="L1204" i="23"/>
  <c r="X1204" i="23" s="1"/>
  <c r="L1205" i="23"/>
  <c r="X1205" i="23" s="1"/>
  <c r="L1206" i="23"/>
  <c r="X1206" i="23" s="1"/>
  <c r="L1207" i="23"/>
  <c r="X1207" i="23" s="1"/>
  <c r="L1208" i="23"/>
  <c r="X1208" i="23" s="1"/>
  <c r="L1209" i="23"/>
  <c r="X1209" i="23" s="1"/>
  <c r="L1210" i="23"/>
  <c r="X1210" i="23" s="1"/>
  <c r="L1211" i="23"/>
  <c r="X1211" i="23" s="1"/>
  <c r="L1212" i="23"/>
  <c r="X1212" i="23" s="1"/>
  <c r="L1213" i="23"/>
  <c r="X1213" i="23" s="1"/>
  <c r="L1214" i="23"/>
  <c r="X1214" i="23" s="1"/>
  <c r="L1215" i="23"/>
  <c r="X1215" i="23" s="1"/>
  <c r="L1216" i="23"/>
  <c r="X1216" i="23" s="1"/>
  <c r="L1217" i="23"/>
  <c r="X1217" i="23" s="1"/>
  <c r="L1218" i="23"/>
  <c r="X1218" i="23" s="1"/>
  <c r="L1219" i="23"/>
  <c r="X1219" i="23" s="1"/>
  <c r="L1220" i="23"/>
  <c r="X1220" i="23" s="1"/>
  <c r="L1221" i="23"/>
  <c r="X1221" i="23" s="1"/>
  <c r="L1222" i="23"/>
  <c r="X1222" i="23" s="1"/>
  <c r="L1223" i="23"/>
  <c r="X1223" i="23" s="1"/>
  <c r="L1224" i="23"/>
  <c r="X1224" i="23" s="1"/>
  <c r="L1225" i="23"/>
  <c r="X1225" i="23" s="1"/>
  <c r="L1226" i="23"/>
  <c r="X1226" i="23" s="1"/>
  <c r="L1227" i="23"/>
  <c r="X1227" i="23" s="1"/>
  <c r="L1228" i="23"/>
  <c r="X1228" i="23" s="1"/>
  <c r="L1229" i="23"/>
  <c r="X1229" i="23" s="1"/>
  <c r="L1230" i="23"/>
  <c r="X1230" i="23" s="1"/>
  <c r="L1231" i="23"/>
  <c r="X1231" i="23" s="1"/>
  <c r="L1232" i="23"/>
  <c r="X1232" i="23" s="1"/>
  <c r="L1233" i="23"/>
  <c r="X1233" i="23" s="1"/>
  <c r="L1234" i="23"/>
  <c r="X1234" i="23" s="1"/>
  <c r="L1235" i="23"/>
  <c r="X1235" i="23" s="1"/>
  <c r="L1236" i="23"/>
  <c r="X1236" i="23" s="1"/>
  <c r="L1237" i="23"/>
  <c r="X1237" i="23" s="1"/>
  <c r="L1238" i="23"/>
  <c r="X1238" i="23" s="1"/>
  <c r="L1239" i="23"/>
  <c r="X1239" i="23" s="1"/>
  <c r="L1240" i="23"/>
  <c r="X1240" i="23" s="1"/>
  <c r="L1241" i="23"/>
  <c r="X1241" i="23" s="1"/>
  <c r="L1242" i="23"/>
  <c r="X1242" i="23" s="1"/>
  <c r="L1243" i="23"/>
  <c r="X1243" i="23" s="1"/>
  <c r="L1244" i="23"/>
  <c r="X1244" i="23" s="1"/>
  <c r="L1245" i="23"/>
  <c r="X1245" i="23" s="1"/>
  <c r="L1246" i="23"/>
  <c r="X1246" i="23" s="1"/>
  <c r="L1247" i="23"/>
  <c r="X1247" i="23" s="1"/>
  <c r="L1248" i="23"/>
  <c r="X1248" i="23" s="1"/>
  <c r="L1249" i="23"/>
  <c r="X1249" i="23" s="1"/>
  <c r="L1250" i="23"/>
  <c r="X1250" i="23" s="1"/>
  <c r="L1251" i="23"/>
  <c r="X1251" i="23" s="1"/>
  <c r="L1252" i="23"/>
  <c r="X1252" i="23" s="1"/>
  <c r="L1253" i="23"/>
  <c r="X1253" i="23" s="1"/>
  <c r="L1254" i="23"/>
  <c r="X1254" i="23" s="1"/>
  <c r="L1255" i="23"/>
  <c r="X1255" i="23" s="1"/>
  <c r="L1256" i="23"/>
  <c r="X1256" i="23" s="1"/>
  <c r="L1257" i="23"/>
  <c r="X1257" i="23" s="1"/>
  <c r="L1258" i="23"/>
  <c r="X1258" i="23" s="1"/>
  <c r="L1259" i="23"/>
  <c r="X1259" i="23" s="1"/>
  <c r="L1260" i="23"/>
  <c r="X1260" i="23" s="1"/>
  <c r="L1261" i="23"/>
  <c r="X1261" i="23" s="1"/>
  <c r="L1262" i="23"/>
  <c r="X1262" i="23" s="1"/>
  <c r="L1263" i="23"/>
  <c r="X1263" i="23" s="1"/>
  <c r="L1264" i="23"/>
  <c r="X1264" i="23" s="1"/>
  <c r="L1265" i="23"/>
  <c r="X1265" i="23" s="1"/>
  <c r="L1266" i="23"/>
  <c r="X1266" i="23" s="1"/>
  <c r="L1267" i="23"/>
  <c r="X1267" i="23" s="1"/>
  <c r="L1268" i="23"/>
  <c r="X1268" i="23" s="1"/>
  <c r="L1269" i="23"/>
  <c r="X1269" i="23" s="1"/>
  <c r="L1270" i="23"/>
  <c r="X1270" i="23" s="1"/>
  <c r="L1271" i="23"/>
  <c r="X1271" i="23" s="1"/>
  <c r="L1272" i="23"/>
  <c r="X1272" i="23" s="1"/>
  <c r="L1273" i="23"/>
  <c r="X1273" i="23" s="1"/>
  <c r="L1274" i="23"/>
  <c r="X1274" i="23" s="1"/>
  <c r="L1275" i="23"/>
  <c r="X1275" i="23" s="1"/>
  <c r="L1276" i="23"/>
  <c r="X1276" i="23" s="1"/>
  <c r="L1277" i="23"/>
  <c r="X1277" i="23" s="1"/>
  <c r="L1278" i="23"/>
  <c r="X1278" i="23" s="1"/>
  <c r="L1279" i="23"/>
  <c r="X1279" i="23" s="1"/>
  <c r="L1280" i="23"/>
  <c r="X1280" i="23" s="1"/>
  <c r="L1281" i="23"/>
  <c r="X1281" i="23" s="1"/>
  <c r="L1282" i="23"/>
  <c r="X1282" i="23" s="1"/>
  <c r="L1283" i="23"/>
  <c r="X1283" i="23" s="1"/>
  <c r="L1284" i="23"/>
  <c r="X1284" i="23" s="1"/>
  <c r="L1285" i="23"/>
  <c r="X1285" i="23" s="1"/>
  <c r="L1286" i="23"/>
  <c r="X1286" i="23" s="1"/>
  <c r="L1287" i="23"/>
  <c r="X1287" i="23" s="1"/>
  <c r="L1288" i="23"/>
  <c r="X1288" i="23" s="1"/>
  <c r="L1289" i="23"/>
  <c r="X1289" i="23" s="1"/>
  <c r="L1290" i="23"/>
  <c r="X1290" i="23" s="1"/>
  <c r="L1291" i="23"/>
  <c r="X1291" i="23" s="1"/>
  <c r="L1292" i="23"/>
  <c r="X1292" i="23" s="1"/>
  <c r="L1293" i="23"/>
  <c r="X1293" i="23" s="1"/>
  <c r="L1294" i="23"/>
  <c r="X1294" i="23" s="1"/>
  <c r="L1295" i="23"/>
  <c r="X1295" i="23" s="1"/>
  <c r="L1296" i="23"/>
  <c r="X1296" i="23" s="1"/>
  <c r="L1297" i="23"/>
  <c r="X1297" i="23" s="1"/>
  <c r="L1298" i="23"/>
  <c r="X1298" i="23" s="1"/>
  <c r="L1299" i="23"/>
  <c r="X1299" i="23" s="1"/>
  <c r="L1300" i="23"/>
  <c r="X1300" i="23" s="1"/>
  <c r="L1301" i="23"/>
  <c r="X1301" i="23" s="1"/>
  <c r="L1302" i="23"/>
  <c r="X1302" i="23" s="1"/>
  <c r="L1303" i="23"/>
  <c r="X1303" i="23" s="1"/>
  <c r="L1304" i="23"/>
  <c r="X1304" i="23" s="1"/>
  <c r="L1305" i="23"/>
  <c r="X1305" i="23" s="1"/>
  <c r="L1306" i="23"/>
  <c r="X1306" i="23" s="1"/>
  <c r="L1307" i="23"/>
  <c r="X1307" i="23" s="1"/>
  <c r="L1308" i="23"/>
  <c r="X1308" i="23" s="1"/>
  <c r="L1309" i="23"/>
  <c r="X1309" i="23" s="1"/>
  <c r="L1310" i="23"/>
  <c r="X1310" i="23" s="1"/>
  <c r="L1311" i="23"/>
  <c r="X1311" i="23" s="1"/>
  <c r="L1312" i="23"/>
  <c r="X1312" i="23" s="1"/>
  <c r="L1313" i="23"/>
  <c r="X1313" i="23" s="1"/>
  <c r="L1314" i="23"/>
  <c r="X1314" i="23" s="1"/>
  <c r="L1315" i="23"/>
  <c r="X1315" i="23" s="1"/>
  <c r="L1316" i="23"/>
  <c r="X1316" i="23" s="1"/>
  <c r="L1317" i="23"/>
  <c r="X1317" i="23" s="1"/>
  <c r="L1318" i="23"/>
  <c r="X1318" i="23" s="1"/>
  <c r="L1319" i="23"/>
  <c r="X1319" i="23" s="1"/>
  <c r="L1320" i="23"/>
  <c r="X1320" i="23" s="1"/>
  <c r="L1321" i="23"/>
  <c r="X1321" i="23" s="1"/>
  <c r="L1322" i="23"/>
  <c r="X1322" i="23" s="1"/>
  <c r="L1323" i="23"/>
  <c r="X1323" i="23" s="1"/>
  <c r="L1324" i="23"/>
  <c r="X1324" i="23" s="1"/>
  <c r="L1325" i="23"/>
  <c r="X1325" i="23" s="1"/>
  <c r="L1326" i="23"/>
  <c r="X1326" i="23" s="1"/>
  <c r="L1327" i="23"/>
  <c r="X1327" i="23" s="1"/>
  <c r="L1328" i="23"/>
  <c r="X1328" i="23" s="1"/>
  <c r="L1329" i="23"/>
  <c r="X1329" i="23" s="1"/>
  <c r="L1330" i="23"/>
  <c r="X1330" i="23" s="1"/>
  <c r="L1331" i="23"/>
  <c r="X1331" i="23" s="1"/>
  <c r="L1332" i="23"/>
  <c r="X1332" i="23" s="1"/>
  <c r="L1333" i="23"/>
  <c r="X1333" i="23" s="1"/>
  <c r="L1334" i="23"/>
  <c r="X1334" i="23" s="1"/>
  <c r="L1335" i="23"/>
  <c r="X1335" i="23" s="1"/>
  <c r="L1336" i="23"/>
  <c r="X1336" i="23" s="1"/>
  <c r="L1337" i="23"/>
  <c r="X1337" i="23" s="1"/>
  <c r="L1338" i="23"/>
  <c r="X1338" i="23" s="1"/>
  <c r="L1339" i="23"/>
  <c r="X1339" i="23" s="1"/>
  <c r="L1340" i="23"/>
  <c r="X1340" i="23" s="1"/>
  <c r="L1341" i="23"/>
  <c r="X1341" i="23" s="1"/>
  <c r="L1342" i="23"/>
  <c r="X1342" i="23" s="1"/>
  <c r="L1343" i="23"/>
  <c r="X1343" i="23" s="1"/>
  <c r="L1344" i="23"/>
  <c r="X1344" i="23" s="1"/>
  <c r="L1345" i="23"/>
  <c r="X1345" i="23" s="1"/>
  <c r="L1346" i="23"/>
  <c r="X1346" i="23" s="1"/>
  <c r="L1347" i="23"/>
  <c r="X1347" i="23" s="1"/>
  <c r="L1348" i="23"/>
  <c r="X1348" i="23" s="1"/>
  <c r="L1349" i="23"/>
  <c r="X1349" i="23" s="1"/>
  <c r="L1350" i="23"/>
  <c r="X1350" i="23" s="1"/>
  <c r="L1351" i="23"/>
  <c r="X1351" i="23" s="1"/>
  <c r="L1352" i="23"/>
  <c r="X1352" i="23" s="1"/>
  <c r="L1353" i="23"/>
  <c r="X1353" i="23" s="1"/>
  <c r="L1354" i="23"/>
  <c r="X1354" i="23" s="1"/>
  <c r="L1355" i="23"/>
  <c r="X1355" i="23" s="1"/>
  <c r="L1356" i="23"/>
  <c r="X1356" i="23" s="1"/>
  <c r="L1357" i="23"/>
  <c r="X1357" i="23" s="1"/>
  <c r="L1358" i="23"/>
  <c r="X1358" i="23" s="1"/>
  <c r="L1359" i="23"/>
  <c r="X1359" i="23" s="1"/>
  <c r="L1360" i="23"/>
  <c r="X1360" i="23" s="1"/>
  <c r="L1361" i="23"/>
  <c r="X1361" i="23" s="1"/>
  <c r="L1362" i="23"/>
  <c r="X1362" i="23" s="1"/>
  <c r="L1363" i="23"/>
  <c r="X1363" i="23" s="1"/>
  <c r="L1364" i="23"/>
  <c r="X1364" i="23" s="1"/>
  <c r="L1365" i="23"/>
  <c r="X1365" i="23" s="1"/>
  <c r="L1366" i="23"/>
  <c r="X1366" i="23" s="1"/>
  <c r="L1367" i="23"/>
  <c r="X1367" i="23" s="1"/>
  <c r="L1368" i="23"/>
  <c r="X1368" i="23" s="1"/>
  <c r="L1369" i="23"/>
  <c r="X1369" i="23" s="1"/>
  <c r="L1370" i="23"/>
  <c r="X1370" i="23" s="1"/>
  <c r="L1371" i="23"/>
  <c r="X1371" i="23" s="1"/>
  <c r="L1372" i="23"/>
  <c r="X1372" i="23" s="1"/>
  <c r="L1373" i="23"/>
  <c r="X1373" i="23" s="1"/>
  <c r="L1374" i="23"/>
  <c r="X1374" i="23" s="1"/>
  <c r="L1375" i="23"/>
  <c r="X1375" i="23" s="1"/>
  <c r="L1376" i="23"/>
  <c r="X1376" i="23" s="1"/>
  <c r="L1377" i="23"/>
  <c r="X1377" i="23" s="1"/>
  <c r="L1378" i="23"/>
  <c r="X1378" i="23" s="1"/>
  <c r="L1379" i="23"/>
  <c r="X1379" i="23" s="1"/>
  <c r="L1380" i="23"/>
  <c r="X1380" i="23" s="1"/>
  <c r="L1381" i="23"/>
  <c r="X1381" i="23" s="1"/>
  <c r="L1382" i="23"/>
  <c r="X1382" i="23" s="1"/>
  <c r="L1383" i="23"/>
  <c r="X1383" i="23" s="1"/>
  <c r="L1384" i="23"/>
  <c r="X1384" i="23" s="1"/>
  <c r="L1385" i="23"/>
  <c r="X1385" i="23" s="1"/>
  <c r="L1386" i="23"/>
  <c r="X1386" i="23" s="1"/>
  <c r="L1387" i="23"/>
  <c r="X1387" i="23" s="1"/>
  <c r="L1388" i="23"/>
  <c r="X1388" i="23" s="1"/>
  <c r="L1389" i="23"/>
  <c r="X1389" i="23" s="1"/>
  <c r="L1390" i="23"/>
  <c r="X1390" i="23" s="1"/>
  <c r="L1391" i="23"/>
  <c r="X1391" i="23" s="1"/>
  <c r="L1392" i="23"/>
  <c r="X1392" i="23" s="1"/>
  <c r="L1393" i="23"/>
  <c r="X1393" i="23" s="1"/>
  <c r="L1394" i="23"/>
  <c r="X1394" i="23" s="1"/>
  <c r="L1395" i="23"/>
  <c r="X1395" i="23" s="1"/>
  <c r="L1396" i="23"/>
  <c r="X1396" i="23" s="1"/>
  <c r="L1397" i="23"/>
  <c r="X1397" i="23" s="1"/>
  <c r="L1398" i="23"/>
  <c r="X1398" i="23" s="1"/>
  <c r="L1399" i="23"/>
  <c r="X1399" i="23" s="1"/>
  <c r="L1400" i="23"/>
  <c r="X1400" i="23" s="1"/>
  <c r="L1401" i="23"/>
  <c r="X1401" i="23" s="1"/>
  <c r="L1402" i="23"/>
  <c r="X1402" i="23" s="1"/>
  <c r="L1403" i="23"/>
  <c r="X1403" i="23" s="1"/>
  <c r="L1404" i="23"/>
  <c r="X1404" i="23" s="1"/>
  <c r="L1405" i="23"/>
  <c r="X1405" i="23" s="1"/>
  <c r="L1406" i="23"/>
  <c r="X1406" i="23" s="1"/>
  <c r="L1407" i="23"/>
  <c r="X1407" i="23" s="1"/>
  <c r="L1408" i="23"/>
  <c r="X1408" i="23" s="1"/>
  <c r="L1409" i="23"/>
  <c r="X1409" i="23" s="1"/>
  <c r="L1410" i="23"/>
  <c r="X1410" i="23" s="1"/>
  <c r="L1411" i="23"/>
  <c r="X1411" i="23" s="1"/>
  <c r="L1412" i="23"/>
  <c r="X1412" i="23" s="1"/>
  <c r="L1413" i="23"/>
  <c r="X1413" i="23" s="1"/>
  <c r="L1414" i="23"/>
  <c r="X1414" i="23" s="1"/>
  <c r="L1415" i="23"/>
  <c r="X1415" i="23" s="1"/>
  <c r="L1416" i="23"/>
  <c r="X1416" i="23" s="1"/>
  <c r="L1417" i="23"/>
  <c r="X1417" i="23" s="1"/>
  <c r="L1418" i="23"/>
  <c r="X1418" i="23" s="1"/>
  <c r="L1419" i="23"/>
  <c r="X1419" i="23" s="1"/>
  <c r="L1420" i="23"/>
  <c r="X1420" i="23" s="1"/>
  <c r="L1421" i="23"/>
  <c r="X1421" i="23" s="1"/>
  <c r="L1422" i="23"/>
  <c r="X1422" i="23" s="1"/>
  <c r="L1423" i="23"/>
  <c r="X1423" i="23" s="1"/>
  <c r="L1424" i="23"/>
  <c r="X1424" i="23" s="1"/>
  <c r="L1425" i="23"/>
  <c r="X1425" i="23" s="1"/>
  <c r="L1426" i="23"/>
  <c r="X1426" i="23" s="1"/>
  <c r="L1427" i="23"/>
  <c r="X1427" i="23" s="1"/>
  <c r="L1428" i="23"/>
  <c r="X1428" i="23" s="1"/>
  <c r="L1429" i="23"/>
  <c r="X1429" i="23" s="1"/>
  <c r="L1430" i="23"/>
  <c r="X1430" i="23" s="1"/>
  <c r="L1431" i="23"/>
  <c r="X1431" i="23" s="1"/>
  <c r="L1432" i="23"/>
  <c r="X1432" i="23" s="1"/>
  <c r="L1433" i="23"/>
  <c r="X1433" i="23" s="1"/>
  <c r="L1434" i="23"/>
  <c r="X1434" i="23" s="1"/>
  <c r="L1435" i="23"/>
  <c r="X1435" i="23" s="1"/>
  <c r="L1436" i="23"/>
  <c r="X1436" i="23" s="1"/>
  <c r="L1437" i="23"/>
  <c r="X1437" i="23" s="1"/>
  <c r="L1438" i="23"/>
  <c r="X1438" i="23" s="1"/>
  <c r="L1439" i="23"/>
  <c r="X1439" i="23" s="1"/>
  <c r="L1440" i="23"/>
  <c r="X1440" i="23" s="1"/>
  <c r="L1441" i="23"/>
  <c r="X1441" i="23" s="1"/>
  <c r="L1442" i="23"/>
  <c r="X1442" i="23" s="1"/>
  <c r="L1443" i="23"/>
  <c r="X1443" i="23" s="1"/>
  <c r="L1444" i="23"/>
  <c r="X1444" i="23" s="1"/>
  <c r="L1445" i="23"/>
  <c r="X1445" i="23" s="1"/>
  <c r="L1446" i="23"/>
  <c r="X1446" i="23" s="1"/>
  <c r="L1447" i="23"/>
  <c r="X1447" i="23" s="1"/>
  <c r="L1448" i="23"/>
  <c r="X1448" i="23" s="1"/>
  <c r="L1449" i="23"/>
  <c r="X1449" i="23" s="1"/>
  <c r="L1450" i="23"/>
  <c r="X1450" i="23" s="1"/>
  <c r="L1451" i="23"/>
  <c r="X1451" i="23" s="1"/>
  <c r="L1452" i="23"/>
  <c r="X1452" i="23" s="1"/>
  <c r="L1453" i="23"/>
  <c r="X1453" i="23" s="1"/>
  <c r="L1454" i="23"/>
  <c r="X1454" i="23" s="1"/>
  <c r="L1455" i="23"/>
  <c r="X1455" i="23" s="1"/>
  <c r="L1456" i="23"/>
  <c r="X1456" i="23" s="1"/>
  <c r="L1457" i="23"/>
  <c r="X1457" i="23" s="1"/>
  <c r="L1458" i="23"/>
  <c r="X1458" i="23" s="1"/>
  <c r="L1459" i="23"/>
  <c r="X1459" i="23" s="1"/>
  <c r="L1460" i="23"/>
  <c r="X1460" i="23" s="1"/>
  <c r="L1461" i="23"/>
  <c r="X1461" i="23" s="1"/>
  <c r="L1462" i="23"/>
  <c r="X1462" i="23" s="1"/>
  <c r="L1463" i="23"/>
  <c r="X1463" i="23" s="1"/>
  <c r="L1464" i="23"/>
  <c r="X1464" i="23" s="1"/>
  <c r="L1465" i="23"/>
  <c r="X1465" i="23" s="1"/>
  <c r="L1466" i="23"/>
  <c r="X1466" i="23" s="1"/>
  <c r="L1467" i="23"/>
  <c r="X1467" i="23" s="1"/>
  <c r="L1468" i="23"/>
  <c r="X1468" i="23" s="1"/>
  <c r="L1469" i="23"/>
  <c r="X1469" i="23" s="1"/>
  <c r="L1470" i="23"/>
  <c r="X1470" i="23" s="1"/>
  <c r="L1471" i="23"/>
  <c r="X1471" i="23" s="1"/>
  <c r="L1472" i="23"/>
  <c r="X1472" i="23" s="1"/>
  <c r="L1473" i="23"/>
  <c r="X1473" i="23" s="1"/>
  <c r="L1474" i="23"/>
  <c r="X1474" i="23" s="1"/>
  <c r="L1475" i="23"/>
  <c r="X1475" i="23" s="1"/>
  <c r="L1476" i="23"/>
  <c r="X1476" i="23" s="1"/>
  <c r="L1477" i="23"/>
  <c r="X1477" i="23" s="1"/>
  <c r="L1478" i="23"/>
  <c r="X1478" i="23" s="1"/>
  <c r="L1479" i="23"/>
  <c r="X1479" i="23" s="1"/>
  <c r="L1480" i="23"/>
  <c r="X1480" i="23" s="1"/>
  <c r="L1481" i="23"/>
  <c r="X1481" i="23" s="1"/>
  <c r="L1482" i="23"/>
  <c r="X1482" i="23" s="1"/>
  <c r="L1483" i="23"/>
  <c r="X1483" i="23" s="1"/>
  <c r="L1484" i="23"/>
  <c r="X1484" i="23" s="1"/>
  <c r="L1485" i="23"/>
  <c r="X1485" i="23" s="1"/>
  <c r="L1486" i="23"/>
  <c r="X1486" i="23" s="1"/>
  <c r="L1487" i="23"/>
  <c r="X1487" i="23" s="1"/>
  <c r="L1488" i="23"/>
  <c r="X1488" i="23" s="1"/>
  <c r="L1489" i="23"/>
  <c r="X1489" i="23" s="1"/>
  <c r="L1490" i="23"/>
  <c r="X1490" i="23" s="1"/>
  <c r="L1491" i="23"/>
  <c r="X1491" i="23" s="1"/>
  <c r="L1492" i="23"/>
  <c r="X1492" i="23" s="1"/>
  <c r="L1493" i="23"/>
  <c r="X1493" i="23" s="1"/>
  <c r="L1494" i="23"/>
  <c r="X1494" i="23" s="1"/>
  <c r="L1495" i="23"/>
  <c r="X1495" i="23" s="1"/>
  <c r="L1496" i="23"/>
  <c r="X1496" i="23" s="1"/>
  <c r="L1497" i="23"/>
  <c r="X1497" i="23" s="1"/>
  <c r="L1498" i="23"/>
  <c r="X1498" i="23" s="1"/>
  <c r="L1499" i="23"/>
  <c r="X1499" i="23" s="1"/>
  <c r="L1500" i="23"/>
  <c r="X1500" i="23" s="1"/>
  <c r="L1501" i="23"/>
  <c r="X1501" i="23" s="1"/>
  <c r="L1502" i="23"/>
  <c r="X1502" i="23" s="1"/>
  <c r="L1503" i="23"/>
  <c r="X1503" i="23" s="1"/>
  <c r="L1504" i="23"/>
  <c r="X1504" i="23" s="1"/>
  <c r="L1505" i="23"/>
  <c r="X1505" i="23" s="1"/>
  <c r="L1506" i="23"/>
  <c r="X1506" i="23" s="1"/>
  <c r="L1507" i="23"/>
  <c r="X1507" i="23" s="1"/>
  <c r="L1508" i="23"/>
  <c r="X1508" i="23" s="1"/>
  <c r="L1509" i="23"/>
  <c r="X1509" i="23" s="1"/>
  <c r="L1510" i="23"/>
  <c r="X1510" i="23" s="1"/>
  <c r="L1511" i="23"/>
  <c r="X1511" i="23" s="1"/>
  <c r="L1512" i="23"/>
  <c r="X1512" i="23" s="1"/>
  <c r="L1513" i="23"/>
  <c r="X1513" i="23" s="1"/>
  <c r="L1514" i="23"/>
  <c r="X1514" i="23" s="1"/>
  <c r="L1515" i="23"/>
  <c r="X1515" i="23" s="1"/>
  <c r="L1516" i="23"/>
  <c r="X1516" i="23" s="1"/>
  <c r="L1517" i="23"/>
  <c r="X1517" i="23" s="1"/>
  <c r="L1518" i="23"/>
  <c r="X1518" i="23" s="1"/>
  <c r="L1519" i="23"/>
  <c r="X1519" i="23" s="1"/>
  <c r="L1520" i="23"/>
  <c r="X1520" i="23" s="1"/>
  <c r="L1521" i="23"/>
  <c r="X1521" i="23" s="1"/>
  <c r="L1522" i="23"/>
  <c r="X1522" i="23" s="1"/>
  <c r="L1523" i="23"/>
  <c r="X1523" i="23" s="1"/>
  <c r="L1524" i="23"/>
  <c r="X1524" i="23" s="1"/>
  <c r="L1525" i="23"/>
  <c r="X1525" i="23" s="1"/>
  <c r="L1526" i="23"/>
  <c r="X1526" i="23" s="1"/>
  <c r="L1527" i="23"/>
  <c r="X1527" i="23" s="1"/>
  <c r="L1528" i="23"/>
  <c r="X1528" i="23" s="1"/>
  <c r="L1529" i="23"/>
  <c r="X1529" i="23" s="1"/>
  <c r="L1530" i="23"/>
  <c r="X1530" i="23" s="1"/>
  <c r="L1531" i="23"/>
  <c r="X1531" i="23" s="1"/>
  <c r="L1532" i="23"/>
  <c r="X1532" i="23" s="1"/>
  <c r="L1533" i="23"/>
  <c r="X1533" i="23" s="1"/>
  <c r="L1534" i="23"/>
  <c r="X1534" i="23" s="1"/>
  <c r="L1535" i="23"/>
  <c r="X1535" i="23" s="1"/>
  <c r="L1536" i="23"/>
  <c r="X1536" i="23" s="1"/>
  <c r="L1537" i="23"/>
  <c r="X1537" i="23" s="1"/>
  <c r="L1538" i="23"/>
  <c r="X1538" i="23" s="1"/>
  <c r="L1539" i="23"/>
  <c r="X1539" i="23" s="1"/>
  <c r="L1540" i="23"/>
  <c r="X1540" i="23" s="1"/>
  <c r="L1541" i="23"/>
  <c r="X1541" i="23" s="1"/>
  <c r="L1542" i="23"/>
  <c r="X1542" i="23" s="1"/>
  <c r="L1543" i="23"/>
  <c r="X1543" i="23" s="1"/>
  <c r="L1544" i="23"/>
  <c r="X1544" i="23" s="1"/>
  <c r="L1545" i="23"/>
  <c r="X1545" i="23" s="1"/>
  <c r="L1546" i="23"/>
  <c r="X1546" i="23" s="1"/>
  <c r="L1547" i="23"/>
  <c r="X1547" i="23" s="1"/>
  <c r="L1548" i="23"/>
  <c r="X1548" i="23" s="1"/>
  <c r="L1549" i="23"/>
  <c r="X1549" i="23" s="1"/>
  <c r="L1550" i="23"/>
  <c r="X1550" i="23" s="1"/>
  <c r="L1551" i="23"/>
  <c r="X1551" i="23" s="1"/>
  <c r="L1552" i="23"/>
  <c r="X1552" i="23" s="1"/>
  <c r="L1553" i="23"/>
  <c r="X1553" i="23" s="1"/>
  <c r="L1554" i="23"/>
  <c r="X1554" i="23" s="1"/>
  <c r="L1555" i="23"/>
  <c r="X1555" i="23" s="1"/>
  <c r="L1556" i="23"/>
  <c r="X1556" i="23" s="1"/>
  <c r="L1557" i="23"/>
  <c r="X1557" i="23" s="1"/>
  <c r="L1558" i="23"/>
  <c r="X1558" i="23" s="1"/>
  <c r="L1559" i="23"/>
  <c r="X1559" i="23" s="1"/>
  <c r="L1560" i="23"/>
  <c r="X1560" i="23" s="1"/>
  <c r="L1561" i="23"/>
  <c r="X1561" i="23" s="1"/>
  <c r="L1562" i="23"/>
  <c r="X1562" i="23" s="1"/>
  <c r="L1563" i="23"/>
  <c r="X1563" i="23" s="1"/>
  <c r="L1564" i="23"/>
  <c r="X1564" i="23" s="1"/>
  <c r="L1565" i="23"/>
  <c r="X1565" i="23" s="1"/>
  <c r="L1566" i="23"/>
  <c r="X1566" i="23" s="1"/>
  <c r="L1567" i="23"/>
  <c r="X1567" i="23" s="1"/>
  <c r="L1568" i="23"/>
  <c r="X1568" i="23" s="1"/>
  <c r="L1569" i="23"/>
  <c r="X1569" i="23" s="1"/>
  <c r="L1570" i="23"/>
  <c r="X1570" i="23" s="1"/>
  <c r="L1571" i="23"/>
  <c r="X1571" i="23" s="1"/>
  <c r="L1572" i="23"/>
  <c r="X1572" i="23" s="1"/>
  <c r="L1573" i="23"/>
  <c r="X1573" i="23" s="1"/>
  <c r="L1574" i="23"/>
  <c r="X1574" i="23" s="1"/>
  <c r="L1575" i="23"/>
  <c r="X1575" i="23" s="1"/>
  <c r="L1576" i="23"/>
  <c r="X1576" i="23" s="1"/>
  <c r="L1577" i="23"/>
  <c r="X1577" i="23" s="1"/>
  <c r="L1578" i="23"/>
  <c r="X1578" i="23" s="1"/>
  <c r="L1579" i="23"/>
  <c r="X1579" i="23" s="1"/>
  <c r="L1580" i="23"/>
  <c r="X1580" i="23" s="1"/>
  <c r="L1581" i="23"/>
  <c r="X1581" i="23" s="1"/>
  <c r="L1582" i="23"/>
  <c r="X1582" i="23" s="1"/>
  <c r="L1583" i="23"/>
  <c r="X1583" i="23" s="1"/>
  <c r="L1584" i="23"/>
  <c r="X1584" i="23" s="1"/>
  <c r="L1585" i="23"/>
  <c r="X1585" i="23" s="1"/>
  <c r="L1586" i="23"/>
  <c r="X1586" i="23" s="1"/>
  <c r="L1587" i="23"/>
  <c r="X1587" i="23" s="1"/>
  <c r="L1588" i="23"/>
  <c r="X1588" i="23" s="1"/>
  <c r="L1589" i="23"/>
  <c r="X1589" i="23" s="1"/>
  <c r="L1590" i="23"/>
  <c r="X1590" i="23" s="1"/>
  <c r="L1591" i="23"/>
  <c r="X1591" i="23" s="1"/>
  <c r="L1592" i="23"/>
  <c r="X1592" i="23" s="1"/>
  <c r="L1593" i="23"/>
  <c r="X1593" i="23" s="1"/>
  <c r="L1594" i="23"/>
  <c r="X1594" i="23" s="1"/>
  <c r="L1595" i="23"/>
  <c r="X1595" i="23" s="1"/>
  <c r="L1596" i="23"/>
  <c r="X1596" i="23" s="1"/>
  <c r="L1597" i="23"/>
  <c r="X1597" i="23" s="1"/>
  <c r="L1598" i="23"/>
  <c r="X1598" i="23" s="1"/>
  <c r="L1599" i="23"/>
  <c r="X1599" i="23" s="1"/>
  <c r="L1600" i="23"/>
  <c r="X1600" i="23" s="1"/>
  <c r="L1601" i="23"/>
  <c r="X1601" i="23" s="1"/>
  <c r="L1602" i="23"/>
  <c r="X1602" i="23" s="1"/>
  <c r="L1603" i="23"/>
  <c r="X1603" i="23" s="1"/>
  <c r="L1604" i="23"/>
  <c r="X1604" i="23" s="1"/>
  <c r="L1605" i="23"/>
  <c r="X1605" i="23" s="1"/>
  <c r="L1606" i="23"/>
  <c r="X1606" i="23" s="1"/>
  <c r="L1607" i="23"/>
  <c r="X1607" i="23" s="1"/>
  <c r="L1608" i="23"/>
  <c r="X1608" i="23" s="1"/>
  <c r="L1609" i="23"/>
  <c r="X1609" i="23" s="1"/>
  <c r="L1610" i="23"/>
  <c r="X1610" i="23" s="1"/>
  <c r="L1611" i="23"/>
  <c r="X1611" i="23" s="1"/>
  <c r="L1612" i="23"/>
  <c r="X1612" i="23" s="1"/>
  <c r="L1613" i="23"/>
  <c r="X1613" i="23" s="1"/>
  <c r="L1614" i="23"/>
  <c r="X1614" i="23" s="1"/>
  <c r="L1615" i="23"/>
  <c r="X1615" i="23" s="1"/>
  <c r="L1616" i="23"/>
  <c r="X1616" i="23" s="1"/>
  <c r="L1617" i="23"/>
  <c r="X1617" i="23" s="1"/>
  <c r="L1618" i="23"/>
  <c r="X1618" i="23" s="1"/>
  <c r="L1619" i="23"/>
  <c r="X1619" i="23" s="1"/>
  <c r="L1620" i="23"/>
  <c r="X1620" i="23" s="1"/>
  <c r="L1621" i="23"/>
  <c r="X1621" i="23" s="1"/>
  <c r="L1622" i="23"/>
  <c r="X1622" i="23" s="1"/>
  <c r="L1623" i="23"/>
  <c r="X1623" i="23" s="1"/>
  <c r="L1624" i="23"/>
  <c r="X1624" i="23" s="1"/>
  <c r="L1625" i="23"/>
  <c r="X1625" i="23" s="1"/>
  <c r="L1626" i="23"/>
  <c r="X1626" i="23" s="1"/>
  <c r="L1627" i="23"/>
  <c r="X1627" i="23" s="1"/>
  <c r="L1628" i="23"/>
  <c r="X1628" i="23" s="1"/>
  <c r="L1629" i="23"/>
  <c r="X1629" i="23" s="1"/>
  <c r="L1630" i="23"/>
  <c r="X1630" i="23" s="1"/>
  <c r="L1631" i="23"/>
  <c r="X1631" i="23" s="1"/>
  <c r="L1632" i="23"/>
  <c r="X1632" i="23" s="1"/>
  <c r="L1633" i="23"/>
  <c r="X1633" i="23" s="1"/>
  <c r="L1634" i="23"/>
  <c r="X1634" i="23" s="1"/>
  <c r="L1635" i="23"/>
  <c r="X1635" i="23" s="1"/>
  <c r="L1636" i="23"/>
  <c r="X1636" i="23" s="1"/>
  <c r="L1637" i="23"/>
  <c r="X1637" i="23" s="1"/>
  <c r="L1638" i="23"/>
  <c r="X1638" i="23" s="1"/>
  <c r="L1639" i="23"/>
  <c r="X1639" i="23" s="1"/>
  <c r="L1640" i="23"/>
  <c r="X1640" i="23" s="1"/>
  <c r="L1641" i="23"/>
  <c r="X1641" i="23" s="1"/>
  <c r="L1642" i="23"/>
  <c r="X1642" i="23" s="1"/>
  <c r="L1643" i="23"/>
  <c r="X1643" i="23" s="1"/>
  <c r="L1644" i="23"/>
  <c r="X1644" i="23" s="1"/>
  <c r="L1645" i="23"/>
  <c r="X1645" i="23" s="1"/>
  <c r="L1646" i="23"/>
  <c r="X1646" i="23" s="1"/>
  <c r="L1647" i="23"/>
  <c r="X1647" i="23" s="1"/>
  <c r="L1648" i="23"/>
  <c r="X1648" i="23" s="1"/>
  <c r="L1649" i="23"/>
  <c r="X1649" i="23" s="1"/>
  <c r="L1650" i="23"/>
  <c r="X1650" i="23" s="1"/>
  <c r="L1651" i="23"/>
  <c r="X1651" i="23" s="1"/>
  <c r="L1652" i="23"/>
  <c r="X1652" i="23" s="1"/>
  <c r="L1653" i="23"/>
  <c r="X1653" i="23" s="1"/>
  <c r="L1654" i="23"/>
  <c r="X1654" i="23" s="1"/>
  <c r="L1655" i="23"/>
  <c r="X1655" i="23" s="1"/>
  <c r="L1656" i="23"/>
  <c r="X1656" i="23" s="1"/>
  <c r="L1657" i="23"/>
  <c r="X1657" i="23" s="1"/>
  <c r="L1658" i="23"/>
  <c r="X1658" i="23" s="1"/>
  <c r="L1659" i="23"/>
  <c r="X1659" i="23" s="1"/>
  <c r="L1660" i="23"/>
  <c r="X1660" i="23" s="1"/>
  <c r="L1661" i="23"/>
  <c r="X1661" i="23" s="1"/>
  <c r="L1662" i="23"/>
  <c r="X1662" i="23" s="1"/>
  <c r="L1663" i="23"/>
  <c r="X1663" i="23" s="1"/>
  <c r="L1664" i="23"/>
  <c r="X1664" i="23" s="1"/>
  <c r="L1665" i="23"/>
  <c r="X1665" i="23" s="1"/>
  <c r="L1666" i="23"/>
  <c r="X1666" i="23" s="1"/>
  <c r="L1667" i="23"/>
  <c r="X1667" i="23" s="1"/>
  <c r="L1668" i="23"/>
  <c r="X1668" i="23" s="1"/>
  <c r="L1669" i="23"/>
  <c r="X1669" i="23" s="1"/>
  <c r="L1670" i="23"/>
  <c r="X1670" i="23" s="1"/>
  <c r="L1671" i="23"/>
  <c r="X1671" i="23" s="1"/>
  <c r="L1672" i="23"/>
  <c r="X1672" i="23" s="1"/>
  <c r="L1673" i="23"/>
  <c r="X1673" i="23" s="1"/>
  <c r="L1674" i="23"/>
  <c r="X1674" i="23" s="1"/>
  <c r="L1675" i="23"/>
  <c r="X1675" i="23" s="1"/>
  <c r="L1676" i="23"/>
  <c r="X1676" i="23" s="1"/>
  <c r="L1677" i="23"/>
  <c r="X1677" i="23" s="1"/>
  <c r="L1678" i="23"/>
  <c r="X1678" i="23" s="1"/>
  <c r="L1679" i="23"/>
  <c r="X1679" i="23" s="1"/>
  <c r="L1680" i="23"/>
  <c r="X1680" i="23" s="1"/>
  <c r="L1681" i="23"/>
  <c r="X1681" i="23" s="1"/>
  <c r="L1682" i="23"/>
  <c r="X1682" i="23" s="1"/>
  <c r="L1683" i="23"/>
  <c r="X1683" i="23" s="1"/>
  <c r="L1684" i="23"/>
  <c r="X1684" i="23" s="1"/>
  <c r="L1685" i="23"/>
  <c r="X1685" i="23" s="1"/>
  <c r="L1686" i="23"/>
  <c r="X1686" i="23" s="1"/>
  <c r="L1687" i="23"/>
  <c r="X1687" i="23" s="1"/>
  <c r="L1688" i="23"/>
  <c r="X1688" i="23" s="1"/>
  <c r="L1689" i="23"/>
  <c r="X1689" i="23" s="1"/>
  <c r="L1690" i="23"/>
  <c r="X1690" i="23" s="1"/>
  <c r="L1691" i="23"/>
  <c r="X1691" i="23" s="1"/>
  <c r="L1692" i="23"/>
  <c r="X1692" i="23" s="1"/>
  <c r="L1693" i="23"/>
  <c r="X1693" i="23" s="1"/>
  <c r="L1694" i="23"/>
  <c r="X1694" i="23" s="1"/>
  <c r="L1695" i="23"/>
  <c r="X1695" i="23" s="1"/>
  <c r="L1696" i="23"/>
  <c r="X1696" i="23" s="1"/>
  <c r="L1697" i="23"/>
  <c r="X1697" i="23" s="1"/>
  <c r="L1698" i="23"/>
  <c r="X1698" i="23" s="1"/>
  <c r="L1699" i="23"/>
  <c r="X1699" i="23" s="1"/>
  <c r="L1700" i="23"/>
  <c r="X1700" i="23" s="1"/>
  <c r="L1701" i="23"/>
  <c r="X1701" i="23" s="1"/>
  <c r="L1702" i="23"/>
  <c r="X1702" i="23" s="1"/>
  <c r="L1703" i="23"/>
  <c r="X1703" i="23" s="1"/>
  <c r="L1704" i="23"/>
  <c r="X1704" i="23" s="1"/>
  <c r="L1705" i="23"/>
  <c r="X1705" i="23" s="1"/>
  <c r="L1706" i="23"/>
  <c r="X1706" i="23" s="1"/>
  <c r="L1707" i="23"/>
  <c r="X1707" i="23" s="1"/>
  <c r="L1708" i="23"/>
  <c r="X1708" i="23" s="1"/>
  <c r="L1709" i="23"/>
  <c r="X1709" i="23" s="1"/>
  <c r="L1710" i="23"/>
  <c r="X1710" i="23" s="1"/>
  <c r="L1711" i="23"/>
  <c r="X1711" i="23" s="1"/>
  <c r="L1712" i="23"/>
  <c r="X1712" i="23" s="1"/>
  <c r="L1713" i="23"/>
  <c r="X1713" i="23" s="1"/>
  <c r="L1714" i="23"/>
  <c r="X1714" i="23" s="1"/>
  <c r="L1715" i="23"/>
  <c r="X1715" i="23" s="1"/>
  <c r="L1716" i="23"/>
  <c r="X1716" i="23" s="1"/>
  <c r="L1717" i="23"/>
  <c r="X1717" i="23" s="1"/>
  <c r="L1718" i="23"/>
  <c r="X1718" i="23" s="1"/>
  <c r="L1719" i="23"/>
  <c r="X1719" i="23" s="1"/>
  <c r="L1720" i="23"/>
  <c r="X1720" i="23" s="1"/>
  <c r="L1721" i="23"/>
  <c r="X1721" i="23" s="1"/>
  <c r="L1722" i="23"/>
  <c r="X1722" i="23" s="1"/>
  <c r="L1723" i="23"/>
  <c r="X1723" i="23" s="1"/>
  <c r="L1724" i="23"/>
  <c r="X1724" i="23" s="1"/>
  <c r="L1725" i="23"/>
  <c r="X1725" i="23" s="1"/>
  <c r="L1726" i="23"/>
  <c r="X1726" i="23" s="1"/>
  <c r="L1727" i="23"/>
  <c r="X1727" i="23" s="1"/>
  <c r="L1728" i="23"/>
  <c r="X1728" i="23" s="1"/>
  <c r="L1729" i="23"/>
  <c r="X1729" i="23" s="1"/>
  <c r="L1730" i="23"/>
  <c r="X1730" i="23" s="1"/>
  <c r="L1731" i="23"/>
  <c r="X1731" i="23" s="1"/>
  <c r="L1732" i="23"/>
  <c r="X1732" i="23" s="1"/>
  <c r="L1733" i="23"/>
  <c r="X1733" i="23" s="1"/>
  <c r="L1734" i="23"/>
  <c r="X1734" i="23" s="1"/>
  <c r="L1735" i="23"/>
  <c r="X1735" i="23" s="1"/>
  <c r="L1736" i="23"/>
  <c r="X1736" i="23" s="1"/>
  <c r="L1737" i="23"/>
  <c r="X1737" i="23" s="1"/>
  <c r="L1738" i="23"/>
  <c r="X1738" i="23" s="1"/>
  <c r="L1739" i="23"/>
  <c r="X1739" i="23" s="1"/>
  <c r="L1740" i="23"/>
  <c r="X1740" i="23" s="1"/>
  <c r="L1741" i="23"/>
  <c r="X1741" i="23" s="1"/>
  <c r="L1742" i="23"/>
  <c r="X1742" i="23" s="1"/>
  <c r="L1743" i="23"/>
  <c r="X1743" i="23" s="1"/>
  <c r="L1744" i="23"/>
  <c r="X1744" i="23" s="1"/>
  <c r="L1745" i="23"/>
  <c r="X1745" i="23" s="1"/>
  <c r="L1746" i="23"/>
  <c r="X1746" i="23" s="1"/>
  <c r="L1747" i="23"/>
  <c r="X1747" i="23" s="1"/>
  <c r="L1748" i="23"/>
  <c r="X1748" i="23" s="1"/>
  <c r="L1749" i="23"/>
  <c r="X1749" i="23" s="1"/>
  <c r="L1750" i="23"/>
  <c r="X1750" i="23" s="1"/>
  <c r="L1751" i="23"/>
  <c r="X1751" i="23" s="1"/>
  <c r="L1752" i="23"/>
  <c r="X1752" i="23" s="1"/>
  <c r="L1753" i="23"/>
  <c r="X1753" i="23" s="1"/>
  <c r="L1754" i="23"/>
  <c r="X1754" i="23" s="1"/>
  <c r="L1755" i="23"/>
  <c r="X1755" i="23" s="1"/>
  <c r="L1756" i="23"/>
  <c r="X1756" i="23" s="1"/>
  <c r="L1757" i="23"/>
  <c r="X1757" i="23" s="1"/>
  <c r="L1758" i="23"/>
  <c r="X1758" i="23" s="1"/>
  <c r="L1759" i="23"/>
  <c r="X1759" i="23" s="1"/>
  <c r="L1760" i="23"/>
  <c r="X1760" i="23" s="1"/>
  <c r="L1761" i="23"/>
  <c r="X1761" i="23" s="1"/>
  <c r="L1762" i="23"/>
  <c r="X1762" i="23" s="1"/>
  <c r="L1763" i="23"/>
  <c r="X1763" i="23" s="1"/>
  <c r="L1764" i="23"/>
  <c r="X1764" i="23" s="1"/>
  <c r="L1765" i="23"/>
  <c r="X1765" i="23" s="1"/>
  <c r="L1766" i="23"/>
  <c r="X1766" i="23" s="1"/>
  <c r="L1767" i="23"/>
  <c r="X1767" i="23" s="1"/>
  <c r="L1768" i="23"/>
  <c r="X1768" i="23" s="1"/>
  <c r="L1769" i="23"/>
  <c r="X1769" i="23" s="1"/>
  <c r="L1770" i="23"/>
  <c r="X1770" i="23" s="1"/>
  <c r="L1771" i="23"/>
  <c r="X1771" i="23" s="1"/>
  <c r="L1772" i="23"/>
  <c r="X1772" i="23" s="1"/>
  <c r="L1773" i="23"/>
  <c r="X1773" i="23" s="1"/>
  <c r="L1774" i="23"/>
  <c r="X1774" i="23" s="1"/>
  <c r="L1775" i="23"/>
  <c r="X1775" i="23" s="1"/>
  <c r="L1776" i="23"/>
  <c r="X1776" i="23" s="1"/>
  <c r="L1777" i="23"/>
  <c r="X1777" i="23" s="1"/>
  <c r="L1778" i="23"/>
  <c r="X1778" i="23" s="1"/>
  <c r="L1779" i="23"/>
  <c r="X1779" i="23" s="1"/>
  <c r="L1780" i="23"/>
  <c r="X1780" i="23" s="1"/>
  <c r="L1781" i="23"/>
  <c r="X1781" i="23" s="1"/>
  <c r="L1782" i="23"/>
  <c r="X1782" i="23" s="1"/>
  <c r="L1783" i="23"/>
  <c r="X1783" i="23" s="1"/>
  <c r="L1784" i="23"/>
  <c r="X1784" i="23" s="1"/>
  <c r="L1785" i="23"/>
  <c r="X1785" i="23" s="1"/>
  <c r="L1786" i="23"/>
  <c r="X1786" i="23" s="1"/>
  <c r="L1787" i="23"/>
  <c r="X1787" i="23" s="1"/>
  <c r="L5"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I1771" i="23"/>
  <c r="I1772" i="23"/>
  <c r="I1773" i="23"/>
  <c r="I1774" i="23"/>
  <c r="I1775" i="23"/>
  <c r="I1776" i="23"/>
  <c r="I1777" i="23"/>
  <c r="I1778" i="23"/>
  <c r="I1779" i="23"/>
  <c r="I1780" i="23"/>
  <c r="I1781" i="23"/>
  <c r="I1782" i="23"/>
  <c r="I1783" i="23"/>
  <c r="I1784" i="23"/>
  <c r="I1785" i="23"/>
  <c r="I1786" i="23"/>
  <c r="I1787" i="23"/>
  <c r="N1787" i="23" s="1"/>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4" i="23"/>
  <c r="K3" i="23"/>
  <c r="L3" i="23"/>
  <c r="H9" i="22"/>
  <c r="I9" i="22"/>
  <c r="J9" i="22"/>
  <c r="K9" i="22"/>
  <c r="L9" i="22"/>
  <c r="M9" i="22"/>
  <c r="H10" i="22"/>
  <c r="I10" i="22"/>
  <c r="J10" i="22"/>
  <c r="K10" i="22"/>
  <c r="L10" i="22"/>
  <c r="M10" i="22"/>
  <c r="F54" i="4"/>
  <c r="F55" i="4"/>
  <c r="F56" i="4"/>
  <c r="F57" i="4"/>
  <c r="F58" i="4"/>
  <c r="F59" i="4"/>
  <c r="F60" i="4"/>
  <c r="F61" i="4"/>
  <c r="F62" i="4"/>
  <c r="F63" i="4"/>
  <c r="F64" i="4"/>
  <c r="F65" i="4"/>
  <c r="F66" i="4"/>
  <c r="F67" i="4"/>
  <c r="F53" i="4"/>
  <c r="D54" i="4"/>
  <c r="E54" i="4"/>
  <c r="D55" i="4"/>
  <c r="E55" i="4"/>
  <c r="D56" i="4"/>
  <c r="E56" i="4"/>
  <c r="E57" i="4"/>
  <c r="E58" i="4"/>
  <c r="D59" i="4"/>
  <c r="E59" i="4"/>
  <c r="D60" i="4"/>
  <c r="G21" i="4" s="1"/>
  <c r="E60" i="4"/>
  <c r="D61" i="4"/>
  <c r="E61" i="4"/>
  <c r="D62" i="4"/>
  <c r="E62" i="4"/>
  <c r="D63" i="4"/>
  <c r="E63" i="4"/>
  <c r="D64" i="4"/>
  <c r="E64" i="4"/>
  <c r="D65" i="4"/>
  <c r="E65" i="4"/>
  <c r="D66" i="4"/>
  <c r="E66" i="4"/>
  <c r="D67" i="4"/>
  <c r="E67" i="4"/>
  <c r="E53" i="4"/>
  <c r="D53" i="4"/>
  <c r="D18" i="10"/>
  <c r="E18" i="10"/>
  <c r="F18" i="10"/>
  <c r="G18" i="10"/>
  <c r="H18" i="10"/>
  <c r="B87" i="17"/>
  <c r="N1779" i="23" l="1"/>
  <c r="N1778" i="23"/>
  <c r="N1773" i="23"/>
  <c r="N1772" i="23"/>
  <c r="Q5" i="23"/>
  <c r="Q6" i="23"/>
  <c r="Q7" i="23"/>
  <c r="Q8" i="23"/>
  <c r="Q9" i="23"/>
  <c r="Q10" i="23"/>
  <c r="Q11" i="23"/>
  <c r="Q12" i="23"/>
  <c r="Q13" i="23"/>
  <c r="Q14" i="23"/>
  <c r="Q15" i="23"/>
  <c r="Q16" i="23"/>
  <c r="Q17" i="23"/>
  <c r="Q18" i="23"/>
  <c r="Q19" i="23"/>
  <c r="Q20" i="23"/>
  <c r="Q21" i="23"/>
  <c r="Q22" i="23"/>
  <c r="Q23" i="23"/>
  <c r="Q24" i="23"/>
  <c r="Q25" i="23"/>
  <c r="Q26" i="23"/>
  <c r="Q27" i="23"/>
  <c r="Q28" i="23"/>
  <c r="Q29" i="23"/>
  <c r="Q30" i="23"/>
  <c r="Q31" i="23"/>
  <c r="Q32" i="23"/>
  <c r="Q33" i="23"/>
  <c r="Q34" i="23"/>
  <c r="Q35" i="23"/>
  <c r="Q36" i="23"/>
  <c r="Q37" i="23"/>
  <c r="Q38" i="23"/>
  <c r="Q39" i="23"/>
  <c r="Q40" i="23"/>
  <c r="Q41" i="23"/>
  <c r="Q42" i="23"/>
  <c r="Q43" i="23"/>
  <c r="Q44" i="23"/>
  <c r="Q45" i="23"/>
  <c r="Q46" i="23"/>
  <c r="Q47" i="23"/>
  <c r="Q48" i="23"/>
  <c r="Q49" i="23"/>
  <c r="Q50" i="23"/>
  <c r="Q51" i="23"/>
  <c r="Q52" i="23"/>
  <c r="Q53" i="23"/>
  <c r="Q54" i="23"/>
  <c r="Q55" i="23"/>
  <c r="Q56" i="23"/>
  <c r="Q57" i="23"/>
  <c r="Q58" i="23"/>
  <c r="Q59" i="23"/>
  <c r="Q60" i="23"/>
  <c r="Q61" i="23"/>
  <c r="Q62" i="23"/>
  <c r="Q63" i="23"/>
  <c r="Q64" i="23"/>
  <c r="Q65" i="23"/>
  <c r="Q66" i="23"/>
  <c r="Q67" i="23"/>
  <c r="Q68" i="23"/>
  <c r="Q69" i="23"/>
  <c r="Q70" i="23"/>
  <c r="Q71" i="23"/>
  <c r="Q72" i="23"/>
  <c r="Q73" i="23"/>
  <c r="Q74" i="23"/>
  <c r="Q75" i="23"/>
  <c r="Q76" i="23"/>
  <c r="Q77" i="23"/>
  <c r="Q78" i="23"/>
  <c r="Q79" i="23"/>
  <c r="Q80" i="23"/>
  <c r="Q81" i="23"/>
  <c r="Q82" i="23"/>
  <c r="Q83" i="23"/>
  <c r="Q84" i="23"/>
  <c r="Q85" i="23"/>
  <c r="Q86" i="23"/>
  <c r="Q87" i="23"/>
  <c r="Q88" i="23"/>
  <c r="Q89" i="23"/>
  <c r="Q90" i="23"/>
  <c r="Q91" i="23"/>
  <c r="Q92" i="23"/>
  <c r="Q93" i="23"/>
  <c r="Q94" i="23"/>
  <c r="Q95" i="23"/>
  <c r="Q96" i="23"/>
  <c r="Q97" i="23"/>
  <c r="Q98" i="23"/>
  <c r="Q99" i="23"/>
  <c r="Q100" i="23"/>
  <c r="Q101" i="23"/>
  <c r="Q102" i="23"/>
  <c r="Q103" i="23"/>
  <c r="Q104" i="23"/>
  <c r="Q105" i="23"/>
  <c r="Q106" i="23"/>
  <c r="Q107" i="23"/>
  <c r="Q108" i="23"/>
  <c r="Q109" i="23"/>
  <c r="Q110" i="23"/>
  <c r="Q111" i="23"/>
  <c r="Q112" i="23"/>
  <c r="Q113" i="23"/>
  <c r="Q114" i="23"/>
  <c r="Q115" i="23"/>
  <c r="Q116" i="23"/>
  <c r="Q117" i="23"/>
  <c r="Q118" i="23"/>
  <c r="Q119" i="23"/>
  <c r="Q120" i="23"/>
  <c r="Q121" i="23"/>
  <c r="Q122" i="23"/>
  <c r="Q123" i="23"/>
  <c r="Q124" i="23"/>
  <c r="Q125" i="23"/>
  <c r="Q126" i="23"/>
  <c r="Q127" i="23"/>
  <c r="Q128" i="23"/>
  <c r="Q129" i="23"/>
  <c r="Q130" i="23"/>
  <c r="Q131" i="23"/>
  <c r="Q132" i="23"/>
  <c r="Q133" i="23"/>
  <c r="Q134" i="23"/>
  <c r="Q135" i="23"/>
  <c r="Q136" i="23"/>
  <c r="Q137" i="23"/>
  <c r="Q138" i="23"/>
  <c r="Q139" i="23"/>
  <c r="Q140" i="23"/>
  <c r="Q141" i="23"/>
  <c r="Q142" i="23"/>
  <c r="Q143" i="23"/>
  <c r="Q144" i="23"/>
  <c r="Q145" i="23"/>
  <c r="Q146" i="23"/>
  <c r="Q147" i="23"/>
  <c r="Q148" i="23"/>
  <c r="Q149" i="23"/>
  <c r="Q150" i="23"/>
  <c r="Q151" i="23"/>
  <c r="Q152" i="23"/>
  <c r="Q153" i="23"/>
  <c r="Q154" i="23"/>
  <c r="Q155" i="23"/>
  <c r="Q156" i="23"/>
  <c r="Q157" i="23"/>
  <c r="Q158" i="23"/>
  <c r="Q159" i="23"/>
  <c r="Q160" i="23"/>
  <c r="Q161" i="23"/>
  <c r="Q162" i="23"/>
  <c r="Q163" i="23"/>
  <c r="Q164" i="23"/>
  <c r="Q165" i="23"/>
  <c r="Q166" i="23"/>
  <c r="Q167" i="23"/>
  <c r="Q168" i="23"/>
  <c r="Q169" i="23"/>
  <c r="Q170" i="23"/>
  <c r="Q171" i="23"/>
  <c r="Q172" i="23"/>
  <c r="Q173" i="23"/>
  <c r="Q174" i="23"/>
  <c r="Q175" i="23"/>
  <c r="Q176" i="23"/>
  <c r="Q177" i="23"/>
  <c r="Q178" i="23"/>
  <c r="Q179" i="23"/>
  <c r="Q180" i="23"/>
  <c r="Q181" i="23"/>
  <c r="Q182" i="23"/>
  <c r="Q183" i="23"/>
  <c r="Q184" i="23"/>
  <c r="Q185" i="23"/>
  <c r="Q186" i="23"/>
  <c r="Q187" i="23"/>
  <c r="Q188" i="23"/>
  <c r="Q189" i="23"/>
  <c r="Q190" i="23"/>
  <c r="Q191" i="23"/>
  <c r="Q192" i="23"/>
  <c r="Q193" i="23"/>
  <c r="Q194" i="23"/>
  <c r="Q195" i="23"/>
  <c r="Q196" i="23"/>
  <c r="Q197" i="23"/>
  <c r="Q198" i="23"/>
  <c r="Q199" i="23"/>
  <c r="Q200" i="23"/>
  <c r="Q201" i="23"/>
  <c r="Q202" i="23"/>
  <c r="Q203" i="23"/>
  <c r="Q204" i="23"/>
  <c r="Q205" i="23"/>
  <c r="Q206" i="23"/>
  <c r="Q207" i="23"/>
  <c r="Q208" i="23"/>
  <c r="Q209" i="23"/>
  <c r="Q210" i="23"/>
  <c r="Q211" i="23"/>
  <c r="Q212" i="23"/>
  <c r="Q213" i="23"/>
  <c r="Q214" i="23"/>
  <c r="Q215" i="23"/>
  <c r="Q216" i="23"/>
  <c r="Q217" i="23"/>
  <c r="Q218" i="23"/>
  <c r="Q219" i="23"/>
  <c r="Q220" i="23"/>
  <c r="Q221" i="23"/>
  <c r="Q222" i="23"/>
  <c r="Q223" i="23"/>
  <c r="Q224" i="23"/>
  <c r="Q225" i="23"/>
  <c r="Q226" i="23"/>
  <c r="Q227" i="23"/>
  <c r="Q228" i="23"/>
  <c r="Q229" i="23"/>
  <c r="Q230" i="23"/>
  <c r="Q231" i="23"/>
  <c r="Q232" i="23"/>
  <c r="Q233" i="23"/>
  <c r="Q234" i="23"/>
  <c r="Q235" i="23"/>
  <c r="Q236" i="23"/>
  <c r="Q237" i="23"/>
  <c r="Q238" i="23"/>
  <c r="Q239" i="23"/>
  <c r="Q240" i="23"/>
  <c r="Q241" i="23"/>
  <c r="Q242" i="23"/>
  <c r="Q243" i="23"/>
  <c r="Q244" i="23"/>
  <c r="Q245" i="23"/>
  <c r="Q246" i="23"/>
  <c r="Q247" i="23"/>
  <c r="Q248" i="23"/>
  <c r="Q249" i="23"/>
  <c r="Q250" i="23"/>
  <c r="Q251" i="23"/>
  <c r="Q252" i="23"/>
  <c r="Q253" i="23"/>
  <c r="Q254" i="23"/>
  <c r="Q255" i="23"/>
  <c r="Q256" i="23"/>
  <c r="Q257" i="23"/>
  <c r="Q258" i="23"/>
  <c r="Q259" i="23"/>
  <c r="Q260" i="23"/>
  <c r="Q261" i="23"/>
  <c r="Q262" i="23"/>
  <c r="Q263" i="23"/>
  <c r="Q264" i="23"/>
  <c r="Q265" i="23"/>
  <c r="Q266" i="23"/>
  <c r="Q267" i="23"/>
  <c r="Q268" i="23"/>
  <c r="Q269" i="23"/>
  <c r="Q270" i="23"/>
  <c r="Q271" i="23"/>
  <c r="Q272" i="23"/>
  <c r="Q273" i="23"/>
  <c r="Q274" i="23"/>
  <c r="Q275" i="23"/>
  <c r="Q276" i="23"/>
  <c r="Q277" i="23"/>
  <c r="Q278" i="23"/>
  <c r="Q279" i="23"/>
  <c r="Q280" i="23"/>
  <c r="Q281" i="23"/>
  <c r="Q282" i="23"/>
  <c r="Q283" i="23"/>
  <c r="Q284" i="23"/>
  <c r="Q285" i="23"/>
  <c r="Q286" i="23"/>
  <c r="Q287" i="23"/>
  <c r="Q288" i="23"/>
  <c r="Q289" i="23"/>
  <c r="Q290" i="23"/>
  <c r="Q291" i="23"/>
  <c r="Q292" i="23"/>
  <c r="Q293" i="23"/>
  <c r="Q294" i="23"/>
  <c r="Q295" i="23"/>
  <c r="Q296" i="23"/>
  <c r="Q297" i="23"/>
  <c r="Q298" i="23"/>
  <c r="Q299" i="23"/>
  <c r="Q300" i="23"/>
  <c r="Q301" i="23"/>
  <c r="Q302" i="23"/>
  <c r="Q303" i="23"/>
  <c r="Q304" i="23"/>
  <c r="Q305" i="23"/>
  <c r="Q306" i="23"/>
  <c r="Q307" i="23"/>
  <c r="Q308" i="23"/>
  <c r="Q309" i="23"/>
  <c r="Q310" i="23"/>
  <c r="Q311" i="23"/>
  <c r="Q312" i="23"/>
  <c r="Q313" i="23"/>
  <c r="Q314" i="23"/>
  <c r="Q315" i="23"/>
  <c r="Q316" i="23"/>
  <c r="Q317" i="23"/>
  <c r="Q318" i="23"/>
  <c r="Q319" i="23"/>
  <c r="Q320" i="23"/>
  <c r="Q321" i="23"/>
  <c r="Q322" i="23"/>
  <c r="Q323" i="23"/>
  <c r="Q324" i="23"/>
  <c r="Q325" i="23"/>
  <c r="Q326" i="23"/>
  <c r="Q327" i="23"/>
  <c r="Q328" i="23"/>
  <c r="Q329" i="23"/>
  <c r="Q330" i="23"/>
  <c r="Q331" i="23"/>
  <c r="Q332" i="23"/>
  <c r="Q333" i="23"/>
  <c r="Q334" i="23"/>
  <c r="Q335" i="23"/>
  <c r="Q336" i="23"/>
  <c r="Q337" i="23"/>
  <c r="Q338" i="23"/>
  <c r="Q339" i="23"/>
  <c r="Q340" i="23"/>
  <c r="Q341" i="23"/>
  <c r="Q342" i="23"/>
  <c r="Q343" i="23"/>
  <c r="Q344" i="23"/>
  <c r="Q345" i="23"/>
  <c r="Q346" i="23"/>
  <c r="Q347" i="23"/>
  <c r="Q348" i="23"/>
  <c r="Q349" i="23"/>
  <c r="Q350" i="23"/>
  <c r="Q351" i="23"/>
  <c r="Q352" i="23"/>
  <c r="Q353" i="23"/>
  <c r="Q354" i="23"/>
  <c r="Q355" i="23"/>
  <c r="Q356" i="23"/>
  <c r="Q357" i="23"/>
  <c r="Q358" i="23"/>
  <c r="Q359" i="23"/>
  <c r="Q360" i="23"/>
  <c r="Q361" i="23"/>
  <c r="Q362" i="23"/>
  <c r="Q363" i="23"/>
  <c r="Q364" i="23"/>
  <c r="Q365" i="23"/>
  <c r="Q366" i="23"/>
  <c r="Q367" i="23"/>
  <c r="Q368" i="23"/>
  <c r="Q369" i="23"/>
  <c r="Q370" i="23"/>
  <c r="Q371" i="23"/>
  <c r="Q372" i="23"/>
  <c r="Q373" i="23"/>
  <c r="Q374" i="23"/>
  <c r="Q375" i="23"/>
  <c r="Q376" i="23"/>
  <c r="Q377" i="23"/>
  <c r="Q378" i="23"/>
  <c r="Q379" i="23"/>
  <c r="Q380" i="23"/>
  <c r="Q381" i="23"/>
  <c r="Q382" i="23"/>
  <c r="Q383" i="23"/>
  <c r="Q384" i="23"/>
  <c r="Q385" i="23"/>
  <c r="Q386" i="23"/>
  <c r="Q387" i="23"/>
  <c r="Q388" i="23"/>
  <c r="Q389" i="23"/>
  <c r="Q390" i="23"/>
  <c r="Q391" i="23"/>
  <c r="Q392" i="23"/>
  <c r="Q393" i="23"/>
  <c r="Q394" i="23"/>
  <c r="Q395" i="23"/>
  <c r="Q396" i="23"/>
  <c r="Q397" i="23"/>
  <c r="Q398" i="23"/>
  <c r="Q399" i="23"/>
  <c r="Q400" i="23"/>
  <c r="Q401" i="23"/>
  <c r="Q402" i="23"/>
  <c r="Q403" i="23"/>
  <c r="Q404" i="23"/>
  <c r="Q405" i="23"/>
  <c r="Q406" i="23"/>
  <c r="Q407" i="23"/>
  <c r="Q408" i="23"/>
  <c r="Q409" i="23"/>
  <c r="Q410" i="23"/>
  <c r="Q411" i="23"/>
  <c r="Q412" i="23"/>
  <c r="Q413" i="23"/>
  <c r="Q414" i="23"/>
  <c r="Q415" i="23"/>
  <c r="Q416" i="23"/>
  <c r="Q417" i="23"/>
  <c r="Q418" i="23"/>
  <c r="Q419" i="23"/>
  <c r="Q420" i="23"/>
  <c r="Q421" i="23"/>
  <c r="Q422" i="23"/>
  <c r="Q423" i="23"/>
  <c r="Q424" i="23"/>
  <c r="Q425" i="23"/>
  <c r="Q426" i="23"/>
  <c r="Q427" i="23"/>
  <c r="Q428" i="23"/>
  <c r="Q429" i="23"/>
  <c r="Q430" i="23"/>
  <c r="Q431" i="23"/>
  <c r="Q432" i="23"/>
  <c r="Q433" i="23"/>
  <c r="Q434" i="23"/>
  <c r="Q435" i="23"/>
  <c r="Q436" i="23"/>
  <c r="Q437" i="23"/>
  <c r="Q438" i="23"/>
  <c r="Q439" i="23"/>
  <c r="Q440" i="23"/>
  <c r="Q441" i="23"/>
  <c r="Q442" i="23"/>
  <c r="Q443" i="23"/>
  <c r="Q444" i="23"/>
  <c r="Q445" i="23"/>
  <c r="Q446" i="23"/>
  <c r="Q447" i="23"/>
  <c r="Q448" i="23"/>
  <c r="Q449" i="23"/>
  <c r="Q450" i="23"/>
  <c r="Q451" i="23"/>
  <c r="Q452" i="23"/>
  <c r="Q453" i="23"/>
  <c r="Q454" i="23"/>
  <c r="Q455" i="23"/>
  <c r="Q456" i="23"/>
  <c r="Q457" i="23"/>
  <c r="Q458" i="23"/>
  <c r="Q459" i="23"/>
  <c r="Q460" i="23"/>
  <c r="Q461" i="23"/>
  <c r="Q462" i="23"/>
  <c r="Q463" i="23"/>
  <c r="Q464" i="23"/>
  <c r="Q465" i="23"/>
  <c r="Q466" i="23"/>
  <c r="Q467" i="23"/>
  <c r="Q468" i="23"/>
  <c r="Q469" i="23"/>
  <c r="Q470" i="23"/>
  <c r="Q471" i="23"/>
  <c r="Q472" i="23"/>
  <c r="Q473" i="23"/>
  <c r="Q474" i="23"/>
  <c r="Q475" i="23"/>
  <c r="Q476" i="23"/>
  <c r="Q477" i="23"/>
  <c r="Q478" i="23"/>
  <c r="Q479" i="23"/>
  <c r="Q480" i="23"/>
  <c r="Q481" i="23"/>
  <c r="Q482" i="23"/>
  <c r="Q483" i="23"/>
  <c r="Q484" i="23"/>
  <c r="Q485" i="23"/>
  <c r="Q486" i="23"/>
  <c r="Q487" i="23"/>
  <c r="Q488" i="23"/>
  <c r="Q489" i="23"/>
  <c r="Q490" i="23"/>
  <c r="Q491" i="23"/>
  <c r="Q492" i="23"/>
  <c r="Q493" i="23"/>
  <c r="Q494" i="23"/>
  <c r="Q495" i="23"/>
  <c r="Q496" i="23"/>
  <c r="Q497" i="23"/>
  <c r="Q498" i="23"/>
  <c r="Q499" i="23"/>
  <c r="Q500" i="23"/>
  <c r="Q501" i="23"/>
  <c r="Q502" i="23"/>
  <c r="Q503" i="23"/>
  <c r="Q504" i="23"/>
  <c r="Q505" i="23"/>
  <c r="Q506" i="23"/>
  <c r="Q507" i="23"/>
  <c r="Q508" i="23"/>
  <c r="Q509" i="23"/>
  <c r="Q510" i="23"/>
  <c r="Q511" i="23"/>
  <c r="Q512" i="23"/>
  <c r="Q513" i="23"/>
  <c r="Q514" i="23"/>
  <c r="Q515" i="23"/>
  <c r="Q516" i="23"/>
  <c r="Q517" i="23"/>
  <c r="Q518" i="23"/>
  <c r="Q519" i="23"/>
  <c r="Q520" i="23"/>
  <c r="Q521" i="23"/>
  <c r="Q522" i="23"/>
  <c r="Q523" i="23"/>
  <c r="Q524" i="23"/>
  <c r="Q525" i="23"/>
  <c r="Q526" i="23"/>
  <c r="Q527" i="23"/>
  <c r="Q528" i="23"/>
  <c r="Q529" i="23"/>
  <c r="Q530" i="23"/>
  <c r="Q531" i="23"/>
  <c r="Q532" i="23"/>
  <c r="Q533" i="23"/>
  <c r="Q534" i="23"/>
  <c r="Q535" i="23"/>
  <c r="Q536" i="23"/>
  <c r="Q537" i="23"/>
  <c r="Q538" i="23"/>
  <c r="Q539" i="23"/>
  <c r="Q540" i="23"/>
  <c r="Q541" i="23"/>
  <c r="Q542" i="23"/>
  <c r="Q543" i="23"/>
  <c r="Q544" i="23"/>
  <c r="Q545" i="23"/>
  <c r="Q546" i="23"/>
  <c r="Q547" i="23"/>
  <c r="Q548" i="23"/>
  <c r="Q549" i="23"/>
  <c r="Q550" i="23"/>
  <c r="Q551" i="23"/>
  <c r="Q552" i="23"/>
  <c r="Q553" i="23"/>
  <c r="Q554" i="23"/>
  <c r="Q555" i="23"/>
  <c r="Q556" i="23"/>
  <c r="Q557" i="23"/>
  <c r="Q558" i="23"/>
  <c r="Q559" i="23"/>
  <c r="Q560" i="23"/>
  <c r="Q561" i="23"/>
  <c r="Q562" i="23"/>
  <c r="Q563" i="23"/>
  <c r="Q564" i="23"/>
  <c r="Q565" i="23"/>
  <c r="Q566" i="23"/>
  <c r="Q567" i="23"/>
  <c r="Q568" i="23"/>
  <c r="Q569" i="23"/>
  <c r="Q570" i="23"/>
  <c r="Q571" i="23"/>
  <c r="Q572" i="23"/>
  <c r="Q573" i="23"/>
  <c r="Q574" i="23"/>
  <c r="Q575" i="23"/>
  <c r="Q576" i="23"/>
  <c r="Q577" i="23"/>
  <c r="Q578" i="23"/>
  <c r="Q579" i="23"/>
  <c r="Q580" i="23"/>
  <c r="Q581" i="23"/>
  <c r="Q582" i="23"/>
  <c r="Q583" i="23"/>
  <c r="Q584" i="23"/>
  <c r="Q585" i="23"/>
  <c r="Q586" i="23"/>
  <c r="Q587" i="23"/>
  <c r="Q588" i="23"/>
  <c r="Q589" i="23"/>
  <c r="Q590" i="23"/>
  <c r="Q591" i="23"/>
  <c r="Q592" i="23"/>
  <c r="Q593" i="23"/>
  <c r="Q594" i="23"/>
  <c r="Q595" i="23"/>
  <c r="Q596" i="23"/>
  <c r="Q597" i="23"/>
  <c r="Q598" i="23"/>
  <c r="Q599" i="23"/>
  <c r="Q600" i="23"/>
  <c r="Q601" i="23"/>
  <c r="Q602" i="23"/>
  <c r="Q603" i="23"/>
  <c r="Q604" i="23"/>
  <c r="Q605" i="23"/>
  <c r="Q606" i="23"/>
  <c r="Q607" i="23"/>
  <c r="Q608" i="23"/>
  <c r="Q609" i="23"/>
  <c r="Q610" i="23"/>
  <c r="Q611" i="23"/>
  <c r="Q612" i="23"/>
  <c r="Q613" i="23"/>
  <c r="Q614" i="23"/>
  <c r="Q615" i="23"/>
  <c r="Q616" i="23"/>
  <c r="Q617" i="23"/>
  <c r="Q618" i="23"/>
  <c r="Q619" i="23"/>
  <c r="Q620" i="23"/>
  <c r="Q621" i="23"/>
  <c r="Q622" i="23"/>
  <c r="Q623" i="23"/>
  <c r="Q624" i="23"/>
  <c r="Q625" i="23"/>
  <c r="Q626" i="23"/>
  <c r="Q627" i="23"/>
  <c r="Q628" i="23"/>
  <c r="Q629" i="23"/>
  <c r="Q630" i="23"/>
  <c r="Q631" i="23"/>
  <c r="Q632" i="23"/>
  <c r="Q633" i="23"/>
  <c r="Q634" i="23"/>
  <c r="Q635" i="23"/>
  <c r="Q636" i="23"/>
  <c r="Q637" i="23"/>
  <c r="Q638" i="23"/>
  <c r="Q639" i="23"/>
  <c r="Q640" i="23"/>
  <c r="Q641" i="23"/>
  <c r="Q642" i="23"/>
  <c r="Q643" i="23"/>
  <c r="Q644" i="23"/>
  <c r="Q645" i="23"/>
  <c r="Q646" i="23"/>
  <c r="Q647" i="23"/>
  <c r="Q648" i="23"/>
  <c r="Q649" i="23"/>
  <c r="Q650" i="23"/>
  <c r="Q651" i="23"/>
  <c r="Q652" i="23"/>
  <c r="Q653" i="23"/>
  <c r="Q654" i="23"/>
  <c r="Q655" i="23"/>
  <c r="Q656" i="23"/>
  <c r="Q657" i="23"/>
  <c r="Q658" i="23"/>
  <c r="Q659" i="23"/>
  <c r="Q660" i="23"/>
  <c r="Q661" i="23"/>
  <c r="Q662" i="23"/>
  <c r="Q663" i="23"/>
  <c r="Q664" i="23"/>
  <c r="Q665" i="23"/>
  <c r="Q666" i="23"/>
  <c r="Q667" i="23"/>
  <c r="Q668" i="23"/>
  <c r="Q669" i="23"/>
  <c r="Q670" i="23"/>
  <c r="Q671" i="23"/>
  <c r="Q672" i="23"/>
  <c r="Q673" i="23"/>
  <c r="Q674" i="23"/>
  <c r="Q675" i="23"/>
  <c r="Q676" i="23"/>
  <c r="Q677" i="23"/>
  <c r="Q678" i="23"/>
  <c r="Q679" i="23"/>
  <c r="Q680" i="23"/>
  <c r="Q681" i="23"/>
  <c r="Q682" i="23"/>
  <c r="Q683" i="23"/>
  <c r="Q684" i="23"/>
  <c r="Q685" i="23"/>
  <c r="Q686" i="23"/>
  <c r="Q687" i="23"/>
  <c r="Q688" i="23"/>
  <c r="Q689" i="23"/>
  <c r="Q690" i="23"/>
  <c r="Q691" i="23"/>
  <c r="Q692" i="23"/>
  <c r="Q693" i="23"/>
  <c r="Q694" i="23"/>
  <c r="Q695" i="23"/>
  <c r="Q696" i="23"/>
  <c r="Q697" i="23"/>
  <c r="Q698" i="23"/>
  <c r="Q699" i="23"/>
  <c r="Q700" i="23"/>
  <c r="Q701" i="23"/>
  <c r="Q702" i="23"/>
  <c r="Q703" i="23"/>
  <c r="Q704" i="23"/>
  <c r="Q705" i="23"/>
  <c r="Q706" i="23"/>
  <c r="Q707" i="23"/>
  <c r="Q708" i="23"/>
  <c r="Q709" i="23"/>
  <c r="Q710" i="23"/>
  <c r="Q711" i="23"/>
  <c r="Q712" i="23"/>
  <c r="Q713" i="23"/>
  <c r="Q714" i="23"/>
  <c r="Q715" i="23"/>
  <c r="Q716" i="23"/>
  <c r="Q717" i="23"/>
  <c r="Q718" i="23"/>
  <c r="Q719" i="23"/>
  <c r="Q720" i="23"/>
  <c r="Q721" i="23"/>
  <c r="Q722" i="23"/>
  <c r="Q723" i="23"/>
  <c r="Q724" i="23"/>
  <c r="Q725" i="23"/>
  <c r="Q726" i="23"/>
  <c r="Q727" i="23"/>
  <c r="Q728" i="23"/>
  <c r="Q729" i="23"/>
  <c r="Q730" i="23"/>
  <c r="Q731" i="23"/>
  <c r="Q732" i="23"/>
  <c r="Q733" i="23"/>
  <c r="Q734" i="23"/>
  <c r="Q735" i="23"/>
  <c r="Q736" i="23"/>
  <c r="Q737" i="23"/>
  <c r="Q738" i="23"/>
  <c r="Q739" i="23"/>
  <c r="Q740" i="23"/>
  <c r="Q741" i="23"/>
  <c r="Q742" i="23"/>
  <c r="Q743" i="23"/>
  <c r="Q744" i="23"/>
  <c r="Q745" i="23"/>
  <c r="Q746" i="23"/>
  <c r="Q747" i="23"/>
  <c r="Q748" i="23"/>
  <c r="Q749" i="23"/>
  <c r="Q750" i="23"/>
  <c r="Q751" i="23"/>
  <c r="Q752" i="23"/>
  <c r="Q753" i="23"/>
  <c r="Q754" i="23"/>
  <c r="Q755" i="23"/>
  <c r="Q756" i="23"/>
  <c r="Q757" i="23"/>
  <c r="Q758" i="23"/>
  <c r="Q759" i="23"/>
  <c r="Q760" i="23"/>
  <c r="Q761" i="23"/>
  <c r="Q762" i="23"/>
  <c r="Q763" i="23"/>
  <c r="Q764" i="23"/>
  <c r="Q765" i="23"/>
  <c r="Q766" i="23"/>
  <c r="Q767" i="23"/>
  <c r="Q768" i="23"/>
  <c r="Q769" i="23"/>
  <c r="Q770" i="23"/>
  <c r="Q771" i="23"/>
  <c r="Q772" i="23"/>
  <c r="Q773" i="23"/>
  <c r="Q774" i="23"/>
  <c r="Q775" i="23"/>
  <c r="Q776" i="23"/>
  <c r="Q777" i="23"/>
  <c r="Q778" i="23"/>
  <c r="Q779" i="23"/>
  <c r="Q780" i="23"/>
  <c r="Q781" i="23"/>
  <c r="Q782" i="23"/>
  <c r="Q783" i="23"/>
  <c r="Q784" i="23"/>
  <c r="Q785" i="23"/>
  <c r="Q786" i="23"/>
  <c r="Q787" i="23"/>
  <c r="Q788" i="23"/>
  <c r="Q789" i="23"/>
  <c r="Q790" i="23"/>
  <c r="Q791" i="23"/>
  <c r="Q792" i="23"/>
  <c r="Q793" i="23"/>
  <c r="Q794" i="23"/>
  <c r="Q795" i="23"/>
  <c r="Q796" i="23"/>
  <c r="Q797" i="23"/>
  <c r="Q798" i="23"/>
  <c r="Q799" i="23"/>
  <c r="Q800" i="23"/>
  <c r="Q801" i="23"/>
  <c r="Q802" i="23"/>
  <c r="Q803" i="23"/>
  <c r="Q804" i="23"/>
  <c r="Q805" i="23"/>
  <c r="Q806" i="23"/>
  <c r="Q807" i="23"/>
  <c r="Q808" i="23"/>
  <c r="Q809" i="23"/>
  <c r="Q810" i="23"/>
  <c r="Q811" i="23"/>
  <c r="Q812" i="23"/>
  <c r="Q813" i="23"/>
  <c r="Q814" i="23"/>
  <c r="Q815" i="23"/>
  <c r="Q816" i="23"/>
  <c r="Q817" i="23"/>
  <c r="Q818" i="23"/>
  <c r="Q819" i="23"/>
  <c r="Q820" i="23"/>
  <c r="Q821" i="23"/>
  <c r="Q822" i="23"/>
  <c r="Q823" i="23"/>
  <c r="Q824" i="23"/>
  <c r="Q825" i="23"/>
  <c r="Q826" i="23"/>
  <c r="Q827" i="23"/>
  <c r="Q828" i="23"/>
  <c r="Q829" i="23"/>
  <c r="Q830" i="23"/>
  <c r="Q831" i="23"/>
  <c r="Q832" i="23"/>
  <c r="Q833" i="23"/>
  <c r="Q834" i="23"/>
  <c r="Q835" i="23"/>
  <c r="Q836" i="23"/>
  <c r="Q837" i="23"/>
  <c r="Q838" i="23"/>
  <c r="Q839" i="23"/>
  <c r="Q840" i="23"/>
  <c r="Q841" i="23"/>
  <c r="Q842" i="23"/>
  <c r="Q843" i="23"/>
  <c r="Q844" i="23"/>
  <c r="Q845" i="23"/>
  <c r="Q846" i="23"/>
  <c r="Q847" i="23"/>
  <c r="Q848" i="23"/>
  <c r="Q849" i="23"/>
  <c r="Q850" i="23"/>
  <c r="Q851" i="23"/>
  <c r="Q852" i="23"/>
  <c r="Q853" i="23"/>
  <c r="Q854" i="23"/>
  <c r="Q855" i="23"/>
  <c r="Q856" i="23"/>
  <c r="Q857" i="23"/>
  <c r="Q858" i="23"/>
  <c r="Q859" i="23"/>
  <c r="Q860" i="23"/>
  <c r="Q861" i="23"/>
  <c r="Q862" i="23"/>
  <c r="Q863" i="23"/>
  <c r="Q864" i="23"/>
  <c r="Q865" i="23"/>
  <c r="Q866" i="23"/>
  <c r="Q867" i="23"/>
  <c r="Q868" i="23"/>
  <c r="Q869" i="23"/>
  <c r="Q870" i="23"/>
  <c r="Q871" i="23"/>
  <c r="Q872" i="23"/>
  <c r="Q873" i="23"/>
  <c r="Q874" i="23"/>
  <c r="Q875" i="23"/>
  <c r="Q876" i="23"/>
  <c r="Q877" i="23"/>
  <c r="Q878" i="23"/>
  <c r="Q879" i="23"/>
  <c r="Q880" i="23"/>
  <c r="Q881" i="23"/>
  <c r="Q882" i="23"/>
  <c r="Q883" i="23"/>
  <c r="Q884" i="23"/>
  <c r="Q885" i="23"/>
  <c r="Q886" i="23"/>
  <c r="Q887" i="23"/>
  <c r="Q888" i="23"/>
  <c r="Q889" i="23"/>
  <c r="Q890" i="23"/>
  <c r="Q891" i="23"/>
  <c r="Q892" i="23"/>
  <c r="Q893" i="23"/>
  <c r="Q894" i="23"/>
  <c r="Q895" i="23"/>
  <c r="Q896" i="23"/>
  <c r="Q897" i="23"/>
  <c r="Q898" i="23"/>
  <c r="Q899" i="23"/>
  <c r="Q900" i="23"/>
  <c r="Q901" i="23"/>
  <c r="Q902" i="23"/>
  <c r="Q903" i="23"/>
  <c r="Q904" i="23"/>
  <c r="Q905" i="23"/>
  <c r="Q906" i="23"/>
  <c r="Q907" i="23"/>
  <c r="Q908" i="23"/>
  <c r="Q909" i="23"/>
  <c r="Q910" i="23"/>
  <c r="Q911" i="23"/>
  <c r="Q912" i="23"/>
  <c r="Q913" i="23"/>
  <c r="Q914" i="23"/>
  <c r="Q915" i="23"/>
  <c r="Q916" i="23"/>
  <c r="Q917" i="23"/>
  <c r="Q918" i="23"/>
  <c r="Q919" i="23"/>
  <c r="Q920" i="23"/>
  <c r="Q921" i="23"/>
  <c r="Q922" i="23"/>
  <c r="Q923" i="23"/>
  <c r="Q924" i="23"/>
  <c r="Q925" i="23"/>
  <c r="Q926" i="23"/>
  <c r="Q927" i="23"/>
  <c r="Q928" i="23"/>
  <c r="Q929" i="23"/>
  <c r="Q930" i="23"/>
  <c r="Q931" i="23"/>
  <c r="Q932" i="23"/>
  <c r="Q933" i="23"/>
  <c r="Q934" i="23"/>
  <c r="Q935" i="23"/>
  <c r="Q936" i="23"/>
  <c r="Q937" i="23"/>
  <c r="Q938" i="23"/>
  <c r="Q939" i="23"/>
  <c r="Q940" i="23"/>
  <c r="Q941" i="23"/>
  <c r="Q942" i="23"/>
  <c r="Q943" i="23"/>
  <c r="Q944" i="23"/>
  <c r="Q945" i="23"/>
  <c r="Q946" i="23"/>
  <c r="Q947" i="23"/>
  <c r="Q948" i="23"/>
  <c r="Q949" i="23"/>
  <c r="Q950" i="23"/>
  <c r="Q951" i="23"/>
  <c r="Q952" i="23"/>
  <c r="Q953" i="23"/>
  <c r="Q954" i="23"/>
  <c r="Q955" i="23"/>
  <c r="Q956" i="23"/>
  <c r="Q957" i="23"/>
  <c r="Q958" i="23"/>
  <c r="Q959" i="23"/>
  <c r="Q960" i="23"/>
  <c r="Q961" i="23"/>
  <c r="Q962" i="23"/>
  <c r="Q963" i="23"/>
  <c r="Q964" i="23"/>
  <c r="Q965" i="23"/>
  <c r="Q966" i="23"/>
  <c r="Q967" i="23"/>
  <c r="Q968" i="23"/>
  <c r="Q969" i="23"/>
  <c r="Q970" i="23"/>
  <c r="Q971" i="23"/>
  <c r="Q972" i="23"/>
  <c r="Q973" i="23"/>
  <c r="Q974" i="23"/>
  <c r="Q975" i="23"/>
  <c r="Q976" i="23"/>
  <c r="Q977" i="23"/>
  <c r="Q978" i="23"/>
  <c r="Q979" i="23"/>
  <c r="Q980" i="23"/>
  <c r="Q981" i="23"/>
  <c r="Q982" i="23"/>
  <c r="Q983" i="23"/>
  <c r="Q984" i="23"/>
  <c r="Q985" i="23"/>
  <c r="Q986" i="23"/>
  <c r="Q987" i="23"/>
  <c r="Q988" i="23"/>
  <c r="Q989" i="23"/>
  <c r="Q990" i="23"/>
  <c r="Q991" i="23"/>
  <c r="Q992" i="23"/>
  <c r="Q993" i="23"/>
  <c r="Q994" i="23"/>
  <c r="Q995" i="23"/>
  <c r="Q996" i="23"/>
  <c r="Q997" i="23"/>
  <c r="Q998" i="23"/>
  <c r="Q999" i="23"/>
  <c r="Q1000" i="23"/>
  <c r="Q1001" i="23"/>
  <c r="Q1002" i="23"/>
  <c r="Q1003" i="23"/>
  <c r="Q1004" i="23"/>
  <c r="Q1005" i="23"/>
  <c r="Q1006" i="23"/>
  <c r="Q1007" i="23"/>
  <c r="Q1008" i="23"/>
  <c r="Q1009" i="23"/>
  <c r="Q1010" i="23"/>
  <c r="Q1011" i="23"/>
  <c r="Q1012" i="23"/>
  <c r="Q1013" i="23"/>
  <c r="Q1014" i="23"/>
  <c r="Q1015" i="23"/>
  <c r="Q1016" i="23"/>
  <c r="Q1017" i="23"/>
  <c r="Q1018" i="23"/>
  <c r="Q1019" i="23"/>
  <c r="Q1020" i="23"/>
  <c r="Q1021" i="23"/>
  <c r="Q1022" i="23"/>
  <c r="Q1023" i="23"/>
  <c r="Q1024" i="23"/>
  <c r="Q1025" i="23"/>
  <c r="Q1026" i="23"/>
  <c r="Q1027" i="23"/>
  <c r="Q1028" i="23"/>
  <c r="Q1029" i="23"/>
  <c r="Q1030" i="23"/>
  <c r="Q1031" i="23"/>
  <c r="Q1032" i="23"/>
  <c r="Q1033" i="23"/>
  <c r="Q1034" i="23"/>
  <c r="Q1035" i="23"/>
  <c r="Q1036" i="23"/>
  <c r="Q1037" i="23"/>
  <c r="Q1038" i="23"/>
  <c r="Q1039" i="23"/>
  <c r="Q1040" i="23"/>
  <c r="Q1041" i="23"/>
  <c r="Q1042" i="23"/>
  <c r="Q1043" i="23"/>
  <c r="Q1044" i="23"/>
  <c r="Q1045" i="23"/>
  <c r="Q1046" i="23"/>
  <c r="Q1047" i="23"/>
  <c r="Q1048" i="23"/>
  <c r="Q1049" i="23"/>
  <c r="Q1050" i="23"/>
  <c r="Q1051" i="23"/>
  <c r="Q1052" i="23"/>
  <c r="Q1053" i="23"/>
  <c r="Q1054" i="23"/>
  <c r="Q1055" i="23"/>
  <c r="Q1056" i="23"/>
  <c r="Q1057" i="23"/>
  <c r="Q1058" i="23"/>
  <c r="Q1059" i="23"/>
  <c r="Q1060" i="23"/>
  <c r="Q1061" i="23"/>
  <c r="Q1062" i="23"/>
  <c r="Q1063" i="23"/>
  <c r="Q1064" i="23"/>
  <c r="Q1065" i="23"/>
  <c r="Q1066" i="23"/>
  <c r="Q1067" i="23"/>
  <c r="Q1068" i="23"/>
  <c r="Q1069" i="23"/>
  <c r="Q1070" i="23"/>
  <c r="Q1071" i="23"/>
  <c r="Q1072" i="23"/>
  <c r="Q1073" i="23"/>
  <c r="Q1074" i="23"/>
  <c r="Q1075" i="23"/>
  <c r="Q1076" i="23"/>
  <c r="Q1077" i="23"/>
  <c r="Q1078" i="23"/>
  <c r="Q1079" i="23"/>
  <c r="Q1080" i="23"/>
  <c r="Q1081" i="23"/>
  <c r="Q1082" i="23"/>
  <c r="Q1083" i="23"/>
  <c r="Q1084" i="23"/>
  <c r="Q1085" i="23"/>
  <c r="Q1086" i="23"/>
  <c r="Q1087" i="23"/>
  <c r="Q1088" i="23"/>
  <c r="Q1089" i="23"/>
  <c r="Q1090" i="23"/>
  <c r="Q1091" i="23"/>
  <c r="Q1092" i="23"/>
  <c r="Q1093" i="23"/>
  <c r="Q1094" i="23"/>
  <c r="Q1095" i="23"/>
  <c r="Q1096" i="23"/>
  <c r="Q1097" i="23"/>
  <c r="Q1098" i="23"/>
  <c r="Q1099" i="23"/>
  <c r="Q1100" i="23"/>
  <c r="Q1101" i="23"/>
  <c r="Q1102" i="23"/>
  <c r="Q1103" i="23"/>
  <c r="Q1104" i="23"/>
  <c r="Q1105" i="23"/>
  <c r="Q1106" i="23"/>
  <c r="Q1107" i="23"/>
  <c r="Q1108" i="23"/>
  <c r="Q1109" i="23"/>
  <c r="Q1110" i="23"/>
  <c r="Q1111" i="23"/>
  <c r="Q1112" i="23"/>
  <c r="Q1113" i="23"/>
  <c r="Q1114" i="23"/>
  <c r="Q1115" i="23"/>
  <c r="Q1116" i="23"/>
  <c r="Q1117" i="23"/>
  <c r="Q1118" i="23"/>
  <c r="Q1119" i="23"/>
  <c r="Q1120" i="23"/>
  <c r="Q1121" i="23"/>
  <c r="Q1122" i="23"/>
  <c r="Q1123" i="23"/>
  <c r="Q1124" i="23"/>
  <c r="Q1125" i="23"/>
  <c r="Q1126" i="23"/>
  <c r="Q1127" i="23"/>
  <c r="Q1128" i="23"/>
  <c r="Q1129" i="23"/>
  <c r="Q1130" i="23"/>
  <c r="Q1131" i="23"/>
  <c r="Q1132" i="23"/>
  <c r="Q1133" i="23"/>
  <c r="Q1134" i="23"/>
  <c r="Q1135" i="23"/>
  <c r="Q1136" i="23"/>
  <c r="Q1137" i="23"/>
  <c r="Q1138" i="23"/>
  <c r="Q1139" i="23"/>
  <c r="Q1140" i="23"/>
  <c r="Q1141" i="23"/>
  <c r="Q1142" i="23"/>
  <c r="Q1143" i="23"/>
  <c r="Q1144" i="23"/>
  <c r="Q1145" i="23"/>
  <c r="Q1146" i="23"/>
  <c r="Q1147" i="23"/>
  <c r="Q1148" i="23"/>
  <c r="Q1149" i="23"/>
  <c r="Q1150" i="23"/>
  <c r="Q1151" i="23"/>
  <c r="Q1152" i="23"/>
  <c r="Q1153" i="23"/>
  <c r="Q1154" i="23"/>
  <c r="Q1155" i="23"/>
  <c r="Q1156" i="23"/>
  <c r="Q1157" i="23"/>
  <c r="Q1158" i="23"/>
  <c r="Q1159" i="23"/>
  <c r="Q1160" i="23"/>
  <c r="Q1161" i="23"/>
  <c r="Q1162" i="23"/>
  <c r="Q1163" i="23"/>
  <c r="Q1164" i="23"/>
  <c r="Q1165" i="23"/>
  <c r="Q1166" i="23"/>
  <c r="Q1167" i="23"/>
  <c r="Q1168" i="23"/>
  <c r="Q1169" i="23"/>
  <c r="Q1170" i="23"/>
  <c r="Q1171" i="23"/>
  <c r="Q1172" i="23"/>
  <c r="Q1173" i="23"/>
  <c r="Q1174" i="23"/>
  <c r="Q1175" i="23"/>
  <c r="Q1176" i="23"/>
  <c r="Q1177" i="23"/>
  <c r="Q1178" i="23"/>
  <c r="Q1179" i="23"/>
  <c r="Q1180" i="23"/>
  <c r="Q1181" i="23"/>
  <c r="Q1182" i="23"/>
  <c r="Q1183" i="23"/>
  <c r="Q1184" i="23"/>
  <c r="Q1185" i="23"/>
  <c r="Q1186" i="23"/>
  <c r="Q1187" i="23"/>
  <c r="Q1188" i="23"/>
  <c r="Q1189" i="23"/>
  <c r="Q1190" i="23"/>
  <c r="Q1191" i="23"/>
  <c r="Q1192" i="23"/>
  <c r="Q1193" i="23"/>
  <c r="Q1194" i="23"/>
  <c r="Q1195" i="23"/>
  <c r="Q1196" i="23"/>
  <c r="Q1197" i="23"/>
  <c r="Q1198" i="23"/>
  <c r="Q1199" i="23"/>
  <c r="Q1200" i="23"/>
  <c r="Q1201" i="23"/>
  <c r="Q1202" i="23"/>
  <c r="Q1203" i="23"/>
  <c r="Q1204" i="23"/>
  <c r="Q1205" i="23"/>
  <c r="Q1206" i="23"/>
  <c r="Q1207" i="23"/>
  <c r="Q1208" i="23"/>
  <c r="Q1209" i="23"/>
  <c r="Q1210" i="23"/>
  <c r="Q1211" i="23"/>
  <c r="Q1212" i="23"/>
  <c r="Q1213" i="23"/>
  <c r="Q1214" i="23"/>
  <c r="Q1215" i="23"/>
  <c r="Q1216" i="23"/>
  <c r="Q1217" i="23"/>
  <c r="Q1218" i="23"/>
  <c r="Q1219" i="23"/>
  <c r="Q1220" i="23"/>
  <c r="Q1221" i="23"/>
  <c r="Q1222" i="23"/>
  <c r="Q1223" i="23"/>
  <c r="Q1224" i="23"/>
  <c r="Q1225" i="23"/>
  <c r="Q1226" i="23"/>
  <c r="Q1227" i="23"/>
  <c r="Q1228" i="23"/>
  <c r="Q1229" i="23"/>
  <c r="Q1230" i="23"/>
  <c r="Q1231" i="23"/>
  <c r="Q1232" i="23"/>
  <c r="Q1233" i="23"/>
  <c r="Q1234" i="23"/>
  <c r="Q1235" i="23"/>
  <c r="Q1236" i="23"/>
  <c r="Q1237" i="23"/>
  <c r="Q1238" i="23"/>
  <c r="Q1239" i="23"/>
  <c r="Q1240" i="23"/>
  <c r="Q1241" i="23"/>
  <c r="Q1242" i="23"/>
  <c r="Q1243" i="23"/>
  <c r="Q1244" i="23"/>
  <c r="Q1245" i="23"/>
  <c r="Q1246" i="23"/>
  <c r="Q1247" i="23"/>
  <c r="Q1248" i="23"/>
  <c r="Q1249" i="23"/>
  <c r="Q1250" i="23"/>
  <c r="Q1251" i="23"/>
  <c r="Q1252" i="23"/>
  <c r="Q1253" i="23"/>
  <c r="Q1254" i="23"/>
  <c r="Q1255" i="23"/>
  <c r="Q1256" i="23"/>
  <c r="Q1257" i="23"/>
  <c r="Q1258" i="23"/>
  <c r="Q1259" i="23"/>
  <c r="Q1260" i="23"/>
  <c r="Q1261" i="23"/>
  <c r="Q1262" i="23"/>
  <c r="Q1263" i="23"/>
  <c r="Q1264" i="23"/>
  <c r="Q1265" i="23"/>
  <c r="Q1266" i="23"/>
  <c r="Q1267" i="23"/>
  <c r="Q1268" i="23"/>
  <c r="Q1269" i="23"/>
  <c r="Q1270" i="23"/>
  <c r="Q1271" i="23"/>
  <c r="Q1272" i="23"/>
  <c r="Q1273" i="23"/>
  <c r="Q1274" i="23"/>
  <c r="Q1275" i="23"/>
  <c r="Q1276" i="23"/>
  <c r="Q1277" i="23"/>
  <c r="Q1278" i="23"/>
  <c r="Q1279" i="23"/>
  <c r="Q1280" i="23"/>
  <c r="Q1281" i="23"/>
  <c r="Q1282" i="23"/>
  <c r="Q1283" i="23"/>
  <c r="Q1284" i="23"/>
  <c r="Q1285" i="23"/>
  <c r="Q1286" i="23"/>
  <c r="Q1287" i="23"/>
  <c r="Q1288" i="23"/>
  <c r="Q1289" i="23"/>
  <c r="Q1290" i="23"/>
  <c r="Q1291" i="23"/>
  <c r="Q1292" i="23"/>
  <c r="Q1293" i="23"/>
  <c r="Q1294" i="23"/>
  <c r="Q1295" i="23"/>
  <c r="Q1296" i="23"/>
  <c r="Q1297" i="23"/>
  <c r="Q1298" i="23"/>
  <c r="Q1299" i="23"/>
  <c r="Q1300" i="23"/>
  <c r="Q1301" i="23"/>
  <c r="Q1302" i="23"/>
  <c r="Q1303" i="23"/>
  <c r="Q1304" i="23"/>
  <c r="Q1305" i="23"/>
  <c r="Q1306" i="23"/>
  <c r="Q1307" i="23"/>
  <c r="Q1308" i="23"/>
  <c r="Q1309" i="23"/>
  <c r="Q1310" i="23"/>
  <c r="Q1311" i="23"/>
  <c r="Q1312" i="23"/>
  <c r="Q1313" i="23"/>
  <c r="Q1314" i="23"/>
  <c r="Q1315" i="23"/>
  <c r="Q1316" i="23"/>
  <c r="Q1317" i="23"/>
  <c r="Q1318" i="23"/>
  <c r="Q1319" i="23"/>
  <c r="Q1320" i="23"/>
  <c r="Q1321" i="23"/>
  <c r="Q1322" i="23"/>
  <c r="Q1323" i="23"/>
  <c r="Q1324" i="23"/>
  <c r="Q1325" i="23"/>
  <c r="Q1326" i="23"/>
  <c r="Q1327" i="23"/>
  <c r="Q1328" i="23"/>
  <c r="Q1329" i="23"/>
  <c r="Q1330" i="23"/>
  <c r="Q1331" i="23"/>
  <c r="Q1332" i="23"/>
  <c r="Q1333" i="23"/>
  <c r="Q1334" i="23"/>
  <c r="Q1335" i="23"/>
  <c r="Q1336" i="23"/>
  <c r="Q1337" i="23"/>
  <c r="Q1338" i="23"/>
  <c r="Q1339" i="23"/>
  <c r="Q1340" i="23"/>
  <c r="Q1341" i="23"/>
  <c r="Q1342" i="23"/>
  <c r="Q1343" i="23"/>
  <c r="Q1344" i="23"/>
  <c r="Q1345" i="23"/>
  <c r="Q1346" i="23"/>
  <c r="Q1347" i="23"/>
  <c r="Q1348" i="23"/>
  <c r="Q1349" i="23"/>
  <c r="Q1350" i="23"/>
  <c r="Q1351" i="23"/>
  <c r="Q1352" i="23"/>
  <c r="Q1353" i="23"/>
  <c r="Q1354" i="23"/>
  <c r="Q1355" i="23"/>
  <c r="Q1356" i="23"/>
  <c r="Q1357" i="23"/>
  <c r="Q1358" i="23"/>
  <c r="Q1359" i="23"/>
  <c r="Q1360" i="23"/>
  <c r="Q1361" i="23"/>
  <c r="Q1362" i="23"/>
  <c r="Q1363" i="23"/>
  <c r="Q1364" i="23"/>
  <c r="Q1365" i="23"/>
  <c r="Q1366" i="23"/>
  <c r="Q1367" i="23"/>
  <c r="Q1368" i="23"/>
  <c r="Q1369" i="23"/>
  <c r="Q1370" i="23"/>
  <c r="Q1371" i="23"/>
  <c r="Q1372" i="23"/>
  <c r="Q1373" i="23"/>
  <c r="Q1374" i="23"/>
  <c r="Q1375" i="23"/>
  <c r="Q1376" i="23"/>
  <c r="Q1377" i="23"/>
  <c r="Q1378" i="23"/>
  <c r="Q1379" i="23"/>
  <c r="Q1380" i="23"/>
  <c r="Q1381" i="23"/>
  <c r="Q1382" i="23"/>
  <c r="Q1383" i="23"/>
  <c r="Q1384" i="23"/>
  <c r="Q1385" i="23"/>
  <c r="Q1386" i="23"/>
  <c r="Q1387" i="23"/>
  <c r="Q1388" i="23"/>
  <c r="Q1389" i="23"/>
  <c r="Q1390" i="23"/>
  <c r="Q1391" i="23"/>
  <c r="Q1392" i="23"/>
  <c r="Q1393" i="23"/>
  <c r="Q1394" i="23"/>
  <c r="Q1395" i="23"/>
  <c r="Q1396" i="23"/>
  <c r="Q1397" i="23"/>
  <c r="Q1398" i="23"/>
  <c r="Q1399" i="23"/>
  <c r="Q1400" i="23"/>
  <c r="Q1401" i="23"/>
  <c r="Q1402" i="23"/>
  <c r="Q1403" i="23"/>
  <c r="Q1404" i="23"/>
  <c r="Q1405" i="23"/>
  <c r="Q1406" i="23"/>
  <c r="Q1407" i="23"/>
  <c r="Q1408" i="23"/>
  <c r="Q1409" i="23"/>
  <c r="Q1410" i="23"/>
  <c r="Q1411" i="23"/>
  <c r="Q1412" i="23"/>
  <c r="Q1413" i="23"/>
  <c r="Q1414" i="23"/>
  <c r="Q1415" i="23"/>
  <c r="Q1416" i="23"/>
  <c r="Q1417" i="23"/>
  <c r="Q1418" i="23"/>
  <c r="Q1419" i="23"/>
  <c r="Q1420" i="23"/>
  <c r="Q1421" i="23"/>
  <c r="Q1422" i="23"/>
  <c r="Q1423" i="23"/>
  <c r="Q1424" i="23"/>
  <c r="Q1425" i="23"/>
  <c r="Q1426" i="23"/>
  <c r="Q1427" i="23"/>
  <c r="Q1428" i="23"/>
  <c r="Q1429" i="23"/>
  <c r="Q1430" i="23"/>
  <c r="Q1431" i="23"/>
  <c r="Q1432" i="23"/>
  <c r="Q1433" i="23"/>
  <c r="Q1434" i="23"/>
  <c r="Q1435" i="23"/>
  <c r="Q1436" i="23"/>
  <c r="Q1437" i="23"/>
  <c r="Q1438" i="23"/>
  <c r="Q1439" i="23"/>
  <c r="Q1440" i="23"/>
  <c r="Q1441" i="23"/>
  <c r="Q1442" i="23"/>
  <c r="Q1443" i="23"/>
  <c r="Q1444" i="23"/>
  <c r="Q1445" i="23"/>
  <c r="Q1446" i="23"/>
  <c r="Q1447" i="23"/>
  <c r="Q1448" i="23"/>
  <c r="Q1449" i="23"/>
  <c r="Q1450" i="23"/>
  <c r="Q1451" i="23"/>
  <c r="Q1452" i="23"/>
  <c r="Q1453" i="23"/>
  <c r="Q1454" i="23"/>
  <c r="Q1455" i="23"/>
  <c r="Q1456" i="23"/>
  <c r="Q1457" i="23"/>
  <c r="Q1458" i="23"/>
  <c r="Q1459" i="23"/>
  <c r="Q1460" i="23"/>
  <c r="Q1461" i="23"/>
  <c r="Q1462" i="23"/>
  <c r="Q1463" i="23"/>
  <c r="Q1464" i="23"/>
  <c r="Q1465" i="23"/>
  <c r="Q1466" i="23"/>
  <c r="Q1467" i="23"/>
  <c r="Q1468" i="23"/>
  <c r="Q1469" i="23"/>
  <c r="Q1470" i="23"/>
  <c r="Q1471" i="23"/>
  <c r="Q1472" i="23"/>
  <c r="Q1473" i="23"/>
  <c r="Q1474" i="23"/>
  <c r="Q1475" i="23"/>
  <c r="Q1476" i="23"/>
  <c r="Q1477" i="23"/>
  <c r="Q1478" i="23"/>
  <c r="Q1479" i="23"/>
  <c r="Q1480" i="23"/>
  <c r="Q1481" i="23"/>
  <c r="Q1482" i="23"/>
  <c r="Q1483" i="23"/>
  <c r="Q1484" i="23"/>
  <c r="Q1485" i="23"/>
  <c r="Q1486" i="23"/>
  <c r="Q1487" i="23"/>
  <c r="Q1488" i="23"/>
  <c r="Q1489" i="23"/>
  <c r="Q1490" i="23"/>
  <c r="Q1491" i="23"/>
  <c r="Q1492" i="23"/>
  <c r="Q1493" i="23"/>
  <c r="Q1494" i="23"/>
  <c r="Q1495" i="23"/>
  <c r="Q1496" i="23"/>
  <c r="Q1497" i="23"/>
  <c r="Q1498" i="23"/>
  <c r="Q1499" i="23"/>
  <c r="Q1500" i="23"/>
  <c r="Q1501" i="23"/>
  <c r="Q1502" i="23"/>
  <c r="Q1503" i="23"/>
  <c r="Q1504" i="23"/>
  <c r="Q1505" i="23"/>
  <c r="Q1506" i="23"/>
  <c r="Q1507" i="23"/>
  <c r="Q1508" i="23"/>
  <c r="Q1509" i="23"/>
  <c r="Q1510" i="23"/>
  <c r="Q1511" i="23"/>
  <c r="Q1512" i="23"/>
  <c r="Q1513" i="23"/>
  <c r="Q1514" i="23"/>
  <c r="Q1515" i="23"/>
  <c r="Q1516" i="23"/>
  <c r="Q1517" i="23"/>
  <c r="Q1518" i="23"/>
  <c r="Q1519" i="23"/>
  <c r="Q1520" i="23"/>
  <c r="Q1521" i="23"/>
  <c r="Q1522" i="23"/>
  <c r="Q1523" i="23"/>
  <c r="Q1524" i="23"/>
  <c r="Q1525" i="23"/>
  <c r="Q1526" i="23"/>
  <c r="Q1527" i="23"/>
  <c r="Q1528" i="23"/>
  <c r="Q1529" i="23"/>
  <c r="Q1530" i="23"/>
  <c r="Q1531" i="23"/>
  <c r="Q1532" i="23"/>
  <c r="Q1533" i="23"/>
  <c r="Q1534" i="23"/>
  <c r="Q1535" i="23"/>
  <c r="Q1536" i="23"/>
  <c r="Q1537" i="23"/>
  <c r="Q1538" i="23"/>
  <c r="Q1539" i="23"/>
  <c r="Q1540" i="23"/>
  <c r="Q1541" i="23"/>
  <c r="Q1542" i="23"/>
  <c r="Q1543" i="23"/>
  <c r="Q1544" i="23"/>
  <c r="Q1545" i="23"/>
  <c r="Q1546" i="23"/>
  <c r="Q1547" i="23"/>
  <c r="Q1548" i="23"/>
  <c r="Q1549" i="23"/>
  <c r="Q1550" i="23"/>
  <c r="Q1551" i="23"/>
  <c r="Q1552" i="23"/>
  <c r="Q1553" i="23"/>
  <c r="Q1554" i="23"/>
  <c r="Q1555" i="23"/>
  <c r="Q1556" i="23"/>
  <c r="Q1557" i="23"/>
  <c r="Q1558" i="23"/>
  <c r="Q1559" i="23"/>
  <c r="Q1560" i="23"/>
  <c r="Q1561" i="23"/>
  <c r="Q1562" i="23"/>
  <c r="Q1563" i="23"/>
  <c r="Q1564" i="23"/>
  <c r="Q1565" i="23"/>
  <c r="Q1566" i="23"/>
  <c r="Q1567" i="23"/>
  <c r="Q1568" i="23"/>
  <c r="Q1569" i="23"/>
  <c r="Q1570" i="23"/>
  <c r="Q1571" i="23"/>
  <c r="Q1572" i="23"/>
  <c r="Q1573" i="23"/>
  <c r="Q1574" i="23"/>
  <c r="Q1575" i="23"/>
  <c r="Q1576" i="23"/>
  <c r="Q1577" i="23"/>
  <c r="Q1578" i="23"/>
  <c r="Q1579" i="23"/>
  <c r="Q1580" i="23"/>
  <c r="Q1581" i="23"/>
  <c r="Q1582" i="23"/>
  <c r="Q1583" i="23"/>
  <c r="Q1584" i="23"/>
  <c r="Q1585" i="23"/>
  <c r="Q1586" i="23"/>
  <c r="Q1587" i="23"/>
  <c r="Q1588" i="23"/>
  <c r="Q1589" i="23"/>
  <c r="Q1590" i="23"/>
  <c r="Q1591" i="23"/>
  <c r="Q1592" i="23"/>
  <c r="Q1593" i="23"/>
  <c r="Q1594" i="23"/>
  <c r="Q1595" i="23"/>
  <c r="Q1596" i="23"/>
  <c r="Q1597" i="23"/>
  <c r="Q1598" i="23"/>
  <c r="Q1599" i="23"/>
  <c r="Q1600" i="23"/>
  <c r="Q1601" i="23"/>
  <c r="Q1602" i="23"/>
  <c r="Q1603" i="23"/>
  <c r="Q1604" i="23"/>
  <c r="Q1605" i="23"/>
  <c r="Q1606" i="23"/>
  <c r="Q1607" i="23"/>
  <c r="Q1608" i="23"/>
  <c r="Q1609" i="23"/>
  <c r="Q1610" i="23"/>
  <c r="Q1611" i="23"/>
  <c r="Q1612" i="23"/>
  <c r="Q1613" i="23"/>
  <c r="Q1614" i="23"/>
  <c r="Q1615" i="23"/>
  <c r="Q1616" i="23"/>
  <c r="Q1617" i="23"/>
  <c r="Q1618" i="23"/>
  <c r="Q1619" i="23"/>
  <c r="Q1620" i="23"/>
  <c r="Q1621" i="23"/>
  <c r="Q1622" i="23"/>
  <c r="Q1623" i="23"/>
  <c r="Q1624" i="23"/>
  <c r="Q1625" i="23"/>
  <c r="Q1626" i="23"/>
  <c r="Q1627" i="23"/>
  <c r="Q1628" i="23"/>
  <c r="Q1629" i="23"/>
  <c r="Q1630" i="23"/>
  <c r="Q1631" i="23"/>
  <c r="Q1632" i="23"/>
  <c r="Q1633" i="23"/>
  <c r="Q1634" i="23"/>
  <c r="Q1635" i="23"/>
  <c r="Q1636" i="23"/>
  <c r="Q1637" i="23"/>
  <c r="Q1638" i="23"/>
  <c r="Q1639" i="23"/>
  <c r="Q1640" i="23"/>
  <c r="Q1641" i="23"/>
  <c r="Q1642" i="23"/>
  <c r="Q1643" i="23"/>
  <c r="Q1644" i="23"/>
  <c r="Q1645" i="23"/>
  <c r="Q1646" i="23"/>
  <c r="Q1647" i="23"/>
  <c r="Q1648" i="23"/>
  <c r="Q1649" i="23"/>
  <c r="Q1650" i="23"/>
  <c r="Q1651" i="23"/>
  <c r="Q1652" i="23"/>
  <c r="Q1653" i="23"/>
  <c r="Q1654" i="23"/>
  <c r="Q1655" i="23"/>
  <c r="Q1656" i="23"/>
  <c r="Q1657" i="23"/>
  <c r="Q1658" i="23"/>
  <c r="Q1659" i="23"/>
  <c r="Q1660" i="23"/>
  <c r="Q1661" i="23"/>
  <c r="Q1662" i="23"/>
  <c r="Q1663" i="23"/>
  <c r="Q1664" i="23"/>
  <c r="Q1665" i="23"/>
  <c r="Q1666" i="23"/>
  <c r="Q1667" i="23"/>
  <c r="Q1668" i="23"/>
  <c r="Q1669" i="23"/>
  <c r="Q1670" i="23"/>
  <c r="Q1671" i="23"/>
  <c r="Q1672" i="23"/>
  <c r="Q1673" i="23"/>
  <c r="Q1674" i="23"/>
  <c r="Q1675" i="23"/>
  <c r="Q1676" i="23"/>
  <c r="Q1677" i="23"/>
  <c r="Q1678" i="23"/>
  <c r="Q1679" i="23"/>
  <c r="Q1680" i="23"/>
  <c r="Q1681" i="23"/>
  <c r="Q1682" i="23"/>
  <c r="Q1683" i="23"/>
  <c r="Q1684" i="23"/>
  <c r="Q1685" i="23"/>
  <c r="Q1686" i="23"/>
  <c r="Q1687" i="23"/>
  <c r="Q1688" i="23"/>
  <c r="Q1689" i="23"/>
  <c r="Q1690" i="23"/>
  <c r="Q1691" i="23"/>
  <c r="Q1692" i="23"/>
  <c r="Q1693" i="23"/>
  <c r="Q1694" i="23"/>
  <c r="Q1695" i="23"/>
  <c r="Q1696" i="23"/>
  <c r="Q1697" i="23"/>
  <c r="Q1698" i="23"/>
  <c r="Q1699" i="23"/>
  <c r="Q1700" i="23"/>
  <c r="Q1701" i="23"/>
  <c r="Q1702" i="23"/>
  <c r="Q1703" i="23"/>
  <c r="Q1704" i="23"/>
  <c r="Q1705" i="23"/>
  <c r="Q1706" i="23"/>
  <c r="Q1707" i="23"/>
  <c r="Q1708" i="23"/>
  <c r="Q1709" i="23"/>
  <c r="Q1710" i="23"/>
  <c r="Q1711" i="23"/>
  <c r="Q1712" i="23"/>
  <c r="Q1713" i="23"/>
  <c r="Q1714" i="23"/>
  <c r="Q1715" i="23"/>
  <c r="Q1716" i="23"/>
  <c r="Q1717" i="23"/>
  <c r="Q1718" i="23"/>
  <c r="Q1719" i="23"/>
  <c r="Q1720" i="23"/>
  <c r="Q1721" i="23"/>
  <c r="Q1722" i="23"/>
  <c r="Q1723" i="23"/>
  <c r="Q1724" i="23"/>
  <c r="Q1725" i="23"/>
  <c r="Q1726" i="23"/>
  <c r="Q1727" i="23"/>
  <c r="Q1728" i="23"/>
  <c r="Q1729" i="23"/>
  <c r="Q1730" i="23"/>
  <c r="Q1731" i="23"/>
  <c r="Q1732" i="23"/>
  <c r="Q1733" i="23"/>
  <c r="Q1734" i="23"/>
  <c r="Q1735" i="23"/>
  <c r="Q1736" i="23"/>
  <c r="Q1737" i="23"/>
  <c r="Q1738" i="23"/>
  <c r="Q1739" i="23"/>
  <c r="Q1740" i="23"/>
  <c r="Q1741" i="23"/>
  <c r="Q1742" i="23"/>
  <c r="Q1743" i="23"/>
  <c r="Q1744" i="23"/>
  <c r="Q1745" i="23"/>
  <c r="Q1746" i="23"/>
  <c r="Q1747" i="23"/>
  <c r="Q1748" i="23"/>
  <c r="Q1749" i="23"/>
  <c r="Q1750" i="23"/>
  <c r="Q1751" i="23"/>
  <c r="Q1752" i="23"/>
  <c r="Q1753" i="23"/>
  <c r="Q1754" i="23"/>
  <c r="Q1755" i="23"/>
  <c r="Q1756" i="23"/>
  <c r="Q1757" i="23"/>
  <c r="Q1758" i="23"/>
  <c r="Q1759" i="23"/>
  <c r="Q1760" i="23"/>
  <c r="Q1761" i="23"/>
  <c r="Q1762" i="23"/>
  <c r="Q1763" i="23"/>
  <c r="Q1764" i="23"/>
  <c r="Q1765" i="23"/>
  <c r="Q1766" i="23"/>
  <c r="Q1767" i="23"/>
  <c r="Q1768" i="23"/>
  <c r="Q1769" i="23"/>
  <c r="Q1770" i="23"/>
  <c r="Q1771" i="23"/>
  <c r="Q1772" i="23"/>
  <c r="Q1773" i="23"/>
  <c r="Q1774" i="23"/>
  <c r="Q1775" i="23"/>
  <c r="Q1776" i="23"/>
  <c r="Q1777" i="23"/>
  <c r="Q1778" i="23"/>
  <c r="Q1779" i="23"/>
  <c r="Q1780" i="23"/>
  <c r="Q1781" i="23"/>
  <c r="Q1782" i="23"/>
  <c r="Q1783" i="23"/>
  <c r="Q1784" i="23"/>
  <c r="Q1785" i="23"/>
  <c r="Q1786" i="23"/>
  <c r="Q1787" i="23"/>
  <c r="Q4" i="23"/>
  <c r="C46" i="22"/>
  <c r="D45" i="22"/>
  <c r="E42" i="22"/>
  <c r="N1785" i="23"/>
  <c r="N1784" i="23"/>
  <c r="N1783" i="23"/>
  <c r="N1782" i="23"/>
  <c r="N1786" i="23"/>
  <c r="N1781" i="23"/>
  <c r="N19" i="23"/>
  <c r="N7" i="23"/>
  <c r="N11" i="23"/>
  <c r="N5" i="23"/>
  <c r="N23" i="23"/>
  <c r="N39" i="23"/>
  <c r="N55" i="23"/>
  <c r="N8" i="23"/>
  <c r="N10" i="23"/>
  <c r="N27" i="23"/>
  <c r="N43" i="23"/>
  <c r="N59" i="23"/>
  <c r="N21" i="23"/>
  <c r="N40" i="23"/>
  <c r="N58" i="23"/>
  <c r="N75" i="23"/>
  <c r="N91" i="23"/>
  <c r="N107" i="23"/>
  <c r="N123" i="23"/>
  <c r="N139" i="23"/>
  <c r="N155" i="23"/>
  <c r="N171" i="23"/>
  <c r="N187" i="23"/>
  <c r="N203" i="23"/>
  <c r="N219" i="23"/>
  <c r="N235" i="23"/>
  <c r="N251" i="23"/>
  <c r="N267" i="23"/>
  <c r="N283" i="23"/>
  <c r="N299" i="23"/>
  <c r="N315" i="23"/>
  <c r="N331" i="23"/>
  <c r="N347" i="23"/>
  <c r="N363" i="23"/>
  <c r="N379" i="23"/>
  <c r="N395" i="23"/>
  <c r="N411" i="23"/>
  <c r="N427" i="23"/>
  <c r="N443" i="23"/>
  <c r="N459" i="23"/>
  <c r="N475" i="23"/>
  <c r="N491" i="23"/>
  <c r="N507" i="23"/>
  <c r="N523" i="23"/>
  <c r="N539" i="23"/>
  <c r="N555" i="23"/>
  <c r="N571" i="23"/>
  <c r="N587" i="23"/>
  <c r="N603" i="23"/>
  <c r="N619" i="23"/>
  <c r="N635" i="23"/>
  <c r="N651" i="23"/>
  <c r="N667" i="23"/>
  <c r="N683" i="23"/>
  <c r="N699" i="23"/>
  <c r="N715" i="23"/>
  <c r="N731" i="23"/>
  <c r="N747" i="23"/>
  <c r="N763" i="23"/>
  <c r="N779" i="23"/>
  <c r="N795" i="23"/>
  <c r="N811" i="23"/>
  <c r="N827" i="23"/>
  <c r="N843" i="23"/>
  <c r="N859" i="23"/>
  <c r="N875" i="23"/>
  <c r="N891" i="23"/>
  <c r="N907" i="23"/>
  <c r="N923" i="23"/>
  <c r="N939" i="23"/>
  <c r="N955" i="23"/>
  <c r="N971" i="23"/>
  <c r="N987" i="23"/>
  <c r="N1003" i="23"/>
  <c r="N1019" i="23"/>
  <c r="N1035" i="23"/>
  <c r="N1051" i="23"/>
  <c r="N1067" i="23"/>
  <c r="N1083" i="23"/>
  <c r="N1099" i="23"/>
  <c r="N1115" i="23"/>
  <c r="N1131" i="23"/>
  <c r="N1147" i="23"/>
  <c r="N1163" i="23"/>
  <c r="N1179" i="23"/>
  <c r="N1195" i="23"/>
  <c r="N1211" i="23"/>
  <c r="N1227" i="23"/>
  <c r="N1243" i="23"/>
  <c r="N1259" i="23"/>
  <c r="N1275" i="23"/>
  <c r="N1291" i="23"/>
  <c r="N22" i="23"/>
  <c r="N41" i="23"/>
  <c r="N60" i="23"/>
  <c r="N76" i="23"/>
  <c r="N92" i="23"/>
  <c r="N108" i="23"/>
  <c r="N124" i="23"/>
  <c r="N140" i="23"/>
  <c r="N156" i="23"/>
  <c r="N172" i="23"/>
  <c r="N188" i="23"/>
  <c r="N204" i="23"/>
  <c r="N220" i="23"/>
  <c r="N236" i="23"/>
  <c r="N252" i="23"/>
  <c r="N268" i="23"/>
  <c r="N284" i="23"/>
  <c r="N300" i="23"/>
  <c r="N316" i="23"/>
  <c r="N332" i="23"/>
  <c r="N348" i="23"/>
  <c r="N364" i="23"/>
  <c r="N380" i="23"/>
  <c r="N396" i="23"/>
  <c r="N412" i="23"/>
  <c r="N428" i="23"/>
  <c r="N444" i="23"/>
  <c r="N460" i="23"/>
  <c r="N476" i="23"/>
  <c r="N492" i="23"/>
  <c r="N508" i="23"/>
  <c r="N524" i="23"/>
  <c r="N540" i="23"/>
  <c r="N556" i="23"/>
  <c r="N572" i="23"/>
  <c r="N588" i="23"/>
  <c r="N604" i="23"/>
  <c r="N620" i="23"/>
  <c r="N636" i="23"/>
  <c r="N652" i="23"/>
  <c r="N668" i="23"/>
  <c r="N684" i="23"/>
  <c r="N700" i="23"/>
  <c r="N716" i="23"/>
  <c r="N732" i="23"/>
  <c r="N748" i="23"/>
  <c r="N764" i="23"/>
  <c r="N780" i="23"/>
  <c r="N796" i="23"/>
  <c r="N812" i="23"/>
  <c r="N828" i="23"/>
  <c r="N844" i="23"/>
  <c r="N860" i="23"/>
  <c r="N876" i="23"/>
  <c r="N892" i="23"/>
  <c r="N908" i="23"/>
  <c r="N924" i="23"/>
  <c r="N940" i="23"/>
  <c r="N956" i="23"/>
  <c r="N972" i="23"/>
  <c r="N988" i="23"/>
  <c r="N1004" i="23"/>
  <c r="N1020" i="23"/>
  <c r="N1036" i="23"/>
  <c r="N1052" i="23"/>
  <c r="N1068" i="23"/>
  <c r="N1084" i="23"/>
  <c r="N1100" i="23"/>
  <c r="N1116" i="23"/>
  <c r="N1132" i="23"/>
  <c r="N1148" i="23"/>
  <c r="N1164" i="23"/>
  <c r="N1180" i="23"/>
  <c r="N1196" i="23"/>
  <c r="N1212" i="23"/>
  <c r="N1228" i="23"/>
  <c r="N1244" i="23"/>
  <c r="N1260" i="23"/>
  <c r="N1276" i="23"/>
  <c r="N1292" i="23"/>
  <c r="N1308" i="23"/>
  <c r="N1324" i="23"/>
  <c r="N1340" i="23"/>
  <c r="N24" i="23"/>
  <c r="N42" i="23"/>
  <c r="N61" i="23"/>
  <c r="N77" i="23"/>
  <c r="N93" i="23"/>
  <c r="N109" i="23"/>
  <c r="N125" i="23"/>
  <c r="N141" i="23"/>
  <c r="N157" i="23"/>
  <c r="N173" i="23"/>
  <c r="N189" i="23"/>
  <c r="N205" i="23"/>
  <c r="N221" i="23"/>
  <c r="N237" i="23"/>
  <c r="N253" i="23"/>
  <c r="N269" i="23"/>
  <c r="N285" i="23"/>
  <c r="N301" i="23"/>
  <c r="N317" i="23"/>
  <c r="N333" i="23"/>
  <c r="N349" i="23"/>
  <c r="N365" i="23"/>
  <c r="N381" i="23"/>
  <c r="N397" i="23"/>
  <c r="N413" i="23"/>
  <c r="N429" i="23"/>
  <c r="N445" i="23"/>
  <c r="N461" i="23"/>
  <c r="N477" i="23"/>
  <c r="N493" i="23"/>
  <c r="N509" i="23"/>
  <c r="N525" i="23"/>
  <c r="N541" i="23"/>
  <c r="N557" i="23"/>
  <c r="N573" i="23"/>
  <c r="N589" i="23"/>
  <c r="N605" i="23"/>
  <c r="N621" i="23"/>
  <c r="N637" i="23"/>
  <c r="N653" i="23"/>
  <c r="N669" i="23"/>
  <c r="N685" i="23"/>
  <c r="N701" i="23"/>
  <c r="N717" i="23"/>
  <c r="N733" i="23"/>
  <c r="N749" i="23"/>
  <c r="N765" i="23"/>
  <c r="N781" i="23"/>
  <c r="N797" i="23"/>
  <c r="N813" i="23"/>
  <c r="N829" i="23"/>
  <c r="N845" i="23"/>
  <c r="N861" i="23"/>
  <c r="N877" i="23"/>
  <c r="N893" i="23"/>
  <c r="N909" i="23"/>
  <c r="N925" i="23"/>
  <c r="N941" i="23"/>
  <c r="N957" i="23"/>
  <c r="N973" i="23"/>
  <c r="N989" i="23"/>
  <c r="N1005" i="23"/>
  <c r="N1021" i="23"/>
  <c r="N1037" i="23"/>
  <c r="N1053" i="23"/>
  <c r="N1069" i="23"/>
  <c r="N1085" i="23"/>
  <c r="N1101" i="23"/>
  <c r="N1117" i="23"/>
  <c r="N1133" i="23"/>
  <c r="N1149" i="23"/>
  <c r="N1165" i="23"/>
  <c r="N1181" i="23"/>
  <c r="N1197" i="23"/>
  <c r="N1213" i="23"/>
  <c r="N1229" i="23"/>
  <c r="N1245" i="23"/>
  <c r="N1261" i="23"/>
  <c r="N1277" i="23"/>
  <c r="N1293" i="23"/>
  <c r="N1309" i="23"/>
  <c r="N1325" i="23"/>
  <c r="N25" i="23"/>
  <c r="N44" i="23"/>
  <c r="N62" i="23"/>
  <c r="N78" i="23"/>
  <c r="N94" i="23"/>
  <c r="N110" i="23"/>
  <c r="N126" i="23"/>
  <c r="N142" i="23"/>
  <c r="N158" i="23"/>
  <c r="N174" i="23"/>
  <c r="N190" i="23"/>
  <c r="N206" i="23"/>
  <c r="N222" i="23"/>
  <c r="N238" i="23"/>
  <c r="N254" i="23"/>
  <c r="N270" i="23"/>
  <c r="N286" i="23"/>
  <c r="N302" i="23"/>
  <c r="N318" i="23"/>
  <c r="N334" i="23"/>
  <c r="N350" i="23"/>
  <c r="N366" i="23"/>
  <c r="N382" i="23"/>
  <c r="N398" i="23"/>
  <c r="N414" i="23"/>
  <c r="N430" i="23"/>
  <c r="N446" i="23"/>
  <c r="N462" i="23"/>
  <c r="N478" i="23"/>
  <c r="N494" i="23"/>
  <c r="N510" i="23"/>
  <c r="N526" i="23"/>
  <c r="N542" i="23"/>
  <c r="N558" i="23"/>
  <c r="N574" i="23"/>
  <c r="N590" i="23"/>
  <c r="N606" i="23"/>
  <c r="N622" i="23"/>
  <c r="N638" i="23"/>
  <c r="N654" i="23"/>
  <c r="N670" i="23"/>
  <c r="N686" i="23"/>
  <c r="N702" i="23"/>
  <c r="N718" i="23"/>
  <c r="N734" i="23"/>
  <c r="N750" i="23"/>
  <c r="N766" i="23"/>
  <c r="N782" i="23"/>
  <c r="N798" i="23"/>
  <c r="N814" i="23"/>
  <c r="N830" i="23"/>
  <c r="N846" i="23"/>
  <c r="N862" i="23"/>
  <c r="N878" i="23"/>
  <c r="N894" i="23"/>
  <c r="N910" i="23"/>
  <c r="N926" i="23"/>
  <c r="N942" i="23"/>
  <c r="N26" i="23"/>
  <c r="N45" i="23"/>
  <c r="N63" i="23"/>
  <c r="N79" i="23"/>
  <c r="N95" i="23"/>
  <c r="N111" i="23"/>
  <c r="N127" i="23"/>
  <c r="N143" i="23"/>
  <c r="N159" i="23"/>
  <c r="N175" i="23"/>
  <c r="N191" i="23"/>
  <c r="N207" i="23"/>
  <c r="N223" i="23"/>
  <c r="N239" i="23"/>
  <c r="N255" i="23"/>
  <c r="N271" i="23"/>
  <c r="N287" i="23"/>
  <c r="N303" i="23"/>
  <c r="N319" i="23"/>
  <c r="N335" i="23"/>
  <c r="N351" i="23"/>
  <c r="N367" i="23"/>
  <c r="N383" i="23"/>
  <c r="N399" i="23"/>
  <c r="N415" i="23"/>
  <c r="N431" i="23"/>
  <c r="N447" i="23"/>
  <c r="N463" i="23"/>
  <c r="N479" i="23"/>
  <c r="N495" i="23"/>
  <c r="N511" i="23"/>
  <c r="N527" i="23"/>
  <c r="N543" i="23"/>
  <c r="N559" i="23"/>
  <c r="N575" i="23"/>
  <c r="N591" i="23"/>
  <c r="N607" i="23"/>
  <c r="N623" i="23"/>
  <c r="N639" i="23"/>
  <c r="N655" i="23"/>
  <c r="N671" i="23"/>
  <c r="N687" i="23"/>
  <c r="N703" i="23"/>
  <c r="N719" i="23"/>
  <c r="N735" i="23"/>
  <c r="N751" i="23"/>
  <c r="N767" i="23"/>
  <c r="N783" i="23"/>
  <c r="N799" i="23"/>
  <c r="N815" i="23"/>
  <c r="N831" i="23"/>
  <c r="N847" i="23"/>
  <c r="N863" i="23"/>
  <c r="N879" i="23"/>
  <c r="N895" i="23"/>
  <c r="N911" i="23"/>
  <c r="N927" i="23"/>
  <c r="N943" i="23"/>
  <c r="N4" i="23"/>
  <c r="N28" i="23"/>
  <c r="N46" i="23"/>
  <c r="N64" i="23"/>
  <c r="N80" i="23"/>
  <c r="N96" i="23"/>
  <c r="N112" i="23"/>
  <c r="N128" i="23"/>
  <c r="N144" i="23"/>
  <c r="N160" i="23"/>
  <c r="N176" i="23"/>
  <c r="N192" i="23"/>
  <c r="N208" i="23"/>
  <c r="N224" i="23"/>
  <c r="N240" i="23"/>
  <c r="N256" i="23"/>
  <c r="N272" i="23"/>
  <c r="N288" i="23"/>
  <c r="N304" i="23"/>
  <c r="N320" i="23"/>
  <c r="N336" i="23"/>
  <c r="N352" i="23"/>
  <c r="N368" i="23"/>
  <c r="N384" i="23"/>
  <c r="N400" i="23"/>
  <c r="N416" i="23"/>
  <c r="N432" i="23"/>
  <c r="N448" i="23"/>
  <c r="N464" i="23"/>
  <c r="N480" i="23"/>
  <c r="N496" i="23"/>
  <c r="N512" i="23"/>
  <c r="N528" i="23"/>
  <c r="N544" i="23"/>
  <c r="N560" i="23"/>
  <c r="N576" i="23"/>
  <c r="N592" i="23"/>
  <c r="N608" i="23"/>
  <c r="N624" i="23"/>
  <c r="N640" i="23"/>
  <c r="N656" i="23"/>
  <c r="N672" i="23"/>
  <c r="N688" i="23"/>
  <c r="N704" i="23"/>
  <c r="N720" i="23"/>
  <c r="N736" i="23"/>
  <c r="N752" i="23"/>
  <c r="N768" i="23"/>
  <c r="N784" i="23"/>
  <c r="N800" i="23"/>
  <c r="N816" i="23"/>
  <c r="N832" i="23"/>
  <c r="N848" i="23"/>
  <c r="N864" i="23"/>
  <c r="N880" i="23"/>
  <c r="N896" i="23"/>
  <c r="N912" i="23"/>
  <c r="N6" i="23"/>
  <c r="N29" i="23"/>
  <c r="N47" i="23"/>
  <c r="N65" i="23"/>
  <c r="N81" i="23"/>
  <c r="N97" i="23"/>
  <c r="N113" i="23"/>
  <c r="N129" i="23"/>
  <c r="N145" i="23"/>
  <c r="N161" i="23"/>
  <c r="N177" i="23"/>
  <c r="N193" i="23"/>
  <c r="N209" i="23"/>
  <c r="N225" i="23"/>
  <c r="N241" i="23"/>
  <c r="N257" i="23"/>
  <c r="N273" i="23"/>
  <c r="N289" i="23"/>
  <c r="N305" i="23"/>
  <c r="N321" i="23"/>
  <c r="N337" i="23"/>
  <c r="N353" i="23"/>
  <c r="N369" i="23"/>
  <c r="N385" i="23"/>
  <c r="N401" i="23"/>
  <c r="N417" i="23"/>
  <c r="N433" i="23"/>
  <c r="N449" i="23"/>
  <c r="N465" i="23"/>
  <c r="N481" i="23"/>
  <c r="N497" i="23"/>
  <c r="N513" i="23"/>
  <c r="N529" i="23"/>
  <c r="N545" i="23"/>
  <c r="N561" i="23"/>
  <c r="N577" i="23"/>
  <c r="N593" i="23"/>
  <c r="N609" i="23"/>
  <c r="N625" i="23"/>
  <c r="N641" i="23"/>
  <c r="N657" i="23"/>
  <c r="N673" i="23"/>
  <c r="N689" i="23"/>
  <c r="N705" i="23"/>
  <c r="N721" i="23"/>
  <c r="N737" i="23"/>
  <c r="N753" i="23"/>
  <c r="N769" i="23"/>
  <c r="N785" i="23"/>
  <c r="N801" i="23"/>
  <c r="N817" i="23"/>
  <c r="N833" i="23"/>
  <c r="N849" i="23"/>
  <c r="N865" i="23"/>
  <c r="N881" i="23"/>
  <c r="N897" i="23"/>
  <c r="N913" i="23"/>
  <c r="N929" i="23"/>
  <c r="N9" i="23"/>
  <c r="N30" i="23"/>
  <c r="N48" i="23"/>
  <c r="N66" i="23"/>
  <c r="N82" i="23"/>
  <c r="N98" i="23"/>
  <c r="N114" i="23"/>
  <c r="N130" i="23"/>
  <c r="N146" i="23"/>
  <c r="N162" i="23"/>
  <c r="N178" i="23"/>
  <c r="N194" i="23"/>
  <c r="N210" i="23"/>
  <c r="N226" i="23"/>
  <c r="N242" i="23"/>
  <c r="N258" i="23"/>
  <c r="N274" i="23"/>
  <c r="N290" i="23"/>
  <c r="N306" i="23"/>
  <c r="N322" i="23"/>
  <c r="N338" i="23"/>
  <c r="N354" i="23"/>
  <c r="N370" i="23"/>
  <c r="N386" i="23"/>
  <c r="N402" i="23"/>
  <c r="N418" i="23"/>
  <c r="N434" i="23"/>
  <c r="N450" i="23"/>
  <c r="N466" i="23"/>
  <c r="N482" i="23"/>
  <c r="N498" i="23"/>
  <c r="N514" i="23"/>
  <c r="N530" i="23"/>
  <c r="N546" i="23"/>
  <c r="N562" i="23"/>
  <c r="N578" i="23"/>
  <c r="N594" i="23"/>
  <c r="N610" i="23"/>
  <c r="N626" i="23"/>
  <c r="N642" i="23"/>
  <c r="N658" i="23"/>
  <c r="N674" i="23"/>
  <c r="N690" i="23"/>
  <c r="N706" i="23"/>
  <c r="N722" i="23"/>
  <c r="N738" i="23"/>
  <c r="N754" i="23"/>
  <c r="N770" i="23"/>
  <c r="N786" i="23"/>
  <c r="N802" i="23"/>
  <c r="N818" i="23"/>
  <c r="N834" i="23"/>
  <c r="N850" i="23"/>
  <c r="N866" i="23"/>
  <c r="N882" i="23"/>
  <c r="N898" i="23"/>
  <c r="N914" i="23"/>
  <c r="N930" i="23"/>
  <c r="N946" i="23"/>
  <c r="N12" i="23"/>
  <c r="N31" i="23"/>
  <c r="N49" i="23"/>
  <c r="N67" i="23"/>
  <c r="N83" i="23"/>
  <c r="N99" i="23"/>
  <c r="N115" i="23"/>
  <c r="N131" i="23"/>
  <c r="N147" i="23"/>
  <c r="N163" i="23"/>
  <c r="N179" i="23"/>
  <c r="N195" i="23"/>
  <c r="N211" i="23"/>
  <c r="N227" i="23"/>
  <c r="N243" i="23"/>
  <c r="N259" i="23"/>
  <c r="N275" i="23"/>
  <c r="N291" i="23"/>
  <c r="N307" i="23"/>
  <c r="N323" i="23"/>
  <c r="N339" i="23"/>
  <c r="N355" i="23"/>
  <c r="N371" i="23"/>
  <c r="N387" i="23"/>
  <c r="N403" i="23"/>
  <c r="N419" i="23"/>
  <c r="N435" i="23"/>
  <c r="N451" i="23"/>
  <c r="N467" i="23"/>
  <c r="N483" i="23"/>
  <c r="N499" i="23"/>
  <c r="N515" i="23"/>
  <c r="N531" i="23"/>
  <c r="N547" i="23"/>
  <c r="N563" i="23"/>
  <c r="N579" i="23"/>
  <c r="N595" i="23"/>
  <c r="N611" i="23"/>
  <c r="N627" i="23"/>
  <c r="N643" i="23"/>
  <c r="N659" i="23"/>
  <c r="N675" i="23"/>
  <c r="N691" i="23"/>
  <c r="N707" i="23"/>
  <c r="N723" i="23"/>
  <c r="N739" i="23"/>
  <c r="N755" i="23"/>
  <c r="N771" i="23"/>
  <c r="N787" i="23"/>
  <c r="N803" i="23"/>
  <c r="N819" i="23"/>
  <c r="N835" i="23"/>
  <c r="N851" i="23"/>
  <c r="N867" i="23"/>
  <c r="N883" i="23"/>
  <c r="N899" i="23"/>
  <c r="N915" i="23"/>
  <c r="N931" i="23"/>
  <c r="N13" i="23"/>
  <c r="N32" i="23"/>
  <c r="N50" i="23"/>
  <c r="N68" i="23"/>
  <c r="N84" i="23"/>
  <c r="N100" i="23"/>
  <c r="N116" i="23"/>
  <c r="N132" i="23"/>
  <c r="N148" i="23"/>
  <c r="N164" i="23"/>
  <c r="N180" i="23"/>
  <c r="N196" i="23"/>
  <c r="N212" i="23"/>
  <c r="N228" i="23"/>
  <c r="N244" i="23"/>
  <c r="N260" i="23"/>
  <c r="N276" i="23"/>
  <c r="N292" i="23"/>
  <c r="N308" i="23"/>
  <c r="N324" i="23"/>
  <c r="N340" i="23"/>
  <c r="N356" i="23"/>
  <c r="N372" i="23"/>
  <c r="N388" i="23"/>
  <c r="N404" i="23"/>
  <c r="N420" i="23"/>
  <c r="N436" i="23"/>
  <c r="N452" i="23"/>
  <c r="N468" i="23"/>
  <c r="N484" i="23"/>
  <c r="N500" i="23"/>
  <c r="N516" i="23"/>
  <c r="N532" i="23"/>
  <c r="N548" i="23"/>
  <c r="N564" i="23"/>
  <c r="N580" i="23"/>
  <c r="N596" i="23"/>
  <c r="N612" i="23"/>
  <c r="N628" i="23"/>
  <c r="N644" i="23"/>
  <c r="N660" i="23"/>
  <c r="N676" i="23"/>
  <c r="N692" i="23"/>
  <c r="N708" i="23"/>
  <c r="N724" i="23"/>
  <c r="N740" i="23"/>
  <c r="N756" i="23"/>
  <c r="N772" i="23"/>
  <c r="N788" i="23"/>
  <c r="N804" i="23"/>
  <c r="N820" i="23"/>
  <c r="N836" i="23"/>
  <c r="N852" i="23"/>
  <c r="N868" i="23"/>
  <c r="N884" i="23"/>
  <c r="N900" i="23"/>
  <c r="N916" i="23"/>
  <c r="N932" i="23"/>
  <c r="N14" i="23"/>
  <c r="N33" i="23"/>
  <c r="N51" i="23"/>
  <c r="N69" i="23"/>
  <c r="N85" i="23"/>
  <c r="N101" i="23"/>
  <c r="N117" i="23"/>
  <c r="N133" i="23"/>
  <c r="N149" i="23"/>
  <c r="N165" i="23"/>
  <c r="N181" i="23"/>
  <c r="N197" i="23"/>
  <c r="N213" i="23"/>
  <c r="N229" i="23"/>
  <c r="N245" i="23"/>
  <c r="N261" i="23"/>
  <c r="N277" i="23"/>
  <c r="N293" i="23"/>
  <c r="N309" i="23"/>
  <c r="N325" i="23"/>
  <c r="N341" i="23"/>
  <c r="N357" i="23"/>
  <c r="N373" i="23"/>
  <c r="N389" i="23"/>
  <c r="N405" i="23"/>
  <c r="N421" i="23"/>
  <c r="N437" i="23"/>
  <c r="N453" i="23"/>
  <c r="N469" i="23"/>
  <c r="N485" i="23"/>
  <c r="N501" i="23"/>
  <c r="N517" i="23"/>
  <c r="N533" i="23"/>
  <c r="N549" i="23"/>
  <c r="N565" i="23"/>
  <c r="N581" i="23"/>
  <c r="N597" i="23"/>
  <c r="N613" i="23"/>
  <c r="N629" i="23"/>
  <c r="N645" i="23"/>
  <c r="N661" i="23"/>
  <c r="N677" i="23"/>
  <c r="N693" i="23"/>
  <c r="N709" i="23"/>
  <c r="N725" i="23"/>
  <c r="N741" i="23"/>
  <c r="N757" i="23"/>
  <c r="N773" i="23"/>
  <c r="N789" i="23"/>
  <c r="N805" i="23"/>
  <c r="N821" i="23"/>
  <c r="N837" i="23"/>
  <c r="N853" i="23"/>
  <c r="N869" i="23"/>
  <c r="N885" i="23"/>
  <c r="N901" i="23"/>
  <c r="N917" i="23"/>
  <c r="N933" i="23"/>
  <c r="N949" i="23"/>
  <c r="N965" i="23"/>
  <c r="N981" i="23"/>
  <c r="N997" i="23"/>
  <c r="N1013" i="23"/>
  <c r="N1029" i="23"/>
  <c r="N1045" i="23"/>
  <c r="N1061" i="23"/>
  <c r="N1077" i="23"/>
  <c r="N1093" i="23"/>
  <c r="N1109" i="23"/>
  <c r="N1125" i="23"/>
  <c r="N1141" i="23"/>
  <c r="N1157" i="23"/>
  <c r="N1173" i="23"/>
  <c r="N1189" i="23"/>
  <c r="N1205" i="23"/>
  <c r="N1221" i="23"/>
  <c r="N1237" i="23"/>
  <c r="N1253" i="23"/>
  <c r="N1269" i="23"/>
  <c r="N1285" i="23"/>
  <c r="N1301" i="23"/>
  <c r="N15" i="23"/>
  <c r="N34" i="23"/>
  <c r="N52" i="23"/>
  <c r="N70" i="23"/>
  <c r="N86" i="23"/>
  <c r="N102" i="23"/>
  <c r="N118" i="23"/>
  <c r="N134" i="23"/>
  <c r="N150" i="23"/>
  <c r="N166" i="23"/>
  <c r="N182" i="23"/>
  <c r="N198" i="23"/>
  <c r="N214" i="23"/>
  <c r="N230" i="23"/>
  <c r="N246" i="23"/>
  <c r="N262" i="23"/>
  <c r="N278" i="23"/>
  <c r="N294" i="23"/>
  <c r="N310" i="23"/>
  <c r="N326" i="23"/>
  <c r="N342" i="23"/>
  <c r="N358" i="23"/>
  <c r="N374" i="23"/>
  <c r="N390" i="23"/>
  <c r="N406" i="23"/>
  <c r="N422" i="23"/>
  <c r="N438" i="23"/>
  <c r="N454" i="23"/>
  <c r="N470" i="23"/>
  <c r="N486" i="23"/>
  <c r="N502" i="23"/>
  <c r="N518" i="23"/>
  <c r="N534" i="23"/>
  <c r="N550" i="23"/>
  <c r="N566" i="23"/>
  <c r="N582" i="23"/>
  <c r="N598" i="23"/>
  <c r="N614" i="23"/>
  <c r="N630" i="23"/>
  <c r="N646" i="23"/>
  <c r="N662" i="23"/>
  <c r="N678" i="23"/>
  <c r="N694" i="23"/>
  <c r="N710" i="23"/>
  <c r="N726" i="23"/>
  <c r="N742" i="23"/>
  <c r="N758" i="23"/>
  <c r="N774" i="23"/>
  <c r="N790" i="23"/>
  <c r="N806" i="23"/>
  <c r="N822" i="23"/>
  <c r="N838" i="23"/>
  <c r="N854" i="23"/>
  <c r="N870" i="23"/>
  <c r="N886" i="23"/>
  <c r="N902" i="23"/>
  <c r="N918" i="23"/>
  <c r="N934" i="23"/>
  <c r="N950" i="23"/>
  <c r="N966" i="23"/>
  <c r="N982" i="23"/>
  <c r="N998" i="23"/>
  <c r="N1014" i="23"/>
  <c r="N1030" i="23"/>
  <c r="N1046" i="23"/>
  <c r="N1062" i="23"/>
  <c r="N1078" i="23"/>
  <c r="N1094" i="23"/>
  <c r="N1110" i="23"/>
  <c r="N1126" i="23"/>
  <c r="N1142" i="23"/>
  <c r="N1158" i="23"/>
  <c r="N1174" i="23"/>
  <c r="N1190" i="23"/>
  <c r="N1206" i="23"/>
  <c r="N1222" i="23"/>
  <c r="N1238" i="23"/>
  <c r="N1254" i="23"/>
  <c r="N1270" i="23"/>
  <c r="N1286" i="23"/>
  <c r="N1302" i="23"/>
  <c r="N1318" i="23"/>
  <c r="N1334" i="23"/>
  <c r="N1350" i="23"/>
  <c r="N1366" i="23"/>
  <c r="N16" i="23"/>
  <c r="N35" i="23"/>
  <c r="N53" i="23"/>
  <c r="N71" i="23"/>
  <c r="N87" i="23"/>
  <c r="N103" i="23"/>
  <c r="N119" i="23"/>
  <c r="N135" i="23"/>
  <c r="N151" i="23"/>
  <c r="N167" i="23"/>
  <c r="N183" i="23"/>
  <c r="N199" i="23"/>
  <c r="N215" i="23"/>
  <c r="N231" i="23"/>
  <c r="N247" i="23"/>
  <c r="N263" i="23"/>
  <c r="N279" i="23"/>
  <c r="N295" i="23"/>
  <c r="N311" i="23"/>
  <c r="N327" i="23"/>
  <c r="N343" i="23"/>
  <c r="N359" i="23"/>
  <c r="N375" i="23"/>
  <c r="N391" i="23"/>
  <c r="N407" i="23"/>
  <c r="N423" i="23"/>
  <c r="N439" i="23"/>
  <c r="N455" i="23"/>
  <c r="N471" i="23"/>
  <c r="N487" i="23"/>
  <c r="N503" i="23"/>
  <c r="N519" i="23"/>
  <c r="N535" i="23"/>
  <c r="N551" i="23"/>
  <c r="N567" i="23"/>
  <c r="N583" i="23"/>
  <c r="N599" i="23"/>
  <c r="N615" i="23"/>
  <c r="N631" i="23"/>
  <c r="N647" i="23"/>
  <c r="N663" i="23"/>
  <c r="N679" i="23"/>
  <c r="N695" i="23"/>
  <c r="N711" i="23"/>
  <c r="N727" i="23"/>
  <c r="N743" i="23"/>
  <c r="N759" i="23"/>
  <c r="N775" i="23"/>
  <c r="N791" i="23"/>
  <c r="N807" i="23"/>
  <c r="N823" i="23"/>
  <c r="N839" i="23"/>
  <c r="N855" i="23"/>
  <c r="N871" i="23"/>
  <c r="N887" i="23"/>
  <c r="N903" i="23"/>
  <c r="N919" i="23"/>
  <c r="N935" i="23"/>
  <c r="N951" i="23"/>
  <c r="N967" i="23"/>
  <c r="N983" i="23"/>
  <c r="N999" i="23"/>
  <c r="N1015" i="23"/>
  <c r="N1031" i="23"/>
  <c r="N1047" i="23"/>
  <c r="N1063" i="23"/>
  <c r="N1079" i="23"/>
  <c r="N1095" i="23"/>
  <c r="N1111" i="23"/>
  <c r="N1127" i="23"/>
  <c r="N1143" i="23"/>
  <c r="N1159" i="23"/>
  <c r="N1175" i="23"/>
  <c r="N1191" i="23"/>
  <c r="N1207" i="23"/>
  <c r="N1223" i="23"/>
  <c r="N1239" i="23"/>
  <c r="N1255" i="23"/>
  <c r="N1271" i="23"/>
  <c r="N1287" i="23"/>
  <c r="N1303" i="23"/>
  <c r="N1319" i="23"/>
  <c r="N1335" i="23"/>
  <c r="N17" i="23"/>
  <c r="N36" i="23"/>
  <c r="N54" i="23"/>
  <c r="N72" i="23"/>
  <c r="N88" i="23"/>
  <c r="N104" i="23"/>
  <c r="N120" i="23"/>
  <c r="N136" i="23"/>
  <c r="N152" i="23"/>
  <c r="N168" i="23"/>
  <c r="N184" i="23"/>
  <c r="N200" i="23"/>
  <c r="N216" i="23"/>
  <c r="N232" i="23"/>
  <c r="N248" i="23"/>
  <c r="N264" i="23"/>
  <c r="N280" i="23"/>
  <c r="N296" i="23"/>
  <c r="N312" i="23"/>
  <c r="N328" i="23"/>
  <c r="N344" i="23"/>
  <c r="N360" i="23"/>
  <c r="N376" i="23"/>
  <c r="N392" i="23"/>
  <c r="N408" i="23"/>
  <c r="N424" i="23"/>
  <c r="N440" i="23"/>
  <c r="N456" i="23"/>
  <c r="N472" i="23"/>
  <c r="N488" i="23"/>
  <c r="N504" i="23"/>
  <c r="N520" i="23"/>
  <c r="N536" i="23"/>
  <c r="N552" i="23"/>
  <c r="N568" i="23"/>
  <c r="N584" i="23"/>
  <c r="N600" i="23"/>
  <c r="N616" i="23"/>
  <c r="N632" i="23"/>
  <c r="N648" i="23"/>
  <c r="N664" i="23"/>
  <c r="N680" i="23"/>
  <c r="N696" i="23"/>
  <c r="N712" i="23"/>
  <c r="N728" i="23"/>
  <c r="N744" i="23"/>
  <c r="N760" i="23"/>
  <c r="N776" i="23"/>
  <c r="N792" i="23"/>
  <c r="N808" i="23"/>
  <c r="N824" i="23"/>
  <c r="N840" i="23"/>
  <c r="N856" i="23"/>
  <c r="N872" i="23"/>
  <c r="N888" i="23"/>
  <c r="N904" i="23"/>
  <c r="N920" i="23"/>
  <c r="N936" i="23"/>
  <c r="N952" i="23"/>
  <c r="N968" i="23"/>
  <c r="N984" i="23"/>
  <c r="N1000" i="23"/>
  <c r="N1016" i="23"/>
  <c r="N1032" i="23"/>
  <c r="N1048" i="23"/>
  <c r="N1064" i="23"/>
  <c r="N1080" i="23"/>
  <c r="N1096" i="23"/>
  <c r="N1112" i="23"/>
  <c r="N1128" i="23"/>
  <c r="N1144" i="23"/>
  <c r="N1160" i="23"/>
  <c r="N1176" i="23"/>
  <c r="N1192" i="23"/>
  <c r="N1208" i="23"/>
  <c r="N1224" i="23"/>
  <c r="N1240" i="23"/>
  <c r="N1256" i="23"/>
  <c r="N1272" i="23"/>
  <c r="N1288" i="23"/>
  <c r="N1304" i="23"/>
  <c r="N1320" i="23"/>
  <c r="N1336" i="23"/>
  <c r="N1352" i="23"/>
  <c r="N1368" i="23"/>
  <c r="N1384" i="23"/>
  <c r="N18" i="23"/>
  <c r="N37" i="23"/>
  <c r="N56" i="23"/>
  <c r="N73" i="23"/>
  <c r="N89" i="23"/>
  <c r="N105" i="23"/>
  <c r="N121" i="23"/>
  <c r="N137" i="23"/>
  <c r="N153" i="23"/>
  <c r="N169" i="23"/>
  <c r="N185" i="23"/>
  <c r="N201" i="23"/>
  <c r="N217" i="23"/>
  <c r="N233" i="23"/>
  <c r="N249" i="23"/>
  <c r="N265" i="23"/>
  <c r="N281" i="23"/>
  <c r="N297" i="23"/>
  <c r="N313" i="23"/>
  <c r="N329" i="23"/>
  <c r="N345" i="23"/>
  <c r="N361" i="23"/>
  <c r="N377" i="23"/>
  <c r="N393" i="23"/>
  <c r="N409" i="23"/>
  <c r="N425" i="23"/>
  <c r="N441" i="23"/>
  <c r="N457" i="23"/>
  <c r="N473" i="23"/>
  <c r="N489" i="23"/>
  <c r="N505" i="23"/>
  <c r="N521" i="23"/>
  <c r="N537" i="23"/>
  <c r="N553" i="23"/>
  <c r="N569" i="23"/>
  <c r="N585" i="23"/>
  <c r="N601" i="23"/>
  <c r="N617" i="23"/>
  <c r="N633" i="23"/>
  <c r="N649" i="23"/>
  <c r="N665" i="23"/>
  <c r="N681" i="23"/>
  <c r="N697" i="23"/>
  <c r="N713" i="23"/>
  <c r="N729" i="23"/>
  <c r="N745" i="23"/>
  <c r="N761" i="23"/>
  <c r="N777" i="23"/>
  <c r="N793" i="23"/>
  <c r="N809" i="23"/>
  <c r="N825" i="23"/>
  <c r="N841" i="23"/>
  <c r="N857" i="23"/>
  <c r="N873" i="23"/>
  <c r="N889" i="23"/>
  <c r="N905" i="23"/>
  <c r="N921" i="23"/>
  <c r="N937" i="23"/>
  <c r="N953" i="23"/>
  <c r="N969" i="23"/>
  <c r="N985" i="23"/>
  <c r="N1001" i="23"/>
  <c r="N20" i="23"/>
  <c r="N38" i="23"/>
  <c r="N57" i="23"/>
  <c r="N74" i="23"/>
  <c r="N90" i="23"/>
  <c r="N106" i="23"/>
  <c r="N122" i="23"/>
  <c r="N138" i="23"/>
  <c r="N154" i="23"/>
  <c r="N170" i="23"/>
  <c r="N186" i="23"/>
  <c r="N202" i="23"/>
  <c r="N218" i="23"/>
  <c r="N234" i="23"/>
  <c r="N250" i="23"/>
  <c r="N266" i="23"/>
  <c r="N282" i="23"/>
  <c r="N298" i="23"/>
  <c r="N314" i="23"/>
  <c r="N330" i="23"/>
  <c r="N346" i="23"/>
  <c r="N362" i="23"/>
  <c r="N378" i="23"/>
  <c r="N394" i="23"/>
  <c r="N410" i="23"/>
  <c r="N426" i="23"/>
  <c r="N442" i="23"/>
  <c r="N458" i="23"/>
  <c r="N474" i="23"/>
  <c r="N490" i="23"/>
  <c r="N506" i="23"/>
  <c r="N522" i="23"/>
  <c r="N538" i="23"/>
  <c r="N554" i="23"/>
  <c r="N570" i="23"/>
  <c r="N586" i="23"/>
  <c r="N602" i="23"/>
  <c r="N618" i="23"/>
  <c r="N634" i="23"/>
  <c r="N650" i="23"/>
  <c r="N666" i="23"/>
  <c r="N682" i="23"/>
  <c r="N698" i="23"/>
  <c r="N714" i="23"/>
  <c r="N730" i="23"/>
  <c r="N746" i="23"/>
  <c r="N762" i="23"/>
  <c r="N778" i="23"/>
  <c r="N794" i="23"/>
  <c r="N810" i="23"/>
  <c r="N826" i="23"/>
  <c r="N842" i="23"/>
  <c r="N858" i="23"/>
  <c r="N874" i="23"/>
  <c r="N890" i="23"/>
  <c r="N906" i="23"/>
  <c r="N922" i="23"/>
  <c r="N938" i="23"/>
  <c r="N954" i="23"/>
  <c r="N970" i="23"/>
  <c r="N986" i="23"/>
  <c r="N1002" i="23"/>
  <c r="N1018" i="23"/>
  <c r="N1034" i="23"/>
  <c r="N1050" i="23"/>
  <c r="N1066" i="23"/>
  <c r="N1082" i="23"/>
  <c r="N1098" i="23"/>
  <c r="N1114" i="23"/>
  <c r="N1130" i="23"/>
  <c r="N1146" i="23"/>
  <c r="N1162" i="23"/>
  <c r="N1178" i="23"/>
  <c r="N1194" i="23"/>
  <c r="N1210" i="23"/>
  <c r="N1226" i="23"/>
  <c r="N1242" i="23"/>
  <c r="N1258" i="23"/>
  <c r="N1274" i="23"/>
  <c r="N1290" i="23"/>
  <c r="N1306" i="23"/>
  <c r="N1322" i="23"/>
  <c r="N1338" i="23"/>
  <c r="N1354" i="23"/>
  <c r="N1370" i="23"/>
  <c r="N1386" i="23"/>
  <c r="N1402" i="23"/>
  <c r="N1418" i="23"/>
  <c r="N1434" i="23"/>
  <c r="N958" i="23"/>
  <c r="N992" i="23"/>
  <c r="N1025" i="23"/>
  <c r="N1057" i="23"/>
  <c r="N1089" i="23"/>
  <c r="N1121" i="23"/>
  <c r="N1153" i="23"/>
  <c r="N1185" i="23"/>
  <c r="N1217" i="23"/>
  <c r="N1249" i="23"/>
  <c r="N1281" i="23"/>
  <c r="N1312" i="23"/>
  <c r="N1337" i="23"/>
  <c r="N1358" i="23"/>
  <c r="N1377" i="23"/>
  <c r="N1395" i="23"/>
  <c r="N1412" i="23"/>
  <c r="N1429" i="23"/>
  <c r="N1446" i="23"/>
  <c r="N1462" i="23"/>
  <c r="N1478" i="23"/>
  <c r="N1494" i="23"/>
  <c r="N1510" i="23"/>
  <c r="N1526" i="23"/>
  <c r="N1542" i="23"/>
  <c r="N1558" i="23"/>
  <c r="N1574" i="23"/>
  <c r="N1590" i="23"/>
  <c r="N1606" i="23"/>
  <c r="N1622" i="23"/>
  <c r="N1638" i="23"/>
  <c r="N1654" i="23"/>
  <c r="N1670" i="23"/>
  <c r="N1686" i="23"/>
  <c r="N1702" i="23"/>
  <c r="N1718" i="23"/>
  <c r="N1734" i="23"/>
  <c r="N1750" i="23"/>
  <c r="N1766" i="23"/>
  <c r="N959" i="23"/>
  <c r="N993" i="23"/>
  <c r="N1026" i="23"/>
  <c r="N1058" i="23"/>
  <c r="N1090" i="23"/>
  <c r="N1122" i="23"/>
  <c r="N1154" i="23"/>
  <c r="N1186" i="23"/>
  <c r="N1218" i="23"/>
  <c r="N1250" i="23"/>
  <c r="N1282" i="23"/>
  <c r="N1313" i="23"/>
  <c r="N1339" i="23"/>
  <c r="N1359" i="23"/>
  <c r="N1378" i="23"/>
  <c r="N1396" i="23"/>
  <c r="N1413" i="23"/>
  <c r="N1430" i="23"/>
  <c r="N1447" i="23"/>
  <c r="N1463" i="23"/>
  <c r="N1479" i="23"/>
  <c r="N1495" i="23"/>
  <c r="N1511" i="23"/>
  <c r="N1527" i="23"/>
  <c r="N1543" i="23"/>
  <c r="N1559" i="23"/>
  <c r="N1575" i="23"/>
  <c r="N960" i="23"/>
  <c r="N994" i="23"/>
  <c r="N1027" i="23"/>
  <c r="N1059" i="23"/>
  <c r="N1091" i="23"/>
  <c r="N1123" i="23"/>
  <c r="N1155" i="23"/>
  <c r="N1187" i="23"/>
  <c r="N1219" i="23"/>
  <c r="N1251" i="23"/>
  <c r="N1283" i="23"/>
  <c r="N1314" i="23"/>
  <c r="N1341" i="23"/>
  <c r="N1360" i="23"/>
  <c r="N1379" i="23"/>
  <c r="N1397" i="23"/>
  <c r="N1414" i="23"/>
  <c r="N1431" i="23"/>
  <c r="N1448" i="23"/>
  <c r="N1464" i="23"/>
  <c r="N1480" i="23"/>
  <c r="N1496" i="23"/>
  <c r="N1512" i="23"/>
  <c r="N1528" i="23"/>
  <c r="N1544" i="23"/>
  <c r="N1560" i="23"/>
  <c r="N1576" i="23"/>
  <c r="N1592" i="23"/>
  <c r="N1608" i="23"/>
  <c r="N1624" i="23"/>
  <c r="N1640" i="23"/>
  <c r="N1656" i="23"/>
  <c r="N1672" i="23"/>
  <c r="N1688" i="23"/>
  <c r="N1704" i="23"/>
  <c r="N1720" i="23"/>
  <c r="N1736" i="23"/>
  <c r="N1752" i="23"/>
  <c r="N961" i="23"/>
  <c r="N995" i="23"/>
  <c r="N1028" i="23"/>
  <c r="N1060" i="23"/>
  <c r="N1092" i="23"/>
  <c r="N1124" i="23"/>
  <c r="N1156" i="23"/>
  <c r="N1188" i="23"/>
  <c r="N1220" i="23"/>
  <c r="N1252" i="23"/>
  <c r="N1284" i="23"/>
  <c r="N1315" i="23"/>
  <c r="N1342" i="23"/>
  <c r="N1361" i="23"/>
  <c r="N1380" i="23"/>
  <c r="N1398" i="23"/>
  <c r="N1415" i="23"/>
  <c r="N1432" i="23"/>
  <c r="N1449" i="23"/>
  <c r="N1465" i="23"/>
  <c r="N1481" i="23"/>
  <c r="N1497" i="23"/>
  <c r="N1513" i="23"/>
  <c r="N1529" i="23"/>
  <c r="N1545" i="23"/>
  <c r="N1561" i="23"/>
  <c r="N1577" i="23"/>
  <c r="N962" i="23"/>
  <c r="N996" i="23"/>
  <c r="N1033" i="23"/>
  <c r="N1065" i="23"/>
  <c r="N1097" i="23"/>
  <c r="N1129" i="23"/>
  <c r="N1161" i="23"/>
  <c r="N1193" i="23"/>
  <c r="N1225" i="23"/>
  <c r="N1257" i="23"/>
  <c r="N1289" i="23"/>
  <c r="N1316" i="23"/>
  <c r="N1343" i="23"/>
  <c r="N1362" i="23"/>
  <c r="N1381" i="23"/>
  <c r="N1399" i="23"/>
  <c r="N1416" i="23"/>
  <c r="N1433" i="23"/>
  <c r="N1450" i="23"/>
  <c r="N1466" i="23"/>
  <c r="N1482" i="23"/>
  <c r="N1498" i="23"/>
  <c r="N1514" i="23"/>
  <c r="N1530" i="23"/>
  <c r="N1546" i="23"/>
  <c r="N1562" i="23"/>
  <c r="N1578" i="23"/>
  <c r="N963" i="23"/>
  <c r="N1006" i="23"/>
  <c r="N1038" i="23"/>
  <c r="N1070" i="23"/>
  <c r="N1102" i="23"/>
  <c r="N1134" i="23"/>
  <c r="N1166" i="23"/>
  <c r="N1198" i="23"/>
  <c r="N1230" i="23"/>
  <c r="N1262" i="23"/>
  <c r="N1294" i="23"/>
  <c r="N1317" i="23"/>
  <c r="N1344" i="23"/>
  <c r="N1363" i="23"/>
  <c r="N1382" i="23"/>
  <c r="N1400" i="23"/>
  <c r="N1417" i="23"/>
  <c r="N1435" i="23"/>
  <c r="N1451" i="23"/>
  <c r="N1467" i="23"/>
  <c r="N1483" i="23"/>
  <c r="N1499" i="23"/>
  <c r="N1515" i="23"/>
  <c r="N1531" i="23"/>
  <c r="N1547" i="23"/>
  <c r="N1563" i="23"/>
  <c r="N1579" i="23"/>
  <c r="N964" i="23"/>
  <c r="N1007" i="23"/>
  <c r="N1039" i="23"/>
  <c r="N1071" i="23"/>
  <c r="N1103" i="23"/>
  <c r="N1135" i="23"/>
  <c r="N1167" i="23"/>
  <c r="N1199" i="23"/>
  <c r="N1231" i="23"/>
  <c r="N1263" i="23"/>
  <c r="N1295" i="23"/>
  <c r="N1321" i="23"/>
  <c r="N1345" i="23"/>
  <c r="N1364" i="23"/>
  <c r="N1383" i="23"/>
  <c r="N1401" i="23"/>
  <c r="N1419" i="23"/>
  <c r="N1436" i="23"/>
  <c r="N1452" i="23"/>
  <c r="N1468" i="23"/>
  <c r="N1484" i="23"/>
  <c r="N1500" i="23"/>
  <c r="N1516" i="23"/>
  <c r="N1532" i="23"/>
  <c r="N1548" i="23"/>
  <c r="N1564" i="23"/>
  <c r="N1580" i="23"/>
  <c r="N1596" i="23"/>
  <c r="N1612" i="23"/>
  <c r="N1628" i="23"/>
  <c r="N1644" i="23"/>
  <c r="N1660" i="23"/>
  <c r="N1676" i="23"/>
  <c r="N1692" i="23"/>
  <c r="N1708" i="23"/>
  <c r="N1724" i="23"/>
  <c r="N1740" i="23"/>
  <c r="N1756" i="23"/>
  <c r="N974" i="23"/>
  <c r="N1008" i="23"/>
  <c r="N1040" i="23"/>
  <c r="N1072" i="23"/>
  <c r="N1104" i="23"/>
  <c r="N1136" i="23"/>
  <c r="N1168" i="23"/>
  <c r="N1200" i="23"/>
  <c r="N1232" i="23"/>
  <c r="N1264" i="23"/>
  <c r="N1296" i="23"/>
  <c r="N1323" i="23"/>
  <c r="N1346" i="23"/>
  <c r="N1365" i="23"/>
  <c r="N1385" i="23"/>
  <c r="N1403" i="23"/>
  <c r="N1420" i="23"/>
  <c r="N1437" i="23"/>
  <c r="N1453" i="23"/>
  <c r="N1469" i="23"/>
  <c r="N1485" i="23"/>
  <c r="N1501" i="23"/>
  <c r="N1517" i="23"/>
  <c r="N1533" i="23"/>
  <c r="N1549" i="23"/>
  <c r="N1565" i="23"/>
  <c r="N1581" i="23"/>
  <c r="N1597" i="23"/>
  <c r="N975" i="23"/>
  <c r="N1009" i="23"/>
  <c r="N1041" i="23"/>
  <c r="N1073" i="23"/>
  <c r="N1105" i="23"/>
  <c r="N1137" i="23"/>
  <c r="N1169" i="23"/>
  <c r="N1201" i="23"/>
  <c r="N1233" i="23"/>
  <c r="N1265" i="23"/>
  <c r="N1297" i="23"/>
  <c r="N1326" i="23"/>
  <c r="N1347" i="23"/>
  <c r="N1367" i="23"/>
  <c r="N1387" i="23"/>
  <c r="N1404" i="23"/>
  <c r="N1421" i="23"/>
  <c r="N1438" i="23"/>
  <c r="N1454" i="23"/>
  <c r="N1470" i="23"/>
  <c r="N1486" i="23"/>
  <c r="N1502" i="23"/>
  <c r="N1518" i="23"/>
  <c r="N1534" i="23"/>
  <c r="N1550" i="23"/>
  <c r="N1566" i="23"/>
  <c r="N1582" i="23"/>
  <c r="N1598" i="23"/>
  <c r="N1614" i="23"/>
  <c r="N976" i="23"/>
  <c r="N1010" i="23"/>
  <c r="N1042" i="23"/>
  <c r="N1074" i="23"/>
  <c r="N1106" i="23"/>
  <c r="N1138" i="23"/>
  <c r="N1170" i="23"/>
  <c r="N1202" i="23"/>
  <c r="N1234" i="23"/>
  <c r="N1266" i="23"/>
  <c r="N1298" i="23"/>
  <c r="N1327" i="23"/>
  <c r="N1348" i="23"/>
  <c r="N1369" i="23"/>
  <c r="N1388" i="23"/>
  <c r="N1405" i="23"/>
  <c r="N1422" i="23"/>
  <c r="N1439" i="23"/>
  <c r="N1455" i="23"/>
  <c r="N1471" i="23"/>
  <c r="N1487" i="23"/>
  <c r="N1503" i="23"/>
  <c r="N1519" i="23"/>
  <c r="N1535" i="23"/>
  <c r="N1551" i="23"/>
  <c r="N1567" i="23"/>
  <c r="N1583" i="23"/>
  <c r="N1599" i="23"/>
  <c r="N1615" i="23"/>
  <c r="N1631" i="23"/>
  <c r="N1647" i="23"/>
  <c r="N1663" i="23"/>
  <c r="N1679" i="23"/>
  <c r="N1695" i="23"/>
  <c r="N1711" i="23"/>
  <c r="N1727" i="23"/>
  <c r="N1743" i="23"/>
  <c r="N1759" i="23"/>
  <c r="N977" i="23"/>
  <c r="N1011" i="23"/>
  <c r="N1043" i="23"/>
  <c r="N1075" i="23"/>
  <c r="N1107" i="23"/>
  <c r="N1139" i="23"/>
  <c r="N1171" i="23"/>
  <c r="N1203" i="23"/>
  <c r="N1235" i="23"/>
  <c r="N1267" i="23"/>
  <c r="N1299" i="23"/>
  <c r="N1328" i="23"/>
  <c r="N1349" i="23"/>
  <c r="N1371" i="23"/>
  <c r="N1389" i="23"/>
  <c r="N1406" i="23"/>
  <c r="N1423" i="23"/>
  <c r="N1440" i="23"/>
  <c r="N1456" i="23"/>
  <c r="N1472" i="23"/>
  <c r="N1488" i="23"/>
  <c r="N1504" i="23"/>
  <c r="N1520" i="23"/>
  <c r="N1536" i="23"/>
  <c r="N1552" i="23"/>
  <c r="N1568" i="23"/>
  <c r="N1584" i="23"/>
  <c r="N1600" i="23"/>
  <c r="N1616" i="23"/>
  <c r="N1632" i="23"/>
  <c r="N1648" i="23"/>
  <c r="N1664" i="23"/>
  <c r="N1680" i="23"/>
  <c r="N1696" i="23"/>
  <c r="N1712" i="23"/>
  <c r="N1728" i="23"/>
  <c r="N1744" i="23"/>
  <c r="N1760" i="23"/>
  <c r="N928" i="23"/>
  <c r="N978" i="23"/>
  <c r="N1012" i="23"/>
  <c r="N1044" i="23"/>
  <c r="N1076" i="23"/>
  <c r="N1108" i="23"/>
  <c r="N1140" i="23"/>
  <c r="N1172" i="23"/>
  <c r="N1204" i="23"/>
  <c r="N1236" i="23"/>
  <c r="N1268" i="23"/>
  <c r="N1300" i="23"/>
  <c r="N1329" i="23"/>
  <c r="N1351" i="23"/>
  <c r="N1372" i="23"/>
  <c r="N1390" i="23"/>
  <c r="N1407" i="23"/>
  <c r="N1424" i="23"/>
  <c r="N1441" i="23"/>
  <c r="N1457" i="23"/>
  <c r="N1473" i="23"/>
  <c r="N1489" i="23"/>
  <c r="N1505" i="23"/>
  <c r="N1521" i="23"/>
  <c r="N1537" i="23"/>
  <c r="N1553" i="23"/>
  <c r="N1569" i="23"/>
  <c r="N1585" i="23"/>
  <c r="N1601" i="23"/>
  <c r="N1617" i="23"/>
  <c r="N1633" i="23"/>
  <c r="N1649" i="23"/>
  <c r="N1665" i="23"/>
  <c r="N1681" i="23"/>
  <c r="N1697" i="23"/>
  <c r="N1713" i="23"/>
  <c r="N1729" i="23"/>
  <c r="N1745" i="23"/>
  <c r="N1761" i="23"/>
  <c r="N944" i="23"/>
  <c r="N979" i="23"/>
  <c r="N1017" i="23"/>
  <c r="N1049" i="23"/>
  <c r="N1081" i="23"/>
  <c r="N1113" i="23"/>
  <c r="N1145" i="23"/>
  <c r="N1177" i="23"/>
  <c r="N1209" i="23"/>
  <c r="N1241" i="23"/>
  <c r="N1273" i="23"/>
  <c r="N1305" i="23"/>
  <c r="N1330" i="23"/>
  <c r="N1353" i="23"/>
  <c r="N1373" i="23"/>
  <c r="N1391" i="23"/>
  <c r="N1408" i="23"/>
  <c r="N1425" i="23"/>
  <c r="N1442" i="23"/>
  <c r="N1458" i="23"/>
  <c r="N1474" i="23"/>
  <c r="N1490" i="23"/>
  <c r="N1506" i="23"/>
  <c r="N1522" i="23"/>
  <c r="N1538" i="23"/>
  <c r="N1554" i="23"/>
  <c r="N1570" i="23"/>
  <c r="N1586" i="23"/>
  <c r="N1602" i="23"/>
  <c r="N1618" i="23"/>
  <c r="N1634" i="23"/>
  <c r="N1650" i="23"/>
  <c r="N1666" i="23"/>
  <c r="N1682" i="23"/>
  <c r="N1698" i="23"/>
  <c r="N1714" i="23"/>
  <c r="N1730" i="23"/>
  <c r="N1746" i="23"/>
  <c r="N945" i="23"/>
  <c r="N980" i="23"/>
  <c r="N1022" i="23"/>
  <c r="N1054" i="23"/>
  <c r="N1086" i="23"/>
  <c r="N1118" i="23"/>
  <c r="N1150" i="23"/>
  <c r="N1182" i="23"/>
  <c r="N1214" i="23"/>
  <c r="N1246" i="23"/>
  <c r="N1278" i="23"/>
  <c r="N1307" i="23"/>
  <c r="N1331" i="23"/>
  <c r="N1355" i="23"/>
  <c r="N1374" i="23"/>
  <c r="N1392" i="23"/>
  <c r="N1409" i="23"/>
  <c r="N1426" i="23"/>
  <c r="N1443" i="23"/>
  <c r="N1459" i="23"/>
  <c r="N1475" i="23"/>
  <c r="N1491" i="23"/>
  <c r="N1507" i="23"/>
  <c r="N1523" i="23"/>
  <c r="N1539" i="23"/>
  <c r="N1555" i="23"/>
  <c r="N1571" i="23"/>
  <c r="N1587" i="23"/>
  <c r="N1603" i="23"/>
  <c r="N1619" i="23"/>
  <c r="N1635" i="23"/>
  <c r="N1651" i="23"/>
  <c r="N1667" i="23"/>
  <c r="N1683" i="23"/>
  <c r="N1699" i="23"/>
  <c r="N1715" i="23"/>
  <c r="N1731" i="23"/>
  <c r="N1747" i="23"/>
  <c r="N1763" i="23"/>
  <c r="N947" i="23"/>
  <c r="N990" i="23"/>
  <c r="N1023" i="23"/>
  <c r="N1055" i="23"/>
  <c r="N1087" i="23"/>
  <c r="N1119" i="23"/>
  <c r="N1151" i="23"/>
  <c r="N1183" i="23"/>
  <c r="N1215" i="23"/>
  <c r="N1247" i="23"/>
  <c r="N1279" i="23"/>
  <c r="N1310" i="23"/>
  <c r="N1332" i="23"/>
  <c r="N1356" i="23"/>
  <c r="N1375" i="23"/>
  <c r="N1393" i="23"/>
  <c r="N1410" i="23"/>
  <c r="N1427" i="23"/>
  <c r="N1444" i="23"/>
  <c r="N1460" i="23"/>
  <c r="N1476" i="23"/>
  <c r="N1492" i="23"/>
  <c r="N1508" i="23"/>
  <c r="N1524" i="23"/>
  <c r="N1540" i="23"/>
  <c r="N1556" i="23"/>
  <c r="N1572" i="23"/>
  <c r="N1588" i="23"/>
  <c r="N1604" i="23"/>
  <c r="N1620" i="23"/>
  <c r="N948" i="23"/>
  <c r="N991" i="23"/>
  <c r="N1024" i="23"/>
  <c r="N1056" i="23"/>
  <c r="N1088" i="23"/>
  <c r="N1120" i="23"/>
  <c r="N1152" i="23"/>
  <c r="N1184" i="23"/>
  <c r="N1216" i="23"/>
  <c r="N1248" i="23"/>
  <c r="N1280" i="23"/>
  <c r="N1311" i="23"/>
  <c r="N1333" i="23"/>
  <c r="N1357" i="23"/>
  <c r="N1376" i="23"/>
  <c r="N1394" i="23"/>
  <c r="N1411" i="23"/>
  <c r="N1428" i="23"/>
  <c r="N1445" i="23"/>
  <c r="N1461" i="23"/>
  <c r="N1477" i="23"/>
  <c r="N1493" i="23"/>
  <c r="N1509" i="23"/>
  <c r="N1525" i="23"/>
  <c r="N1541" i="23"/>
  <c r="N1557" i="23"/>
  <c r="N1573" i="23"/>
  <c r="N1589" i="23"/>
  <c r="N1607" i="23"/>
  <c r="N1642" i="23"/>
  <c r="N1674" i="23"/>
  <c r="N1706" i="23"/>
  <c r="N1738" i="23"/>
  <c r="N1768" i="23"/>
  <c r="N1609" i="23"/>
  <c r="N1643" i="23"/>
  <c r="N1675" i="23"/>
  <c r="N1707" i="23"/>
  <c r="N1739" i="23"/>
  <c r="N1769" i="23"/>
  <c r="N1610" i="23"/>
  <c r="N1645" i="23"/>
  <c r="N1677" i="23"/>
  <c r="N1709" i="23"/>
  <c r="N1741" i="23"/>
  <c r="N1770" i="23"/>
  <c r="N1611" i="23"/>
  <c r="N1646" i="23"/>
  <c r="N1678" i="23"/>
  <c r="N1710" i="23"/>
  <c r="N1742" i="23"/>
  <c r="N1771" i="23"/>
  <c r="N1613" i="23"/>
  <c r="N1652" i="23"/>
  <c r="N1684" i="23"/>
  <c r="N1716" i="23"/>
  <c r="N1748" i="23"/>
  <c r="N1621" i="23"/>
  <c r="N1653" i="23"/>
  <c r="N1685" i="23"/>
  <c r="N1717" i="23"/>
  <c r="N1749" i="23"/>
  <c r="N1623" i="23"/>
  <c r="N1655" i="23"/>
  <c r="N1687" i="23"/>
  <c r="N1719" i="23"/>
  <c r="N1751" i="23"/>
  <c r="N1625" i="23"/>
  <c r="N1657" i="23"/>
  <c r="N1689" i="23"/>
  <c r="N1721" i="23"/>
  <c r="N1753" i="23"/>
  <c r="N1626" i="23"/>
  <c r="N1658" i="23"/>
  <c r="N1690" i="23"/>
  <c r="N1722" i="23"/>
  <c r="N1754" i="23"/>
  <c r="N1627" i="23"/>
  <c r="N1659" i="23"/>
  <c r="N1691" i="23"/>
  <c r="N1723" i="23"/>
  <c r="N1755" i="23"/>
  <c r="N1757" i="23"/>
  <c r="N1629" i="23"/>
  <c r="N1661" i="23"/>
  <c r="N1693" i="23"/>
  <c r="N1725" i="23"/>
  <c r="N1591" i="23"/>
  <c r="N1630" i="23"/>
  <c r="N1662" i="23"/>
  <c r="N1694" i="23"/>
  <c r="N1726" i="23"/>
  <c r="N1758" i="23"/>
  <c r="N1593" i="23"/>
  <c r="N1636" i="23"/>
  <c r="N1668" i="23"/>
  <c r="N1700" i="23"/>
  <c r="N1732" i="23"/>
  <c r="N1762" i="23"/>
  <c r="N1594" i="23"/>
  <c r="N1637" i="23"/>
  <c r="N1669" i="23"/>
  <c r="N1701" i="23"/>
  <c r="N1733" i="23"/>
  <c r="N1764" i="23"/>
  <c r="N1765" i="23"/>
  <c r="N1595" i="23"/>
  <c r="N1639" i="23"/>
  <c r="N1671" i="23"/>
  <c r="N1703" i="23"/>
  <c r="N1735" i="23"/>
  <c r="N1605" i="23"/>
  <c r="N1641" i="23"/>
  <c r="N1673" i="23"/>
  <c r="N1705" i="23"/>
  <c r="N1737" i="23"/>
  <c r="N1767" i="23"/>
  <c r="N3" i="23"/>
  <c r="N1780" i="23"/>
  <c r="S1780" i="23" s="1"/>
  <c r="N1777" i="23"/>
  <c r="N1775" i="23"/>
  <c r="N1776" i="23"/>
  <c r="N1774" i="23"/>
  <c r="P9" i="23"/>
  <c r="P25" i="23"/>
  <c r="P41" i="23"/>
  <c r="P57" i="23"/>
  <c r="P73" i="23"/>
  <c r="P89" i="23"/>
  <c r="P105" i="23"/>
  <c r="P121" i="23"/>
  <c r="P137" i="23"/>
  <c r="P153" i="23"/>
  <c r="P169" i="23"/>
  <c r="P185" i="23"/>
  <c r="P201" i="23"/>
  <c r="P217" i="23"/>
  <c r="P233" i="23"/>
  <c r="P249" i="23"/>
  <c r="P265" i="23"/>
  <c r="P281" i="23"/>
  <c r="P297" i="23"/>
  <c r="P313" i="23"/>
  <c r="P329" i="23"/>
  <c r="P345" i="23"/>
  <c r="P361" i="23"/>
  <c r="P377" i="23"/>
  <c r="P393" i="23"/>
  <c r="P409" i="23"/>
  <c r="P425" i="23"/>
  <c r="P441" i="23"/>
  <c r="P457" i="23"/>
  <c r="P473" i="23"/>
  <c r="P489" i="23"/>
  <c r="P505" i="23"/>
  <c r="P521" i="23"/>
  <c r="P537" i="23"/>
  <c r="P553" i="23"/>
  <c r="P569" i="23"/>
  <c r="P585" i="23"/>
  <c r="P601" i="23"/>
  <c r="P617" i="23"/>
  <c r="P633" i="23"/>
  <c r="P649" i="23"/>
  <c r="P665" i="23"/>
  <c r="P681" i="23"/>
  <c r="P10" i="23"/>
  <c r="P26" i="23"/>
  <c r="P42" i="23"/>
  <c r="P58" i="23"/>
  <c r="P74" i="23"/>
  <c r="P90" i="23"/>
  <c r="P106" i="23"/>
  <c r="P122" i="23"/>
  <c r="P138" i="23"/>
  <c r="P154" i="23"/>
  <c r="P170" i="23"/>
  <c r="P186" i="23"/>
  <c r="P202" i="23"/>
  <c r="P218" i="23"/>
  <c r="P234" i="23"/>
  <c r="P250" i="23"/>
  <c r="P266" i="23"/>
  <c r="P282" i="23"/>
  <c r="P298" i="23"/>
  <c r="P314" i="23"/>
  <c r="P330" i="23"/>
  <c r="P346" i="23"/>
  <c r="P362" i="23"/>
  <c r="P378" i="23"/>
  <c r="P394" i="23"/>
  <c r="P410" i="23"/>
  <c r="P426" i="23"/>
  <c r="P442" i="23"/>
  <c r="P458" i="23"/>
  <c r="P474" i="23"/>
  <c r="P490" i="23"/>
  <c r="P506" i="23"/>
  <c r="P522" i="23"/>
  <c r="P538" i="23"/>
  <c r="P554" i="23"/>
  <c r="P570" i="23"/>
  <c r="P586" i="23"/>
  <c r="P602" i="23"/>
  <c r="P618" i="23"/>
  <c r="P634" i="23"/>
  <c r="P650" i="23"/>
  <c r="P666" i="23"/>
  <c r="P682" i="23"/>
  <c r="P698" i="23"/>
  <c r="P714" i="23"/>
  <c r="P730" i="23"/>
  <c r="P746" i="23"/>
  <c r="P762" i="23"/>
  <c r="P778" i="23"/>
  <c r="P794" i="23"/>
  <c r="P11" i="23"/>
  <c r="P27" i="23"/>
  <c r="P43" i="23"/>
  <c r="P59" i="23"/>
  <c r="P75" i="23"/>
  <c r="P91" i="23"/>
  <c r="P107" i="23"/>
  <c r="P123" i="23"/>
  <c r="P139" i="23"/>
  <c r="P155" i="23"/>
  <c r="P171" i="23"/>
  <c r="P187" i="23"/>
  <c r="P203" i="23"/>
  <c r="P219" i="23"/>
  <c r="P235" i="23"/>
  <c r="P251" i="23"/>
  <c r="P267" i="23"/>
  <c r="P283" i="23"/>
  <c r="P299" i="23"/>
  <c r="P315" i="23"/>
  <c r="P331" i="23"/>
  <c r="P347" i="23"/>
  <c r="P363" i="23"/>
  <c r="P379" i="23"/>
  <c r="P395" i="23"/>
  <c r="P411" i="23"/>
  <c r="P427" i="23"/>
  <c r="P443" i="23"/>
  <c r="P459" i="23"/>
  <c r="P475" i="23"/>
  <c r="P491" i="23"/>
  <c r="P507" i="23"/>
  <c r="P523" i="23"/>
  <c r="P539" i="23"/>
  <c r="P555" i="23"/>
  <c r="P571" i="23"/>
  <c r="P587" i="23"/>
  <c r="P603" i="23"/>
  <c r="P619" i="23"/>
  <c r="P635" i="23"/>
  <c r="P651" i="23"/>
  <c r="P667" i="23"/>
  <c r="P683" i="23"/>
  <c r="P699" i="23"/>
  <c r="P715" i="23"/>
  <c r="P731" i="23"/>
  <c r="P747" i="23"/>
  <c r="P763" i="23"/>
  <c r="P779" i="23"/>
  <c r="P795" i="23"/>
  <c r="P811" i="23"/>
  <c r="P827" i="23"/>
  <c r="P843" i="23"/>
  <c r="P859" i="23"/>
  <c r="P875" i="23"/>
  <c r="P891" i="23"/>
  <c r="P907" i="23"/>
  <c r="P923" i="23"/>
  <c r="P939" i="23"/>
  <c r="P955" i="23"/>
  <c r="P971" i="23"/>
  <c r="P987" i="23"/>
  <c r="P1003" i="23"/>
  <c r="P1019" i="23"/>
  <c r="P1035" i="23"/>
  <c r="P1051" i="23"/>
  <c r="P1067" i="23"/>
  <c r="P1083" i="23"/>
  <c r="P1099" i="23"/>
  <c r="P1115" i="23"/>
  <c r="P1131" i="23"/>
  <c r="P1147" i="23"/>
  <c r="P1163" i="23"/>
  <c r="P1179" i="23"/>
  <c r="P1195" i="23"/>
  <c r="P1211" i="23"/>
  <c r="P1227" i="23"/>
  <c r="P1243" i="23"/>
  <c r="P1259" i="23"/>
  <c r="P18" i="23"/>
  <c r="P34" i="23"/>
  <c r="P50" i="23"/>
  <c r="P66" i="23"/>
  <c r="P82" i="23"/>
  <c r="P98" i="23"/>
  <c r="P114" i="23"/>
  <c r="P130" i="23"/>
  <c r="P146" i="23"/>
  <c r="P162" i="23"/>
  <c r="P178" i="23"/>
  <c r="P194" i="23"/>
  <c r="P210" i="23"/>
  <c r="P226" i="23"/>
  <c r="P242" i="23"/>
  <c r="P258" i="23"/>
  <c r="P274" i="23"/>
  <c r="P290" i="23"/>
  <c r="P306" i="23"/>
  <c r="P322" i="23"/>
  <c r="P338" i="23"/>
  <c r="P354" i="23"/>
  <c r="P370" i="23"/>
  <c r="P386" i="23"/>
  <c r="P402" i="23"/>
  <c r="P418" i="23"/>
  <c r="P434" i="23"/>
  <c r="P450" i="23"/>
  <c r="P466" i="23"/>
  <c r="P482" i="23"/>
  <c r="P498" i="23"/>
  <c r="P514" i="23"/>
  <c r="P530" i="23"/>
  <c r="P546" i="23"/>
  <c r="P562" i="23"/>
  <c r="P578" i="23"/>
  <c r="P594" i="23"/>
  <c r="P610" i="23"/>
  <c r="P626" i="23"/>
  <c r="P642" i="23"/>
  <c r="P658" i="23"/>
  <c r="P674" i="23"/>
  <c r="P690" i="23"/>
  <c r="P706" i="23"/>
  <c r="P722" i="23"/>
  <c r="P738" i="23"/>
  <c r="P754" i="23"/>
  <c r="P770" i="23"/>
  <c r="P786" i="23"/>
  <c r="P802" i="23"/>
  <c r="P818" i="23"/>
  <c r="P834" i="23"/>
  <c r="P850" i="23"/>
  <c r="P866" i="23"/>
  <c r="P882" i="23"/>
  <c r="P898" i="23"/>
  <c r="P914" i="23"/>
  <c r="P930" i="23"/>
  <c r="P946" i="23"/>
  <c r="P962" i="23"/>
  <c r="P978" i="23"/>
  <c r="P994" i="23"/>
  <c r="P1010" i="23"/>
  <c r="P1026" i="23"/>
  <c r="P1042" i="23"/>
  <c r="P1058" i="23"/>
  <c r="P1074" i="23"/>
  <c r="P1090" i="23"/>
  <c r="P1106" i="23"/>
  <c r="P1122" i="23"/>
  <c r="P1138" i="23"/>
  <c r="P1154" i="23"/>
  <c r="P1170" i="23"/>
  <c r="P1186" i="23"/>
  <c r="P1202" i="23"/>
  <c r="P1218" i="23"/>
  <c r="P1234" i="23"/>
  <c r="P1250" i="23"/>
  <c r="P1266" i="23"/>
  <c r="P1282" i="23"/>
  <c r="P1298" i="23"/>
  <c r="P1314" i="23"/>
  <c r="P1330" i="23"/>
  <c r="P1346" i="23"/>
  <c r="P1362" i="23"/>
  <c r="P1378" i="23"/>
  <c r="P1394" i="23"/>
  <c r="P1410" i="23"/>
  <c r="P1426" i="23"/>
  <c r="P1442" i="23"/>
  <c r="P1458" i="23"/>
  <c r="P1474" i="23"/>
  <c r="P1490" i="23"/>
  <c r="P1506" i="23"/>
  <c r="P1522" i="23"/>
  <c r="P1538" i="23"/>
  <c r="P1554" i="23"/>
  <c r="P1570" i="23"/>
  <c r="P1586" i="23"/>
  <c r="P1602" i="23"/>
  <c r="P1618" i="23"/>
  <c r="P1634" i="23"/>
  <c r="P1650" i="23"/>
  <c r="P1666" i="23"/>
  <c r="P1682" i="23"/>
  <c r="P1698" i="23"/>
  <c r="P1714" i="23"/>
  <c r="P1730" i="23"/>
  <c r="P1746" i="23"/>
  <c r="P1762" i="23"/>
  <c r="P1778" i="23"/>
  <c r="P19" i="23"/>
  <c r="P35" i="23"/>
  <c r="P51" i="23"/>
  <c r="P67" i="23"/>
  <c r="P83" i="23"/>
  <c r="P99" i="23"/>
  <c r="P115" i="23"/>
  <c r="P131" i="23"/>
  <c r="P147" i="23"/>
  <c r="P163" i="23"/>
  <c r="P179" i="23"/>
  <c r="P195" i="23"/>
  <c r="P211" i="23"/>
  <c r="P227" i="23"/>
  <c r="P243" i="23"/>
  <c r="P259" i="23"/>
  <c r="P275" i="23"/>
  <c r="P291" i="23"/>
  <c r="P307" i="23"/>
  <c r="P323" i="23"/>
  <c r="P339" i="23"/>
  <c r="P355" i="23"/>
  <c r="P371" i="23"/>
  <c r="P387" i="23"/>
  <c r="P403" i="23"/>
  <c r="P419" i="23"/>
  <c r="P435" i="23"/>
  <c r="P451" i="23"/>
  <c r="P467" i="23"/>
  <c r="P483" i="23"/>
  <c r="P499" i="23"/>
  <c r="P515" i="23"/>
  <c r="P531" i="23"/>
  <c r="P547" i="23"/>
  <c r="P563" i="23"/>
  <c r="P579" i="23"/>
  <c r="P595" i="23"/>
  <c r="P611" i="23"/>
  <c r="P627" i="23"/>
  <c r="P643" i="23"/>
  <c r="P659" i="23"/>
  <c r="P675" i="23"/>
  <c r="P691" i="23"/>
  <c r="P707" i="23"/>
  <c r="P723" i="23"/>
  <c r="P739" i="23"/>
  <c r="P755" i="23"/>
  <c r="P771" i="23"/>
  <c r="P787" i="23"/>
  <c r="P803" i="23"/>
  <c r="P819" i="23"/>
  <c r="P835" i="23"/>
  <c r="P851" i="23"/>
  <c r="P867" i="23"/>
  <c r="P883" i="23"/>
  <c r="P899" i="23"/>
  <c r="P915" i="23"/>
  <c r="P931" i="23"/>
  <c r="P947" i="23"/>
  <c r="P963" i="23"/>
  <c r="P979" i="23"/>
  <c r="P995" i="23"/>
  <c r="P1011" i="23"/>
  <c r="P1027" i="23"/>
  <c r="P1043" i="23"/>
  <c r="P1059" i="23"/>
  <c r="P1075" i="23"/>
  <c r="P1091" i="23"/>
  <c r="P1107" i="23"/>
  <c r="P1123" i="23"/>
  <c r="P1139" i="23"/>
  <c r="P1155" i="23"/>
  <c r="P1171" i="23"/>
  <c r="P1187" i="23"/>
  <c r="P1203" i="23"/>
  <c r="P1219" i="23"/>
  <c r="P1235" i="23"/>
  <c r="P1251" i="23"/>
  <c r="P1267" i="23"/>
  <c r="P1283" i="23"/>
  <c r="P1299" i="23"/>
  <c r="P1315" i="23"/>
  <c r="P1331" i="23"/>
  <c r="P1347" i="23"/>
  <c r="P1363" i="23"/>
  <c r="P1379" i="23"/>
  <c r="P1395" i="23"/>
  <c r="P1411" i="23"/>
  <c r="P1443" i="23"/>
  <c r="P1459" i="23"/>
  <c r="P1475" i="23"/>
  <c r="P1491" i="23"/>
  <c r="P1507" i="23"/>
  <c r="P1523" i="23"/>
  <c r="P1539" i="23"/>
  <c r="P1555" i="23"/>
  <c r="P1571" i="23"/>
  <c r="P1587" i="23"/>
  <c r="P1603" i="23"/>
  <c r="P1619" i="23"/>
  <c r="P1635" i="23"/>
  <c r="P1651" i="23"/>
  <c r="P1667" i="23"/>
  <c r="P1683" i="23"/>
  <c r="P1699" i="23"/>
  <c r="P1715" i="23"/>
  <c r="P1731" i="23"/>
  <c r="P1747" i="23"/>
  <c r="P1763" i="23"/>
  <c r="P1779" i="23"/>
  <c r="P100" i="23"/>
  <c r="P516" i="23"/>
  <c r="P628" i="23"/>
  <c r="P708" i="23"/>
  <c r="P20" i="23"/>
  <c r="P36" i="23"/>
  <c r="P52" i="23"/>
  <c r="P68" i="23"/>
  <c r="P84" i="23"/>
  <c r="P116" i="23"/>
  <c r="P132" i="23"/>
  <c r="P148" i="23"/>
  <c r="P164" i="23"/>
  <c r="P180" i="23"/>
  <c r="P196" i="23"/>
  <c r="P212" i="23"/>
  <c r="P228" i="23"/>
  <c r="P244" i="23"/>
  <c r="P260" i="23"/>
  <c r="P276" i="23"/>
  <c r="P292" i="23"/>
  <c r="P308" i="23"/>
  <c r="P324" i="23"/>
  <c r="P340" i="23"/>
  <c r="P356" i="23"/>
  <c r="P372" i="23"/>
  <c r="P388" i="23"/>
  <c r="P404" i="23"/>
  <c r="P420" i="23"/>
  <c r="P436" i="23"/>
  <c r="P452" i="23"/>
  <c r="P468" i="23"/>
  <c r="P484" i="23"/>
  <c r="P500" i="23"/>
  <c r="P532" i="23"/>
  <c r="P548" i="23"/>
  <c r="P564" i="23"/>
  <c r="P580" i="23"/>
  <c r="P596" i="23"/>
  <c r="P612" i="23"/>
  <c r="P644" i="23"/>
  <c r="P660" i="23"/>
  <c r="P676" i="23"/>
  <c r="P692" i="23"/>
  <c r="P724" i="23"/>
  <c r="P740" i="23"/>
  <c r="P772" i="23"/>
  <c r="P788" i="23"/>
  <c r="P804" i="23"/>
  <c r="P5" i="23"/>
  <c r="P21" i="23"/>
  <c r="P37" i="23"/>
  <c r="P53" i="23"/>
  <c r="P69" i="23"/>
  <c r="P85" i="23"/>
  <c r="P101" i="23"/>
  <c r="P117" i="23"/>
  <c r="P133" i="23"/>
  <c r="P149" i="23"/>
  <c r="P165" i="23"/>
  <c r="P181" i="23"/>
  <c r="P197" i="23"/>
  <c r="P213" i="23"/>
  <c r="P229" i="23"/>
  <c r="P245" i="23"/>
  <c r="P261" i="23"/>
  <c r="P277" i="23"/>
  <c r="P293" i="23"/>
  <c r="P309" i="23"/>
  <c r="P325" i="23"/>
  <c r="P341" i="23"/>
  <c r="P357" i="23"/>
  <c r="P373" i="23"/>
  <c r="P389" i="23"/>
  <c r="P405" i="23"/>
  <c r="P421" i="23"/>
  <c r="P437" i="23"/>
  <c r="P453" i="23"/>
  <c r="P469" i="23"/>
  <c r="P485" i="23"/>
  <c r="P501" i="23"/>
  <c r="P517" i="23"/>
  <c r="P533" i="23"/>
  <c r="P549" i="23"/>
  <c r="P565" i="23"/>
  <c r="P581" i="23"/>
  <c r="P597" i="23"/>
  <c r="P613" i="23"/>
  <c r="P629" i="23"/>
  <c r="P645" i="23"/>
  <c r="P661" i="23"/>
  <c r="P677" i="23"/>
  <c r="P6" i="23"/>
  <c r="P22" i="23"/>
  <c r="P38" i="23"/>
  <c r="P54" i="23"/>
  <c r="P70" i="23"/>
  <c r="P86" i="23"/>
  <c r="P102" i="23"/>
  <c r="P118" i="23"/>
  <c r="P134" i="23"/>
  <c r="P150" i="23"/>
  <c r="P166" i="23"/>
  <c r="P182" i="23"/>
  <c r="P198" i="23"/>
  <c r="P214" i="23"/>
  <c r="P230" i="23"/>
  <c r="P246" i="23"/>
  <c r="P262" i="23"/>
  <c r="P278" i="23"/>
  <c r="P294" i="23"/>
  <c r="P310" i="23"/>
  <c r="P326" i="23"/>
  <c r="P342" i="23"/>
  <c r="P358" i="23"/>
  <c r="P374" i="23"/>
  <c r="P390" i="23"/>
  <c r="P406" i="23"/>
  <c r="P422" i="23"/>
  <c r="P438" i="23"/>
  <c r="P454" i="23"/>
  <c r="P470" i="23"/>
  <c r="P486" i="23"/>
  <c r="P502" i="23"/>
  <c r="P518" i="23"/>
  <c r="P534" i="23"/>
  <c r="P550" i="23"/>
  <c r="P566" i="23"/>
  <c r="P582" i="23"/>
  <c r="P598" i="23"/>
  <c r="P614" i="23"/>
  <c r="P630" i="23"/>
  <c r="P646" i="23"/>
  <c r="P662" i="23"/>
  <c r="P678" i="23"/>
  <c r="P694" i="23"/>
  <c r="P710" i="23"/>
  <c r="P726" i="23"/>
  <c r="P742" i="23"/>
  <c r="P758" i="23"/>
  <c r="P774" i="23"/>
  <c r="P790" i="23"/>
  <c r="P806" i="23"/>
  <c r="P822" i="23"/>
  <c r="P838" i="23"/>
  <c r="P854" i="23"/>
  <c r="P870" i="23"/>
  <c r="P886" i="23"/>
  <c r="P902" i="23"/>
  <c r="P918" i="23"/>
  <c r="P934" i="23"/>
  <c r="P950" i="23"/>
  <c r="P966" i="23"/>
  <c r="P982" i="23"/>
  <c r="P998" i="23"/>
  <c r="P1014" i="23"/>
  <c r="P1030" i="23"/>
  <c r="P1046" i="23"/>
  <c r="P1062" i="23"/>
  <c r="P1078" i="23"/>
  <c r="P1094" i="23"/>
  <c r="P1110" i="23"/>
  <c r="P1126" i="23"/>
  <c r="P1142" i="23"/>
  <c r="P1158" i="23"/>
  <c r="P1174" i="23"/>
  <c r="P1190" i="23"/>
  <c r="P1206" i="23"/>
  <c r="P1222" i="23"/>
  <c r="P1238" i="23"/>
  <c r="P1254" i="23"/>
  <c r="P1270" i="23"/>
  <c r="P1286" i="23"/>
  <c r="P1302" i="23"/>
  <c r="P1318" i="23"/>
  <c r="P1334" i="23"/>
  <c r="P1350" i="23"/>
  <c r="P1366" i="23"/>
  <c r="P1382" i="23"/>
  <c r="P1398" i="23"/>
  <c r="P1414" i="23"/>
  <c r="P1430" i="23"/>
  <c r="P1446" i="23"/>
  <c r="P1462" i="23"/>
  <c r="P1478" i="23"/>
  <c r="P1494" i="23"/>
  <c r="P1510" i="23"/>
  <c r="P1526" i="23"/>
  <c r="P1542" i="23"/>
  <c r="P1558" i="23"/>
  <c r="P1574" i="23"/>
  <c r="P1590" i="23"/>
  <c r="P1606" i="23"/>
  <c r="P1622" i="23"/>
  <c r="P1638" i="23"/>
  <c r="P1654" i="23"/>
  <c r="P1670" i="23"/>
  <c r="P1686" i="23"/>
  <c r="P1702" i="23"/>
  <c r="P1718" i="23"/>
  <c r="P1734" i="23"/>
  <c r="P1750" i="23"/>
  <c r="P1766" i="23"/>
  <c r="P1782" i="23"/>
  <c r="P87" i="23"/>
  <c r="P167" i="23"/>
  <c r="P199" i="23"/>
  <c r="P231" i="23"/>
  <c r="P247" i="23"/>
  <c r="P279" i="23"/>
  <c r="P295" i="23"/>
  <c r="P327" i="23"/>
  <c r="P343" i="23"/>
  <c r="P375" i="23"/>
  <c r="P391" i="23"/>
  <c r="P423" i="23"/>
  <c r="P455" i="23"/>
  <c r="P487" i="23"/>
  <c r="P519" i="23"/>
  <c r="P551" i="23"/>
  <c r="P583" i="23"/>
  <c r="P615" i="23"/>
  <c r="P647" i="23"/>
  <c r="P7" i="23"/>
  <c r="P23" i="23"/>
  <c r="P39" i="23"/>
  <c r="P55" i="23"/>
  <c r="P71" i="23"/>
  <c r="P103" i="23"/>
  <c r="P119" i="23"/>
  <c r="P135" i="23"/>
  <c r="P151" i="23"/>
  <c r="P183" i="23"/>
  <c r="P215" i="23"/>
  <c r="P263" i="23"/>
  <c r="P311" i="23"/>
  <c r="P359" i="23"/>
  <c r="P407" i="23"/>
  <c r="P439" i="23"/>
  <c r="P471" i="23"/>
  <c r="P503" i="23"/>
  <c r="P535" i="23"/>
  <c r="P567" i="23"/>
  <c r="P599" i="23"/>
  <c r="P631" i="23"/>
  <c r="P481" i="23"/>
  <c r="P884" i="23"/>
  <c r="P1118" i="23"/>
  <c r="P1268" i="23"/>
  <c r="P1386" i="23"/>
  <c r="P1464" i="23"/>
  <c r="P1562" i="23"/>
  <c r="P1621" i="23"/>
  <c r="P1720" i="23"/>
  <c r="P1777" i="23"/>
  <c r="P1247" i="23"/>
  <c r="P1327" i="23"/>
  <c r="P1387" i="23"/>
  <c r="P1465" i="23"/>
  <c r="P1503" i="23"/>
  <c r="P1524" i="23"/>
  <c r="P1582" i="23"/>
  <c r="P1601" i="23"/>
  <c r="P1661" i="23"/>
  <c r="P1680" i="23"/>
  <c r="P1721" i="23"/>
  <c r="P13" i="23"/>
  <c r="P47" i="23"/>
  <c r="P81" i="23"/>
  <c r="P124" i="23"/>
  <c r="P158" i="23"/>
  <c r="P192" i="23"/>
  <c r="P232" i="23"/>
  <c r="P269" i="23"/>
  <c r="P303" i="23"/>
  <c r="P337" i="23"/>
  <c r="P380" i="23"/>
  <c r="P414" i="23"/>
  <c r="P448" i="23"/>
  <c r="P488" i="23"/>
  <c r="P525" i="23"/>
  <c r="P559" i="23"/>
  <c r="P593" i="23"/>
  <c r="P636" i="23"/>
  <c r="P669" i="23"/>
  <c r="P697" i="23"/>
  <c r="P721" i="23"/>
  <c r="P749" i="23"/>
  <c r="P773" i="23"/>
  <c r="P798" i="23"/>
  <c r="P821" i="23"/>
  <c r="P842" i="23"/>
  <c r="P863" i="23"/>
  <c r="P885" i="23"/>
  <c r="P906" i="23"/>
  <c r="P927" i="23"/>
  <c r="P949" i="23"/>
  <c r="P970" i="23"/>
  <c r="P991" i="23"/>
  <c r="P1013" i="23"/>
  <c r="P1034" i="23"/>
  <c r="P1055" i="23"/>
  <c r="P1077" i="23"/>
  <c r="P1098" i="23"/>
  <c r="P1119" i="23"/>
  <c r="P1141" i="23"/>
  <c r="P1162" i="23"/>
  <c r="P1183" i="23"/>
  <c r="P1226" i="23"/>
  <c r="P1269" i="23"/>
  <c r="P1289" i="23"/>
  <c r="P1308" i="23"/>
  <c r="P1348" i="23"/>
  <c r="P1368" i="23"/>
  <c r="P1406" i="23"/>
  <c r="P1445" i="23"/>
  <c r="P1484" i="23"/>
  <c r="P1544" i="23"/>
  <c r="P1623" i="23"/>
  <c r="P1701" i="23"/>
  <c r="P14" i="23"/>
  <c r="P48" i="23"/>
  <c r="P88" i="23"/>
  <c r="P125" i="23"/>
  <c r="P159" i="23"/>
  <c r="P193" i="23"/>
  <c r="P236" i="23"/>
  <c r="P270" i="23"/>
  <c r="P304" i="23"/>
  <c r="P344" i="23"/>
  <c r="P381" i="23"/>
  <c r="P415" i="23"/>
  <c r="P449" i="23"/>
  <c r="P492" i="23"/>
  <c r="P526" i="23"/>
  <c r="P560" i="23"/>
  <c r="P600" i="23"/>
  <c r="P637" i="23"/>
  <c r="P670" i="23"/>
  <c r="P700" i="23"/>
  <c r="P725" i="23"/>
  <c r="P750" i="23"/>
  <c r="P775" i="23"/>
  <c r="P799" i="23"/>
  <c r="P823" i="23"/>
  <c r="P844" i="23"/>
  <c r="P864" i="23"/>
  <c r="P887" i="23"/>
  <c r="P908" i="23"/>
  <c r="P928" i="23"/>
  <c r="P951" i="23"/>
  <c r="P972" i="23"/>
  <c r="P992" i="23"/>
  <c r="P1015" i="23"/>
  <c r="P1036" i="23"/>
  <c r="P1056" i="23"/>
  <c r="P1079" i="23"/>
  <c r="P1100" i="23"/>
  <c r="P1120" i="23"/>
  <c r="P1143" i="23"/>
  <c r="P1164" i="23"/>
  <c r="P1184" i="23"/>
  <c r="P1207" i="23"/>
  <c r="P1228" i="23"/>
  <c r="P1248" i="23"/>
  <c r="P1271" i="23"/>
  <c r="P1290" i="23"/>
  <c r="P1309" i="23"/>
  <c r="P1328" i="23"/>
  <c r="P1349" i="23"/>
  <c r="P1369" i="23"/>
  <c r="P1388" i="23"/>
  <c r="P1407" i="23"/>
  <c r="P1427" i="23"/>
  <c r="P1447" i="23"/>
  <c r="P15" i="23"/>
  <c r="P49" i="23"/>
  <c r="P92" i="23"/>
  <c r="P126" i="23"/>
  <c r="P160" i="23"/>
  <c r="P200" i="23"/>
  <c r="P237" i="23"/>
  <c r="P271" i="23"/>
  <c r="P305" i="23"/>
  <c r="P348" i="23"/>
  <c r="P382" i="23"/>
  <c r="P416" i="23"/>
  <c r="P456" i="23"/>
  <c r="P493" i="23"/>
  <c r="P527" i="23"/>
  <c r="P561" i="23"/>
  <c r="P604" i="23"/>
  <c r="P638" i="23"/>
  <c r="P671" i="23"/>
  <c r="P701" i="23"/>
  <c r="P727" i="23"/>
  <c r="P751" i="23"/>
  <c r="P776" i="23"/>
  <c r="P800" i="23"/>
  <c r="P824" i="23"/>
  <c r="P845" i="23"/>
  <c r="P865" i="23"/>
  <c r="P888" i="23"/>
  <c r="P909" i="23"/>
  <c r="P929" i="23"/>
  <c r="P952" i="23"/>
  <c r="P973" i="23"/>
  <c r="P993" i="23"/>
  <c r="P1016" i="23"/>
  <c r="P1037" i="23"/>
  <c r="P1057" i="23"/>
  <c r="P1080" i="23"/>
  <c r="P1101" i="23"/>
  <c r="P1121" i="23"/>
  <c r="P1144" i="23"/>
  <c r="P1165" i="23"/>
  <c r="P1185" i="23"/>
  <c r="P1208" i="23"/>
  <c r="P1229" i="23"/>
  <c r="P1249" i="23"/>
  <c r="P16" i="23"/>
  <c r="P56" i="23"/>
  <c r="P93" i="23"/>
  <c r="P127" i="23"/>
  <c r="P161" i="23"/>
  <c r="P204" i="23"/>
  <c r="P238" i="23"/>
  <c r="P272" i="23"/>
  <c r="P312" i="23"/>
  <c r="P349" i="23"/>
  <c r="P383" i="23"/>
  <c r="P417" i="23"/>
  <c r="P460" i="23"/>
  <c r="P494" i="23"/>
  <c r="P528" i="23"/>
  <c r="P568" i="23"/>
  <c r="P605" i="23"/>
  <c r="P639" i="23"/>
  <c r="P672" i="23"/>
  <c r="P702" i="23"/>
  <c r="P728" i="23"/>
  <c r="P752" i="23"/>
  <c r="P777" i="23"/>
  <c r="P801" i="23"/>
  <c r="P825" i="23"/>
  <c r="P846" i="23"/>
  <c r="P868" i="23"/>
  <c r="P889" i="23"/>
  <c r="P910" i="23"/>
  <c r="P932" i="23"/>
  <c r="P953" i="23"/>
  <c r="P974" i="23"/>
  <c r="P996" i="23"/>
  <c r="P1017" i="23"/>
  <c r="P1038" i="23"/>
  <c r="P1060" i="23"/>
  <c r="P1081" i="23"/>
  <c r="P1102" i="23"/>
  <c r="P1124" i="23"/>
  <c r="P1145" i="23"/>
  <c r="P1166" i="23"/>
  <c r="P1188" i="23"/>
  <c r="P1209" i="23"/>
  <c r="P1230" i="23"/>
  <c r="P1252" i="23"/>
  <c r="P17" i="23"/>
  <c r="P60" i="23"/>
  <c r="P94" i="23"/>
  <c r="P128" i="23"/>
  <c r="P168" i="23"/>
  <c r="P205" i="23"/>
  <c r="P239" i="23"/>
  <c r="P273" i="23"/>
  <c r="P316" i="23"/>
  <c r="P350" i="23"/>
  <c r="P384" i="23"/>
  <c r="P424" i="23"/>
  <c r="P461" i="23"/>
  <c r="P495" i="23"/>
  <c r="P529" i="23"/>
  <c r="P572" i="23"/>
  <c r="P606" i="23"/>
  <c r="P640" i="23"/>
  <c r="P673" i="23"/>
  <c r="P703" i="23"/>
  <c r="P729" i="23"/>
  <c r="P753" i="23"/>
  <c r="P780" i="23"/>
  <c r="P805" i="23"/>
  <c r="P826" i="23"/>
  <c r="P847" i="23"/>
  <c r="P869" i="23"/>
  <c r="P890" i="23"/>
  <c r="P911" i="23"/>
  <c r="P933" i="23"/>
  <c r="P954" i="23"/>
  <c r="P975" i="23"/>
  <c r="P997" i="23"/>
  <c r="P1018" i="23"/>
  <c r="P1039" i="23"/>
  <c r="P1061" i="23"/>
  <c r="P1082" i="23"/>
  <c r="P1103" i="23"/>
  <c r="P1125" i="23"/>
  <c r="P1146" i="23"/>
  <c r="P1167" i="23"/>
  <c r="P1189" i="23"/>
  <c r="P1210" i="23"/>
  <c r="P1231" i="23"/>
  <c r="P1253" i="23"/>
  <c r="P24" i="23"/>
  <c r="P61" i="23"/>
  <c r="P95" i="23"/>
  <c r="P129" i="23"/>
  <c r="P172" i="23"/>
  <c r="P206" i="23"/>
  <c r="P240" i="23"/>
  <c r="P280" i="23"/>
  <c r="P317" i="23"/>
  <c r="P351" i="23"/>
  <c r="P385" i="23"/>
  <c r="P428" i="23"/>
  <c r="P462" i="23"/>
  <c r="P496" i="23"/>
  <c r="P536" i="23"/>
  <c r="P573" i="23"/>
  <c r="P607" i="23"/>
  <c r="P641" i="23"/>
  <c r="P679" i="23"/>
  <c r="P704" i="23"/>
  <c r="P732" i="23"/>
  <c r="P756" i="23"/>
  <c r="P28" i="23"/>
  <c r="P62" i="23"/>
  <c r="P96" i="23"/>
  <c r="P136" i="23"/>
  <c r="P173" i="23"/>
  <c r="P207" i="23"/>
  <c r="P241" i="23"/>
  <c r="P284" i="23"/>
  <c r="P318" i="23"/>
  <c r="P352" i="23"/>
  <c r="P392" i="23"/>
  <c r="P429" i="23"/>
  <c r="P463" i="23"/>
  <c r="P497" i="23"/>
  <c r="P540" i="23"/>
  <c r="P574" i="23"/>
  <c r="P608" i="23"/>
  <c r="P648" i="23"/>
  <c r="P680" i="23"/>
  <c r="P705" i="23"/>
  <c r="P733" i="23"/>
  <c r="P757" i="23"/>
  <c r="P782" i="23"/>
  <c r="P808" i="23"/>
  <c r="P829" i="23"/>
  <c r="P849" i="23"/>
  <c r="P872" i="23"/>
  <c r="P893" i="23"/>
  <c r="P913" i="23"/>
  <c r="P936" i="23"/>
  <c r="P957" i="23"/>
  <c r="P977" i="23"/>
  <c r="P1000" i="23"/>
  <c r="P1021" i="23"/>
  <c r="P1041" i="23"/>
  <c r="P1064" i="23"/>
  <c r="P1085" i="23"/>
  <c r="P1105" i="23"/>
  <c r="P1128" i="23"/>
  <c r="P1149" i="23"/>
  <c r="P1169" i="23"/>
  <c r="P1192" i="23"/>
  <c r="P1213" i="23"/>
  <c r="P1233" i="23"/>
  <c r="P1256" i="23"/>
  <c r="P1276" i="23"/>
  <c r="P1295" i="23"/>
  <c r="P1316" i="23"/>
  <c r="P1336" i="23"/>
  <c r="P1355" i="23"/>
  <c r="P1374" i="23"/>
  <c r="P1393" i="23"/>
  <c r="P1415" i="23"/>
  <c r="P29" i="23"/>
  <c r="P63" i="23"/>
  <c r="P97" i="23"/>
  <c r="P140" i="23"/>
  <c r="P174" i="23"/>
  <c r="P208" i="23"/>
  <c r="P248" i="23"/>
  <c r="P285" i="23"/>
  <c r="P319" i="23"/>
  <c r="P353" i="23"/>
  <c r="P396" i="23"/>
  <c r="P430" i="23"/>
  <c r="P464" i="23"/>
  <c r="P504" i="23"/>
  <c r="P541" i="23"/>
  <c r="P575" i="23"/>
  <c r="P609" i="23"/>
  <c r="P652" i="23"/>
  <c r="P684" i="23"/>
  <c r="P709" i="23"/>
  <c r="P734" i="23"/>
  <c r="P759" i="23"/>
  <c r="P783" i="23"/>
  <c r="P809" i="23"/>
  <c r="P830" i="23"/>
  <c r="P852" i="23"/>
  <c r="P873" i="23"/>
  <c r="P894" i="23"/>
  <c r="P916" i="23"/>
  <c r="P937" i="23"/>
  <c r="P958" i="23"/>
  <c r="P980" i="23"/>
  <c r="P1001" i="23"/>
  <c r="P1022" i="23"/>
  <c r="P1044" i="23"/>
  <c r="P1065" i="23"/>
  <c r="P1086" i="23"/>
  <c r="P1108" i="23"/>
  <c r="P1129" i="23"/>
  <c r="P1150" i="23"/>
  <c r="P1172" i="23"/>
  <c r="P1193" i="23"/>
  <c r="P1214" i="23"/>
  <c r="P1236" i="23"/>
  <c r="P1257" i="23"/>
  <c r="P1277" i="23"/>
  <c r="P1296" i="23"/>
  <c r="P1317" i="23"/>
  <c r="P1337" i="23"/>
  <c r="P1356" i="23"/>
  <c r="P1375" i="23"/>
  <c r="P1396" i="23"/>
  <c r="P1416" i="23"/>
  <c r="P1434" i="23"/>
  <c r="P1453" i="23"/>
  <c r="P1472" i="23"/>
  <c r="P30" i="23"/>
  <c r="P64" i="23"/>
  <c r="P104" i="23"/>
  <c r="P141" i="23"/>
  <c r="P175" i="23"/>
  <c r="P209" i="23"/>
  <c r="P252" i="23"/>
  <c r="P286" i="23"/>
  <c r="P320" i="23"/>
  <c r="P360" i="23"/>
  <c r="P397" i="23"/>
  <c r="P431" i="23"/>
  <c r="P465" i="23"/>
  <c r="P508" i="23"/>
  <c r="P542" i="23"/>
  <c r="P576" i="23"/>
  <c r="P616" i="23"/>
  <c r="P653" i="23"/>
  <c r="P685" i="23"/>
  <c r="P711" i="23"/>
  <c r="P735" i="23"/>
  <c r="P760" i="23"/>
  <c r="P784" i="23"/>
  <c r="P810" i="23"/>
  <c r="P831" i="23"/>
  <c r="P853" i="23"/>
  <c r="P874" i="23"/>
  <c r="P895" i="23"/>
  <c r="P917" i="23"/>
  <c r="P938" i="23"/>
  <c r="P959" i="23"/>
  <c r="P981" i="23"/>
  <c r="P1002" i="23"/>
  <c r="P1023" i="23"/>
  <c r="P1045" i="23"/>
  <c r="P1066" i="23"/>
  <c r="P1087" i="23"/>
  <c r="P1109" i="23"/>
  <c r="P1130" i="23"/>
  <c r="P1151" i="23"/>
  <c r="P1173" i="23"/>
  <c r="P1194" i="23"/>
  <c r="P1215" i="23"/>
  <c r="P1237" i="23"/>
  <c r="P1258" i="23"/>
  <c r="P1278" i="23"/>
  <c r="P1297" i="23"/>
  <c r="P1319" i="23"/>
  <c r="P1338" i="23"/>
  <c r="P1357" i="23"/>
  <c r="P1376" i="23"/>
  <c r="P1397" i="23"/>
  <c r="P1417" i="23"/>
  <c r="P1435" i="23"/>
  <c r="P1454" i="23"/>
  <c r="P1473" i="23"/>
  <c r="P1495" i="23"/>
  <c r="P1514" i="23"/>
  <c r="P1533" i="23"/>
  <c r="P1552" i="23"/>
  <c r="P1573" i="23"/>
  <c r="P1593" i="23"/>
  <c r="P1612" i="23"/>
  <c r="P1631" i="23"/>
  <c r="P1652" i="23"/>
  <c r="P1672" i="23"/>
  <c r="P1691" i="23"/>
  <c r="P1710" i="23"/>
  <c r="P1729" i="23"/>
  <c r="P1751" i="23"/>
  <c r="P1770" i="23"/>
  <c r="P31" i="23"/>
  <c r="P65" i="23"/>
  <c r="P108" i="23"/>
  <c r="P142" i="23"/>
  <c r="P176" i="23"/>
  <c r="P216" i="23"/>
  <c r="P253" i="23"/>
  <c r="P287" i="23"/>
  <c r="P321" i="23"/>
  <c r="P364" i="23"/>
  <c r="P398" i="23"/>
  <c r="P432" i="23"/>
  <c r="P472" i="23"/>
  <c r="P509" i="23"/>
  <c r="P543" i="23"/>
  <c r="P577" i="23"/>
  <c r="P620" i="23"/>
  <c r="P654" i="23"/>
  <c r="P686" i="23"/>
  <c r="P712" i="23"/>
  <c r="P736" i="23"/>
  <c r="P761" i="23"/>
  <c r="P785" i="23"/>
  <c r="P812" i="23"/>
  <c r="P832" i="23"/>
  <c r="P855" i="23"/>
  <c r="P876" i="23"/>
  <c r="P896" i="23"/>
  <c r="P919" i="23"/>
  <c r="P940" i="23"/>
  <c r="P960" i="23"/>
  <c r="P983" i="23"/>
  <c r="P1004" i="23"/>
  <c r="P1024" i="23"/>
  <c r="P1047" i="23"/>
  <c r="P1068" i="23"/>
  <c r="P1088" i="23"/>
  <c r="P1111" i="23"/>
  <c r="P1132" i="23"/>
  <c r="P1152" i="23"/>
  <c r="P1175" i="23"/>
  <c r="P1196" i="23"/>
  <c r="P1216" i="23"/>
  <c r="P1239" i="23"/>
  <c r="P1260" i="23"/>
  <c r="P1279" i="23"/>
  <c r="P1300" i="23"/>
  <c r="P1320" i="23"/>
  <c r="P1339" i="23"/>
  <c r="P1358" i="23"/>
  <c r="P1377" i="23"/>
  <c r="P1399" i="23"/>
  <c r="P1418" i="23"/>
  <c r="P1436" i="23"/>
  <c r="P1455" i="23"/>
  <c r="P1476" i="23"/>
  <c r="P1496" i="23"/>
  <c r="P1515" i="23"/>
  <c r="P1534" i="23"/>
  <c r="P1553" i="23"/>
  <c r="P1575" i="23"/>
  <c r="P1613" i="23"/>
  <c r="P1632" i="23"/>
  <c r="P1653" i="23"/>
  <c r="P1673" i="23"/>
  <c r="P1692" i="23"/>
  <c r="P1711" i="23"/>
  <c r="P1732" i="23"/>
  <c r="P1752" i="23"/>
  <c r="P1771" i="23"/>
  <c r="P713" i="23"/>
  <c r="P1089" i="23"/>
  <c r="P1340" i="23"/>
  <c r="P1456" i="23"/>
  <c r="P1535" i="23"/>
  <c r="P1595" i="23"/>
  <c r="P1594" i="23"/>
  <c r="P1197" i="23"/>
  <c r="P1380" i="23"/>
  <c r="P1437" i="23"/>
  <c r="P1497" i="23"/>
  <c r="P1556" i="23"/>
  <c r="P1614" i="23"/>
  <c r="P1674" i="23"/>
  <c r="P32" i="23"/>
  <c r="P72" i="23"/>
  <c r="P109" i="23"/>
  <c r="P143" i="23"/>
  <c r="P177" i="23"/>
  <c r="P220" i="23"/>
  <c r="P254" i="23"/>
  <c r="P288" i="23"/>
  <c r="P328" i="23"/>
  <c r="P365" i="23"/>
  <c r="P399" i="23"/>
  <c r="P433" i="23"/>
  <c r="P476" i="23"/>
  <c r="P510" i="23"/>
  <c r="P544" i="23"/>
  <c r="P584" i="23"/>
  <c r="P621" i="23"/>
  <c r="P655" i="23"/>
  <c r="P687" i="23"/>
  <c r="P737" i="23"/>
  <c r="P764" i="23"/>
  <c r="P789" i="23"/>
  <c r="P813" i="23"/>
  <c r="P833" i="23"/>
  <c r="P856" i="23"/>
  <c r="P877" i="23"/>
  <c r="P897" i="23"/>
  <c r="P920" i="23"/>
  <c r="P941" i="23"/>
  <c r="P961" i="23"/>
  <c r="P984" i="23"/>
  <c r="P1005" i="23"/>
  <c r="P1025" i="23"/>
  <c r="P1048" i="23"/>
  <c r="P1069" i="23"/>
  <c r="P1112" i="23"/>
  <c r="P1133" i="23"/>
  <c r="P1153" i="23"/>
  <c r="P1176" i="23"/>
  <c r="P1217" i="23"/>
  <c r="P1240" i="23"/>
  <c r="P1261" i="23"/>
  <c r="P1280" i="23"/>
  <c r="P1301" i="23"/>
  <c r="P1321" i="23"/>
  <c r="P1359" i="23"/>
  <c r="P1400" i="23"/>
  <c r="P1419" i="23"/>
  <c r="P1477" i="23"/>
  <c r="P1516" i="23"/>
  <c r="P1576" i="23"/>
  <c r="P1633" i="23"/>
  <c r="P1693" i="23"/>
  <c r="P33" i="23"/>
  <c r="P76" i="23"/>
  <c r="P110" i="23"/>
  <c r="P144" i="23"/>
  <c r="P184" i="23"/>
  <c r="P221" i="23"/>
  <c r="P255" i="23"/>
  <c r="P289" i="23"/>
  <c r="P332" i="23"/>
  <c r="P366" i="23"/>
  <c r="P400" i="23"/>
  <c r="P440" i="23"/>
  <c r="P477" i="23"/>
  <c r="P511" i="23"/>
  <c r="P545" i="23"/>
  <c r="P588" i="23"/>
  <c r="P622" i="23"/>
  <c r="P656" i="23"/>
  <c r="P688" i="23"/>
  <c r="P716" i="23"/>
  <c r="P741" i="23"/>
  <c r="P765" i="23"/>
  <c r="P791" i="23"/>
  <c r="P814" i="23"/>
  <c r="P836" i="23"/>
  <c r="P857" i="23"/>
  <c r="P878" i="23"/>
  <c r="P900" i="23"/>
  <c r="P921" i="23"/>
  <c r="P942" i="23"/>
  <c r="P964" i="23"/>
  <c r="P985" i="23"/>
  <c r="P1006" i="23"/>
  <c r="P1028" i="23"/>
  <c r="P1049" i="23"/>
  <c r="P1070" i="23"/>
  <c r="P1092" i="23"/>
  <c r="P1113" i="23"/>
  <c r="P1134" i="23"/>
  <c r="P1156" i="23"/>
  <c r="P1177" i="23"/>
  <c r="P1198" i="23"/>
  <c r="P1220" i="23"/>
  <c r="P1241" i="23"/>
  <c r="P1262" i="23"/>
  <c r="P1281" i="23"/>
  <c r="P1303" i="23"/>
  <c r="P1322" i="23"/>
  <c r="P1341" i="23"/>
  <c r="P1360" i="23"/>
  <c r="P1381" i="23"/>
  <c r="P1401" i="23"/>
  <c r="P1420" i="23"/>
  <c r="P1438" i="23"/>
  <c r="P1457" i="23"/>
  <c r="P1479" i="23"/>
  <c r="P1498" i="23"/>
  <c r="P40" i="23"/>
  <c r="P77" i="23"/>
  <c r="P111" i="23"/>
  <c r="P145" i="23"/>
  <c r="P188" i="23"/>
  <c r="P222" i="23"/>
  <c r="P256" i="23"/>
  <c r="P296" i="23"/>
  <c r="P333" i="23"/>
  <c r="P367" i="23"/>
  <c r="P401" i="23"/>
  <c r="P444" i="23"/>
  <c r="P478" i="23"/>
  <c r="P512" i="23"/>
  <c r="P552" i="23"/>
  <c r="P589" i="23"/>
  <c r="P623" i="23"/>
  <c r="P657" i="23"/>
  <c r="P689" i="23"/>
  <c r="P717" i="23"/>
  <c r="P743" i="23"/>
  <c r="P766" i="23"/>
  <c r="P792" i="23"/>
  <c r="P815" i="23"/>
  <c r="P837" i="23"/>
  <c r="P858" i="23"/>
  <c r="P879" i="23"/>
  <c r="P901" i="23"/>
  <c r="P922" i="23"/>
  <c r="P943" i="23"/>
  <c r="P965" i="23"/>
  <c r="P986" i="23"/>
  <c r="P1007" i="23"/>
  <c r="P1029" i="23"/>
  <c r="P1050" i="23"/>
  <c r="P1071" i="23"/>
  <c r="P1093" i="23"/>
  <c r="P1114" i="23"/>
  <c r="P1135" i="23"/>
  <c r="P1157" i="23"/>
  <c r="P1178" i="23"/>
  <c r="P1199" i="23"/>
  <c r="P1221" i="23"/>
  <c r="P1242" i="23"/>
  <c r="P1263" i="23"/>
  <c r="P1284" i="23"/>
  <c r="P1304" i="23"/>
  <c r="P1323" i="23"/>
  <c r="P1342" i="23"/>
  <c r="P1361" i="23"/>
  <c r="P1383" i="23"/>
  <c r="P1402" i="23"/>
  <c r="P1421" i="23"/>
  <c r="P1439" i="23"/>
  <c r="P1460" i="23"/>
  <c r="P1480" i="23"/>
  <c r="P1499" i="23"/>
  <c r="P1518" i="23"/>
  <c r="P1537" i="23"/>
  <c r="P1559" i="23"/>
  <c r="P1578" i="23"/>
  <c r="P1597" i="23"/>
  <c r="P1616" i="23"/>
  <c r="P1637" i="23"/>
  <c r="P1657" i="23"/>
  <c r="P1676" i="23"/>
  <c r="P1695" i="23"/>
  <c r="P1716" i="23"/>
  <c r="P1736" i="23"/>
  <c r="P1755" i="23"/>
  <c r="P1774" i="23"/>
  <c r="P44" i="23"/>
  <c r="P78" i="23"/>
  <c r="P112" i="23"/>
  <c r="P152" i="23"/>
  <c r="P189" i="23"/>
  <c r="P223" i="23"/>
  <c r="P257" i="23"/>
  <c r="P300" i="23"/>
  <c r="P334" i="23"/>
  <c r="P408" i="23"/>
  <c r="P445" i="23"/>
  <c r="P479" i="23"/>
  <c r="P513" i="23"/>
  <c r="P556" i="23"/>
  <c r="P590" i="23"/>
  <c r="P624" i="23"/>
  <c r="P663" i="23"/>
  <c r="P693" i="23"/>
  <c r="P718" i="23"/>
  <c r="P744" i="23"/>
  <c r="P767" i="23"/>
  <c r="P793" i="23"/>
  <c r="P816" i="23"/>
  <c r="P839" i="23"/>
  <c r="P860" i="23"/>
  <c r="P880" i="23"/>
  <c r="P903" i="23"/>
  <c r="P924" i="23"/>
  <c r="P944" i="23"/>
  <c r="P967" i="23"/>
  <c r="P988" i="23"/>
  <c r="P1008" i="23"/>
  <c r="P1031" i="23"/>
  <c r="P1052" i="23"/>
  <c r="P1072" i="23"/>
  <c r="P1095" i="23"/>
  <c r="P1116" i="23"/>
  <c r="P1159" i="23"/>
  <c r="P1180" i="23"/>
  <c r="P1200" i="23"/>
  <c r="P1223" i="23"/>
  <c r="P1244" i="23"/>
  <c r="P1264" i="23"/>
  <c r="P1285" i="23"/>
  <c r="P1305" i="23"/>
  <c r="P1324" i="23"/>
  <c r="P1343" i="23"/>
  <c r="P1364" i="23"/>
  <c r="P1384" i="23"/>
  <c r="P1403" i="23"/>
  <c r="P1422" i="23"/>
  <c r="P1440" i="23"/>
  <c r="P1461" i="23"/>
  <c r="P1481" i="23"/>
  <c r="P1500" i="23"/>
  <c r="P1540" i="23"/>
  <c r="P1560" i="23"/>
  <c r="P1579" i="23"/>
  <c r="P1598" i="23"/>
  <c r="P1617" i="23"/>
  <c r="P1639" i="23"/>
  <c r="P1658" i="23"/>
  <c r="P1677" i="23"/>
  <c r="P1696" i="23"/>
  <c r="P1717" i="23"/>
  <c r="P1737" i="23"/>
  <c r="P1756" i="23"/>
  <c r="P1775" i="23"/>
  <c r="P12" i="23"/>
  <c r="P46" i="23"/>
  <c r="P80" i="23"/>
  <c r="P120" i="23"/>
  <c r="P157" i="23"/>
  <c r="P191" i="23"/>
  <c r="P225" i="23"/>
  <c r="P268" i="23"/>
  <c r="P302" i="23"/>
  <c r="P336" i="23"/>
  <c r="P376" i="23"/>
  <c r="P413" i="23"/>
  <c r="P447" i="23"/>
  <c r="P524" i="23"/>
  <c r="P558" i="23"/>
  <c r="P592" i="23"/>
  <c r="P632" i="23"/>
  <c r="P668" i="23"/>
  <c r="P696" i="23"/>
  <c r="P720" i="23"/>
  <c r="P748" i="23"/>
  <c r="P769" i="23"/>
  <c r="P797" i="23"/>
  <c r="P820" i="23"/>
  <c r="P841" i="23"/>
  <c r="P862" i="23"/>
  <c r="P905" i="23"/>
  <c r="P926" i="23"/>
  <c r="P948" i="23"/>
  <c r="P969" i="23"/>
  <c r="P990" i="23"/>
  <c r="P1012" i="23"/>
  <c r="P1033" i="23"/>
  <c r="P1054" i="23"/>
  <c r="P1076" i="23"/>
  <c r="P1097" i="23"/>
  <c r="P1140" i="23"/>
  <c r="P1161" i="23"/>
  <c r="P1182" i="23"/>
  <c r="P1204" i="23"/>
  <c r="P1225" i="23"/>
  <c r="P1246" i="23"/>
  <c r="P1288" i="23"/>
  <c r="P1307" i="23"/>
  <c r="P1326" i="23"/>
  <c r="P1345" i="23"/>
  <c r="P1367" i="23"/>
  <c r="P1405" i="23"/>
  <c r="P1424" i="23"/>
  <c r="P1444" i="23"/>
  <c r="P1483" i="23"/>
  <c r="P1502" i="23"/>
  <c r="P1521" i="23"/>
  <c r="P1543" i="23"/>
  <c r="P1581" i="23"/>
  <c r="P1600" i="23"/>
  <c r="P1641" i="23"/>
  <c r="P1660" i="23"/>
  <c r="P1679" i="23"/>
  <c r="P1739" i="23"/>
  <c r="P1758" i="23"/>
  <c r="P1205" i="23"/>
  <c r="P1425" i="23"/>
  <c r="P1563" i="23"/>
  <c r="P1642" i="23"/>
  <c r="P368" i="23"/>
  <c r="P1136" i="23"/>
  <c r="P1519" i="23"/>
  <c r="P8" i="23"/>
  <c r="P45" i="23"/>
  <c r="P79" i="23"/>
  <c r="P113" i="23"/>
  <c r="P156" i="23"/>
  <c r="P190" i="23"/>
  <c r="P224" i="23"/>
  <c r="P264" i="23"/>
  <c r="P301" i="23"/>
  <c r="P335" i="23"/>
  <c r="P369" i="23"/>
  <c r="P412" i="23"/>
  <c r="P446" i="23"/>
  <c r="P480" i="23"/>
  <c r="P520" i="23"/>
  <c r="P557" i="23"/>
  <c r="P591" i="23"/>
  <c r="P625" i="23"/>
  <c r="P664" i="23"/>
  <c r="P695" i="23"/>
  <c r="P719" i="23"/>
  <c r="P745" i="23"/>
  <c r="P768" i="23"/>
  <c r="P796" i="23"/>
  <c r="P817" i="23"/>
  <c r="P840" i="23"/>
  <c r="P861" i="23"/>
  <c r="P881" i="23"/>
  <c r="P904" i="23"/>
  <c r="P925" i="23"/>
  <c r="P945" i="23"/>
  <c r="P968" i="23"/>
  <c r="P989" i="23"/>
  <c r="P1009" i="23"/>
  <c r="P1032" i="23"/>
  <c r="P1053" i="23"/>
  <c r="P1073" i="23"/>
  <c r="P1096" i="23"/>
  <c r="P1117" i="23"/>
  <c r="P1137" i="23"/>
  <c r="P1160" i="23"/>
  <c r="P1181" i="23"/>
  <c r="P1201" i="23"/>
  <c r="P1224" i="23"/>
  <c r="P1245" i="23"/>
  <c r="P1265" i="23"/>
  <c r="P1287" i="23"/>
  <c r="P1306" i="23"/>
  <c r="P1325" i="23"/>
  <c r="P1344" i="23"/>
  <c r="P1365" i="23"/>
  <c r="P1385" i="23"/>
  <c r="P1404" i="23"/>
  <c r="P1423" i="23"/>
  <c r="P1441" i="23"/>
  <c r="P1463" i="23"/>
  <c r="P1482" i="23"/>
  <c r="P1501" i="23"/>
  <c r="P1520" i="23"/>
  <c r="P1541" i="23"/>
  <c r="P1561" i="23"/>
  <c r="P1580" i="23"/>
  <c r="P1599" i="23"/>
  <c r="P1620" i="23"/>
  <c r="P1640" i="23"/>
  <c r="P1659" i="23"/>
  <c r="P1678" i="23"/>
  <c r="P1697" i="23"/>
  <c r="P1719" i="23"/>
  <c r="P1738" i="23"/>
  <c r="P1757" i="23"/>
  <c r="P1776" i="23"/>
  <c r="P892" i="23"/>
  <c r="P1470" i="23"/>
  <c r="P1671" i="23"/>
  <c r="P1745" i="23"/>
  <c r="P1429" i="23"/>
  <c r="P1722" i="23"/>
  <c r="P1488" i="23"/>
  <c r="P1785" i="23"/>
  <c r="P1492" i="23"/>
  <c r="P912" i="23"/>
  <c r="P1255" i="23"/>
  <c r="P1335" i="23"/>
  <c r="P1413" i="23"/>
  <c r="P1471" i="23"/>
  <c r="P1525" i="23"/>
  <c r="P1564" i="23"/>
  <c r="P1604" i="23"/>
  <c r="P1643" i="23"/>
  <c r="P1675" i="23"/>
  <c r="P1744" i="23"/>
  <c r="P1644" i="23"/>
  <c r="P1713" i="23"/>
  <c r="P1609" i="23"/>
  <c r="P1532" i="23"/>
  <c r="P935" i="23"/>
  <c r="P1272" i="23"/>
  <c r="P1351" i="23"/>
  <c r="P1428" i="23"/>
  <c r="P1527" i="23"/>
  <c r="P1605" i="23"/>
  <c r="P1645" i="23"/>
  <c r="P1567" i="23"/>
  <c r="P1784" i="23"/>
  <c r="P1647" i="23"/>
  <c r="P1572" i="23"/>
  <c r="P1528" i="23"/>
  <c r="P1759" i="23"/>
  <c r="P976" i="23"/>
  <c r="P1685" i="23"/>
  <c r="P1725" i="23"/>
  <c r="P999" i="23"/>
  <c r="P1275" i="23"/>
  <c r="P1354" i="23"/>
  <c r="P1530" i="23"/>
  <c r="P1649" i="23"/>
  <c r="P1020" i="23"/>
  <c r="P1291" i="23"/>
  <c r="P1370" i="23"/>
  <c r="P1433" i="23"/>
  <c r="P1489" i="23"/>
  <c r="P1531" i="23"/>
  <c r="P1569" i="23"/>
  <c r="P1610" i="23"/>
  <c r="P1648" i="23"/>
  <c r="P1688" i="23"/>
  <c r="P1724" i="23"/>
  <c r="P1754" i="23"/>
  <c r="P1786" i="23"/>
  <c r="P1371" i="23"/>
  <c r="P1063" i="23"/>
  <c r="P1293" i="23"/>
  <c r="P1372" i="23"/>
  <c r="P1449" i="23"/>
  <c r="P1493" i="23"/>
  <c r="P1536" i="23"/>
  <c r="P1577" i="23"/>
  <c r="P1615" i="23"/>
  <c r="P1655" i="23"/>
  <c r="P1690" i="23"/>
  <c r="P1726" i="23"/>
  <c r="P1760" i="23"/>
  <c r="P4" i="23"/>
  <c r="P1783" i="23"/>
  <c r="P1084" i="23"/>
  <c r="P1294" i="23"/>
  <c r="P1373" i="23"/>
  <c r="P1450" i="23"/>
  <c r="P1504" i="23"/>
  <c r="P1545" i="23"/>
  <c r="P1583" i="23"/>
  <c r="P1624" i="23"/>
  <c r="P1656" i="23"/>
  <c r="P1694" i="23"/>
  <c r="P1727" i="23"/>
  <c r="P1761" i="23"/>
  <c r="P1625" i="23"/>
  <c r="P1700" i="23"/>
  <c r="P1764" i="23"/>
  <c r="P1352" i="23"/>
  <c r="P1749" i="23"/>
  <c r="P1432" i="23"/>
  <c r="P1448" i="23"/>
  <c r="P1104" i="23"/>
  <c r="P1310" i="23"/>
  <c r="P1389" i="23"/>
  <c r="P1451" i="23"/>
  <c r="P1505" i="23"/>
  <c r="P1546" i="23"/>
  <c r="P1584" i="23"/>
  <c r="P1662" i="23"/>
  <c r="P1728" i="23"/>
  <c r="P1607" i="23"/>
  <c r="P1529" i="23"/>
  <c r="P1687" i="23"/>
  <c r="P1689" i="23"/>
  <c r="P781" i="23"/>
  <c r="P1127" i="23"/>
  <c r="P1311" i="23"/>
  <c r="P1390" i="23"/>
  <c r="P1452" i="23"/>
  <c r="P1508" i="23"/>
  <c r="P1547" i="23"/>
  <c r="P1585" i="23"/>
  <c r="P1626" i="23"/>
  <c r="P1663" i="23"/>
  <c r="P1703" i="23"/>
  <c r="P1733" i="23"/>
  <c r="P1765" i="23"/>
  <c r="P1148" i="23"/>
  <c r="P1391" i="23"/>
  <c r="P1466" i="23"/>
  <c r="P1548" i="23"/>
  <c r="P1588" i="23"/>
  <c r="P1627" i="23"/>
  <c r="P1704" i="23"/>
  <c r="P1735" i="23"/>
  <c r="P1767" i="23"/>
  <c r="P1780" i="23"/>
  <c r="P1565" i="23"/>
  <c r="P1712" i="23"/>
  <c r="P956" i="23"/>
  <c r="P1486" i="23"/>
  <c r="P1748" i="23"/>
  <c r="P1274" i="23"/>
  <c r="P1431" i="23"/>
  <c r="P1646" i="23"/>
  <c r="P1723" i="23"/>
  <c r="P1040" i="23"/>
  <c r="P1787" i="23"/>
  <c r="P807" i="23"/>
  <c r="P1312" i="23"/>
  <c r="P1509" i="23"/>
  <c r="P1664" i="23"/>
  <c r="P1681" i="23"/>
  <c r="P1781" i="23"/>
  <c r="P1684" i="23"/>
  <c r="P1568" i="23"/>
  <c r="P1292" i="23"/>
  <c r="P828" i="23"/>
  <c r="P1168" i="23"/>
  <c r="P1313" i="23"/>
  <c r="P1392" i="23"/>
  <c r="P1467" i="23"/>
  <c r="P1511" i="23"/>
  <c r="P1549" i="23"/>
  <c r="P1589" i="23"/>
  <c r="P1628" i="23"/>
  <c r="P1665" i="23"/>
  <c r="P1705" i="23"/>
  <c r="P1740" i="23"/>
  <c r="P1768" i="23"/>
  <c r="P1329" i="23"/>
  <c r="P1468" i="23"/>
  <c r="P1512" i="23"/>
  <c r="P1550" i="23"/>
  <c r="P1629" i="23"/>
  <c r="P1668" i="23"/>
  <c r="P1706" i="23"/>
  <c r="P1741" i="23"/>
  <c r="P1769" i="23"/>
  <c r="P1630" i="23"/>
  <c r="P1707" i="23"/>
  <c r="P1742" i="23"/>
  <c r="P1772" i="23"/>
  <c r="P1232" i="23"/>
  <c r="P1412" i="23"/>
  <c r="P1517" i="23"/>
  <c r="P1557" i="23"/>
  <c r="P1596" i="23"/>
  <c r="P1636" i="23"/>
  <c r="P1708" i="23"/>
  <c r="P1743" i="23"/>
  <c r="P1773" i="23"/>
  <c r="P1709" i="23"/>
  <c r="P1485" i="23"/>
  <c r="P1273" i="23"/>
  <c r="P1566" i="23"/>
  <c r="P1353" i="23"/>
  <c r="P1487" i="23"/>
  <c r="P1608" i="23"/>
  <c r="P1753" i="23"/>
  <c r="P1611" i="23"/>
  <c r="P848" i="23"/>
  <c r="P1191" i="23"/>
  <c r="P1408" i="23"/>
  <c r="P1591" i="23"/>
  <c r="P1333" i="23"/>
  <c r="P871" i="23"/>
  <c r="P1212" i="23"/>
  <c r="P1332" i="23"/>
  <c r="P1409" i="23"/>
  <c r="P1469" i="23"/>
  <c r="P1513" i="23"/>
  <c r="P1551" i="23"/>
  <c r="P1592" i="23"/>
  <c r="P1669" i="23"/>
  <c r="G9" i="4"/>
  <c r="I48" i="10"/>
  <c r="O6" i="3"/>
  <c r="O7" i="3"/>
  <c r="O8" i="3"/>
  <c r="O9" i="3"/>
  <c r="N6" i="3"/>
  <c r="N7" i="3"/>
  <c r="N8" i="3"/>
  <c r="N9" i="3"/>
  <c r="M6" i="3"/>
  <c r="M7" i="3"/>
  <c r="M8" i="3"/>
  <c r="M9" i="3"/>
  <c r="L6" i="3"/>
  <c r="L7" i="3"/>
  <c r="L8" i="3"/>
  <c r="L9" i="3"/>
  <c r="K6" i="3"/>
  <c r="K7" i="3"/>
  <c r="K8" i="3"/>
  <c r="K9" i="3"/>
  <c r="S1636" i="23" l="1"/>
  <c r="S1754" i="23"/>
  <c r="U1754" i="23" s="1"/>
  <c r="S1722" i="23"/>
  <c r="S1749" i="23"/>
  <c r="U1749" i="23" s="1"/>
  <c r="S1717" i="23"/>
  <c r="S1685" i="23"/>
  <c r="U1685" i="23" s="1"/>
  <c r="S1770" i="23"/>
  <c r="S1674" i="23"/>
  <c r="S1642" i="23"/>
  <c r="S1715" i="23"/>
  <c r="S1699" i="23"/>
  <c r="S1683" i="23"/>
  <c r="S1667" i="23"/>
  <c r="U1667" i="23" s="1"/>
  <c r="S1459" i="23"/>
  <c r="S1443" i="23"/>
  <c r="S1426" i="23"/>
  <c r="S1409" i="23"/>
  <c r="U1409" i="23" s="1"/>
  <c r="S1522" i="23"/>
  <c r="D46" i="22"/>
  <c r="E45" i="22"/>
  <c r="F42" i="22"/>
  <c r="F45" i="22" s="1"/>
  <c r="O70" i="22" s="1"/>
  <c r="S1701" i="23"/>
  <c r="S1684" i="23"/>
  <c r="U1684" i="23" s="1"/>
  <c r="S1587" i="23"/>
  <c r="S1682" i="23"/>
  <c r="S1425" i="23"/>
  <c r="S1537" i="23"/>
  <c r="S1652" i="23"/>
  <c r="S1571" i="23"/>
  <c r="S1666" i="23"/>
  <c r="S1521" i="23"/>
  <c r="U1521" i="23" s="1"/>
  <c r="S1761" i="23"/>
  <c r="S929" i="23"/>
  <c r="S673" i="23"/>
  <c r="U673" i="23" s="1"/>
  <c r="S417" i="23"/>
  <c r="S1505" i="23"/>
  <c r="S1281" i="23"/>
  <c r="U1505" i="23"/>
  <c r="U1717" i="23"/>
  <c r="U1652" i="23"/>
  <c r="U1780" i="23"/>
  <c r="S1650" i="23"/>
  <c r="S1530" i="23"/>
  <c r="S161" i="23"/>
  <c r="U161" i="23" s="1"/>
  <c r="S1669" i="23"/>
  <c r="S1555" i="23"/>
  <c r="U1770" i="23"/>
  <c r="U1722" i="23"/>
  <c r="S20" i="23"/>
  <c r="S26" i="23"/>
  <c r="S58" i="23"/>
  <c r="S89" i="23"/>
  <c r="S118" i="23"/>
  <c r="S149" i="23"/>
  <c r="S181" i="23"/>
  <c r="S213" i="23"/>
  <c r="S242" i="23"/>
  <c r="S274" i="23"/>
  <c r="S306" i="23"/>
  <c r="S337" i="23"/>
  <c r="S362" i="23"/>
  <c r="U362" i="23" s="1"/>
  <c r="S391" i="23"/>
  <c r="S423" i="23"/>
  <c r="U423" i="23" s="1"/>
  <c r="S455" i="23"/>
  <c r="S486" i="23"/>
  <c r="S515" i="23"/>
  <c r="S539" i="23"/>
  <c r="S568" i="23"/>
  <c r="S598" i="23"/>
  <c r="S626" i="23"/>
  <c r="S650" i="23"/>
  <c r="S680" i="23"/>
  <c r="S709" i="23"/>
  <c r="S738" i="23"/>
  <c r="U738" i="23" s="1"/>
  <c r="S761" i="23"/>
  <c r="S791" i="23"/>
  <c r="S819" i="23"/>
  <c r="S843" i="23"/>
  <c r="U843" i="23" s="1"/>
  <c r="S873" i="23"/>
  <c r="S902" i="23"/>
  <c r="S931" i="23"/>
  <c r="U931" i="23" s="1"/>
  <c r="S954" i="23"/>
  <c r="S984" i="23"/>
  <c r="U984" i="23" s="1"/>
  <c r="S1013" i="23"/>
  <c r="S1042" i="23"/>
  <c r="S1067" i="23"/>
  <c r="S1096" i="23"/>
  <c r="S1126" i="23"/>
  <c r="S1151" i="23"/>
  <c r="U1151" i="23" s="1"/>
  <c r="S1177" i="23"/>
  <c r="S1206" i="23"/>
  <c r="S1234" i="23"/>
  <c r="S1258" i="23"/>
  <c r="S1288" i="23"/>
  <c r="S1319" i="23"/>
  <c r="U1319" i="23" s="1"/>
  <c r="S1350" i="23"/>
  <c r="U1350" i="23" s="1"/>
  <c r="S1375" i="23"/>
  <c r="S11" i="23"/>
  <c r="S43" i="23"/>
  <c r="U43" i="23" s="1"/>
  <c r="S75" i="23"/>
  <c r="U75" i="23" s="1"/>
  <c r="S105" i="23"/>
  <c r="S134" i="23"/>
  <c r="U134" i="23" s="1"/>
  <c r="S166" i="23"/>
  <c r="S198" i="23"/>
  <c r="U198" i="23" s="1"/>
  <c r="S229" i="23"/>
  <c r="S259" i="23"/>
  <c r="S291" i="23"/>
  <c r="S323" i="23"/>
  <c r="S353" i="23"/>
  <c r="S378" i="23"/>
  <c r="S409" i="23"/>
  <c r="U409" i="23" s="1"/>
  <c r="S441" i="23"/>
  <c r="S473" i="23"/>
  <c r="S502" i="23"/>
  <c r="S531" i="23"/>
  <c r="S555" i="23"/>
  <c r="S584" i="23"/>
  <c r="S614" i="23"/>
  <c r="S642" i="23"/>
  <c r="S666" i="23"/>
  <c r="S695" i="23"/>
  <c r="S725" i="23"/>
  <c r="S753" i="23"/>
  <c r="S777" i="23"/>
  <c r="S807" i="23"/>
  <c r="S835" i="23"/>
  <c r="S859" i="23"/>
  <c r="S888" i="23"/>
  <c r="S918" i="23"/>
  <c r="S946" i="23"/>
  <c r="S970" i="23"/>
  <c r="S1000" i="23"/>
  <c r="S1029" i="23"/>
  <c r="S1059" i="23"/>
  <c r="S1082" i="23"/>
  <c r="S1112" i="23"/>
  <c r="S1141" i="23"/>
  <c r="S1167" i="23"/>
  <c r="S1192" i="23"/>
  <c r="S1221" i="23"/>
  <c r="U1221" i="23" s="1"/>
  <c r="S1250" i="23"/>
  <c r="U1250" i="23" s="1"/>
  <c r="S1275" i="23"/>
  <c r="S1304" i="23"/>
  <c r="S19" i="23"/>
  <c r="S51" i="23"/>
  <c r="S82" i="23"/>
  <c r="S107" i="23"/>
  <c r="S137" i="23"/>
  <c r="S169" i="23"/>
  <c r="S201" i="23"/>
  <c r="U201" i="23" s="1"/>
  <c r="S231" i="23"/>
  <c r="S262" i="23"/>
  <c r="S294" i="23"/>
  <c r="S326" i="23"/>
  <c r="U326" i="23" s="1"/>
  <c r="S355" i="23"/>
  <c r="S385" i="23"/>
  <c r="U385" i="23" s="1"/>
  <c r="S411" i="23"/>
  <c r="S443" i="23"/>
  <c r="S475" i="23"/>
  <c r="S504" i="23"/>
  <c r="S534" i="23"/>
  <c r="S562" i="23"/>
  <c r="S586" i="23"/>
  <c r="S616" i="23"/>
  <c r="U616" i="23" s="1"/>
  <c r="S645" i="23"/>
  <c r="S674" i="23"/>
  <c r="S697" i="23"/>
  <c r="S727" i="23"/>
  <c r="S755" i="23"/>
  <c r="U755" i="23" s="1"/>
  <c r="S779" i="23"/>
  <c r="S809" i="23"/>
  <c r="U809" i="23" s="1"/>
  <c r="S838" i="23"/>
  <c r="S867" i="23"/>
  <c r="S890" i="23"/>
  <c r="S920" i="23"/>
  <c r="S949" i="23"/>
  <c r="U949" i="23" s="1"/>
  <c r="S978" i="23"/>
  <c r="S1002" i="23"/>
  <c r="U1002" i="23" s="1"/>
  <c r="S1031" i="23"/>
  <c r="U1031" i="23" s="1"/>
  <c r="S1062" i="23"/>
  <c r="S1090" i="23"/>
  <c r="S1114" i="23"/>
  <c r="S1143" i="23"/>
  <c r="U1143" i="23" s="1"/>
  <c r="S1171" i="23"/>
  <c r="S1195" i="23"/>
  <c r="S1224" i="23"/>
  <c r="S1253" i="23"/>
  <c r="S1282" i="23"/>
  <c r="S1306" i="23"/>
  <c r="S1343" i="23"/>
  <c r="S1369" i="23"/>
  <c r="S1390" i="23"/>
  <c r="S1413" i="23"/>
  <c r="S1433" i="23"/>
  <c r="U1433" i="23" s="1"/>
  <c r="S1454" i="23"/>
  <c r="S1477" i="23"/>
  <c r="S1497" i="23"/>
  <c r="S1518" i="23"/>
  <c r="U1518" i="23" s="1"/>
  <c r="S1541" i="23"/>
  <c r="S1561" i="23"/>
  <c r="S1582" i="23"/>
  <c r="S1605" i="23"/>
  <c r="S1627" i="23"/>
  <c r="S1648" i="23"/>
  <c r="U1648" i="23" s="1"/>
  <c r="S1675" i="23"/>
  <c r="U1675" i="23" s="1"/>
  <c r="S1702" i="23"/>
  <c r="U1702" i="23" s="1"/>
  <c r="S1725" i="23"/>
  <c r="U1725" i="23" s="1"/>
  <c r="S1752" i="23"/>
  <c r="S1775" i="23"/>
  <c r="S22" i="23"/>
  <c r="S54" i="23"/>
  <c r="S85" i="23"/>
  <c r="S114" i="23"/>
  <c r="S139" i="23"/>
  <c r="S171" i="23"/>
  <c r="S203" i="23"/>
  <c r="U203" i="23" s="1"/>
  <c r="S234" i="23"/>
  <c r="U234" i="23" s="1"/>
  <c r="S265" i="23"/>
  <c r="S297" i="23"/>
  <c r="S329" i="23"/>
  <c r="S358" i="23"/>
  <c r="S387" i="23"/>
  <c r="U387" i="23" s="1"/>
  <c r="S419" i="23"/>
  <c r="S451" i="23"/>
  <c r="S482" i="23"/>
  <c r="U482" i="23" s="1"/>
  <c r="S506" i="23"/>
  <c r="S536" i="23"/>
  <c r="S565" i="23"/>
  <c r="S594" i="23"/>
  <c r="S618" i="23"/>
  <c r="U618" i="23" s="1"/>
  <c r="S647" i="23"/>
  <c r="S677" i="23"/>
  <c r="S699" i="23"/>
  <c r="S729" i="23"/>
  <c r="S758" i="23"/>
  <c r="S787" i="23"/>
  <c r="S811" i="23"/>
  <c r="S840" i="23"/>
  <c r="U840" i="23" s="1"/>
  <c r="S870" i="23"/>
  <c r="S898" i="23"/>
  <c r="S922" i="23"/>
  <c r="S951" i="23"/>
  <c r="S981" i="23"/>
  <c r="U981" i="23" s="1"/>
  <c r="S1009" i="23"/>
  <c r="S1033" i="23"/>
  <c r="U1033" i="23" s="1"/>
  <c r="S1064" i="23"/>
  <c r="U1064" i="23" s="1"/>
  <c r="S1093" i="23"/>
  <c r="S1122" i="23"/>
  <c r="U1122" i="23" s="1"/>
  <c r="S1145" i="23"/>
  <c r="S1174" i="23"/>
  <c r="S1202" i="23"/>
  <c r="S1226" i="23"/>
  <c r="S1255" i="23"/>
  <c r="S1285" i="23"/>
  <c r="U1285" i="23" s="1"/>
  <c r="S1311" i="23"/>
  <c r="S1346" i="23"/>
  <c r="S1372" i="23"/>
  <c r="U1372" i="23" s="1"/>
  <c r="S1392" i="23"/>
  <c r="S1415" i="23"/>
  <c r="S1436" i="23"/>
  <c r="U1436" i="23" s="1"/>
  <c r="S1456" i="23"/>
  <c r="U1456" i="23" s="1"/>
  <c r="S1479" i="23"/>
  <c r="U1479" i="23" s="1"/>
  <c r="S1500" i="23"/>
  <c r="U1500" i="23" s="1"/>
  <c r="S1520" i="23"/>
  <c r="S1543" i="23"/>
  <c r="U1543" i="23" s="1"/>
  <c r="S1564" i="23"/>
  <c r="U1564" i="23" s="1"/>
  <c r="S1584" i="23"/>
  <c r="S1607" i="23"/>
  <c r="U1607" i="23" s="1"/>
  <c r="S1629" i="23"/>
  <c r="U1629" i="23" s="1"/>
  <c r="S1654" i="23"/>
  <c r="U1654" i="23" s="1"/>
  <c r="S1677" i="23"/>
  <c r="S1704" i="23"/>
  <c r="S1727" i="23"/>
  <c r="S1755" i="23"/>
  <c r="S1782" i="23"/>
  <c r="S9" i="23"/>
  <c r="S55" i="23"/>
  <c r="S97" i="23"/>
  <c r="S131" i="23"/>
  <c r="S178" i="23"/>
  <c r="S217" i="23"/>
  <c r="S251" i="23"/>
  <c r="S298" i="23"/>
  <c r="S341" i="23"/>
  <c r="S375" i="23"/>
  <c r="S421" i="23"/>
  <c r="S459" i="23"/>
  <c r="U459" i="23" s="1"/>
  <c r="S499" i="23"/>
  <c r="U499" i="23" s="1"/>
  <c r="S537" i="23"/>
  <c r="U537" i="23" s="1"/>
  <c r="S571" i="23"/>
  <c r="S611" i="23"/>
  <c r="U611" i="23" s="1"/>
  <c r="S648" i="23"/>
  <c r="S683" i="23"/>
  <c r="S722" i="23"/>
  <c r="S759" i="23"/>
  <c r="S794" i="23"/>
  <c r="S827" i="23"/>
  <c r="S871" i="23"/>
  <c r="U871" i="23" s="1"/>
  <c r="S905" i="23"/>
  <c r="S939" i="23"/>
  <c r="U939" i="23" s="1"/>
  <c r="S982" i="23"/>
  <c r="S1016" i="23"/>
  <c r="S1051" i="23"/>
  <c r="U1051" i="23" s="1"/>
  <c r="S1094" i="23"/>
  <c r="U1094" i="23" s="1"/>
  <c r="S1129" i="23"/>
  <c r="S1162" i="23"/>
  <c r="S1203" i="23"/>
  <c r="S1238" i="23"/>
  <c r="U1238" i="23" s="1"/>
  <c r="S1273" i="23"/>
  <c r="S1315" i="23"/>
  <c r="S1352" i="23"/>
  <c r="U1352" i="23" s="1"/>
  <c r="S1383" i="23"/>
  <c r="S1406" i="23"/>
  <c r="S1431" i="23"/>
  <c r="S1455" i="23"/>
  <c r="S1481" i="23"/>
  <c r="U1481" i="23" s="1"/>
  <c r="S1504" i="23"/>
  <c r="U1504" i="23" s="1"/>
  <c r="S1529" i="23"/>
  <c r="S1552" i="23"/>
  <c r="S1577" i="23"/>
  <c r="U1577" i="23" s="1"/>
  <c r="S1600" i="23"/>
  <c r="S1628" i="23"/>
  <c r="U1628" i="23" s="1"/>
  <c r="S1656" i="23"/>
  <c r="U1656" i="23" s="1"/>
  <c r="S1686" i="23"/>
  <c r="U1686" i="23" s="1"/>
  <c r="S1711" i="23"/>
  <c r="S1741" i="23"/>
  <c r="U1741" i="23" s="1"/>
  <c r="S1771" i="23"/>
  <c r="S10" i="23"/>
  <c r="S57" i="23"/>
  <c r="S98" i="23"/>
  <c r="U98" i="23" s="1"/>
  <c r="S133" i="23"/>
  <c r="S179" i="23"/>
  <c r="S218" i="23"/>
  <c r="S258" i="23"/>
  <c r="S299" i="23"/>
  <c r="S342" i="23"/>
  <c r="S377" i="23"/>
  <c r="S422" i="23"/>
  <c r="S466" i="23"/>
  <c r="S501" i="23"/>
  <c r="U501" i="23" s="1"/>
  <c r="S538" i="23"/>
  <c r="S578" i="23"/>
  <c r="U578" i="23" s="1"/>
  <c r="S613" i="23"/>
  <c r="S649" i="23"/>
  <c r="S689" i="23"/>
  <c r="S723" i="23"/>
  <c r="S760" i="23"/>
  <c r="S795" i="23"/>
  <c r="U795" i="23" s="1"/>
  <c r="S834" i="23"/>
  <c r="S872" i="23"/>
  <c r="S906" i="23"/>
  <c r="S945" i="23"/>
  <c r="U945" i="23" s="1"/>
  <c r="S983" i="23"/>
  <c r="U983" i="23" s="1"/>
  <c r="S1017" i="23"/>
  <c r="S1058" i="23"/>
  <c r="U1058" i="23" s="1"/>
  <c r="S1095" i="23"/>
  <c r="S1130" i="23"/>
  <c r="S1163" i="23"/>
  <c r="U1163" i="23" s="1"/>
  <c r="S1205" i="23"/>
  <c r="U1205" i="23" s="1"/>
  <c r="S1239" i="23"/>
  <c r="S1274" i="23"/>
  <c r="S1317" i="23"/>
  <c r="S1353" i="23"/>
  <c r="S1384" i="23"/>
  <c r="U1384" i="23" s="1"/>
  <c r="S1407" i="23"/>
  <c r="S1432" i="23"/>
  <c r="U1432" i="23" s="1"/>
  <c r="S1460" i="23"/>
  <c r="U1460" i="23" s="1"/>
  <c r="S1483" i="23"/>
  <c r="U1483" i="23" s="1"/>
  <c r="S1508" i="23"/>
  <c r="S1531" i="23"/>
  <c r="S1556" i="23"/>
  <c r="S1579" i="23"/>
  <c r="S1604" i="23"/>
  <c r="U1604" i="23" s="1"/>
  <c r="S1630" i="23"/>
  <c r="S1657" i="23"/>
  <c r="S1687" i="23"/>
  <c r="S1712" i="23"/>
  <c r="U1712" i="23" s="1"/>
  <c r="S1742" i="23"/>
  <c r="S1772" i="23"/>
  <c r="S18" i="23"/>
  <c r="S59" i="23"/>
  <c r="S99" i="23"/>
  <c r="U99" i="23" s="1"/>
  <c r="S135" i="23"/>
  <c r="S182" i="23"/>
  <c r="S219" i="23"/>
  <c r="S261" i="23"/>
  <c r="S307" i="23"/>
  <c r="S343" i="23"/>
  <c r="S379" i="23"/>
  <c r="S425" i="23"/>
  <c r="U425" i="23" s="1"/>
  <c r="S467" i="23"/>
  <c r="S503" i="23"/>
  <c r="U503" i="23" s="1"/>
  <c r="S546" i="23"/>
  <c r="S579" i="23"/>
  <c r="S615" i="23"/>
  <c r="S651" i="23"/>
  <c r="S690" i="23"/>
  <c r="S726" i="23"/>
  <c r="S762" i="23"/>
  <c r="S802" i="23"/>
  <c r="S837" i="23"/>
  <c r="U837" i="23" s="1"/>
  <c r="S874" i="23"/>
  <c r="S907" i="23"/>
  <c r="S947" i="23"/>
  <c r="S985" i="23"/>
  <c r="S1018" i="23"/>
  <c r="S1061" i="23"/>
  <c r="S1097" i="23"/>
  <c r="S1131" i="23"/>
  <c r="S1170" i="23"/>
  <c r="S1207" i="23"/>
  <c r="S1240" i="23"/>
  <c r="S1279" i="23"/>
  <c r="S1320" i="23"/>
  <c r="S1354" i="23"/>
  <c r="S1385" i="23"/>
  <c r="S1408" i="23"/>
  <c r="S1435" i="23"/>
  <c r="S1461" i="23"/>
  <c r="S1484" i="23"/>
  <c r="S1509" i="23"/>
  <c r="S1532" i="23"/>
  <c r="U1532" i="23" s="1"/>
  <c r="S1557" i="23"/>
  <c r="U1557" i="23" s="1"/>
  <c r="S1580" i="23"/>
  <c r="S1606" i="23"/>
  <c r="U1606" i="23" s="1"/>
  <c r="S1631" i="23"/>
  <c r="U1631" i="23" s="1"/>
  <c r="S1659" i="23"/>
  <c r="S1688" i="23"/>
  <c r="U1688" i="23" s="1"/>
  <c r="S1718" i="23"/>
  <c r="U1718" i="23" s="1"/>
  <c r="S1743" i="23"/>
  <c r="S1773" i="23"/>
  <c r="U1773" i="23" s="1"/>
  <c r="S21" i="23"/>
  <c r="S66" i="23"/>
  <c r="U66" i="23" s="1"/>
  <c r="S101" i="23"/>
  <c r="U101" i="23" s="1"/>
  <c r="S138" i="23"/>
  <c r="U138" i="23" s="1"/>
  <c r="S183" i="23"/>
  <c r="S225" i="23"/>
  <c r="U225" i="23" s="1"/>
  <c r="S263" i="23"/>
  <c r="S309" i="23"/>
  <c r="S345" i="23"/>
  <c r="S386" i="23"/>
  <c r="S426" i="23"/>
  <c r="S469" i="23"/>
  <c r="S505" i="23"/>
  <c r="S547" i="23"/>
  <c r="S581" i="23"/>
  <c r="S617" i="23"/>
  <c r="S658" i="23"/>
  <c r="U658" i="23" s="1"/>
  <c r="S691" i="23"/>
  <c r="S728" i="23"/>
  <c r="U728" i="23" s="1"/>
  <c r="S763" i="23"/>
  <c r="S803" i="23"/>
  <c r="S839" i="23"/>
  <c r="U839" i="23" s="1"/>
  <c r="S875" i="23"/>
  <c r="S914" i="23"/>
  <c r="S950" i="23"/>
  <c r="S986" i="23"/>
  <c r="U986" i="23" s="1"/>
  <c r="S1019" i="23"/>
  <c r="S1063" i="23"/>
  <c r="S1098" i="23"/>
  <c r="S1137" i="23"/>
  <c r="U1137" i="23" s="1"/>
  <c r="S1173" i="23"/>
  <c r="U1173" i="23" s="1"/>
  <c r="S1208" i="23"/>
  <c r="S1241" i="23"/>
  <c r="S1283" i="23"/>
  <c r="S1321" i="23"/>
  <c r="U1321" i="23" s="1"/>
  <c r="S1355" i="23"/>
  <c r="U1355" i="23" s="1"/>
  <c r="S1387" i="23"/>
  <c r="S1412" i="23"/>
  <c r="S1437" i="23"/>
  <c r="U1437" i="23" s="1"/>
  <c r="S1462" i="23"/>
  <c r="S1485" i="23"/>
  <c r="U1485" i="23" s="1"/>
  <c r="S23" i="23"/>
  <c r="S67" i="23"/>
  <c r="S102" i="23"/>
  <c r="S146" i="23"/>
  <c r="U146" i="23" s="1"/>
  <c r="S185" i="23"/>
  <c r="S226" i="23"/>
  <c r="U226" i="23" s="1"/>
  <c r="S266" i="23"/>
  <c r="S310" i="23"/>
  <c r="S346" i="23"/>
  <c r="S389" i="23"/>
  <c r="S427" i="23"/>
  <c r="U427" i="23" s="1"/>
  <c r="S470" i="23"/>
  <c r="S507" i="23"/>
  <c r="S549" i="23"/>
  <c r="S582" i="23"/>
  <c r="U582" i="23" s="1"/>
  <c r="S619" i="23"/>
  <c r="S659" i="23"/>
  <c r="S693" i="23"/>
  <c r="S730" i="23"/>
  <c r="S770" i="23"/>
  <c r="S805" i="23"/>
  <c r="S841" i="23"/>
  <c r="U841" i="23" s="1"/>
  <c r="S881" i="23"/>
  <c r="S915" i="23"/>
  <c r="S952" i="23"/>
  <c r="U952" i="23" s="1"/>
  <c r="S987" i="23"/>
  <c r="S1026" i="23"/>
  <c r="S1065" i="23"/>
  <c r="S1099" i="23"/>
  <c r="U1099" i="23" s="1"/>
  <c r="S1138" i="23"/>
  <c r="S1175" i="23"/>
  <c r="U1175" i="23" s="1"/>
  <c r="S1209" i="23"/>
  <c r="U1209" i="23" s="1"/>
  <c r="S1243" i="23"/>
  <c r="S1286" i="23"/>
  <c r="S1322" i="23"/>
  <c r="U1322" i="23" s="1"/>
  <c r="S1359" i="23"/>
  <c r="U1359" i="23" s="1"/>
  <c r="S1388" i="23"/>
  <c r="S1414" i="23"/>
  <c r="S1438" i="23"/>
  <c r="S1463" i="23"/>
  <c r="U1463" i="23" s="1"/>
  <c r="S1486" i="23"/>
  <c r="S1511" i="23"/>
  <c r="U1511" i="23" s="1"/>
  <c r="S1534" i="23"/>
  <c r="U1534" i="23" s="1"/>
  <c r="S1559" i="23"/>
  <c r="S1583" i="23"/>
  <c r="U1583" i="23" s="1"/>
  <c r="S1609" i="23"/>
  <c r="S1637" i="23"/>
  <c r="U1637" i="23" s="1"/>
  <c r="S1661" i="23"/>
  <c r="U1661" i="23" s="1"/>
  <c r="S1691" i="23"/>
  <c r="S1720" i="23"/>
  <c r="S1750" i="23"/>
  <c r="S1776" i="23"/>
  <c r="S25" i="23"/>
  <c r="U25" i="23" s="1"/>
  <c r="S69" i="23"/>
  <c r="S103" i="23"/>
  <c r="S147" i="23"/>
  <c r="S186" i="23"/>
  <c r="S227" i="23"/>
  <c r="S267" i="23"/>
  <c r="S311" i="23"/>
  <c r="U311" i="23" s="1"/>
  <c r="S347" i="23"/>
  <c r="S390" i="23"/>
  <c r="S434" i="23"/>
  <c r="S471" i="23"/>
  <c r="S514" i="23"/>
  <c r="S550" i="23"/>
  <c r="S583" i="23"/>
  <c r="S625" i="23"/>
  <c r="U625" i="23" s="1"/>
  <c r="S661" i="23"/>
  <c r="S694" i="23"/>
  <c r="U694" i="23" s="1"/>
  <c r="S731" i="23"/>
  <c r="S771" i="23"/>
  <c r="S806" i="23"/>
  <c r="S842" i="23"/>
  <c r="S882" i="23"/>
  <c r="S917" i="23"/>
  <c r="S953" i="23"/>
  <c r="S994" i="23"/>
  <c r="U994" i="23" s="1"/>
  <c r="S1027" i="23"/>
  <c r="S1066" i="23"/>
  <c r="U1066" i="23" s="1"/>
  <c r="S1106" i="23"/>
  <c r="S1139" i="23"/>
  <c r="S1176" i="23"/>
  <c r="U1176" i="23" s="1"/>
  <c r="S1210" i="23"/>
  <c r="U1210" i="23" s="1"/>
  <c r="S1247" i="23"/>
  <c r="S1287" i="23"/>
  <c r="U1287" i="23" s="1"/>
  <c r="S1323" i="23"/>
  <c r="S1365" i="23"/>
  <c r="S1389" i="23"/>
  <c r="U1389" i="23" s="1"/>
  <c r="S1416" i="23"/>
  <c r="S1439" i="23"/>
  <c r="S1464" i="23"/>
  <c r="S1487" i="23"/>
  <c r="U1487" i="23" s="1"/>
  <c r="S1512" i="23"/>
  <c r="S1535" i="23"/>
  <c r="U1535" i="23" s="1"/>
  <c r="S1560" i="23"/>
  <c r="S1588" i="23"/>
  <c r="S1611" i="23"/>
  <c r="U1611" i="23" s="1"/>
  <c r="S1638" i="23"/>
  <c r="S1662" i="23"/>
  <c r="S1692" i="23"/>
  <c r="U1692" i="23" s="1"/>
  <c r="S1721" i="23"/>
  <c r="S1751" i="23"/>
  <c r="S1783" i="23"/>
  <c r="U1783" i="23" s="1"/>
  <c r="S27" i="23"/>
  <c r="U27" i="23" s="1"/>
  <c r="S70" i="23"/>
  <c r="U70" i="23" s="1"/>
  <c r="S106" i="23"/>
  <c r="S150" i="23"/>
  <c r="S187" i="23"/>
  <c r="S230" i="23"/>
  <c r="S275" i="23"/>
  <c r="S313" i="23"/>
  <c r="U313" i="23" s="1"/>
  <c r="S354" i="23"/>
  <c r="S34" i="23"/>
  <c r="S71" i="23"/>
  <c r="S113" i="23"/>
  <c r="S151" i="23"/>
  <c r="U151" i="23" s="1"/>
  <c r="S194" i="23"/>
  <c r="S233" i="23"/>
  <c r="S277" i="23"/>
  <c r="S314" i="23"/>
  <c r="U314" i="23" s="1"/>
  <c r="S357" i="23"/>
  <c r="S394" i="23"/>
  <c r="S437" i="23"/>
  <c r="S481" i="23"/>
  <c r="S518" i="23"/>
  <c r="S552" i="23"/>
  <c r="U552" i="23" s="1"/>
  <c r="S587" i="23"/>
  <c r="U587" i="23" s="1"/>
  <c r="S35" i="23"/>
  <c r="S73" i="23"/>
  <c r="S115" i="23"/>
  <c r="U115" i="23" s="1"/>
  <c r="S153" i="23"/>
  <c r="U153" i="23" s="1"/>
  <c r="S195" i="23"/>
  <c r="S235" i="23"/>
  <c r="U235" i="23" s="1"/>
  <c r="S278" i="23"/>
  <c r="S315" i="23"/>
  <c r="S359" i="23"/>
  <c r="S395" i="23"/>
  <c r="S438" i="23"/>
  <c r="S483" i="23"/>
  <c r="S519" i="23"/>
  <c r="S553" i="23"/>
  <c r="S595" i="23"/>
  <c r="S37" i="23"/>
  <c r="S74" i="23"/>
  <c r="S117" i="23"/>
  <c r="U117" i="23" s="1"/>
  <c r="S154" i="23"/>
  <c r="S197" i="23"/>
  <c r="S241" i="23"/>
  <c r="S279" i="23"/>
  <c r="S322" i="23"/>
  <c r="S361" i="23"/>
  <c r="S402" i="23"/>
  <c r="S439" i="23"/>
  <c r="U439" i="23" s="1"/>
  <c r="S485" i="23"/>
  <c r="S520" i="23"/>
  <c r="U520" i="23" s="1"/>
  <c r="S554" i="23"/>
  <c r="S597" i="23"/>
  <c r="S631" i="23"/>
  <c r="S665" i="23"/>
  <c r="U665" i="23" s="1"/>
  <c r="S707" i="23"/>
  <c r="S743" i="23"/>
  <c r="S776" i="23"/>
  <c r="S818" i="23"/>
  <c r="S854" i="23"/>
  <c r="U854" i="23" s="1"/>
  <c r="S887" i="23"/>
  <c r="S930" i="23"/>
  <c r="S965" i="23"/>
  <c r="S999" i="23"/>
  <c r="U999" i="23" s="1"/>
  <c r="S1035" i="23"/>
  <c r="S1077" i="23"/>
  <c r="S1111" i="23"/>
  <c r="S1147" i="23"/>
  <c r="S1186" i="23"/>
  <c r="S1219" i="23"/>
  <c r="S1257" i="23"/>
  <c r="S1298" i="23"/>
  <c r="S1333" i="23"/>
  <c r="S1371" i="23"/>
  <c r="S1398" i="23"/>
  <c r="S1421" i="23"/>
  <c r="S1446" i="23"/>
  <c r="S1469" i="23"/>
  <c r="U1469" i="23" s="1"/>
  <c r="S1494" i="23"/>
  <c r="S1517" i="23"/>
  <c r="S1544" i="23"/>
  <c r="S1567" i="23"/>
  <c r="S1592" i="23"/>
  <c r="S1615" i="23"/>
  <c r="U1615" i="23" s="1"/>
  <c r="S1643" i="23"/>
  <c r="U1643" i="23" s="1"/>
  <c r="S1671" i="23"/>
  <c r="S1696" i="23"/>
  <c r="U1696" i="23" s="1"/>
  <c r="S1728" i="23"/>
  <c r="S1758" i="23"/>
  <c r="U1758" i="23" s="1"/>
  <c r="S38" i="23"/>
  <c r="S81" i="23"/>
  <c r="S119" i="23"/>
  <c r="S155" i="23"/>
  <c r="U155" i="23" s="1"/>
  <c r="S199" i="23"/>
  <c r="S243" i="23"/>
  <c r="U243" i="23" s="1"/>
  <c r="S281" i="23"/>
  <c r="S325" i="23"/>
  <c r="S363" i="23"/>
  <c r="S403" i="23"/>
  <c r="U403" i="23" s="1"/>
  <c r="S442" i="23"/>
  <c r="S487" i="23"/>
  <c r="S521" i="23"/>
  <c r="U521" i="23" s="1"/>
  <c r="S561" i="23"/>
  <c r="S599" i="23"/>
  <c r="S632" i="23"/>
  <c r="S667" i="23"/>
  <c r="S710" i="23"/>
  <c r="U710" i="23" s="1"/>
  <c r="S744" i="23"/>
  <c r="S778" i="23"/>
  <c r="S821" i="23"/>
  <c r="S855" i="23"/>
  <c r="U855" i="23" s="1"/>
  <c r="S889" i="23"/>
  <c r="S933" i="23"/>
  <c r="U933" i="23" s="1"/>
  <c r="S966" i="23"/>
  <c r="S1001" i="23"/>
  <c r="S1043" i="23"/>
  <c r="S1078" i="23"/>
  <c r="S1113" i="23"/>
  <c r="U1113" i="23" s="1"/>
  <c r="S1155" i="23"/>
  <c r="S1187" i="23"/>
  <c r="S1222" i="23"/>
  <c r="U1222" i="23" s="1"/>
  <c r="S1259" i="23"/>
  <c r="S1299" i="23"/>
  <c r="U1299" i="23" s="1"/>
  <c r="S1334" i="23"/>
  <c r="S1373" i="23"/>
  <c r="U1373" i="23" s="1"/>
  <c r="S1399" i="23"/>
  <c r="U1399" i="23" s="1"/>
  <c r="S1422" i="23"/>
  <c r="S1447" i="23"/>
  <c r="U1447" i="23" s="1"/>
  <c r="S1470" i="23"/>
  <c r="U1470" i="23" s="1"/>
  <c r="S1495" i="23"/>
  <c r="S1519" i="23"/>
  <c r="U1519" i="23" s="1"/>
  <c r="S1545" i="23"/>
  <c r="S1568" i="23"/>
  <c r="S1593" i="23"/>
  <c r="S1616" i="23"/>
  <c r="U1616" i="23" s="1"/>
  <c r="S1644" i="23"/>
  <c r="S1672" i="23"/>
  <c r="S1703" i="23"/>
  <c r="S1734" i="23"/>
  <c r="S1759" i="23"/>
  <c r="U1759" i="23" s="1"/>
  <c r="S39" i="23"/>
  <c r="S83" i="23"/>
  <c r="S121" i="23"/>
  <c r="S162" i="23"/>
  <c r="S202" i="23"/>
  <c r="S245" i="23"/>
  <c r="U245" i="23" s="1"/>
  <c r="S282" i="23"/>
  <c r="S327" i="23"/>
  <c r="S369" i="23"/>
  <c r="S405" i="23"/>
  <c r="S450" i="23"/>
  <c r="S489" i="23"/>
  <c r="S522" i="23"/>
  <c r="S563" i="23"/>
  <c r="S600" i="23"/>
  <c r="U600" i="23" s="1"/>
  <c r="S633" i="23"/>
  <c r="S675" i="23"/>
  <c r="S711" i="23"/>
  <c r="U711" i="23" s="1"/>
  <c r="S745" i="23"/>
  <c r="S786" i="23"/>
  <c r="U786" i="23" s="1"/>
  <c r="S822" i="23"/>
  <c r="S856" i="23"/>
  <c r="S891" i="23"/>
  <c r="S934" i="23"/>
  <c r="S967" i="23"/>
  <c r="U967" i="23" s="1"/>
  <c r="S1003" i="23"/>
  <c r="S1045" i="23"/>
  <c r="U1045" i="23" s="1"/>
  <c r="S1079" i="23"/>
  <c r="S1115" i="23"/>
  <c r="S1157" i="23"/>
  <c r="U1157" i="23" s="1"/>
  <c r="S1189" i="23"/>
  <c r="S1225" i="23"/>
  <c r="U1225" i="23" s="1"/>
  <c r="S1263" i="23"/>
  <c r="S1301" i="23"/>
  <c r="U1301" i="23" s="1"/>
  <c r="S1339" i="23"/>
  <c r="U1339" i="23" s="1"/>
  <c r="S1374" i="23"/>
  <c r="S1400" i="23"/>
  <c r="S1423" i="23"/>
  <c r="S1448" i="23"/>
  <c r="U1448" i="23" s="1"/>
  <c r="S1471" i="23"/>
  <c r="S1496" i="23"/>
  <c r="U1496" i="23" s="1"/>
  <c r="S1524" i="23"/>
  <c r="S1547" i="23"/>
  <c r="S1572" i="23"/>
  <c r="S1595" i="23"/>
  <c r="S1621" i="23"/>
  <c r="S1645" i="23"/>
  <c r="S1673" i="23"/>
  <c r="U1673" i="23" s="1"/>
  <c r="S1705" i="23"/>
  <c r="U1705" i="23" s="1"/>
  <c r="S1735" i="23"/>
  <c r="S1760" i="23"/>
  <c r="U1760" i="23" s="1"/>
  <c r="S41" i="23"/>
  <c r="S86" i="23"/>
  <c r="S122" i="23"/>
  <c r="U122" i="23" s="1"/>
  <c r="S163" i="23"/>
  <c r="S210" i="23"/>
  <c r="S246" i="23"/>
  <c r="S283" i="23"/>
  <c r="S330" i="23"/>
  <c r="S370" i="23"/>
  <c r="S406" i="23"/>
  <c r="S453" i="23"/>
  <c r="S490" i="23"/>
  <c r="U490" i="23" s="1"/>
  <c r="S523" i="23"/>
  <c r="S566" i="23"/>
  <c r="S601" i="23"/>
  <c r="S634" i="23"/>
  <c r="U634" i="23" s="1"/>
  <c r="S678" i="23"/>
  <c r="S712" i="23"/>
  <c r="U712" i="23" s="1"/>
  <c r="S746" i="23"/>
  <c r="U746" i="23" s="1"/>
  <c r="S789" i="23"/>
  <c r="U789" i="23" s="1"/>
  <c r="S823" i="23"/>
  <c r="S857" i="23"/>
  <c r="U857" i="23" s="1"/>
  <c r="S899" i="23"/>
  <c r="S935" i="23"/>
  <c r="U935" i="23" s="1"/>
  <c r="S968" i="23"/>
  <c r="U968" i="23" s="1"/>
  <c r="S1010" i="23"/>
  <c r="S1046" i="23"/>
  <c r="S1080" i="23"/>
  <c r="S1123" i="23"/>
  <c r="U1123" i="23" s="1"/>
  <c r="S1158" i="23"/>
  <c r="S1190" i="23"/>
  <c r="S1227" i="23"/>
  <c r="U1227" i="23" s="1"/>
  <c r="S1265" i="23"/>
  <c r="U1265" i="23" s="1"/>
  <c r="S1302" i="23"/>
  <c r="S1345" i="23"/>
  <c r="U1345" i="23" s="1"/>
  <c r="S1376" i="23"/>
  <c r="S1401" i="23"/>
  <c r="S1424" i="23"/>
  <c r="S1449" i="23"/>
  <c r="S1472" i="23"/>
  <c r="U1472" i="23" s="1"/>
  <c r="S1499" i="23"/>
  <c r="U1499" i="23" s="1"/>
  <c r="S1525" i="23"/>
  <c r="S1548" i="23"/>
  <c r="U1548" i="23" s="1"/>
  <c r="S1573" i="23"/>
  <c r="S1596" i="23"/>
  <c r="S1622" i="23"/>
  <c r="S1646" i="23"/>
  <c r="U1646" i="23" s="1"/>
  <c r="S1676" i="23"/>
  <c r="U1676" i="23" s="1"/>
  <c r="S1707" i="23"/>
  <c r="U1707" i="23" s="1"/>
  <c r="S1736" i="23"/>
  <c r="S1766" i="23"/>
  <c r="S5" i="23"/>
  <c r="S42" i="23"/>
  <c r="S87" i="23"/>
  <c r="S123" i="23"/>
  <c r="S165" i="23"/>
  <c r="U165" i="23" s="1"/>
  <c r="S211" i="23"/>
  <c r="S247" i="23"/>
  <c r="U247" i="23" s="1"/>
  <c r="S290" i="23"/>
  <c r="S331" i="23"/>
  <c r="U331" i="23" s="1"/>
  <c r="S371" i="23"/>
  <c r="U371" i="23" s="1"/>
  <c r="S407" i="23"/>
  <c r="S454" i="23"/>
  <c r="S491" i="23"/>
  <c r="S530" i="23"/>
  <c r="U530" i="23" s="1"/>
  <c r="S567" i="23"/>
  <c r="S602" i="23"/>
  <c r="S635" i="23"/>
  <c r="S679" i="23"/>
  <c r="U679" i="23" s="1"/>
  <c r="S713" i="23"/>
  <c r="U713" i="23" s="1"/>
  <c r="S747" i="23"/>
  <c r="S790" i="23"/>
  <c r="S824" i="23"/>
  <c r="S858" i="23"/>
  <c r="S901" i="23"/>
  <c r="S936" i="23"/>
  <c r="S969" i="23"/>
  <c r="U969" i="23" s="1"/>
  <c r="S1011" i="23"/>
  <c r="U1011" i="23" s="1"/>
  <c r="S1047" i="23"/>
  <c r="U1047" i="23" s="1"/>
  <c r="S1081" i="23"/>
  <c r="U1081" i="23" s="1"/>
  <c r="S1125" i="23"/>
  <c r="U1125" i="23" s="1"/>
  <c r="S1159" i="23"/>
  <c r="U1159" i="23" s="1"/>
  <c r="S1191" i="23"/>
  <c r="U1191" i="23" s="1"/>
  <c r="S1231" i="23"/>
  <c r="S1267" i="23"/>
  <c r="U1267" i="23" s="1"/>
  <c r="S1303" i="23"/>
  <c r="S1347" i="23"/>
  <c r="S1380" i="23"/>
  <c r="U1380" i="23" s="1"/>
  <c r="S1403" i="23"/>
  <c r="U1403" i="23" s="1"/>
  <c r="S1428" i="23"/>
  <c r="S1451" i="23"/>
  <c r="U1451" i="23" s="1"/>
  <c r="S1476" i="23"/>
  <c r="U1476" i="23" s="1"/>
  <c r="S1501" i="23"/>
  <c r="U1501" i="23" s="1"/>
  <c r="S1526" i="23"/>
  <c r="S1549" i="23"/>
  <c r="S1574" i="23"/>
  <c r="S1597" i="23"/>
  <c r="S1623" i="23"/>
  <c r="S1647" i="23"/>
  <c r="U1647" i="23" s="1"/>
  <c r="S1678" i="23"/>
  <c r="S1708" i="23"/>
  <c r="S1737" i="23"/>
  <c r="U1737" i="23" s="1"/>
  <c r="S1767" i="23"/>
  <c r="U1767" i="23" s="1"/>
  <c r="S1478" i="23"/>
  <c r="U1478" i="23" s="1"/>
  <c r="S6" i="23"/>
  <c r="S50" i="23"/>
  <c r="S90" i="23"/>
  <c r="S129" i="23"/>
  <c r="S167" i="23"/>
  <c r="U167" i="23" s="1"/>
  <c r="S214" i="23"/>
  <c r="S249" i="23"/>
  <c r="S293" i="23"/>
  <c r="U293" i="23" s="1"/>
  <c r="S338" i="23"/>
  <c r="S373" i="23"/>
  <c r="S410" i="23"/>
  <c r="S457" i="23"/>
  <c r="S497" i="23"/>
  <c r="S533" i="23"/>
  <c r="S569" i="23"/>
  <c r="S603" i="23"/>
  <c r="S643" i="23"/>
  <c r="S681" i="23"/>
  <c r="S714" i="23"/>
  <c r="S754" i="23"/>
  <c r="S792" i="23"/>
  <c r="U792" i="23" s="1"/>
  <c r="S825" i="23"/>
  <c r="S866" i="23"/>
  <c r="U866" i="23" s="1"/>
  <c r="S903" i="23"/>
  <c r="U903" i="23" s="1"/>
  <c r="S937" i="23"/>
  <c r="S971" i="23"/>
  <c r="U971" i="23" s="1"/>
  <c r="S1014" i="23"/>
  <c r="S1048" i="23"/>
  <c r="S1083" i="23"/>
  <c r="S1127" i="23"/>
  <c r="S1160" i="23"/>
  <c r="U1160" i="23" s="1"/>
  <c r="S1193" i="23"/>
  <c r="S1235" i="23"/>
  <c r="S1269" i="23"/>
  <c r="U1269" i="23" s="1"/>
  <c r="S1305" i="23"/>
  <c r="S1349" i="23"/>
  <c r="S1381" i="23"/>
  <c r="S1404" i="23"/>
  <c r="S1429" i="23"/>
  <c r="S1452" i="23"/>
  <c r="U1452" i="23" s="1"/>
  <c r="S1502" i="23"/>
  <c r="U1502" i="23" s="1"/>
  <c r="S1527" i="23"/>
  <c r="S1550" i="23"/>
  <c r="S1575" i="23"/>
  <c r="S1598" i="23"/>
  <c r="S1624" i="23"/>
  <c r="U1624" i="23" s="1"/>
  <c r="S1653" i="23"/>
  <c r="U1653" i="23" s="1"/>
  <c r="S1679" i="23"/>
  <c r="S1709" i="23"/>
  <c r="S1739" i="23"/>
  <c r="U1739" i="23" s="1"/>
  <c r="S1768" i="23"/>
  <c r="U1768" i="23" s="1"/>
  <c r="S7" i="23"/>
  <c r="S53" i="23"/>
  <c r="U53" i="23" s="1"/>
  <c r="S91" i="23"/>
  <c r="S130" i="23"/>
  <c r="S170" i="23"/>
  <c r="S215" i="23"/>
  <c r="S250" i="23"/>
  <c r="U250" i="23" s="1"/>
  <c r="S295" i="23"/>
  <c r="S339" i="23"/>
  <c r="S374" i="23"/>
  <c r="S418" i="23"/>
  <c r="U418" i="23" s="1"/>
  <c r="S458" i="23"/>
  <c r="S498" i="23"/>
  <c r="S535" i="23"/>
  <c r="S570" i="23"/>
  <c r="S610" i="23"/>
  <c r="U610" i="23" s="1"/>
  <c r="S630" i="23"/>
  <c r="U630" i="23" s="1"/>
  <c r="S923" i="23"/>
  <c r="S1075" i="23"/>
  <c r="S1218" i="23"/>
  <c r="S1368" i="23"/>
  <c r="S1468" i="23"/>
  <c r="S1558" i="23"/>
  <c r="S1639" i="23"/>
  <c r="S1724" i="23"/>
  <c r="U1724" i="23" s="1"/>
  <c r="S646" i="23"/>
  <c r="S793" i="23"/>
  <c r="U793" i="23" s="1"/>
  <c r="S938" i="23"/>
  <c r="S1091" i="23"/>
  <c r="S1237" i="23"/>
  <c r="S1382" i="23"/>
  <c r="S1480" i="23"/>
  <c r="U1480" i="23" s="1"/>
  <c r="S1563" i="23"/>
  <c r="S1640" i="23"/>
  <c r="U1640" i="23" s="1"/>
  <c r="S1726" i="23"/>
  <c r="U1726" i="23" s="1"/>
  <c r="S662" i="23"/>
  <c r="U662" i="23" s="1"/>
  <c r="S808" i="23"/>
  <c r="S955" i="23"/>
  <c r="S1107" i="23"/>
  <c r="S1251" i="23"/>
  <c r="U1251" i="23" s="1"/>
  <c r="S1391" i="23"/>
  <c r="U1391" i="23" s="1"/>
  <c r="S1488" i="23"/>
  <c r="U1488" i="23" s="1"/>
  <c r="S1565" i="23"/>
  <c r="U1565" i="23" s="1"/>
  <c r="S1641" i="23"/>
  <c r="S1740" i="23"/>
  <c r="U1740" i="23" s="1"/>
  <c r="S663" i="23"/>
  <c r="U663" i="23" s="1"/>
  <c r="S810" i="23"/>
  <c r="U810" i="23" s="1"/>
  <c r="S962" i="23"/>
  <c r="S1109" i="23"/>
  <c r="S1254" i="23"/>
  <c r="U1254" i="23" s="1"/>
  <c r="S1396" i="23"/>
  <c r="U1396" i="23" s="1"/>
  <c r="S1492" i="23"/>
  <c r="U1492" i="23" s="1"/>
  <c r="S1566" i="23"/>
  <c r="S1655" i="23"/>
  <c r="S1744" i="23"/>
  <c r="U1744" i="23" s="1"/>
  <c r="S664" i="23"/>
  <c r="S817" i="23"/>
  <c r="U817" i="23" s="1"/>
  <c r="S963" i="23"/>
  <c r="S1110" i="23"/>
  <c r="S1256" i="23"/>
  <c r="U1256" i="23" s="1"/>
  <c r="S1397" i="23"/>
  <c r="U1397" i="23" s="1"/>
  <c r="S1493" i="23"/>
  <c r="U1493" i="23" s="1"/>
  <c r="S1576" i="23"/>
  <c r="S1660" i="23"/>
  <c r="S1753" i="23"/>
  <c r="U1753" i="23" s="1"/>
  <c r="S682" i="23"/>
  <c r="S826" i="23"/>
  <c r="S979" i="23"/>
  <c r="U979" i="23" s="1"/>
  <c r="S1128" i="23"/>
  <c r="S1272" i="23"/>
  <c r="U1272" i="23" s="1"/>
  <c r="S1405" i="23"/>
  <c r="S1503" i="23"/>
  <c r="S1581" i="23"/>
  <c r="S1663" i="23"/>
  <c r="S1756" i="23"/>
  <c r="S696" i="23"/>
  <c r="U696" i="23" s="1"/>
  <c r="S850" i="23"/>
  <c r="U850" i="23" s="1"/>
  <c r="S995" i="23"/>
  <c r="S1142" i="23"/>
  <c r="S1289" i="23"/>
  <c r="S1417" i="23"/>
  <c r="U1417" i="23" s="1"/>
  <c r="S1510" i="23"/>
  <c r="S1589" i="23"/>
  <c r="U1589" i="23" s="1"/>
  <c r="S1664" i="23"/>
  <c r="U1664" i="23" s="1"/>
  <c r="S1757" i="23"/>
  <c r="S698" i="23"/>
  <c r="U698" i="23" s="1"/>
  <c r="S851" i="23"/>
  <c r="S997" i="23"/>
  <c r="S1144" i="23"/>
  <c r="S1291" i="23"/>
  <c r="S1419" i="23"/>
  <c r="S1513" i="23"/>
  <c r="S1590" i="23"/>
  <c r="S1670" i="23"/>
  <c r="S1769" i="23"/>
  <c r="U1769" i="23" s="1"/>
  <c r="S393" i="23"/>
  <c r="S706" i="23"/>
  <c r="S853" i="23"/>
  <c r="U853" i="23" s="1"/>
  <c r="S998" i="23"/>
  <c r="S1146" i="23"/>
  <c r="S1295" i="23"/>
  <c r="S1420" i="23"/>
  <c r="U1420" i="23" s="1"/>
  <c r="S1515" i="23"/>
  <c r="U1515" i="23" s="1"/>
  <c r="S1591" i="23"/>
  <c r="S1680" i="23"/>
  <c r="S1774" i="23"/>
  <c r="U1774" i="23" s="1"/>
  <c r="S435" i="23"/>
  <c r="S715" i="23"/>
  <c r="U715" i="23" s="1"/>
  <c r="S869" i="23"/>
  <c r="U869" i="23" s="1"/>
  <c r="S1015" i="23"/>
  <c r="S1161" i="23"/>
  <c r="S1307" i="23"/>
  <c r="U1307" i="23" s="1"/>
  <c r="S1430" i="23"/>
  <c r="S1516" i="23"/>
  <c r="S1599" i="23"/>
  <c r="S1689" i="23"/>
  <c r="U1689" i="23" s="1"/>
  <c r="S1784" i="23"/>
  <c r="U1784" i="23" s="1"/>
  <c r="S474" i="23"/>
  <c r="S739" i="23"/>
  <c r="U739" i="23" s="1"/>
  <c r="S883" i="23"/>
  <c r="U883" i="23" s="1"/>
  <c r="S1030" i="23"/>
  <c r="S1178" i="23"/>
  <c r="U1178" i="23" s="1"/>
  <c r="S1327" i="23"/>
  <c r="S1440" i="23"/>
  <c r="S1528" i="23"/>
  <c r="S1608" i="23"/>
  <c r="S1693" i="23"/>
  <c r="U1693" i="23" s="1"/>
  <c r="S1787" i="23"/>
  <c r="S517" i="23"/>
  <c r="S741" i="23"/>
  <c r="U741" i="23" s="1"/>
  <c r="S885" i="23"/>
  <c r="S1032" i="23"/>
  <c r="S1179" i="23"/>
  <c r="S1330" i="23"/>
  <c r="S1444" i="23"/>
  <c r="S1533" i="23"/>
  <c r="S1612" i="23"/>
  <c r="U1612" i="23" s="1"/>
  <c r="S1694" i="23"/>
  <c r="S4" i="23"/>
  <c r="U4" i="23" s="1"/>
  <c r="S551" i="23"/>
  <c r="S742" i="23"/>
  <c r="U742" i="23" s="1"/>
  <c r="S886" i="23"/>
  <c r="S1034" i="23"/>
  <c r="S1183" i="23"/>
  <c r="S1331" i="23"/>
  <c r="S1445" i="23"/>
  <c r="U1445" i="23" s="1"/>
  <c r="S1536" i="23"/>
  <c r="U1536" i="23" s="1"/>
  <c r="S1613" i="23"/>
  <c r="U1613" i="23" s="1"/>
  <c r="S1695" i="23"/>
  <c r="U1695" i="23" s="1"/>
  <c r="S585" i="23"/>
  <c r="S757" i="23"/>
  <c r="S904" i="23"/>
  <c r="S1049" i="23"/>
  <c r="S1199" i="23"/>
  <c r="S1351" i="23"/>
  <c r="S1453" i="23"/>
  <c r="S1540" i="23"/>
  <c r="U1540" i="23" s="1"/>
  <c r="S1614" i="23"/>
  <c r="S1710" i="23"/>
  <c r="S775" i="23"/>
  <c r="U775" i="23" s="1"/>
  <c r="S627" i="23"/>
  <c r="S773" i="23"/>
  <c r="U773" i="23" s="1"/>
  <c r="S919" i="23"/>
  <c r="S1073" i="23"/>
  <c r="S1211" i="23"/>
  <c r="S1366" i="23"/>
  <c r="U1366" i="23" s="1"/>
  <c r="S1465" i="23"/>
  <c r="S1542" i="23"/>
  <c r="S1625" i="23"/>
  <c r="S1719" i="23"/>
  <c r="S629" i="23"/>
  <c r="U629" i="23" s="1"/>
  <c r="S774" i="23"/>
  <c r="S921" i="23"/>
  <c r="S1074" i="23"/>
  <c r="S1215" i="23"/>
  <c r="S1367" i="23"/>
  <c r="S1467" i="23"/>
  <c r="U1467" i="23" s="1"/>
  <c r="S1551" i="23"/>
  <c r="U1551" i="23" s="1"/>
  <c r="S1632" i="23"/>
  <c r="S1723" i="23"/>
  <c r="U1723" i="23" s="1"/>
  <c r="S304" i="23"/>
  <c r="U304" i="23" s="1"/>
  <c r="S140" i="23"/>
  <c r="U140" i="23" s="1"/>
  <c r="S399" i="23"/>
  <c r="U399" i="23" s="1"/>
  <c r="S16" i="23"/>
  <c r="U16" i="23" s="1"/>
  <c r="S1309" i="23"/>
  <c r="U1309" i="23" s="1"/>
  <c r="S620" i="23"/>
  <c r="U620" i="23" s="1"/>
  <c r="S948" i="23"/>
  <c r="U948" i="23" s="1"/>
  <c r="S1264" i="23"/>
  <c r="S496" i="23"/>
  <c r="S1119" i="23"/>
  <c r="U1119" i="23" s="1"/>
  <c r="S351" i="23"/>
  <c r="U351" i="23" s="1"/>
  <c r="S1198" i="23"/>
  <c r="U1198" i="23" s="1"/>
  <c r="S430" i="23"/>
  <c r="S1277" i="23"/>
  <c r="U1277" i="23" s="1"/>
  <c r="S509" i="23"/>
  <c r="U509" i="23" s="1"/>
  <c r="S1100" i="23"/>
  <c r="S332" i="23"/>
  <c r="U332" i="23" s="1"/>
  <c r="S56" i="23"/>
  <c r="S660" i="23"/>
  <c r="S591" i="23"/>
  <c r="S670" i="23"/>
  <c r="S1005" i="23"/>
  <c r="S1340" i="23"/>
  <c r="U1340" i="23" s="1"/>
  <c r="S828" i="23"/>
  <c r="S60" i="23"/>
  <c r="S900" i="23"/>
  <c r="S388" i="23"/>
  <c r="S1280" i="23"/>
  <c r="U1280" i="23" s="1"/>
  <c r="S1024" i="23"/>
  <c r="U1024" i="23" s="1"/>
  <c r="S768" i="23"/>
  <c r="S512" i="23"/>
  <c r="U512" i="23" s="1"/>
  <c r="S256" i="23"/>
  <c r="U256" i="23" s="1"/>
  <c r="S1135" i="23"/>
  <c r="U1135" i="23" s="1"/>
  <c r="S879" i="23"/>
  <c r="U879" i="23" s="1"/>
  <c r="S623" i="23"/>
  <c r="S367" i="23"/>
  <c r="S111" i="23"/>
  <c r="S1214" i="23"/>
  <c r="S958" i="23"/>
  <c r="U958" i="23" s="1"/>
  <c r="S702" i="23"/>
  <c r="U702" i="23" s="1"/>
  <c r="S446" i="23"/>
  <c r="S190" i="23"/>
  <c r="S1293" i="23"/>
  <c r="S1037" i="23"/>
  <c r="S781" i="23"/>
  <c r="S525" i="23"/>
  <c r="S269" i="23"/>
  <c r="S13" i="23"/>
  <c r="S1116" i="23"/>
  <c r="S860" i="23"/>
  <c r="U860" i="23" s="1"/>
  <c r="S604" i="23"/>
  <c r="S348" i="23"/>
  <c r="U348" i="23" s="1"/>
  <c r="S92" i="23"/>
  <c r="S328" i="23"/>
  <c r="S72" i="23"/>
  <c r="S1188" i="23"/>
  <c r="S932" i="23"/>
  <c r="S676" i="23"/>
  <c r="S420" i="23"/>
  <c r="S404" i="23"/>
  <c r="U404" i="23" s="1"/>
  <c r="S414" i="23"/>
  <c r="S1248" i="23"/>
  <c r="U1248" i="23" s="1"/>
  <c r="S480" i="23"/>
  <c r="U480" i="23" s="1"/>
  <c r="S224" i="23"/>
  <c r="U224" i="23" s="1"/>
  <c r="S847" i="23"/>
  <c r="S335" i="23"/>
  <c r="U335" i="23" s="1"/>
  <c r="S1182" i="23"/>
  <c r="U1182" i="23" s="1"/>
  <c r="S158" i="23"/>
  <c r="U158" i="23" s="1"/>
  <c r="S237" i="23"/>
  <c r="S40" i="23"/>
  <c r="U40" i="23" s="1"/>
  <c r="S1232" i="23"/>
  <c r="U1232" i="23" s="1"/>
  <c r="S976" i="23"/>
  <c r="S720" i="23"/>
  <c r="U720" i="23" s="1"/>
  <c r="S464" i="23"/>
  <c r="S208" i="23"/>
  <c r="S1087" i="23"/>
  <c r="S831" i="23"/>
  <c r="S575" i="23"/>
  <c r="U575" i="23" s="1"/>
  <c r="S319" i="23"/>
  <c r="S63" i="23"/>
  <c r="S1166" i="23"/>
  <c r="S910" i="23"/>
  <c r="U910" i="23" s="1"/>
  <c r="S654" i="23"/>
  <c r="U654" i="23" s="1"/>
  <c r="S398" i="23"/>
  <c r="U398" i="23" s="1"/>
  <c r="S142" i="23"/>
  <c r="U142" i="23" s="1"/>
  <c r="S1245" i="23"/>
  <c r="S989" i="23"/>
  <c r="U989" i="23" s="1"/>
  <c r="S733" i="23"/>
  <c r="S477" i="23"/>
  <c r="S221" i="23"/>
  <c r="S1324" i="23"/>
  <c r="S1068" i="23"/>
  <c r="S812" i="23"/>
  <c r="S556" i="23"/>
  <c r="U556" i="23" s="1"/>
  <c r="S300" i="23"/>
  <c r="S44" i="23"/>
  <c r="U44" i="23" s="1"/>
  <c r="S280" i="23"/>
  <c r="S24" i="23"/>
  <c r="S1140" i="23"/>
  <c r="U1140" i="23" s="1"/>
  <c r="S884" i="23"/>
  <c r="S628" i="23"/>
  <c r="S372" i="23"/>
  <c r="S116" i="23"/>
  <c r="S1216" i="23"/>
  <c r="U1216" i="23" s="1"/>
  <c r="S960" i="23"/>
  <c r="S704" i="23"/>
  <c r="S192" i="23"/>
  <c r="S1071" i="23"/>
  <c r="S815" i="23"/>
  <c r="U815" i="23" s="1"/>
  <c r="S559" i="23"/>
  <c r="S303" i="23"/>
  <c r="S47" i="23"/>
  <c r="S1150" i="23"/>
  <c r="U1150" i="23" s="1"/>
  <c r="S894" i="23"/>
  <c r="S382" i="23"/>
  <c r="S126" i="23"/>
  <c r="U126" i="23" s="1"/>
  <c r="S1229" i="23"/>
  <c r="S973" i="23"/>
  <c r="U973" i="23" s="1"/>
  <c r="S717" i="23"/>
  <c r="S461" i="23"/>
  <c r="S1308" i="23"/>
  <c r="U1308" i="23" s="1"/>
  <c r="S1052" i="23"/>
  <c r="U1052" i="23" s="1"/>
  <c r="S796" i="23"/>
  <c r="U796" i="23" s="1"/>
  <c r="S540" i="23"/>
  <c r="S284" i="23"/>
  <c r="U284" i="23" s="1"/>
  <c r="S264" i="23"/>
  <c r="U264" i="23" s="1"/>
  <c r="S8" i="23"/>
  <c r="U8" i="23" s="1"/>
  <c r="S1124" i="23"/>
  <c r="S868" i="23"/>
  <c r="U868" i="23" s="1"/>
  <c r="S612" i="23"/>
  <c r="S100" i="23"/>
  <c r="U100" i="23" s="1"/>
  <c r="S448" i="23"/>
  <c r="U448" i="23" s="1"/>
  <c r="S638" i="23"/>
  <c r="U638" i="23" s="1"/>
  <c r="S205" i="23"/>
  <c r="S28" i="23"/>
  <c r="S356" i="23"/>
  <c r="S1200" i="23"/>
  <c r="U1200" i="23" s="1"/>
  <c r="S944" i="23"/>
  <c r="S688" i="23"/>
  <c r="S432" i="23"/>
  <c r="S176" i="23"/>
  <c r="S1055" i="23"/>
  <c r="S799" i="23"/>
  <c r="U799" i="23" s="1"/>
  <c r="S543" i="23"/>
  <c r="S287" i="23"/>
  <c r="U287" i="23" s="1"/>
  <c r="S31" i="23"/>
  <c r="U31" i="23" s="1"/>
  <c r="S1134" i="23"/>
  <c r="U1134" i="23" s="1"/>
  <c r="S878" i="23"/>
  <c r="S622" i="23"/>
  <c r="U622" i="23" s="1"/>
  <c r="S366" i="23"/>
  <c r="S110" i="23"/>
  <c r="S1213" i="23"/>
  <c r="S957" i="23"/>
  <c r="S701" i="23"/>
  <c r="S445" i="23"/>
  <c r="S189" i="23"/>
  <c r="U189" i="23" s="1"/>
  <c r="S1292" i="23"/>
  <c r="S1036" i="23"/>
  <c r="S780" i="23"/>
  <c r="U780" i="23" s="1"/>
  <c r="S524" i="23"/>
  <c r="U524" i="23" s="1"/>
  <c r="S268" i="23"/>
  <c r="U268" i="23" s="1"/>
  <c r="S12" i="23"/>
  <c r="S248" i="23"/>
  <c r="S1364" i="23"/>
  <c r="S1108" i="23"/>
  <c r="S852" i="23"/>
  <c r="S596" i="23"/>
  <c r="U596" i="23" s="1"/>
  <c r="S340" i="23"/>
  <c r="S84" i="23"/>
  <c r="U84" i="23" s="1"/>
  <c r="S1184" i="23"/>
  <c r="S928" i="23"/>
  <c r="S672" i="23"/>
  <c r="U672" i="23" s="1"/>
  <c r="S416" i="23"/>
  <c r="S160" i="23"/>
  <c r="S1039" i="23"/>
  <c r="S783" i="23"/>
  <c r="U783" i="23" s="1"/>
  <c r="S527" i="23"/>
  <c r="S271" i="23"/>
  <c r="S15" i="23"/>
  <c r="S1118" i="23"/>
  <c r="S862" i="23"/>
  <c r="S606" i="23"/>
  <c r="S350" i="23"/>
  <c r="S94" i="23"/>
  <c r="S1197" i="23"/>
  <c r="S941" i="23"/>
  <c r="S685" i="23"/>
  <c r="S429" i="23"/>
  <c r="S173" i="23"/>
  <c r="U173" i="23" s="1"/>
  <c r="S1276" i="23"/>
  <c r="S1020" i="23"/>
  <c r="U1020" i="23" s="1"/>
  <c r="S764" i="23"/>
  <c r="U764" i="23" s="1"/>
  <c r="S508" i="23"/>
  <c r="S252" i="23"/>
  <c r="U252" i="23" s="1"/>
  <c r="S488" i="23"/>
  <c r="U488" i="23" s="1"/>
  <c r="S232" i="23"/>
  <c r="U232" i="23" s="1"/>
  <c r="S1348" i="23"/>
  <c r="S1092" i="23"/>
  <c r="S836" i="23"/>
  <c r="U836" i="23" s="1"/>
  <c r="S580" i="23"/>
  <c r="S324" i="23"/>
  <c r="S68" i="23"/>
  <c r="S143" i="23"/>
  <c r="S639" i="23"/>
  <c r="S797" i="23"/>
  <c r="S108" i="23"/>
  <c r="S436" i="23"/>
  <c r="S1008" i="23"/>
  <c r="U1008" i="23" s="1"/>
  <c r="S240" i="23"/>
  <c r="S607" i="23"/>
  <c r="U607" i="23" s="1"/>
  <c r="S95" i="23"/>
  <c r="U95" i="23" s="1"/>
  <c r="S686" i="23"/>
  <c r="S174" i="23"/>
  <c r="S765" i="23"/>
  <c r="S253" i="23"/>
  <c r="U253" i="23" s="1"/>
  <c r="S844" i="23"/>
  <c r="S312" i="23"/>
  <c r="S1172" i="23"/>
  <c r="S148" i="23"/>
  <c r="S1103" i="23"/>
  <c r="S926" i="23"/>
  <c r="U926" i="23" s="1"/>
  <c r="S1261" i="23"/>
  <c r="S749" i="23"/>
  <c r="U749" i="23" s="1"/>
  <c r="S1084" i="23"/>
  <c r="U1084" i="23" s="1"/>
  <c r="S572" i="23"/>
  <c r="U572" i="23" s="1"/>
  <c r="S1156" i="23"/>
  <c r="U1156" i="23" s="1"/>
  <c r="S644" i="23"/>
  <c r="S1168" i="23"/>
  <c r="U1168" i="23" s="1"/>
  <c r="S912" i="23"/>
  <c r="U912" i="23" s="1"/>
  <c r="S656" i="23"/>
  <c r="U656" i="23" s="1"/>
  <c r="S400" i="23"/>
  <c r="S144" i="23"/>
  <c r="S1023" i="23"/>
  <c r="U1023" i="23" s="1"/>
  <c r="S767" i="23"/>
  <c r="S511" i="23"/>
  <c r="S255" i="23"/>
  <c r="U255" i="23" s="1"/>
  <c r="S1358" i="23"/>
  <c r="U1358" i="23" s="1"/>
  <c r="S1102" i="23"/>
  <c r="U1102" i="23" s="1"/>
  <c r="S846" i="23"/>
  <c r="U846" i="23" s="1"/>
  <c r="S590" i="23"/>
  <c r="S334" i="23"/>
  <c r="U334" i="23" s="1"/>
  <c r="S78" i="23"/>
  <c r="U78" i="23" s="1"/>
  <c r="S1181" i="23"/>
  <c r="U1181" i="23" s="1"/>
  <c r="S925" i="23"/>
  <c r="U925" i="23" s="1"/>
  <c r="S669" i="23"/>
  <c r="S413" i="23"/>
  <c r="U413" i="23" s="1"/>
  <c r="S157" i="23"/>
  <c r="U157" i="23" s="1"/>
  <c r="S1260" i="23"/>
  <c r="S1004" i="23"/>
  <c r="U1004" i="23" s="1"/>
  <c r="S748" i="23"/>
  <c r="U748" i="23" s="1"/>
  <c r="S492" i="23"/>
  <c r="S236" i="23"/>
  <c r="S472" i="23"/>
  <c r="U472" i="23" s="1"/>
  <c r="S216" i="23"/>
  <c r="U216" i="23" s="1"/>
  <c r="S1332" i="23"/>
  <c r="U1332" i="23" s="1"/>
  <c r="S1076" i="23"/>
  <c r="S820" i="23"/>
  <c r="U820" i="23" s="1"/>
  <c r="S564" i="23"/>
  <c r="U564" i="23" s="1"/>
  <c r="S308" i="23"/>
  <c r="S52" i="23"/>
  <c r="S109" i="23"/>
  <c r="S605" i="23"/>
  <c r="U605" i="23" s="1"/>
  <c r="S756" i="23"/>
  <c r="S228" i="23"/>
  <c r="U228" i="23" s="1"/>
  <c r="S816" i="23"/>
  <c r="U816" i="23" s="1"/>
  <c r="S927" i="23"/>
  <c r="S159" i="23"/>
  <c r="U159" i="23" s="1"/>
  <c r="S750" i="23"/>
  <c r="S238" i="23"/>
  <c r="U238" i="23" s="1"/>
  <c r="S1085" i="23"/>
  <c r="U1085" i="23" s="1"/>
  <c r="S573" i="23"/>
  <c r="S61" i="23"/>
  <c r="S1164" i="23"/>
  <c r="U1164" i="23" s="1"/>
  <c r="S652" i="23"/>
  <c r="U652" i="23" s="1"/>
  <c r="S376" i="23"/>
  <c r="S1236" i="23"/>
  <c r="S468" i="23"/>
  <c r="S212" i="23"/>
  <c r="S800" i="23"/>
  <c r="S911" i="23"/>
  <c r="S734" i="23"/>
  <c r="S813" i="23"/>
  <c r="U813" i="23" s="1"/>
  <c r="S892" i="23"/>
  <c r="U892" i="23" s="1"/>
  <c r="S104" i="23"/>
  <c r="S196" i="23"/>
  <c r="U196" i="23" s="1"/>
  <c r="S736" i="23"/>
  <c r="S316" i="23"/>
  <c r="S1152" i="23"/>
  <c r="S896" i="23"/>
  <c r="U896" i="23" s="1"/>
  <c r="S640" i="23"/>
  <c r="U640" i="23" s="1"/>
  <c r="S384" i="23"/>
  <c r="U384" i="23" s="1"/>
  <c r="S128" i="23"/>
  <c r="U128" i="23" s="1"/>
  <c r="S1007" i="23"/>
  <c r="U1007" i="23" s="1"/>
  <c r="S751" i="23"/>
  <c r="S495" i="23"/>
  <c r="U495" i="23" s="1"/>
  <c r="S239" i="23"/>
  <c r="S1342" i="23"/>
  <c r="U1342" i="23" s="1"/>
  <c r="S1086" i="23"/>
  <c r="S830" i="23"/>
  <c r="S574" i="23"/>
  <c r="S318" i="23"/>
  <c r="S62" i="23"/>
  <c r="S1165" i="23"/>
  <c r="U1165" i="23" s="1"/>
  <c r="S909" i="23"/>
  <c r="S653" i="23"/>
  <c r="U653" i="23" s="1"/>
  <c r="S397" i="23"/>
  <c r="S141" i="23"/>
  <c r="S1244" i="23"/>
  <c r="S988" i="23"/>
  <c r="S732" i="23"/>
  <c r="S476" i="23"/>
  <c r="U476" i="23" s="1"/>
  <c r="S220" i="23"/>
  <c r="S456" i="23"/>
  <c r="S200" i="23"/>
  <c r="S1316" i="23"/>
  <c r="S1060" i="23"/>
  <c r="S804" i="23"/>
  <c r="U804" i="23" s="1"/>
  <c r="S548" i="23"/>
  <c r="S292" i="23"/>
  <c r="S36" i="23"/>
  <c r="S864" i="23"/>
  <c r="U864" i="23" s="1"/>
  <c r="S352" i="23"/>
  <c r="U352" i="23" s="1"/>
  <c r="S975" i="23"/>
  <c r="U975" i="23" s="1"/>
  <c r="S463" i="23"/>
  <c r="U463" i="23" s="1"/>
  <c r="S1310" i="23"/>
  <c r="S798" i="23"/>
  <c r="S286" i="23"/>
  <c r="S1133" i="23"/>
  <c r="U1133" i="23" s="1"/>
  <c r="S621" i="23"/>
  <c r="S1212" i="23"/>
  <c r="U1212" i="23" s="1"/>
  <c r="S700" i="23"/>
  <c r="S188" i="23"/>
  <c r="S168" i="23"/>
  <c r="S1028" i="23"/>
  <c r="U1028" i="23" s="1"/>
  <c r="S516" i="23"/>
  <c r="S1104" i="23"/>
  <c r="S336" i="23"/>
  <c r="S959" i="23"/>
  <c r="U959" i="23" s="1"/>
  <c r="S447" i="23"/>
  <c r="U447" i="23" s="1"/>
  <c r="S1294" i="23"/>
  <c r="U1294" i="23" s="1"/>
  <c r="S782" i="23"/>
  <c r="S270" i="23"/>
  <c r="U270" i="23" s="1"/>
  <c r="S1117" i="23"/>
  <c r="S349" i="23"/>
  <c r="S1196" i="23"/>
  <c r="U1196" i="23" s="1"/>
  <c r="S684" i="23"/>
  <c r="S172" i="23"/>
  <c r="S152" i="23"/>
  <c r="U152" i="23" s="1"/>
  <c r="S1012" i="23"/>
  <c r="S244" i="23"/>
  <c r="S1252" i="23"/>
  <c r="U1252" i="23" s="1"/>
  <c r="S1328" i="23"/>
  <c r="U1328" i="23" s="1"/>
  <c r="S1072" i="23"/>
  <c r="S560" i="23"/>
  <c r="S48" i="23"/>
  <c r="S671" i="23"/>
  <c r="U671" i="23" s="1"/>
  <c r="S415" i="23"/>
  <c r="S1262" i="23"/>
  <c r="S494" i="23"/>
  <c r="U494" i="23" s="1"/>
  <c r="S1341" i="23"/>
  <c r="U1341" i="23" s="1"/>
  <c r="S829" i="23"/>
  <c r="S317" i="23"/>
  <c r="S908" i="23"/>
  <c r="S120" i="23"/>
  <c r="S724" i="23"/>
  <c r="S1312" i="23"/>
  <c r="U1312" i="23" s="1"/>
  <c r="S544" i="23"/>
  <c r="U544" i="23" s="1"/>
  <c r="S32" i="23"/>
  <c r="S1246" i="23"/>
  <c r="S478" i="23"/>
  <c r="S1325" i="23"/>
  <c r="U1325" i="23" s="1"/>
  <c r="S557" i="23"/>
  <c r="U557" i="23" s="1"/>
  <c r="S45" i="23"/>
  <c r="U45" i="23" s="1"/>
  <c r="S636" i="23"/>
  <c r="U636" i="23" s="1"/>
  <c r="S360" i="23"/>
  <c r="S964" i="23"/>
  <c r="S452" i="23"/>
  <c r="S1040" i="23"/>
  <c r="S528" i="23"/>
  <c r="S895" i="23"/>
  <c r="U895" i="23" s="1"/>
  <c r="S127" i="23"/>
  <c r="U127" i="23" s="1"/>
  <c r="S974" i="23"/>
  <c r="U974" i="23" s="1"/>
  <c r="S462" i="23"/>
  <c r="S992" i="23"/>
  <c r="S296" i="23"/>
  <c r="U296" i="23" s="1"/>
  <c r="S1136" i="23"/>
  <c r="U1136" i="23" s="1"/>
  <c r="S880" i="23"/>
  <c r="U880" i="23" s="1"/>
  <c r="S624" i="23"/>
  <c r="U624" i="23" s="1"/>
  <c r="S368" i="23"/>
  <c r="S112" i="23"/>
  <c r="S991" i="23"/>
  <c r="S735" i="23"/>
  <c r="S479" i="23"/>
  <c r="U479" i="23" s="1"/>
  <c r="S223" i="23"/>
  <c r="S1326" i="23"/>
  <c r="U1326" i="23" s="1"/>
  <c r="S1070" i="23"/>
  <c r="S814" i="23"/>
  <c r="U814" i="23" s="1"/>
  <c r="S558" i="23"/>
  <c r="S302" i="23"/>
  <c r="U302" i="23" s="1"/>
  <c r="S46" i="23"/>
  <c r="S1149" i="23"/>
  <c r="U1149" i="23" s="1"/>
  <c r="S893" i="23"/>
  <c r="S637" i="23"/>
  <c r="S381" i="23"/>
  <c r="S125" i="23"/>
  <c r="S1228" i="23"/>
  <c r="S972" i="23"/>
  <c r="S716" i="23"/>
  <c r="S460" i="23"/>
  <c r="U460" i="23" s="1"/>
  <c r="S204" i="23"/>
  <c r="S440" i="23"/>
  <c r="S184" i="23"/>
  <c r="S1300" i="23"/>
  <c r="S1044" i="23"/>
  <c r="U1044" i="23" s="1"/>
  <c r="S788" i="23"/>
  <c r="S532" i="23"/>
  <c r="S276" i="23"/>
  <c r="S1120" i="23"/>
  <c r="U1120" i="23" s="1"/>
  <c r="S608" i="23"/>
  <c r="S96" i="23"/>
  <c r="U96" i="23" s="1"/>
  <c r="S719" i="23"/>
  <c r="S207" i="23"/>
  <c r="S1054" i="23"/>
  <c r="S542" i="23"/>
  <c r="S30" i="23"/>
  <c r="U30" i="23" s="1"/>
  <c r="S877" i="23"/>
  <c r="S365" i="23"/>
  <c r="S956" i="23"/>
  <c r="S444" i="23"/>
  <c r="S424" i="23"/>
  <c r="S1284" i="23"/>
  <c r="U1284" i="23" s="1"/>
  <c r="S772" i="23"/>
  <c r="S260" i="23"/>
  <c r="S1360" i="23"/>
  <c r="U1360" i="23" s="1"/>
  <c r="S592" i="23"/>
  <c r="S80" i="23"/>
  <c r="U80" i="23" s="1"/>
  <c r="S703" i="23"/>
  <c r="S191" i="23"/>
  <c r="S1038" i="23"/>
  <c r="U1038" i="23" s="1"/>
  <c r="S526" i="23"/>
  <c r="S14" i="23"/>
  <c r="U14" i="23" s="1"/>
  <c r="S861" i="23"/>
  <c r="S93" i="23"/>
  <c r="S940" i="23"/>
  <c r="S428" i="23"/>
  <c r="S408" i="23"/>
  <c r="U408" i="23" s="1"/>
  <c r="S1268" i="23"/>
  <c r="U1268" i="23" s="1"/>
  <c r="S500" i="23"/>
  <c r="S996" i="23"/>
  <c r="S484" i="23"/>
  <c r="S1006" i="23"/>
  <c r="U1006" i="23" s="1"/>
  <c r="S980" i="23"/>
  <c r="U980" i="23" s="1"/>
  <c r="S1056" i="23"/>
  <c r="S288" i="23"/>
  <c r="S655" i="23"/>
  <c r="S990" i="23"/>
  <c r="S222" i="23"/>
  <c r="S1069" i="23"/>
  <c r="S301" i="23"/>
  <c r="U301" i="23" s="1"/>
  <c r="S1148" i="23"/>
  <c r="U1148" i="23" s="1"/>
  <c r="S124" i="23"/>
  <c r="S1220" i="23"/>
  <c r="S708" i="23"/>
  <c r="S1296" i="23"/>
  <c r="U1296" i="23" s="1"/>
  <c r="S784" i="23"/>
  <c r="U784" i="23" s="1"/>
  <c r="S272" i="23"/>
  <c r="U272" i="23" s="1"/>
  <c r="S383" i="23"/>
  <c r="S1230" i="23"/>
  <c r="S718" i="23"/>
  <c r="U718" i="23" s="1"/>
  <c r="S206" i="23"/>
  <c r="S1053" i="23"/>
  <c r="S541" i="23"/>
  <c r="S285" i="23"/>
  <c r="U285" i="23" s="1"/>
  <c r="S29" i="23"/>
  <c r="S1132" i="23"/>
  <c r="U1132" i="23" s="1"/>
  <c r="S876" i="23"/>
  <c r="U876" i="23" s="1"/>
  <c r="S364" i="23"/>
  <c r="U364" i="23" s="1"/>
  <c r="S344" i="23"/>
  <c r="S88" i="23"/>
  <c r="S1204" i="23"/>
  <c r="U1204" i="23" s="1"/>
  <c r="S692" i="23"/>
  <c r="U692" i="23" s="1"/>
  <c r="S180" i="23"/>
  <c r="S164" i="23"/>
  <c r="U164" i="23" s="1"/>
  <c r="S752" i="23"/>
  <c r="S863" i="23"/>
  <c r="U863" i="23" s="1"/>
  <c r="S942" i="23"/>
  <c r="S1021" i="23"/>
  <c r="U1021" i="23" s="1"/>
  <c r="S1356" i="23"/>
  <c r="S76" i="23"/>
  <c r="U76" i="23" s="1"/>
  <c r="S916" i="23"/>
  <c r="S493" i="23"/>
  <c r="S848" i="23"/>
  <c r="U848" i="23" s="1"/>
  <c r="S588" i="23"/>
  <c r="U588" i="23" s="1"/>
  <c r="S79" i="23"/>
  <c r="U79" i="23" s="1"/>
  <c r="S1344" i="23"/>
  <c r="U1344" i="23" s="1"/>
  <c r="S1088" i="23"/>
  <c r="S832" i="23"/>
  <c r="S576" i="23"/>
  <c r="U576" i="23" s="1"/>
  <c r="S320" i="23"/>
  <c r="U320" i="23" s="1"/>
  <c r="S64" i="23"/>
  <c r="S943" i="23"/>
  <c r="U943" i="23" s="1"/>
  <c r="S687" i="23"/>
  <c r="S431" i="23"/>
  <c r="S175" i="23"/>
  <c r="S1278" i="23"/>
  <c r="S1022" i="23"/>
  <c r="S766" i="23"/>
  <c r="S510" i="23"/>
  <c r="U510" i="23" s="1"/>
  <c r="S254" i="23"/>
  <c r="U254" i="23" s="1"/>
  <c r="S1357" i="23"/>
  <c r="U1357" i="23" s="1"/>
  <c r="S1101" i="23"/>
  <c r="U1101" i="23" s="1"/>
  <c r="S845" i="23"/>
  <c r="U845" i="23" s="1"/>
  <c r="S589" i="23"/>
  <c r="U589" i="23" s="1"/>
  <c r="S333" i="23"/>
  <c r="U333" i="23" s="1"/>
  <c r="S77" i="23"/>
  <c r="S1180" i="23"/>
  <c r="S924" i="23"/>
  <c r="U924" i="23" s="1"/>
  <c r="S668" i="23"/>
  <c r="U668" i="23" s="1"/>
  <c r="S412" i="23"/>
  <c r="S156" i="23"/>
  <c r="S392" i="23"/>
  <c r="S136" i="23"/>
  <c r="U136" i="23" s="1"/>
  <c r="S740" i="23"/>
  <c r="S396" i="23"/>
  <c r="S380" i="23"/>
  <c r="S132" i="23"/>
  <c r="S1779" i="23"/>
  <c r="S1778" i="23"/>
  <c r="U1778" i="23" s="1"/>
  <c r="U1412" i="23"/>
  <c r="U1547" i="23"/>
  <c r="U1567" i="23"/>
  <c r="U1364" i="23"/>
  <c r="U985" i="23"/>
  <c r="U992" i="23"/>
  <c r="U1327" i="23"/>
  <c r="U838" i="23"/>
  <c r="U484" i="23"/>
  <c r="U1353" i="23"/>
  <c r="U807" i="23"/>
  <c r="U1627" i="23"/>
  <c r="U1311" i="23"/>
  <c r="U1063" i="23"/>
  <c r="U1530" i="23"/>
  <c r="U1428" i="23"/>
  <c r="U1385" i="23"/>
  <c r="U1053" i="23"/>
  <c r="U695" i="23"/>
  <c r="U113" i="23"/>
  <c r="U1600" i="23"/>
  <c r="U1383" i="23"/>
  <c r="U689" i="23"/>
  <c r="U111" i="23"/>
  <c r="U1241" i="23"/>
  <c r="U900" i="23"/>
  <c r="U440" i="23"/>
  <c r="U1477" i="23"/>
  <c r="U366" i="23"/>
  <c r="U1323" i="23"/>
  <c r="U941" i="23"/>
  <c r="U791" i="23"/>
  <c r="U693" i="23"/>
  <c r="U1517" i="23"/>
  <c r="U220" i="23"/>
  <c r="U1776" i="23"/>
  <c r="U832" i="23"/>
  <c r="U23" i="23"/>
  <c r="U1513" i="23"/>
  <c r="U1566" i="23"/>
  <c r="U1630" i="23"/>
  <c r="U1549" i="23"/>
  <c r="U1787" i="23"/>
  <c r="U1588" i="23"/>
  <c r="U1127" i="23"/>
  <c r="U1371" i="23"/>
  <c r="U1354" i="23"/>
  <c r="U1351" i="23"/>
  <c r="U1255" i="23"/>
  <c r="U1678" i="23"/>
  <c r="U1365" i="23"/>
  <c r="U1032" i="23"/>
  <c r="U664" i="23"/>
  <c r="U1581" i="23"/>
  <c r="U797" i="23"/>
  <c r="U1598" i="23"/>
  <c r="U1264" i="23"/>
  <c r="U445" i="23"/>
  <c r="U1029" i="23"/>
  <c r="U77" i="23"/>
  <c r="U1220" i="23"/>
  <c r="U878" i="23"/>
  <c r="U400" i="23"/>
  <c r="U1419" i="23"/>
  <c r="U1005" i="23"/>
  <c r="U584" i="23"/>
  <c r="U1674" i="23"/>
  <c r="U1068" i="23"/>
  <c r="U1533" i="23"/>
  <c r="U1215" i="23"/>
  <c r="U874" i="23"/>
  <c r="U397" i="23"/>
  <c r="U1375" i="23"/>
  <c r="U684" i="23"/>
  <c r="U97" i="23"/>
  <c r="U808" i="23"/>
  <c r="U496" i="23"/>
  <c r="U1145" i="23"/>
  <c r="U1080" i="23"/>
  <c r="U727" i="23"/>
  <c r="U160" i="23"/>
  <c r="U1228" i="23"/>
  <c r="U887" i="23"/>
  <c r="U415" i="23"/>
  <c r="U1013" i="23"/>
  <c r="U47" i="23"/>
  <c r="U551" i="23"/>
  <c r="U1782" i="23"/>
  <c r="U1526" i="23"/>
  <c r="U1014" i="23"/>
  <c r="U758" i="23"/>
  <c r="U502" i="23"/>
  <c r="U246" i="23"/>
  <c r="U677" i="23"/>
  <c r="U421" i="23"/>
  <c r="U148" i="23"/>
  <c r="U1715" i="23"/>
  <c r="U1459" i="23"/>
  <c r="U1187" i="23"/>
  <c r="U675" i="23"/>
  <c r="U419" i="23"/>
  <c r="U163" i="23"/>
  <c r="U1682" i="23"/>
  <c r="U1040" i="23"/>
  <c r="U191" i="23"/>
  <c r="U686" i="23"/>
  <c r="S1554" i="23"/>
  <c r="U1554" i="23" s="1"/>
  <c r="S1665" i="23"/>
  <c r="U1659" i="23"/>
  <c r="U1556" i="23"/>
  <c r="S1538" i="23"/>
  <c r="S1649" i="23"/>
  <c r="S1233" i="23"/>
  <c r="U1560" i="23"/>
  <c r="U965" i="23"/>
  <c r="U1146" i="23"/>
  <c r="U1680" i="23"/>
  <c r="U644" i="23"/>
  <c r="U354" i="23"/>
  <c r="S1633" i="23"/>
  <c r="U1633" i="23" s="1"/>
  <c r="S1201" i="23"/>
  <c r="U1400" i="23"/>
  <c r="U1709" i="23"/>
  <c r="U823" i="23"/>
  <c r="U966" i="23"/>
  <c r="U373" i="23"/>
  <c r="U1139" i="23"/>
  <c r="U106" i="23"/>
  <c r="U1431" i="23"/>
  <c r="U1454" i="23"/>
  <c r="U541" i="23"/>
  <c r="U604" i="23"/>
  <c r="U68" i="23"/>
  <c r="U82" i="23"/>
  <c r="U827" i="23"/>
  <c r="U571" i="23"/>
  <c r="U315" i="23"/>
  <c r="U59" i="23"/>
  <c r="U602" i="23"/>
  <c r="U346" i="23"/>
  <c r="U265" i="23"/>
  <c r="S1506" i="23"/>
  <c r="U1506" i="23" s="1"/>
  <c r="S1617" i="23"/>
  <c r="U1617" i="23" s="1"/>
  <c r="S1266" i="23"/>
  <c r="S1169" i="23"/>
  <c r="U1304" i="23"/>
  <c r="U286" i="23"/>
  <c r="U733" i="23"/>
  <c r="U805" i="23"/>
  <c r="U1016" i="23"/>
  <c r="U1348" i="23"/>
  <c r="U1734" i="23"/>
  <c r="U454" i="23"/>
  <c r="U356" i="23"/>
  <c r="U627" i="23"/>
  <c r="U281" i="23"/>
  <c r="U1597" i="23"/>
  <c r="U1060" i="23"/>
  <c r="U15" i="23"/>
  <c r="U1118" i="23"/>
  <c r="U613" i="23"/>
  <c r="U90" i="23"/>
  <c r="U1263" i="23"/>
  <c r="U221" i="23"/>
  <c r="U1751" i="23"/>
  <c r="U1374" i="23"/>
  <c r="U1289" i="23"/>
  <c r="U422" i="23"/>
  <c r="U322" i="23"/>
  <c r="U811" i="23"/>
  <c r="U299" i="23"/>
  <c r="U586" i="23"/>
  <c r="U330" i="23"/>
  <c r="U74" i="23"/>
  <c r="U505" i="23"/>
  <c r="U249" i="23"/>
  <c r="S1690" i="23"/>
  <c r="S1601" i="23"/>
  <c r="S1329" i="23"/>
  <c r="U1329" i="23" s="1"/>
  <c r="U1009" i="23"/>
  <c r="U1161" i="23"/>
  <c r="U1657" i="23"/>
  <c r="U623" i="23"/>
  <c r="U1614" i="23"/>
  <c r="U108" i="23"/>
  <c r="U360" i="23"/>
  <c r="U1356" i="23"/>
  <c r="U591" i="23"/>
  <c r="U1177" i="23"/>
  <c r="U1415" i="23"/>
  <c r="U455" i="23"/>
  <c r="U1529" i="23"/>
  <c r="U1599" i="23"/>
  <c r="U1076" i="23"/>
  <c r="U920" i="23"/>
  <c r="U1320" i="23"/>
  <c r="U239" i="23"/>
  <c r="U1462" i="23"/>
  <c r="U1206" i="23"/>
  <c r="U950" i="23"/>
  <c r="U438" i="23"/>
  <c r="U182" i="23"/>
  <c r="U357" i="23"/>
  <c r="U612" i="23"/>
  <c r="U340" i="23"/>
  <c r="U867" i="23"/>
  <c r="U355" i="23"/>
  <c r="U1106" i="23"/>
  <c r="U594" i="23"/>
  <c r="U338" i="23"/>
  <c r="U1083" i="23"/>
  <c r="U9" i="23"/>
  <c r="U1444" i="23"/>
  <c r="U1435" i="23"/>
  <c r="U504" i="23"/>
  <c r="U680" i="23"/>
  <c r="U1103" i="23"/>
  <c r="U561" i="23"/>
  <c r="U135" i="23"/>
  <c r="U1446" i="23"/>
  <c r="U678" i="23"/>
  <c r="U341" i="23"/>
  <c r="U324" i="23"/>
  <c r="U1107" i="23"/>
  <c r="U339" i="23"/>
  <c r="U1346" i="23"/>
  <c r="U834" i="23"/>
  <c r="U555" i="23"/>
  <c r="S1651" i="23"/>
  <c r="U1651" i="23" s="1"/>
  <c r="S1746" i="23"/>
  <c r="U1746" i="23" s="1"/>
  <c r="U1333" i="23"/>
  <c r="U828" i="23"/>
  <c r="U1728" i="23"/>
  <c r="U1561" i="23"/>
  <c r="U446" i="23"/>
  <c r="U12" i="23"/>
  <c r="U767" i="23"/>
  <c r="U1092" i="23"/>
  <c r="U1261" i="23"/>
  <c r="U1197" i="23"/>
  <c r="U735" i="23"/>
  <c r="U729" i="23"/>
  <c r="U580" i="23"/>
  <c r="S1658" i="23"/>
  <c r="U1658" i="23" s="1"/>
  <c r="S1105" i="23"/>
  <c r="U1273" i="23"/>
  <c r="U1275" i="23"/>
  <c r="U1244" i="23"/>
  <c r="U1392" i="23"/>
  <c r="U120" i="23"/>
  <c r="U1317" i="23"/>
  <c r="U525" i="23"/>
  <c r="U1609" i="23"/>
  <c r="U1130" i="23"/>
  <c r="U927" i="23"/>
  <c r="U1743" i="23"/>
  <c r="U1625" i="23"/>
  <c r="U1580" i="23"/>
  <c r="U1054" i="23"/>
  <c r="U223" i="23"/>
  <c r="U922" i="23"/>
  <c r="U1438" i="23"/>
  <c r="U1300" i="23"/>
  <c r="U543" i="23"/>
  <c r="U760" i="23"/>
  <c r="U937" i="23"/>
  <c r="U753" i="23"/>
  <c r="U93" i="23"/>
  <c r="U236" i="23"/>
  <c r="U1601" i="23"/>
  <c r="U391" i="23"/>
  <c r="U934" i="23"/>
  <c r="U166" i="23"/>
  <c r="U85" i="23"/>
  <c r="U52" i="23"/>
  <c r="U595" i="23"/>
  <c r="U83" i="23"/>
  <c r="U1090" i="23"/>
  <c r="U1067" i="23"/>
  <c r="U1708" i="23"/>
  <c r="U1761" i="23"/>
  <c r="U1429" i="23"/>
  <c r="U1245" i="23"/>
  <c r="U1642" i="23"/>
  <c r="U632" i="23"/>
  <c r="U1116" i="23"/>
  <c r="U1559" i="23"/>
  <c r="U444" i="23"/>
  <c r="U877" i="23"/>
  <c r="U940" i="23"/>
  <c r="U175" i="23"/>
  <c r="U916" i="23"/>
  <c r="U62" i="23"/>
  <c r="U1082" i="23"/>
  <c r="U1017" i="23"/>
  <c r="U56" i="23"/>
  <c r="U527" i="23"/>
  <c r="U750" i="23"/>
  <c r="U885" i="23"/>
  <c r="U1582" i="23"/>
  <c r="U119" i="23"/>
  <c r="U1174" i="23"/>
  <c r="U150" i="23"/>
  <c r="U325" i="23"/>
  <c r="U308" i="23"/>
  <c r="U1091" i="23"/>
  <c r="U579" i="23"/>
  <c r="U323" i="23"/>
  <c r="U1330" i="23"/>
  <c r="U818" i="23"/>
  <c r="U562" i="23"/>
  <c r="U306" i="23"/>
  <c r="U50" i="23"/>
  <c r="U539" i="23"/>
  <c r="U283" i="23"/>
  <c r="U570" i="23"/>
  <c r="U58" i="23"/>
  <c r="U489" i="23"/>
  <c r="U233" i="23"/>
  <c r="S1474" i="23"/>
  <c r="S1585" i="23"/>
  <c r="U1585" i="23" s="1"/>
  <c r="U1591" i="23"/>
  <c r="U1292" i="23"/>
  <c r="U1703" i="23"/>
  <c r="U1662" i="23"/>
  <c r="U1655" i="23"/>
  <c r="U1528" i="23"/>
  <c r="U1541" i="23"/>
  <c r="U1224" i="23"/>
  <c r="U881" i="23"/>
  <c r="U412" i="23"/>
  <c r="U1563" i="23"/>
  <c r="U1405" i="23"/>
  <c r="U1012" i="23"/>
  <c r="U592" i="23"/>
  <c r="U1775" i="23"/>
  <c r="U1440" i="23"/>
  <c r="U1095" i="23"/>
  <c r="U744" i="23"/>
  <c r="U1537" i="23"/>
  <c r="U1401" i="23"/>
  <c r="U1070" i="23"/>
  <c r="U716" i="23"/>
  <c r="U144" i="23"/>
  <c r="U1240" i="23"/>
  <c r="U856" i="23"/>
  <c r="U328" i="23"/>
  <c r="U1575" i="23"/>
  <c r="U1260" i="23"/>
  <c r="U919" i="23"/>
  <c r="U1710" i="23"/>
  <c r="U141" i="23"/>
  <c r="U1236" i="23"/>
  <c r="U894" i="23"/>
  <c r="U430" i="23"/>
  <c r="U1000" i="23"/>
  <c r="U608" i="23"/>
  <c r="U28" i="23"/>
  <c r="U240" i="23"/>
  <c r="U1061" i="23"/>
  <c r="U703" i="23"/>
  <c r="U996" i="23"/>
  <c r="U929" i="23"/>
  <c r="U781" i="23"/>
  <c r="U1579" i="23"/>
  <c r="U1711" i="23"/>
  <c r="U1687" i="23"/>
  <c r="U1306" i="23"/>
  <c r="U1097" i="23"/>
  <c r="U300" i="23"/>
  <c r="U1497" i="23"/>
  <c r="U183" i="23"/>
  <c r="U1180" i="23"/>
  <c r="U1274" i="23"/>
  <c r="U976" i="23"/>
  <c r="U368" i="23"/>
  <c r="U46" i="23"/>
  <c r="U478" i="23"/>
  <c r="U765" i="23"/>
  <c r="U1632" i="23"/>
  <c r="U960" i="23"/>
  <c r="U1109" i="23"/>
  <c r="U317" i="23"/>
  <c r="U205" i="23"/>
  <c r="U906" i="23"/>
  <c r="U884" i="23"/>
  <c r="U1190" i="23"/>
  <c r="U597" i="23"/>
  <c r="U851" i="23"/>
  <c r="S1490" i="23"/>
  <c r="U1490" i="23" s="1"/>
  <c r="U1550" i="23"/>
  <c r="U1690" i="23"/>
  <c r="U1644" i="23"/>
  <c r="U904" i="23"/>
  <c r="U1424" i="23"/>
  <c r="U1461" i="23"/>
  <c r="U901" i="23"/>
  <c r="U184" i="23"/>
  <c r="U365" i="23"/>
  <c r="U1279" i="23"/>
  <c r="U1087" i="23"/>
  <c r="U1257" i="23"/>
  <c r="U464" i="23"/>
  <c r="U648" i="23"/>
  <c r="U280" i="23"/>
  <c r="U168" i="23"/>
  <c r="U639" i="23"/>
  <c r="U1100" i="23"/>
  <c r="U414" i="23"/>
  <c r="U481" i="23"/>
  <c r="U375" i="23"/>
  <c r="U1430" i="23"/>
  <c r="U918" i="23"/>
  <c r="U406" i="23"/>
  <c r="U581" i="23"/>
  <c r="U69" i="23"/>
  <c r="U36" i="23"/>
  <c r="U1347" i="23"/>
  <c r="U835" i="23"/>
  <c r="U67" i="23"/>
  <c r="U1074" i="23"/>
  <c r="S1765" i="23"/>
  <c r="U1765" i="23" s="1"/>
  <c r="S1635" i="23"/>
  <c r="U1635" i="23" s="1"/>
  <c r="S1730" i="23"/>
  <c r="U1636" i="23"/>
  <c r="U1512" i="23"/>
  <c r="U1486" i="23"/>
  <c r="U1727" i="23"/>
  <c r="U1408" i="23"/>
  <c r="U1596" i="23"/>
  <c r="U1468" i="23"/>
  <c r="U1568" i="23"/>
  <c r="U956" i="23"/>
  <c r="U1663" i="23"/>
  <c r="U1584" i="23"/>
  <c r="U1694" i="23"/>
  <c r="U1531" i="23"/>
  <c r="U1572" i="23"/>
  <c r="U1671" i="23"/>
  <c r="U1520" i="23"/>
  <c r="U1201" i="23"/>
  <c r="U861" i="23"/>
  <c r="U369" i="23"/>
  <c r="U1425" i="23"/>
  <c r="U1367" i="23"/>
  <c r="U990" i="23"/>
  <c r="U558" i="23"/>
  <c r="U1756" i="23"/>
  <c r="U1422" i="23"/>
  <c r="U1072" i="23"/>
  <c r="U112" i="23"/>
  <c r="U1199" i="23"/>
  <c r="U858" i="23"/>
  <c r="U367" i="23"/>
  <c r="U1381" i="23"/>
  <c r="U1049" i="23"/>
  <c r="U688" i="23"/>
  <c r="U110" i="23"/>
  <c r="U288" i="23"/>
  <c r="U1595" i="23"/>
  <c r="U1239" i="23"/>
  <c r="U432" i="23"/>
  <c r="U1691" i="23"/>
  <c r="U1376" i="23"/>
  <c r="U685" i="23"/>
  <c r="U104" i="23"/>
  <c r="U1214" i="23"/>
  <c r="U873" i="23"/>
  <c r="U396" i="23"/>
  <c r="U1316" i="23"/>
  <c r="U574" i="23"/>
  <c r="U756" i="23"/>
  <c r="U206" i="23"/>
  <c r="U1039" i="23"/>
  <c r="U94" i="23"/>
  <c r="U568" i="23"/>
  <c r="U909" i="23"/>
  <c r="U456" i="23"/>
  <c r="U1388" i="23"/>
  <c r="U1056" i="23"/>
  <c r="U700" i="23"/>
  <c r="U125" i="23"/>
  <c r="U1183" i="23"/>
  <c r="U842" i="23"/>
  <c r="U337" i="23"/>
  <c r="U1503" i="23"/>
  <c r="U599" i="23"/>
  <c r="U71" i="23"/>
  <c r="U327" i="23"/>
  <c r="U1398" i="23"/>
  <c r="U1142" i="23"/>
  <c r="U1449" i="23"/>
  <c r="U1757" i="23"/>
  <c r="U768" i="23"/>
  <c r="U1288" i="23"/>
  <c r="U376" i="23"/>
  <c r="U988" i="23"/>
  <c r="U1439" i="23"/>
  <c r="U766" i="23"/>
  <c r="U964" i="23"/>
  <c r="U812" i="23"/>
  <c r="U542" i="23"/>
  <c r="U1233" i="23"/>
  <c r="U954" i="23"/>
  <c r="U889" i="23"/>
  <c r="U824" i="23"/>
  <c r="U972" i="23"/>
  <c r="U1098" i="23"/>
  <c r="U1247" i="23"/>
  <c r="U231" i="23"/>
  <c r="U1078" i="23"/>
  <c r="U310" i="23"/>
  <c r="U229" i="23"/>
  <c r="U212" i="23"/>
  <c r="U483" i="23"/>
  <c r="U722" i="23"/>
  <c r="U210" i="23"/>
  <c r="U955" i="23"/>
  <c r="U699" i="23"/>
  <c r="U443" i="23"/>
  <c r="U187" i="23"/>
  <c r="U730" i="23"/>
  <c r="U474" i="23"/>
  <c r="U218" i="23"/>
  <c r="U649" i="23"/>
  <c r="U137" i="23"/>
  <c r="U1291" i="23"/>
  <c r="U1525" i="23"/>
  <c r="U1679" i="23"/>
  <c r="U905" i="23"/>
  <c r="U1343" i="23"/>
  <c r="U590" i="23"/>
  <c r="U1755" i="23"/>
  <c r="U1114" i="23"/>
  <c r="U222" i="23"/>
  <c r="U1303" i="23"/>
  <c r="U1112" i="23"/>
  <c r="U143" i="23"/>
  <c r="U1152" i="23"/>
  <c r="U1453" i="23"/>
  <c r="U1129" i="23"/>
  <c r="U248" i="23"/>
  <c r="U893" i="23"/>
  <c r="U429" i="23"/>
  <c r="U61" i="23"/>
  <c r="U1230" i="23"/>
  <c r="U417" i="23"/>
  <c r="U560" i="23"/>
  <c r="U1701" i="23"/>
  <c r="U192" i="23"/>
  <c r="U471" i="23"/>
  <c r="U7" i="23"/>
  <c r="U1590" i="23"/>
  <c r="U1334" i="23"/>
  <c r="U822" i="23"/>
  <c r="U566" i="23"/>
  <c r="U54" i="23"/>
  <c r="U485" i="23"/>
  <c r="U788" i="23"/>
  <c r="U468" i="23"/>
  <c r="U1779" i="23"/>
  <c r="U995" i="23"/>
  <c r="U227" i="23"/>
  <c r="U1234" i="23"/>
  <c r="U978" i="23"/>
  <c r="U466" i="23"/>
  <c r="U1211" i="23"/>
  <c r="U393" i="23"/>
  <c r="U1669" i="23"/>
  <c r="U1608" i="23"/>
  <c r="U1772" i="23"/>
  <c r="U1665" i="23"/>
  <c r="U1509" i="23"/>
  <c r="U1735" i="23"/>
  <c r="U1310" i="23"/>
  <c r="U1605" i="23"/>
  <c r="U1471" i="23"/>
  <c r="U1423" i="23"/>
  <c r="U1096" i="23"/>
  <c r="U745" i="23"/>
  <c r="U190" i="23"/>
  <c r="U1660" i="23"/>
  <c r="U1246" i="23"/>
  <c r="U862" i="23"/>
  <c r="U336" i="23"/>
  <c r="U1324" i="23"/>
  <c r="U1736" i="23"/>
  <c r="U1421" i="23"/>
  <c r="U1093" i="23"/>
  <c r="U743" i="23"/>
  <c r="U188" i="23"/>
  <c r="U1281" i="23"/>
  <c r="U942" i="23"/>
  <c r="U511" i="23"/>
  <c r="U1576" i="23"/>
  <c r="U1069" i="23"/>
  <c r="U687" i="23"/>
  <c r="U109" i="23"/>
  <c r="U1455" i="23"/>
  <c r="U1593" i="23"/>
  <c r="U1278" i="23"/>
  <c r="U938" i="23"/>
  <c r="U508" i="23"/>
  <c r="U1108" i="23"/>
  <c r="U759" i="23"/>
  <c r="U208" i="23"/>
  <c r="U1213" i="23"/>
  <c r="U872" i="23"/>
  <c r="U392" i="23"/>
  <c r="U24" i="23"/>
  <c r="U383" i="23"/>
  <c r="U1144" i="23"/>
  <c r="U800" i="23"/>
  <c r="U271" i="23"/>
  <c r="U951" i="23"/>
  <c r="U526" i="23"/>
  <c r="U1623" i="23"/>
  <c r="U1077" i="23"/>
  <c r="U647" i="23"/>
  <c r="U199" i="23"/>
  <c r="U1574" i="23"/>
  <c r="U1062" i="23"/>
  <c r="U806" i="23"/>
  <c r="U550" i="23"/>
  <c r="U294" i="23"/>
  <c r="U38" i="23"/>
  <c r="U469" i="23"/>
  <c r="U213" i="23"/>
  <c r="U772" i="23"/>
  <c r="U452" i="23"/>
  <c r="U1235" i="23"/>
  <c r="U723" i="23"/>
  <c r="U467" i="23"/>
  <c r="U211" i="23"/>
  <c r="U1730" i="23"/>
  <c r="U1474" i="23"/>
  <c r="U1218" i="23"/>
  <c r="U962" i="23"/>
  <c r="U706" i="23"/>
  <c r="U450" i="23"/>
  <c r="U194" i="23"/>
  <c r="U1195" i="23"/>
  <c r="U683" i="23"/>
  <c r="U171" i="23"/>
  <c r="U714" i="23"/>
  <c r="U458" i="23"/>
  <c r="U202" i="23"/>
  <c r="U633" i="23"/>
  <c r="U377" i="23"/>
  <c r="U121" i="23"/>
  <c r="U1508" i="23"/>
  <c r="U1545" i="23"/>
  <c r="U1645" i="23"/>
  <c r="U1117" i="23"/>
  <c r="U1677" i="23"/>
  <c r="U1592" i="23"/>
  <c r="U1742" i="23"/>
  <c r="U1704" i="23"/>
  <c r="U1390" i="23"/>
  <c r="U1104" i="23"/>
  <c r="U1293" i="23"/>
  <c r="U1649" i="23"/>
  <c r="U1527" i="23"/>
  <c r="U1413" i="23"/>
  <c r="U1719" i="23"/>
  <c r="U1404" i="23"/>
  <c r="U1073" i="23"/>
  <c r="U719" i="23"/>
  <c r="U156" i="23"/>
  <c r="U1641" i="23"/>
  <c r="U1639" i="23"/>
  <c r="U621" i="23"/>
  <c r="U32" i="23"/>
  <c r="U1752" i="23"/>
  <c r="U1088" i="23"/>
  <c r="U736" i="23"/>
  <c r="U176" i="23"/>
  <c r="U1552" i="23"/>
  <c r="U1237" i="23"/>
  <c r="U431" i="23"/>
  <c r="U1065" i="23"/>
  <c r="U709" i="23"/>
  <c r="U1169" i="23"/>
  <c r="U829" i="23"/>
  <c r="U318" i="23"/>
  <c r="U536" i="23"/>
  <c r="U1231" i="23"/>
  <c r="U890" i="23"/>
  <c r="U424" i="23"/>
  <c r="U1166" i="23"/>
  <c r="U825" i="23"/>
  <c r="U312" i="23"/>
  <c r="U751" i="23"/>
  <c r="U200" i="23"/>
  <c r="U908" i="23"/>
  <c r="U1484" i="23"/>
  <c r="U1034" i="23"/>
  <c r="U669" i="23"/>
  <c r="U81" i="23"/>
  <c r="U1621" i="23"/>
  <c r="U359" i="23"/>
  <c r="U583" i="23"/>
  <c r="U1426" i="23"/>
  <c r="U1170" i="23"/>
  <c r="U914" i="23"/>
  <c r="U402" i="23"/>
  <c r="U1147" i="23"/>
  <c r="U891" i="23"/>
  <c r="U635" i="23"/>
  <c r="U379" i="23"/>
  <c r="U123" i="23"/>
  <c r="U666" i="23"/>
  <c r="U410" i="23"/>
  <c r="U154" i="23"/>
  <c r="U585" i="23"/>
  <c r="U329" i="23"/>
  <c r="U73" i="23"/>
  <c r="U493" i="23"/>
  <c r="U1407" i="23"/>
  <c r="U1079" i="23"/>
  <c r="U725" i="23"/>
  <c r="U1226" i="23"/>
  <c r="U380" i="23"/>
  <c r="U1524" i="23"/>
  <c r="U631" i="23"/>
  <c r="U103" i="23"/>
  <c r="U343" i="23"/>
  <c r="U1670" i="23"/>
  <c r="U1414" i="23"/>
  <c r="U1158" i="23"/>
  <c r="U902" i="23"/>
  <c r="U646" i="23"/>
  <c r="U390" i="23"/>
  <c r="U565" i="23"/>
  <c r="U309" i="23"/>
  <c r="U292" i="23"/>
  <c r="U20" i="23"/>
  <c r="U1331" i="23"/>
  <c r="U1075" i="23"/>
  <c r="U819" i="23"/>
  <c r="U563" i="23"/>
  <c r="U307" i="23"/>
  <c r="U51" i="23"/>
  <c r="U802" i="23"/>
  <c r="U546" i="23"/>
  <c r="U290" i="23"/>
  <c r="U34" i="23"/>
  <c r="U1035" i="23"/>
  <c r="U779" i="23"/>
  <c r="U523" i="23"/>
  <c r="U267" i="23"/>
  <c r="U11" i="23"/>
  <c r="U554" i="23"/>
  <c r="U298" i="23"/>
  <c r="U42" i="23"/>
  <c r="U473" i="23"/>
  <c r="U217" i="23"/>
  <c r="U886" i="23"/>
  <c r="U374" i="23"/>
  <c r="U118" i="23"/>
  <c r="U549" i="23"/>
  <c r="U37" i="23"/>
  <c r="U548" i="23"/>
  <c r="U276" i="23"/>
  <c r="U708" i="23"/>
  <c r="U1587" i="23"/>
  <c r="U1315" i="23"/>
  <c r="U1059" i="23"/>
  <c r="U803" i="23"/>
  <c r="U547" i="23"/>
  <c r="U291" i="23"/>
  <c r="U35" i="23"/>
  <c r="U1298" i="23"/>
  <c r="U1042" i="23"/>
  <c r="U274" i="23"/>
  <c r="U18" i="23"/>
  <c r="U1019" i="23"/>
  <c r="U763" i="23"/>
  <c r="U507" i="23"/>
  <c r="U251" i="23"/>
  <c r="U794" i="23"/>
  <c r="U538" i="23"/>
  <c r="U282" i="23"/>
  <c r="U26" i="23"/>
  <c r="U457" i="23"/>
  <c r="S1777" i="23"/>
  <c r="U1777" i="23" s="1"/>
  <c r="S1562" i="23"/>
  <c r="U1562" i="23" s="1"/>
  <c r="S1337" i="23"/>
  <c r="S1386" i="23"/>
  <c r="S1318" i="23"/>
  <c r="U1318" i="23" s="1"/>
  <c r="S705" i="23"/>
  <c r="U705" i="23" s="1"/>
  <c r="S449" i="23"/>
  <c r="U449" i="23" s="1"/>
  <c r="S193" i="23"/>
  <c r="U193" i="23" s="1"/>
  <c r="S1363" i="23"/>
  <c r="U1363" i="23" s="1"/>
  <c r="S1546" i="23"/>
  <c r="U1546" i="23" s="1"/>
  <c r="S1370" i="23"/>
  <c r="U1370" i="23" s="1"/>
  <c r="S1223" i="23"/>
  <c r="U1223" i="23" s="1"/>
  <c r="S33" i="23"/>
  <c r="U33" i="23" s="1"/>
  <c r="S433" i="23"/>
  <c r="U433" i="23" s="1"/>
  <c r="S177" i="23"/>
  <c r="U177" i="23" s="1"/>
  <c r="U1305" i="23"/>
  <c r="U944" i="23"/>
  <c r="U1071" i="23"/>
  <c r="U717" i="23"/>
  <c r="U1262" i="23"/>
  <c r="U921" i="23"/>
  <c r="U477" i="23"/>
  <c r="U1516" i="23"/>
  <c r="U1048" i="23"/>
  <c r="U655" i="23"/>
  <c r="U72" i="23"/>
  <c r="U1771" i="23"/>
  <c r="U1111" i="23"/>
  <c r="U761" i="23"/>
  <c r="U1573" i="23"/>
  <c r="U1258" i="23"/>
  <c r="U917" i="23"/>
  <c r="U1416" i="23"/>
  <c r="U1086" i="23"/>
  <c r="U734" i="23"/>
  <c r="U174" i="23"/>
  <c r="U1192" i="23"/>
  <c r="U573" i="23"/>
  <c r="U1253" i="23"/>
  <c r="U911" i="23"/>
  <c r="U461" i="23"/>
  <c r="U1188" i="23"/>
  <c r="U349" i="23"/>
  <c r="U776" i="23"/>
  <c r="U237" i="23"/>
  <c r="U928" i="23"/>
  <c r="U492" i="23"/>
  <c r="U1544" i="23"/>
  <c r="U1055" i="23"/>
  <c r="U697" i="23"/>
  <c r="U124" i="23"/>
  <c r="U1720" i="23"/>
  <c r="U407" i="23"/>
  <c r="U615" i="23"/>
  <c r="U1558" i="23"/>
  <c r="U1302" i="23"/>
  <c r="U1046" i="23"/>
  <c r="U790" i="23"/>
  <c r="U534" i="23"/>
  <c r="U278" i="23"/>
  <c r="U22" i="23"/>
  <c r="U453" i="23"/>
  <c r="U197" i="23"/>
  <c r="U740" i="23"/>
  <c r="U436" i="23"/>
  <c r="U180" i="23"/>
  <c r="U1219" i="23"/>
  <c r="U963" i="23"/>
  <c r="U707" i="23"/>
  <c r="U451" i="23"/>
  <c r="U195" i="23"/>
  <c r="U1202" i="23"/>
  <c r="U946" i="23"/>
  <c r="U690" i="23"/>
  <c r="U434" i="23"/>
  <c r="U178" i="23"/>
  <c r="U1179" i="23"/>
  <c r="U923" i="23"/>
  <c r="U667" i="23"/>
  <c r="U411" i="23"/>
  <c r="U442" i="23"/>
  <c r="U186" i="23"/>
  <c r="U617" i="23"/>
  <c r="U361" i="23"/>
  <c r="U105" i="23"/>
  <c r="S1594" i="23"/>
  <c r="U1594" i="23" s="1"/>
  <c r="S1427" i="23"/>
  <c r="U1427" i="23" s="1"/>
  <c r="S1539" i="23"/>
  <c r="U1539" i="23" s="1"/>
  <c r="S1634" i="23"/>
  <c r="U1634" i="23" s="1"/>
  <c r="S1745" i="23"/>
  <c r="U1745" i="23" s="1"/>
  <c r="S1489" i="23"/>
  <c r="U1489" i="23" s="1"/>
  <c r="S1514" i="23"/>
  <c r="U1514" i="23" s="1"/>
  <c r="S1249" i="23"/>
  <c r="U1249" i="23" s="1"/>
  <c r="S1338" i="23"/>
  <c r="U1338" i="23" s="1"/>
  <c r="S1270" i="23"/>
  <c r="U1270" i="23" s="1"/>
  <c r="S913" i="23"/>
  <c r="U913" i="23" s="1"/>
  <c r="S657" i="23"/>
  <c r="U657" i="23" s="1"/>
  <c r="S401" i="23"/>
  <c r="U401" i="23" s="1"/>
  <c r="S145" i="23"/>
  <c r="U145" i="23" s="1"/>
  <c r="U87" i="23"/>
  <c r="U1542" i="23"/>
  <c r="U1286" i="23"/>
  <c r="U1030" i="23"/>
  <c r="U774" i="23"/>
  <c r="U518" i="23"/>
  <c r="U262" i="23"/>
  <c r="U6" i="23"/>
  <c r="U437" i="23"/>
  <c r="U181" i="23"/>
  <c r="U724" i="23"/>
  <c r="U420" i="23"/>
  <c r="U1203" i="23"/>
  <c r="U947" i="23"/>
  <c r="U691" i="23"/>
  <c r="U435" i="23"/>
  <c r="U179" i="23"/>
  <c r="U1186" i="23"/>
  <c r="U930" i="23"/>
  <c r="U674" i="23"/>
  <c r="U162" i="23"/>
  <c r="U907" i="23"/>
  <c r="U651" i="23"/>
  <c r="U395" i="23"/>
  <c r="U139" i="23"/>
  <c r="U682" i="23"/>
  <c r="U426" i="23"/>
  <c r="U170" i="23"/>
  <c r="U601" i="23"/>
  <c r="U345" i="23"/>
  <c r="U89" i="23"/>
  <c r="S1762" i="23"/>
  <c r="U1762" i="23" s="1"/>
  <c r="S1410" i="23"/>
  <c r="U1410" i="23" s="1"/>
  <c r="S1523" i="23"/>
  <c r="U1523" i="23" s="1"/>
  <c r="S1618" i="23"/>
  <c r="U1618" i="23" s="1"/>
  <c r="S1729" i="23"/>
  <c r="U1729" i="23" s="1"/>
  <c r="S1473" i="23"/>
  <c r="U1473" i="23" s="1"/>
  <c r="S1498" i="23"/>
  <c r="U1498" i="23" s="1"/>
  <c r="S961" i="23"/>
  <c r="U961" i="23" s="1"/>
  <c r="S993" i="23"/>
  <c r="U993" i="23" s="1"/>
  <c r="S1217" i="23"/>
  <c r="U1217" i="23" s="1"/>
  <c r="S49" i="23"/>
  <c r="U49" i="23" s="1"/>
  <c r="S897" i="23"/>
  <c r="U897" i="23" s="1"/>
  <c r="S641" i="23"/>
  <c r="U641" i="23" s="1"/>
  <c r="S1732" i="23"/>
  <c r="U1732" i="23" s="1"/>
  <c r="S1393" i="23"/>
  <c r="U1393" i="23" s="1"/>
  <c r="S1763" i="23"/>
  <c r="U1763" i="23" s="1"/>
  <c r="S1507" i="23"/>
  <c r="U1507" i="23" s="1"/>
  <c r="S1602" i="23"/>
  <c r="U1602" i="23" s="1"/>
  <c r="S1713" i="23"/>
  <c r="U1713" i="23" s="1"/>
  <c r="S1457" i="23"/>
  <c r="U1457" i="23" s="1"/>
  <c r="S1482" i="23"/>
  <c r="U1482" i="23" s="1"/>
  <c r="S1185" i="23"/>
  <c r="U1185" i="23" s="1"/>
  <c r="S1050" i="23"/>
  <c r="U1050" i="23" s="1"/>
  <c r="U1022" i="23"/>
  <c r="U63" i="23"/>
  <c r="U1128" i="23"/>
  <c r="U782" i="23"/>
  <c r="U241" i="23"/>
  <c r="U462" i="23"/>
  <c r="U1189" i="23"/>
  <c r="U847" i="23"/>
  <c r="U350" i="23"/>
  <c r="U1124" i="23"/>
  <c r="U777" i="23"/>
  <c r="U701" i="23"/>
  <c r="U1207" i="23"/>
  <c r="U381" i="23"/>
  <c r="U1406" i="23"/>
  <c r="U991" i="23"/>
  <c r="U13" i="23"/>
  <c r="U1464" i="23"/>
  <c r="U263" i="23"/>
  <c r="U519" i="23"/>
  <c r="U1766" i="23"/>
  <c r="U1510" i="23"/>
  <c r="U998" i="23"/>
  <c r="U486" i="23"/>
  <c r="U230" i="23"/>
  <c r="U661" i="23"/>
  <c r="U405" i="23"/>
  <c r="U149" i="23"/>
  <c r="U676" i="23"/>
  <c r="U388" i="23"/>
  <c r="U132" i="23"/>
  <c r="U1699" i="23"/>
  <c r="U1443" i="23"/>
  <c r="U1171" i="23"/>
  <c r="U915" i="23"/>
  <c r="U659" i="23"/>
  <c r="U147" i="23"/>
  <c r="U1666" i="23"/>
  <c r="U898" i="23"/>
  <c r="U642" i="23"/>
  <c r="U386" i="23"/>
  <c r="U130" i="23"/>
  <c r="U1131" i="23"/>
  <c r="U875" i="23"/>
  <c r="U619" i="23"/>
  <c r="U363" i="23"/>
  <c r="U107" i="23"/>
  <c r="U650" i="23"/>
  <c r="U394" i="23"/>
  <c r="U569" i="23"/>
  <c r="U57" i="23"/>
  <c r="S1700" i="23"/>
  <c r="U1700" i="23" s="1"/>
  <c r="S1738" i="23"/>
  <c r="U1738" i="23" s="1"/>
  <c r="S1411" i="23"/>
  <c r="U1411" i="23" s="1"/>
  <c r="S1747" i="23"/>
  <c r="U1747" i="23" s="1"/>
  <c r="S1491" i="23"/>
  <c r="U1491" i="23" s="1"/>
  <c r="S1586" i="23"/>
  <c r="U1586" i="23" s="1"/>
  <c r="S1697" i="23"/>
  <c r="U1697" i="23" s="1"/>
  <c r="S1441" i="23"/>
  <c r="U1441" i="23" s="1"/>
  <c r="S1466" i="23"/>
  <c r="U1466" i="23" s="1"/>
  <c r="S1153" i="23"/>
  <c r="U1153" i="23" s="1"/>
  <c r="S1290" i="23"/>
  <c r="U1290" i="23" s="1"/>
  <c r="S865" i="23"/>
  <c r="U865" i="23" s="1"/>
  <c r="S609" i="23"/>
  <c r="U1495" i="23"/>
  <c r="U831" i="23"/>
  <c r="U1337" i="23"/>
  <c r="U1001" i="23"/>
  <c r="U609" i="23"/>
  <c r="U29" i="23"/>
  <c r="U1105" i="23"/>
  <c r="U757" i="23"/>
  <c r="U207" i="23"/>
  <c r="U428" i="23"/>
  <c r="U1167" i="23"/>
  <c r="U826" i="23"/>
  <c r="U316" i="23"/>
  <c r="U752" i="23"/>
  <c r="U204" i="23"/>
  <c r="U1037" i="23"/>
  <c r="U92" i="23"/>
  <c r="U1184" i="23"/>
  <c r="U844" i="23"/>
  <c r="U344" i="23"/>
  <c r="U1368" i="23"/>
  <c r="U970" i="23"/>
  <c r="U559" i="23"/>
  <c r="U1721" i="23"/>
  <c r="U1386" i="23"/>
  <c r="U215" i="23"/>
  <c r="U487" i="23"/>
  <c r="U1750" i="23"/>
  <c r="U1494" i="23"/>
  <c r="U982" i="23"/>
  <c r="U726" i="23"/>
  <c r="U470" i="23"/>
  <c r="U214" i="23"/>
  <c r="U645" i="23"/>
  <c r="U389" i="23"/>
  <c r="U133" i="23"/>
  <c r="U660" i="23"/>
  <c r="U372" i="23"/>
  <c r="U116" i="23"/>
  <c r="U1683" i="23"/>
  <c r="U1155" i="23"/>
  <c r="U899" i="23"/>
  <c r="U643" i="23"/>
  <c r="U131" i="23"/>
  <c r="U1650" i="23"/>
  <c r="U1138" i="23"/>
  <c r="U882" i="23"/>
  <c r="U626" i="23"/>
  <c r="U370" i="23"/>
  <c r="U114" i="23"/>
  <c r="U1115" i="23"/>
  <c r="U859" i="23"/>
  <c r="U603" i="23"/>
  <c r="U347" i="23"/>
  <c r="U91" i="23"/>
  <c r="U378" i="23"/>
  <c r="U553" i="23"/>
  <c r="U297" i="23"/>
  <c r="U41" i="23"/>
  <c r="S1668" i="23"/>
  <c r="U1668" i="23" s="1"/>
  <c r="S1706" i="23"/>
  <c r="U1706" i="23" s="1"/>
  <c r="S1394" i="23"/>
  <c r="U1394" i="23" s="1"/>
  <c r="S1620" i="23"/>
  <c r="U1620" i="23" s="1"/>
  <c r="S1731" i="23"/>
  <c r="U1731" i="23" s="1"/>
  <c r="S1475" i="23"/>
  <c r="U1475" i="23" s="1"/>
  <c r="S1570" i="23"/>
  <c r="U1570" i="23" s="1"/>
  <c r="S1681" i="23"/>
  <c r="U1681" i="23" s="1"/>
  <c r="S1297" i="23"/>
  <c r="U1297" i="23" s="1"/>
  <c r="S1450" i="23"/>
  <c r="U1450" i="23" s="1"/>
  <c r="S1361" i="23"/>
  <c r="U1361" i="23" s="1"/>
  <c r="S1378" i="23"/>
  <c r="U1378" i="23" s="1"/>
  <c r="S1121" i="23"/>
  <c r="U1121" i="23" s="1"/>
  <c r="S1336" i="23"/>
  <c r="U1336" i="23" s="1"/>
  <c r="S849" i="23"/>
  <c r="U849" i="23" s="1"/>
  <c r="S593" i="23"/>
  <c r="U593" i="23" s="1"/>
  <c r="S1089" i="23"/>
  <c r="U1089" i="23" s="1"/>
  <c r="S833" i="23"/>
  <c r="U833" i="23" s="1"/>
  <c r="S577" i="23"/>
  <c r="U577" i="23" s="1"/>
  <c r="S321" i="23"/>
  <c r="U321" i="23" s="1"/>
  <c r="S65" i="23"/>
  <c r="U65" i="23" s="1"/>
  <c r="S1057" i="23"/>
  <c r="U1057" i="23" s="1"/>
  <c r="S1242" i="23"/>
  <c r="U1242" i="23" s="1"/>
  <c r="S17" i="23"/>
  <c r="U17" i="23" s="1"/>
  <c r="S305" i="23"/>
  <c r="U305" i="23" s="1"/>
  <c r="S1313" i="23"/>
  <c r="U1313" i="23" s="1"/>
  <c r="S1025" i="23"/>
  <c r="U1025" i="23" s="1"/>
  <c r="S1335" i="23"/>
  <c r="U1335" i="23" s="1"/>
  <c r="S801" i="23"/>
  <c r="U801" i="23" s="1"/>
  <c r="S545" i="23"/>
  <c r="U545" i="23" s="1"/>
  <c r="S289" i="23"/>
  <c r="U289" i="23" s="1"/>
  <c r="S1781" i="23"/>
  <c r="U1781" i="23" s="1"/>
  <c r="S785" i="23"/>
  <c r="U785" i="23" s="1"/>
  <c r="S529" i="23"/>
  <c r="U529" i="23" s="1"/>
  <c r="S273" i="23"/>
  <c r="U273" i="23" s="1"/>
  <c r="S1786" i="23"/>
  <c r="U1786" i="23" s="1"/>
  <c r="S1362" i="23"/>
  <c r="U1362" i="23" s="1"/>
  <c r="S1379" i="23"/>
  <c r="U1379" i="23" s="1"/>
  <c r="S1194" i="23"/>
  <c r="U1194" i="23" s="1"/>
  <c r="S769" i="23"/>
  <c r="U769" i="23" s="1"/>
  <c r="S513" i="23"/>
  <c r="U513" i="23" s="1"/>
  <c r="S257" i="23"/>
  <c r="U257" i="23" s="1"/>
  <c r="S1395" i="23"/>
  <c r="U1395" i="23" s="1"/>
  <c r="S1434" i="23"/>
  <c r="U1434" i="23" s="1"/>
  <c r="U1672" i="23"/>
  <c r="U64" i="23"/>
  <c r="U1193" i="23"/>
  <c r="U852" i="23"/>
  <c r="U353" i="23"/>
  <c r="U1295" i="23"/>
  <c r="U957" i="23"/>
  <c r="U540" i="23"/>
  <c r="U732" i="23"/>
  <c r="U172" i="23"/>
  <c r="U1018" i="23"/>
  <c r="U60" i="23"/>
  <c r="U953" i="23"/>
  <c r="U528" i="23"/>
  <c r="U1229" i="23"/>
  <c r="U888" i="23"/>
  <c r="U416" i="23"/>
  <c r="U1369" i="23"/>
  <c r="U1036" i="23"/>
  <c r="U670" i="23"/>
  <c r="U88" i="23"/>
  <c r="U1162" i="23"/>
  <c r="U821" i="23"/>
  <c r="U303" i="23"/>
  <c r="U1465" i="23"/>
  <c r="U567" i="23"/>
  <c r="U55" i="23"/>
  <c r="U295" i="23"/>
  <c r="U1638" i="23"/>
  <c r="U1382" i="23"/>
  <c r="U1126" i="23"/>
  <c r="U870" i="23"/>
  <c r="U614" i="23"/>
  <c r="U358" i="23"/>
  <c r="U102" i="23"/>
  <c r="U533" i="23"/>
  <c r="U277" i="23"/>
  <c r="U21" i="23"/>
  <c r="U532" i="23"/>
  <c r="U260" i="23"/>
  <c r="U628" i="23"/>
  <c r="U1571" i="23"/>
  <c r="U1043" i="23"/>
  <c r="U787" i="23"/>
  <c r="U531" i="23"/>
  <c r="U275" i="23"/>
  <c r="U19" i="23"/>
  <c r="U1538" i="23"/>
  <c r="U1282" i="23"/>
  <c r="U1026" i="23"/>
  <c r="U770" i="23"/>
  <c r="U514" i="23"/>
  <c r="U258" i="23"/>
  <c r="U1259" i="23"/>
  <c r="U1003" i="23"/>
  <c r="U747" i="23"/>
  <c r="U491" i="23"/>
  <c r="U778" i="23"/>
  <c r="U522" i="23"/>
  <c r="U266" i="23"/>
  <c r="U10" i="23"/>
  <c r="U441" i="23"/>
  <c r="U185" i="23"/>
  <c r="S1764" i="23"/>
  <c r="U1764" i="23" s="1"/>
  <c r="S1626" i="23"/>
  <c r="U1626" i="23" s="1"/>
  <c r="S1748" i="23"/>
  <c r="U1748" i="23" s="1"/>
  <c r="S1610" i="23"/>
  <c r="U1610" i="23" s="1"/>
  <c r="S1619" i="23"/>
  <c r="U1619" i="23" s="1"/>
  <c r="S1714" i="23"/>
  <c r="U1714" i="23" s="1"/>
  <c r="S1458" i="23"/>
  <c r="U1458" i="23" s="1"/>
  <c r="S1569" i="23"/>
  <c r="U1569" i="23" s="1"/>
  <c r="S977" i="23"/>
  <c r="U977" i="23" s="1"/>
  <c r="S1377" i="23"/>
  <c r="U1377" i="23" s="1"/>
  <c r="S1418" i="23"/>
  <c r="U1418" i="23" s="1"/>
  <c r="S1271" i="23"/>
  <c r="U1271" i="23" s="1"/>
  <c r="S737" i="23"/>
  <c r="U737" i="23" s="1"/>
  <c r="U1172" i="23"/>
  <c r="U830" i="23"/>
  <c r="U319" i="23"/>
  <c r="U1276" i="23"/>
  <c r="U936" i="23"/>
  <c r="U497" i="23"/>
  <c r="U704" i="23"/>
  <c r="U129" i="23"/>
  <c r="U997" i="23"/>
  <c r="U606" i="23"/>
  <c r="U932" i="23"/>
  <c r="U1208" i="23"/>
  <c r="U382" i="23"/>
  <c r="U1349" i="23"/>
  <c r="U1015" i="23"/>
  <c r="U637" i="23"/>
  <c r="U48" i="23"/>
  <c r="U1141" i="23"/>
  <c r="U798" i="23"/>
  <c r="U269" i="23"/>
  <c r="U1387" i="23"/>
  <c r="U535" i="23"/>
  <c r="U39" i="23"/>
  <c r="U279" i="23"/>
  <c r="U1622" i="23"/>
  <c r="U1110" i="23"/>
  <c r="U598" i="23"/>
  <c r="U342" i="23"/>
  <c r="U86" i="23"/>
  <c r="U517" i="23"/>
  <c r="U261" i="23"/>
  <c r="U5" i="23"/>
  <c r="U500" i="23"/>
  <c r="U244" i="23"/>
  <c r="U516" i="23"/>
  <c r="U1555" i="23"/>
  <c r="U1283" i="23"/>
  <c r="U1027" i="23"/>
  <c r="U771" i="23"/>
  <c r="U515" i="23"/>
  <c r="U259" i="23"/>
  <c r="U1522" i="23"/>
  <c r="U1266" i="23"/>
  <c r="U1010" i="23"/>
  <c r="U754" i="23"/>
  <c r="U498" i="23"/>
  <c r="U242" i="23"/>
  <c r="U1243" i="23"/>
  <c r="U987" i="23"/>
  <c r="U731" i="23"/>
  <c r="U475" i="23"/>
  <c r="U219" i="23"/>
  <c r="U762" i="23"/>
  <c r="U506" i="23"/>
  <c r="U681" i="23"/>
  <c r="U169" i="23"/>
  <c r="S1733" i="23"/>
  <c r="U1733" i="23" s="1"/>
  <c r="S1716" i="23"/>
  <c r="U1716" i="23" s="1"/>
  <c r="S1603" i="23"/>
  <c r="U1603" i="23" s="1"/>
  <c r="S1698" i="23"/>
  <c r="U1698" i="23" s="1"/>
  <c r="S1442" i="23"/>
  <c r="U1442" i="23" s="1"/>
  <c r="S1553" i="23"/>
  <c r="U1553" i="23" s="1"/>
  <c r="S1041" i="23"/>
  <c r="U1041" i="23" s="1"/>
  <c r="S1578" i="23"/>
  <c r="U1578" i="23" s="1"/>
  <c r="S1314" i="23"/>
  <c r="U1314" i="23" s="1"/>
  <c r="S1154" i="23"/>
  <c r="U1154" i="23" s="1"/>
  <c r="S1402" i="23"/>
  <c r="U1402" i="23" s="1"/>
  <c r="S721" i="23"/>
  <c r="U721" i="23" s="1"/>
  <c r="S465" i="23"/>
  <c r="U465" i="23" s="1"/>
  <c r="S209" i="23"/>
  <c r="U209" i="23" s="1"/>
  <c r="S1785" i="23"/>
  <c r="U1785" i="23" s="1"/>
  <c r="D6" i="4"/>
  <c r="E6" i="4"/>
  <c r="F6" i="4"/>
  <c r="H8" i="10"/>
  <c r="M107" i="1" s="1"/>
  <c r="G8" i="10"/>
  <c r="L107" i="1" s="1"/>
  <c r="F8" i="10"/>
  <c r="K107" i="1" s="1"/>
  <c r="E8" i="10"/>
  <c r="J107" i="1" s="1"/>
  <c r="D8" i="10"/>
  <c r="I107" i="1" s="1"/>
  <c r="C60" i="17"/>
  <c r="D60" i="17"/>
  <c r="E60" i="17"/>
  <c r="F60" i="17"/>
  <c r="G60" i="17"/>
  <c r="H60" i="17"/>
  <c r="I60" i="17"/>
  <c r="J60" i="17"/>
  <c r="K60" i="17"/>
  <c r="L60" i="17"/>
  <c r="M60" i="17"/>
  <c r="B60" i="17"/>
  <c r="F67" i="17"/>
  <c r="G67" i="17"/>
  <c r="H67" i="17"/>
  <c r="I67" i="17"/>
  <c r="J67" i="17"/>
  <c r="K67" i="17"/>
  <c r="L67" i="17"/>
  <c r="M67" i="17"/>
  <c r="E47" i="17"/>
  <c r="F47" i="17"/>
  <c r="G47" i="17"/>
  <c r="H47" i="17"/>
  <c r="I47" i="17"/>
  <c r="J47" i="17"/>
  <c r="K47" i="17"/>
  <c r="L47" i="17"/>
  <c r="M47" i="17"/>
  <c r="D47" i="17"/>
  <c r="E32" i="17"/>
  <c r="F32" i="17"/>
  <c r="G32" i="17"/>
  <c r="H32" i="17"/>
  <c r="I32" i="17"/>
  <c r="J32" i="17"/>
  <c r="K32" i="17"/>
  <c r="L32" i="17"/>
  <c r="M32" i="17"/>
  <c r="D32" i="17"/>
  <c r="F22" i="1"/>
  <c r="F23" i="1"/>
  <c r="F24" i="1"/>
  <c r="F25" i="1"/>
  <c r="AE12" i="23"/>
  <c r="V1314" i="23" l="1"/>
  <c r="W1314" i="23" s="1"/>
  <c r="V1442" i="23"/>
  <c r="W1442" i="23" s="1"/>
  <c r="V1603" i="23"/>
  <c r="W1603" i="23" s="1"/>
  <c r="V1418" i="23"/>
  <c r="W1418" i="23" s="1"/>
  <c r="V1458" i="23"/>
  <c r="W1458" i="23" s="1"/>
  <c r="V1714" i="23"/>
  <c r="W1714" i="23" s="1"/>
  <c r="V1242" i="23"/>
  <c r="W1242" i="23" s="1"/>
  <c r="V1057" i="23"/>
  <c r="W1057" i="23" s="1"/>
  <c r="V1217" i="23"/>
  <c r="W1217" i="23" s="1"/>
  <c r="V1514" i="23"/>
  <c r="W1514" i="23" s="1"/>
  <c r="Q86" i="22"/>
  <c r="E46" i="22"/>
  <c r="F46" i="22"/>
  <c r="G45" i="22"/>
  <c r="H45" i="22" s="1"/>
  <c r="I45" i="22" s="1"/>
  <c r="J45" i="22" s="1"/>
  <c r="K45" i="22" s="1"/>
  <c r="L45" i="22" s="1"/>
  <c r="M45" i="22" s="1"/>
  <c r="N45" i="22" s="1"/>
  <c r="O45" i="22" s="1"/>
  <c r="P45" i="22" s="1"/>
  <c r="Q45" i="22" s="1"/>
  <c r="V145" i="23"/>
  <c r="W145" i="23" s="1"/>
  <c r="V1491" i="23"/>
  <c r="W1491" i="23" s="1"/>
  <c r="V1450" i="23"/>
  <c r="W1450" i="23" s="1"/>
  <c r="V1698" i="23"/>
  <c r="W1698" i="23" s="1"/>
  <c r="V1018" i="23"/>
  <c r="W1018" i="23" s="1"/>
  <c r="V626" i="23"/>
  <c r="W626" i="23" s="1"/>
  <c r="V532" i="23"/>
  <c r="W532" i="23" s="1"/>
  <c r="V1110" i="23"/>
  <c r="W1110" i="23" s="1"/>
  <c r="V1162" i="23"/>
  <c r="W1162" i="23" s="1"/>
  <c r="V619" i="23"/>
  <c r="W619" i="23" s="1"/>
  <c r="V258" i="23"/>
  <c r="W258" i="23" s="1"/>
  <c r="V785" i="23"/>
  <c r="W785" i="23" s="1"/>
  <c r="V875" i="23"/>
  <c r="W875" i="23" s="1"/>
  <c r="V674" i="23"/>
  <c r="W674" i="23" s="1"/>
  <c r="V946" i="23"/>
  <c r="W946" i="23" s="1"/>
  <c r="V944" i="23"/>
  <c r="W944" i="23" s="1"/>
  <c r="V320" i="23"/>
  <c r="W320" i="23" s="1"/>
  <c r="V1619" i="23"/>
  <c r="W1619" i="23" s="1"/>
  <c r="V514" i="23"/>
  <c r="W514" i="23" s="1"/>
  <c r="V533" i="23"/>
  <c r="W533" i="23" s="1"/>
  <c r="V670" i="23"/>
  <c r="W670" i="23" s="1"/>
  <c r="V852" i="23"/>
  <c r="W852" i="23" s="1"/>
  <c r="V1781" i="23"/>
  <c r="W1781" i="23" s="1"/>
  <c r="V643" i="23"/>
  <c r="W643" i="23" s="1"/>
  <c r="V487" i="23"/>
  <c r="W487" i="23" s="1"/>
  <c r="V1167" i="23"/>
  <c r="W1167" i="23" s="1"/>
  <c r="V1441" i="23"/>
  <c r="W1441" i="23" s="1"/>
  <c r="V1131" i="23"/>
  <c r="W1131" i="23" s="1"/>
  <c r="V405" i="23"/>
  <c r="W405" i="23" s="1"/>
  <c r="V774" i="23"/>
  <c r="W774" i="23" s="1"/>
  <c r="V1539" i="23"/>
  <c r="W1539" i="23" s="1"/>
  <c r="V1202" i="23"/>
  <c r="W1202" i="23" s="1"/>
  <c r="V534" i="23"/>
  <c r="W534" i="23" s="1"/>
  <c r="V776" i="23"/>
  <c r="W776" i="23" s="1"/>
  <c r="V457" i="23"/>
  <c r="W457" i="23" s="1"/>
  <c r="V803" i="23"/>
  <c r="W803" i="23" s="1"/>
  <c r="V554" i="23"/>
  <c r="W554" i="23" s="1"/>
  <c r="V1331" i="23"/>
  <c r="W1331" i="23" s="1"/>
  <c r="V1293" i="23"/>
  <c r="W1293" i="23" s="1"/>
  <c r="V452" i="23"/>
  <c r="W452" i="23" s="1"/>
  <c r="V526" i="23"/>
  <c r="W526" i="23" s="1"/>
  <c r="V938" i="23"/>
  <c r="W938" i="23" s="1"/>
  <c r="V822" i="23"/>
  <c r="W822" i="23" s="1"/>
  <c r="V69" i="23"/>
  <c r="W69" i="23" s="1"/>
  <c r="V1054" i="23"/>
  <c r="W1054" i="23" s="1"/>
  <c r="V333" i="23"/>
  <c r="W333" i="23" s="1"/>
  <c r="V576" i="23"/>
  <c r="W576" i="23" s="1"/>
  <c r="V272" i="23"/>
  <c r="W272" i="23" s="1"/>
  <c r="V1360" i="23"/>
  <c r="W1360" i="23" s="1"/>
  <c r="V1120" i="23"/>
  <c r="W1120" i="23" s="1"/>
  <c r="V1136" i="23"/>
  <c r="W1136" i="23" s="1"/>
  <c r="V959" i="23"/>
  <c r="W959" i="23" s="1"/>
  <c r="V352" i="23"/>
  <c r="W352" i="23" s="1"/>
  <c r="V640" i="23"/>
  <c r="W640" i="23" s="1"/>
  <c r="V652" i="23"/>
  <c r="W652" i="23" s="1"/>
  <c r="V564" i="23"/>
  <c r="W564" i="23" s="1"/>
  <c r="V78" i="23"/>
  <c r="W78" i="23" s="1"/>
  <c r="V1156" i="23"/>
  <c r="W1156" i="23" s="1"/>
  <c r="V607" i="23"/>
  <c r="W607" i="23" s="1"/>
  <c r="V252" i="23"/>
  <c r="W252" i="23" s="1"/>
  <c r="V31" i="23"/>
  <c r="W31" i="23" s="1"/>
  <c r="V910" i="23"/>
  <c r="W910" i="23" s="1"/>
  <c r="V335" i="23"/>
  <c r="W335" i="23" s="1"/>
  <c r="V860" i="23"/>
  <c r="W860" i="23" s="1"/>
  <c r="V879" i="23"/>
  <c r="W879" i="23" s="1"/>
  <c r="V140" i="23"/>
  <c r="W140" i="23" s="1"/>
  <c r="V1366" i="23"/>
  <c r="W1366" i="23" s="1"/>
  <c r="V1420" i="23"/>
  <c r="W1420" i="23" s="1"/>
  <c r="V698" i="23"/>
  <c r="W698" i="23" s="1"/>
  <c r="V1272" i="23"/>
  <c r="W1272" i="23" s="1"/>
  <c r="V1502" i="23"/>
  <c r="W1502" i="23" s="1"/>
  <c r="V1125" i="23"/>
  <c r="W1125" i="23" s="1"/>
  <c r="V530" i="23"/>
  <c r="W530" i="23" s="1"/>
  <c r="V1707" i="23"/>
  <c r="W1707" i="23" s="1"/>
  <c r="V1265" i="23"/>
  <c r="W1265" i="23" s="1"/>
  <c r="V786" i="23"/>
  <c r="W786" i="23" s="1"/>
  <c r="V1447" i="23"/>
  <c r="W1447" i="23" s="1"/>
  <c r="V999" i="23"/>
  <c r="W999" i="23" s="1"/>
  <c r="V314" i="23"/>
  <c r="W314" i="23" s="1"/>
  <c r="V27" i="23"/>
  <c r="W27" i="23" s="1"/>
  <c r="V1389" i="23"/>
  <c r="W1389" i="23" s="1"/>
  <c r="V952" i="23"/>
  <c r="W952" i="23" s="1"/>
  <c r="V66" i="23"/>
  <c r="W66" i="23" s="1"/>
  <c r="V837" i="23"/>
  <c r="W837" i="23" s="1"/>
  <c r="V983" i="23"/>
  <c r="W983" i="23" s="1"/>
  <c r="V537" i="23"/>
  <c r="W537" i="23" s="1"/>
  <c r="V1372" i="23"/>
  <c r="W1372" i="23" s="1"/>
  <c r="V482" i="23"/>
  <c r="W482" i="23" s="1"/>
  <c r="V931" i="23"/>
  <c r="W931" i="23" s="1"/>
  <c r="V49" i="23"/>
  <c r="W49" i="23" s="1"/>
  <c r="V1003" i="23"/>
  <c r="W1003" i="23" s="1"/>
  <c r="V606" i="23"/>
  <c r="W606" i="23" s="1"/>
  <c r="V1153" i="23"/>
  <c r="W1153" i="23" s="1"/>
  <c r="V259" i="23"/>
  <c r="W259" i="23" s="1"/>
  <c r="V277" i="23"/>
  <c r="W277" i="23" s="1"/>
  <c r="V1668" i="23"/>
  <c r="W1668" i="23" s="1"/>
  <c r="V1482" i="23"/>
  <c r="W1482" i="23" s="1"/>
  <c r="V278" i="23"/>
  <c r="W278" i="23" s="1"/>
  <c r="V312" i="23"/>
  <c r="W312" i="23" s="1"/>
  <c r="V1140" i="23"/>
  <c r="W1140" i="23" s="1"/>
  <c r="V39" i="23"/>
  <c r="W39" i="23" s="1"/>
  <c r="V770" i="23"/>
  <c r="W770" i="23" s="1"/>
  <c r="V1193" i="23"/>
  <c r="W1193" i="23" s="1"/>
  <c r="V1697" i="23"/>
  <c r="W1697" i="23" s="1"/>
  <c r="V1523" i="23"/>
  <c r="W1523" i="23" s="1"/>
  <c r="V1030" i="23"/>
  <c r="W1030" i="23" s="1"/>
  <c r="V1121" i="23"/>
  <c r="W1121" i="23" s="1"/>
  <c r="V177" i="23"/>
  <c r="W177" i="23" s="1"/>
  <c r="V11" i="23"/>
  <c r="W11" i="23" s="1"/>
  <c r="V402" i="23"/>
  <c r="W402" i="23" s="1"/>
  <c r="V336" i="23"/>
  <c r="W336" i="23" s="1"/>
  <c r="V1468" i="23"/>
  <c r="W1468" i="23" s="1"/>
  <c r="V581" i="23"/>
  <c r="W581" i="23" s="1"/>
  <c r="V1306" i="23"/>
  <c r="W1306" i="23" s="1"/>
  <c r="V1585" i="23"/>
  <c r="W1585" i="23" s="1"/>
  <c r="V1746" i="23"/>
  <c r="W1746" i="23" s="1"/>
  <c r="V1554" i="23"/>
  <c r="W1554" i="23" s="1"/>
  <c r="V589" i="23"/>
  <c r="W589" i="23" s="1"/>
  <c r="V692" i="23"/>
  <c r="W692" i="23" s="1"/>
  <c r="V784" i="23"/>
  <c r="W784" i="23" s="1"/>
  <c r="V1149" i="23"/>
  <c r="W1149" i="23" s="1"/>
  <c r="V296" i="23"/>
  <c r="W296" i="23" s="1"/>
  <c r="V864" i="23"/>
  <c r="W864" i="23" s="1"/>
  <c r="V653" i="23"/>
  <c r="W653" i="23" s="1"/>
  <c r="V896" i="23"/>
  <c r="W896" i="23" s="1"/>
  <c r="V1164" i="23"/>
  <c r="W1164" i="23" s="1"/>
  <c r="V820" i="23"/>
  <c r="W820" i="23" s="1"/>
  <c r="V334" i="23"/>
  <c r="W334" i="23" s="1"/>
  <c r="V572" i="23"/>
  <c r="W572" i="23" s="1"/>
  <c r="V287" i="23"/>
  <c r="W287" i="23" s="1"/>
  <c r="V868" i="23"/>
  <c r="W868" i="23" s="1"/>
  <c r="V1150" i="23"/>
  <c r="W1150" i="23" s="1"/>
  <c r="V1135" i="23"/>
  <c r="W1135" i="23" s="1"/>
  <c r="V332" i="23"/>
  <c r="W332" i="23" s="1"/>
  <c r="V304" i="23"/>
  <c r="W304" i="23" s="1"/>
  <c r="V1695" i="23"/>
  <c r="W1695" i="23" s="1"/>
  <c r="V1784" i="23"/>
  <c r="W1784" i="23" s="1"/>
  <c r="V1452" i="23"/>
  <c r="W1452" i="23" s="1"/>
  <c r="V903" i="23"/>
  <c r="W903" i="23" s="1"/>
  <c r="V293" i="23"/>
  <c r="W293" i="23" s="1"/>
  <c r="V1081" i="23"/>
  <c r="W1081" i="23" s="1"/>
  <c r="V1676" i="23"/>
  <c r="W1676" i="23" s="1"/>
  <c r="V1227" i="23"/>
  <c r="W1227" i="23" s="1"/>
  <c r="V634" i="23"/>
  <c r="W634" i="23" s="1"/>
  <c r="V1760" i="23"/>
  <c r="W1760" i="23" s="1"/>
  <c r="V1339" i="23"/>
  <c r="W1339" i="23" s="1"/>
  <c r="V855" i="23"/>
  <c r="W855" i="23" s="1"/>
  <c r="V243" i="23"/>
  <c r="W243" i="23" s="1"/>
  <c r="V1783" i="23"/>
  <c r="W1783" i="23" s="1"/>
  <c r="V1463" i="23"/>
  <c r="W1463" i="23" s="1"/>
  <c r="V658" i="23"/>
  <c r="W658" i="23" s="1"/>
  <c r="V1483" i="23"/>
  <c r="W1483" i="23" s="1"/>
  <c r="V945" i="23"/>
  <c r="W945" i="23" s="1"/>
  <c r="V1577" i="23"/>
  <c r="W1577" i="23" s="1"/>
  <c r="V1094" i="23"/>
  <c r="W1094" i="23" s="1"/>
  <c r="V499" i="23"/>
  <c r="W499" i="23" s="1"/>
  <c r="V949" i="23"/>
  <c r="W949" i="23" s="1"/>
  <c r="V1350" i="23"/>
  <c r="W1350" i="23" s="1"/>
  <c r="V1521" i="23"/>
  <c r="W1521" i="23" s="1"/>
  <c r="V242" i="23"/>
  <c r="W242" i="23" s="1"/>
  <c r="V1464" i="23"/>
  <c r="W1464" i="23" s="1"/>
  <c r="V732" i="23"/>
  <c r="W732" i="23" s="1"/>
  <c r="V577" i="23"/>
  <c r="W577" i="23" s="1"/>
  <c r="V529" i="23"/>
  <c r="W529" i="23" s="1"/>
  <c r="V1185" i="23"/>
  <c r="W1185" i="23" s="1"/>
  <c r="V1622" i="23"/>
  <c r="W1622" i="23" s="1"/>
  <c r="V88" i="23"/>
  <c r="W88" i="23" s="1"/>
  <c r="V1089" i="23"/>
  <c r="W1089" i="23" s="1"/>
  <c r="V149" i="23"/>
  <c r="W149" i="23" s="1"/>
  <c r="V1729" i="23"/>
  <c r="W1729" i="23" s="1"/>
  <c r="V1634" i="23"/>
  <c r="W1634" i="23" s="1"/>
  <c r="V237" i="23"/>
  <c r="W237" i="23" s="1"/>
  <c r="V1777" i="23"/>
  <c r="W1777" i="23" s="1"/>
  <c r="V1075" i="23"/>
  <c r="W1075" i="23" s="1"/>
  <c r="V1649" i="23"/>
  <c r="W1649" i="23" s="1"/>
  <c r="V566" i="23"/>
  <c r="W566" i="23" s="1"/>
  <c r="V1087" i="23"/>
  <c r="W1087" i="23" s="1"/>
  <c r="V323" i="23"/>
  <c r="W323" i="23" s="1"/>
  <c r="V223" i="23"/>
  <c r="W223" i="23" s="1"/>
  <c r="V164" i="23"/>
  <c r="W164" i="23" s="1"/>
  <c r="V1006" i="23"/>
  <c r="W1006" i="23" s="1"/>
  <c r="V1134" i="23"/>
  <c r="W1134" i="23" s="1"/>
  <c r="V129" i="23"/>
  <c r="W129" i="23" s="1"/>
  <c r="V681" i="23"/>
  <c r="W681" i="23" s="1"/>
  <c r="V771" i="23"/>
  <c r="W771" i="23" s="1"/>
  <c r="V704" i="23"/>
  <c r="W704" i="23" s="1"/>
  <c r="V1610" i="23"/>
  <c r="W1610" i="23" s="1"/>
  <c r="V102" i="23"/>
  <c r="W102" i="23" s="1"/>
  <c r="V1036" i="23"/>
  <c r="W1036" i="23" s="1"/>
  <c r="V289" i="23"/>
  <c r="W289" i="23" s="1"/>
  <c r="V428" i="23"/>
  <c r="W428" i="23" s="1"/>
  <c r="V130" i="23"/>
  <c r="W130" i="23" s="1"/>
  <c r="V1713" i="23"/>
  <c r="W1713" i="23" s="1"/>
  <c r="V1186" i="23"/>
  <c r="W1186" i="23" s="1"/>
  <c r="V1427" i="23"/>
  <c r="W1427" i="23" s="1"/>
  <c r="V790" i="23"/>
  <c r="W790" i="23" s="1"/>
  <c r="V268" i="23"/>
  <c r="W268" i="23" s="1"/>
  <c r="V209" i="23"/>
  <c r="W209" i="23" s="1"/>
  <c r="V506" i="23"/>
  <c r="W506" i="23" s="1"/>
  <c r="V535" i="23"/>
  <c r="W535" i="23" s="1"/>
  <c r="V497" i="23"/>
  <c r="W497" i="23" s="1"/>
  <c r="V1748" i="23"/>
  <c r="W1748" i="23" s="1"/>
  <c r="V1026" i="23"/>
  <c r="W1026" i="23" s="1"/>
  <c r="V358" i="23"/>
  <c r="W358" i="23" s="1"/>
  <c r="V1369" i="23"/>
  <c r="W1369" i="23" s="1"/>
  <c r="V64" i="23"/>
  <c r="W64" i="23" s="1"/>
  <c r="V1155" i="23"/>
  <c r="W1155" i="23" s="1"/>
  <c r="V1386" i="23"/>
  <c r="W1386" i="23" s="1"/>
  <c r="V207" i="23"/>
  <c r="W207" i="23" s="1"/>
  <c r="V386" i="23"/>
  <c r="W386" i="23" s="1"/>
  <c r="V777" i="23"/>
  <c r="W777" i="23" s="1"/>
  <c r="V1602" i="23"/>
  <c r="W1602" i="23" s="1"/>
  <c r="V1410" i="23"/>
  <c r="W1410" i="23" s="1"/>
  <c r="V1286" i="23"/>
  <c r="W1286" i="23" s="1"/>
  <c r="V1594" i="23"/>
  <c r="W1594" i="23" s="1"/>
  <c r="V1046" i="23"/>
  <c r="W1046" i="23" s="1"/>
  <c r="V433" i="23"/>
  <c r="W433" i="23" s="1"/>
  <c r="V1315" i="23"/>
  <c r="W1315" i="23" s="1"/>
  <c r="V267" i="23"/>
  <c r="W267" i="23" s="1"/>
  <c r="V20" i="23"/>
  <c r="W20" i="23" s="1"/>
  <c r="V725" i="23"/>
  <c r="W725" i="23" s="1"/>
  <c r="V914" i="23"/>
  <c r="W914" i="23" s="1"/>
  <c r="V424" i="23"/>
  <c r="W424" i="23" s="1"/>
  <c r="V1752" i="23"/>
  <c r="W1752" i="23" s="1"/>
  <c r="V1290" i="23"/>
  <c r="W1290" i="23" s="1"/>
  <c r="V1669" i="23"/>
  <c r="W1669" i="23" s="1"/>
  <c r="V1590" i="23"/>
  <c r="W1590" i="23" s="1"/>
  <c r="V972" i="23"/>
  <c r="W972" i="23" s="1"/>
  <c r="V1596" i="23"/>
  <c r="W1596" i="23" s="1"/>
  <c r="V1687" i="23"/>
  <c r="W1687" i="23" s="1"/>
  <c r="V166" i="23"/>
  <c r="W166" i="23" s="1"/>
  <c r="V1658" i="23"/>
  <c r="W1658" i="23" s="1"/>
  <c r="V1778" i="23"/>
  <c r="W1778" i="23" s="1"/>
  <c r="V845" i="23"/>
  <c r="W845" i="23" s="1"/>
  <c r="V1204" i="23"/>
  <c r="W1204" i="23" s="1"/>
  <c r="V1296" i="23"/>
  <c r="W1296" i="23" s="1"/>
  <c r="V1328" i="23"/>
  <c r="W1328" i="23" s="1"/>
  <c r="V1084" i="23"/>
  <c r="W1084" i="23" s="1"/>
  <c r="V1008" i="23"/>
  <c r="W1008" i="23" s="1"/>
  <c r="V764" i="23"/>
  <c r="W764" i="23" s="1"/>
  <c r="V783" i="23"/>
  <c r="W783" i="23" s="1"/>
  <c r="V524" i="23"/>
  <c r="W524" i="23" s="1"/>
  <c r="V44" i="23"/>
  <c r="W44" i="23" s="1"/>
  <c r="V224" i="23"/>
  <c r="W224" i="23" s="1"/>
  <c r="V256" i="23"/>
  <c r="W256" i="23" s="1"/>
  <c r="V1723" i="23"/>
  <c r="W1723" i="23" s="1"/>
  <c r="V1613" i="23"/>
  <c r="W1613" i="23" s="1"/>
  <c r="V1689" i="23"/>
  <c r="W1689" i="23" s="1"/>
  <c r="V1664" i="23"/>
  <c r="W1664" i="23" s="1"/>
  <c r="V979" i="23"/>
  <c r="W979" i="23" s="1"/>
  <c r="V1492" i="23"/>
  <c r="W1492" i="23" s="1"/>
  <c r="V662" i="23"/>
  <c r="W662" i="23" s="1"/>
  <c r="V866" i="23"/>
  <c r="W866" i="23" s="1"/>
  <c r="V1047" i="23"/>
  <c r="W1047" i="23" s="1"/>
  <c r="V1646" i="23"/>
  <c r="W1646" i="23" s="1"/>
  <c r="V1301" i="23"/>
  <c r="W1301" i="23" s="1"/>
  <c r="V711" i="23"/>
  <c r="W711" i="23" s="1"/>
  <c r="V1399" i="23"/>
  <c r="W1399" i="23" s="1"/>
  <c r="V1469" i="23"/>
  <c r="W1469" i="23" s="1"/>
  <c r="V1773" i="23"/>
  <c r="W1773" i="23" s="1"/>
  <c r="V1460" i="23"/>
  <c r="W1460" i="23" s="1"/>
  <c r="V1051" i="23"/>
  <c r="W1051" i="23" s="1"/>
  <c r="V1725" i="23"/>
  <c r="W1725" i="23" s="1"/>
  <c r="V423" i="23"/>
  <c r="W423" i="23" s="1"/>
  <c r="V673" i="23"/>
  <c r="W673" i="23" s="1"/>
  <c r="V569" i="23"/>
  <c r="W569" i="23" s="1"/>
  <c r="V491" i="23"/>
  <c r="W491" i="23" s="1"/>
  <c r="V1569" i="23"/>
  <c r="W1569" i="23" s="1"/>
  <c r="V1716" i="23"/>
  <c r="W1716" i="23" s="1"/>
  <c r="V1295" i="23"/>
  <c r="W1295" i="23" s="1"/>
  <c r="V162" i="23"/>
  <c r="W162" i="23" s="1"/>
  <c r="V1283" i="23"/>
  <c r="W1283" i="23" s="1"/>
  <c r="V1626" i="23"/>
  <c r="W1626" i="23" s="1"/>
  <c r="V614" i="23"/>
  <c r="W614" i="23" s="1"/>
  <c r="V1683" i="23"/>
  <c r="W1683" i="23" s="1"/>
  <c r="V1762" i="23"/>
  <c r="W1762" i="23" s="1"/>
  <c r="V1542" i="23"/>
  <c r="W1542" i="23" s="1"/>
  <c r="V1587" i="23"/>
  <c r="W1587" i="23" s="1"/>
  <c r="V469" i="23"/>
  <c r="W469" i="23" s="1"/>
  <c r="V1101" i="23"/>
  <c r="W1101" i="23" s="1"/>
  <c r="V1268" i="23"/>
  <c r="W1268" i="23" s="1"/>
  <c r="V302" i="23"/>
  <c r="W302" i="23" s="1"/>
  <c r="V1252" i="23"/>
  <c r="W1252" i="23" s="1"/>
  <c r="V846" i="23"/>
  <c r="W846" i="23" s="1"/>
  <c r="V799" i="23"/>
  <c r="W799" i="23" s="1"/>
  <c r="V1536" i="23"/>
  <c r="W1536" i="23" s="1"/>
  <c r="V1726" i="23"/>
  <c r="W1726" i="23" s="1"/>
  <c r="V1705" i="23"/>
  <c r="W1705" i="23" s="1"/>
  <c r="V694" i="23"/>
  <c r="W694" i="23" s="1"/>
  <c r="V226" i="23"/>
  <c r="W226" i="23" s="1"/>
  <c r="V99" i="23"/>
  <c r="W99" i="23" s="1"/>
  <c r="V1654" i="23"/>
  <c r="W1654" i="23" s="1"/>
  <c r="V1285" i="23"/>
  <c r="W1285" i="23" s="1"/>
  <c r="V840" i="23"/>
  <c r="W840" i="23" s="1"/>
  <c r="V387" i="23"/>
  <c r="W387" i="23" s="1"/>
  <c r="V1702" i="23"/>
  <c r="W1702" i="23" s="1"/>
  <c r="V843" i="23"/>
  <c r="W843" i="23" s="1"/>
  <c r="V782" i="23"/>
  <c r="W782" i="23" s="1"/>
  <c r="V754" i="23"/>
  <c r="W754" i="23" s="1"/>
  <c r="V273" i="23"/>
  <c r="W273" i="23" s="1"/>
  <c r="V833" i="23"/>
  <c r="W833" i="23" s="1"/>
  <c r="V676" i="23"/>
  <c r="W676" i="23" s="1"/>
  <c r="V997" i="23"/>
  <c r="W997" i="23" s="1"/>
  <c r="V1387" i="23"/>
  <c r="W1387" i="23" s="1"/>
  <c r="V936" i="23"/>
  <c r="W936" i="23" s="1"/>
  <c r="V1282" i="23"/>
  <c r="W1282" i="23" s="1"/>
  <c r="V416" i="23"/>
  <c r="W416" i="23" s="1"/>
  <c r="V378" i="23"/>
  <c r="W378" i="23" s="1"/>
  <c r="V1721" i="23"/>
  <c r="W1721" i="23" s="1"/>
  <c r="V757" i="23"/>
  <c r="W757" i="23" s="1"/>
  <c r="V642" i="23"/>
  <c r="W642" i="23" s="1"/>
  <c r="V1507" i="23"/>
  <c r="W1507" i="23" s="1"/>
  <c r="V105" i="23"/>
  <c r="W105" i="23" s="1"/>
  <c r="V195" i="23"/>
  <c r="W195" i="23" s="1"/>
  <c r="V1111" i="23"/>
  <c r="W1111" i="23" s="1"/>
  <c r="V33" i="23"/>
  <c r="W33" i="23" s="1"/>
  <c r="V538" i="23"/>
  <c r="W538" i="23" s="1"/>
  <c r="V523" i="23"/>
  <c r="W523" i="23" s="1"/>
  <c r="V32" i="23"/>
  <c r="W32" i="23" s="1"/>
  <c r="V271" i="23"/>
  <c r="W271" i="23" s="1"/>
  <c r="V393" i="23"/>
  <c r="W393" i="23" s="1"/>
  <c r="V824" i="23"/>
  <c r="W824" i="23" s="1"/>
  <c r="V1367" i="23"/>
  <c r="W1367" i="23" s="1"/>
  <c r="V934" i="23"/>
  <c r="W934" i="23" s="1"/>
  <c r="V1344" i="23"/>
  <c r="W1344" i="23" s="1"/>
  <c r="V1284" i="23"/>
  <c r="W1284" i="23" s="1"/>
  <c r="V544" i="23"/>
  <c r="W544" i="23" s="1"/>
  <c r="V1165" i="23"/>
  <c r="W1165" i="23" s="1"/>
  <c r="V1332" i="23"/>
  <c r="W1332" i="23" s="1"/>
  <c r="V749" i="23"/>
  <c r="W749" i="23" s="1"/>
  <c r="V1020" i="23"/>
  <c r="W1020" i="23" s="1"/>
  <c r="V780" i="23"/>
  <c r="W780" i="23" s="1"/>
  <c r="V8" i="23"/>
  <c r="W8" i="23" s="1"/>
  <c r="V480" i="23"/>
  <c r="W480" i="23" s="1"/>
  <c r="V512" i="23"/>
  <c r="W512" i="23" s="1"/>
  <c r="V509" i="23"/>
  <c r="W509" i="23" s="1"/>
  <c r="V1589" i="23"/>
  <c r="W1589" i="23" s="1"/>
  <c r="V1396" i="23"/>
  <c r="W1396" i="23" s="1"/>
  <c r="V1011" i="23"/>
  <c r="W1011" i="23" s="1"/>
  <c r="V1373" i="23"/>
  <c r="W1373" i="23" s="1"/>
  <c r="V155" i="23"/>
  <c r="W155" i="23" s="1"/>
  <c r="V235" i="23"/>
  <c r="W235" i="23" s="1"/>
  <c r="V1287" i="23"/>
  <c r="W1287" i="23" s="1"/>
  <c r="V841" i="23"/>
  <c r="W841" i="23" s="1"/>
  <c r="V1173" i="23"/>
  <c r="W1173" i="23" s="1"/>
  <c r="V1432" i="23"/>
  <c r="W1432" i="23" s="1"/>
  <c r="V219" i="23"/>
  <c r="W219" i="23" s="1"/>
  <c r="V1555" i="23"/>
  <c r="W1555" i="23" s="1"/>
  <c r="V269" i="23"/>
  <c r="W269" i="23" s="1"/>
  <c r="V1276" i="23"/>
  <c r="W1276" i="23" s="1"/>
  <c r="V1764" i="23"/>
  <c r="W1764" i="23" s="1"/>
  <c r="V1538" i="23"/>
  <c r="W1538" i="23" s="1"/>
  <c r="V1335" i="23"/>
  <c r="W1335" i="23" s="1"/>
  <c r="V1378" i="23"/>
  <c r="W1378" i="23" s="1"/>
  <c r="V91" i="23"/>
  <c r="W91" i="23" s="1"/>
  <c r="V116" i="23"/>
  <c r="W116" i="23" s="1"/>
  <c r="V559" i="23"/>
  <c r="W559" i="23" s="1"/>
  <c r="V1105" i="23"/>
  <c r="W1105" i="23" s="1"/>
  <c r="V1747" i="23"/>
  <c r="W1747" i="23" s="1"/>
  <c r="V998" i="23"/>
  <c r="W998" i="23" s="1"/>
  <c r="V350" i="23"/>
  <c r="W350" i="23" s="1"/>
  <c r="V1763" i="23"/>
  <c r="W1763" i="23" s="1"/>
  <c r="V89" i="23"/>
  <c r="W89" i="23" s="1"/>
  <c r="V179" i="23"/>
  <c r="W179" i="23" s="1"/>
  <c r="V87" i="23"/>
  <c r="W87" i="23" s="1"/>
  <c r="V361" i="23"/>
  <c r="W361" i="23" s="1"/>
  <c r="V1771" i="23"/>
  <c r="W1771" i="23" s="1"/>
  <c r="V1223" i="23"/>
  <c r="W1223" i="23" s="1"/>
  <c r="V794" i="23"/>
  <c r="W794" i="23" s="1"/>
  <c r="V708" i="23"/>
  <c r="W708" i="23" s="1"/>
  <c r="V1407" i="23"/>
  <c r="W1407" i="23" s="1"/>
  <c r="V1231" i="23"/>
  <c r="W1231" i="23" s="1"/>
  <c r="V621" i="23"/>
  <c r="W621" i="23" s="1"/>
  <c r="V1195" i="23"/>
  <c r="W1195" i="23" s="1"/>
  <c r="V800" i="23"/>
  <c r="W800" i="23" s="1"/>
  <c r="V109" i="23"/>
  <c r="W109" i="23" s="1"/>
  <c r="V187" i="23"/>
  <c r="W187" i="23" s="1"/>
  <c r="V1425" i="23"/>
  <c r="W1425" i="23" s="1"/>
  <c r="V1012" i="23"/>
  <c r="W1012" i="23" s="1"/>
  <c r="V1633" i="23"/>
  <c r="W1633" i="23" s="1"/>
  <c r="V1357" i="23"/>
  <c r="W1357" i="23" s="1"/>
  <c r="V79" i="23"/>
  <c r="W79" i="23" s="1"/>
  <c r="V408" i="23"/>
  <c r="W408" i="23" s="1"/>
  <c r="V1044" i="23"/>
  <c r="W1044" i="23" s="1"/>
  <c r="V974" i="23"/>
  <c r="W974" i="23" s="1"/>
  <c r="V1312" i="23"/>
  <c r="W1312" i="23" s="1"/>
  <c r="V1028" i="23"/>
  <c r="W1028" i="23" s="1"/>
  <c r="V1085" i="23"/>
  <c r="W1085" i="23" s="1"/>
  <c r="V216" i="23"/>
  <c r="W216" i="23" s="1"/>
  <c r="V1102" i="23"/>
  <c r="W1102" i="23" s="1"/>
  <c r="V264" i="23"/>
  <c r="W264" i="23" s="1"/>
  <c r="V556" i="23"/>
  <c r="W556" i="23" s="1"/>
  <c r="V575" i="23"/>
  <c r="W575" i="23" s="1"/>
  <c r="V1248" i="23"/>
  <c r="W1248" i="23" s="1"/>
  <c r="V1277" i="23"/>
  <c r="W1277" i="23" s="1"/>
  <c r="V1551" i="23"/>
  <c r="W1551" i="23" s="1"/>
  <c r="V773" i="23"/>
  <c r="W773" i="23" s="1"/>
  <c r="V1445" i="23"/>
  <c r="W1445" i="23" s="1"/>
  <c r="V741" i="23"/>
  <c r="W741" i="23" s="1"/>
  <c r="V853" i="23"/>
  <c r="W853" i="23" s="1"/>
  <c r="V1254" i="23"/>
  <c r="W1254" i="23" s="1"/>
  <c r="V1640" i="23"/>
  <c r="W1640" i="23" s="1"/>
  <c r="V53" i="23"/>
  <c r="W53" i="23" s="1"/>
  <c r="V792" i="23"/>
  <c r="W792" i="23" s="1"/>
  <c r="V167" i="23"/>
  <c r="W167" i="23" s="1"/>
  <c r="V1501" i="23"/>
  <c r="W1501" i="23" s="1"/>
  <c r="V969" i="23"/>
  <c r="W969" i="23" s="1"/>
  <c r="V371" i="23"/>
  <c r="W371" i="23" s="1"/>
  <c r="V1123" i="23"/>
  <c r="W1123" i="23" s="1"/>
  <c r="V1673" i="23"/>
  <c r="W1673" i="23" s="1"/>
  <c r="V1225" i="23"/>
  <c r="W1225" i="23" s="1"/>
  <c r="V1759" i="23"/>
  <c r="W1759" i="23" s="1"/>
  <c r="V854" i="23"/>
  <c r="W854" i="23" s="1"/>
  <c r="V151" i="23"/>
  <c r="W151" i="23" s="1"/>
  <c r="V1692" i="23"/>
  <c r="W1692" i="23" s="1"/>
  <c r="V25" i="23"/>
  <c r="W25" i="23" s="1"/>
  <c r="V1137" i="23"/>
  <c r="W1137" i="23" s="1"/>
  <c r="V1718" i="23"/>
  <c r="W1718" i="23" s="1"/>
  <c r="V1504" i="23"/>
  <c r="W1504" i="23" s="1"/>
  <c r="V1629" i="23"/>
  <c r="W1629" i="23" s="1"/>
  <c r="V1675" i="23"/>
  <c r="W1675" i="23" s="1"/>
  <c r="V1250" i="23"/>
  <c r="W1250" i="23" s="1"/>
  <c r="V362" i="23"/>
  <c r="W362" i="23" s="1"/>
  <c r="V114" i="23"/>
  <c r="W114" i="23" s="1"/>
  <c r="V798" i="23"/>
  <c r="W798" i="23" s="1"/>
  <c r="V970" i="23"/>
  <c r="W970" i="23" s="1"/>
  <c r="V29" i="23"/>
  <c r="W29" i="23" s="1"/>
  <c r="V1411" i="23"/>
  <c r="W1411" i="23" s="1"/>
  <c r="V1510" i="23"/>
  <c r="W1510" i="23" s="1"/>
  <c r="V847" i="23"/>
  <c r="W847" i="23" s="1"/>
  <c r="V1393" i="23"/>
  <c r="W1393" i="23" s="1"/>
  <c r="V345" i="23"/>
  <c r="W345" i="23" s="1"/>
  <c r="V435" i="23"/>
  <c r="W435" i="23" s="1"/>
  <c r="V617" i="23"/>
  <c r="W617" i="23" s="1"/>
  <c r="V911" i="23"/>
  <c r="W911" i="23" s="1"/>
  <c r="V1370" i="23"/>
  <c r="W1370" i="23" s="1"/>
  <c r="V251" i="23"/>
  <c r="W251" i="23" s="1"/>
  <c r="V276" i="23"/>
  <c r="W276" i="23" s="1"/>
  <c r="V565" i="23"/>
  <c r="W565" i="23" s="1"/>
  <c r="V583" i="23"/>
  <c r="W583" i="23" s="1"/>
  <c r="V536" i="23"/>
  <c r="W536" i="23" s="1"/>
  <c r="V294" i="23"/>
  <c r="W294" i="23" s="1"/>
  <c r="V1144" i="23"/>
  <c r="W1144" i="23" s="1"/>
  <c r="V466" i="23"/>
  <c r="W466" i="23" s="1"/>
  <c r="V443" i="23"/>
  <c r="W443" i="23" s="1"/>
  <c r="V1405" i="23"/>
  <c r="W1405" i="23" s="1"/>
  <c r="V254" i="23"/>
  <c r="W254" i="23" s="1"/>
  <c r="V588" i="23"/>
  <c r="W588" i="23" s="1"/>
  <c r="V364" i="23"/>
  <c r="W364" i="23" s="1"/>
  <c r="V814" i="23"/>
  <c r="W814" i="23" s="1"/>
  <c r="V127" i="23"/>
  <c r="W127" i="23" s="1"/>
  <c r="V804" i="23"/>
  <c r="W804" i="23" s="1"/>
  <c r="V196" i="23"/>
  <c r="W196" i="23" s="1"/>
  <c r="V238" i="23"/>
  <c r="W238" i="23" s="1"/>
  <c r="V472" i="23"/>
  <c r="W472" i="23" s="1"/>
  <c r="V1358" i="23"/>
  <c r="W1358" i="23" s="1"/>
  <c r="V926" i="23"/>
  <c r="W926" i="23" s="1"/>
  <c r="V173" i="23"/>
  <c r="W173" i="23" s="1"/>
  <c r="V284" i="23"/>
  <c r="W284" i="23" s="1"/>
  <c r="V815" i="23"/>
  <c r="W815" i="23" s="1"/>
  <c r="V1024" i="23"/>
  <c r="W1024" i="23" s="1"/>
  <c r="V1467" i="23"/>
  <c r="W1467" i="23" s="1"/>
  <c r="V1417" i="23"/>
  <c r="W1417" i="23" s="1"/>
  <c r="V1753" i="23"/>
  <c r="W1753" i="23" s="1"/>
  <c r="V630" i="23"/>
  <c r="W630" i="23" s="1"/>
  <c r="V1476" i="23"/>
  <c r="W1476" i="23" s="1"/>
  <c r="V331" i="23"/>
  <c r="W331" i="23" s="1"/>
  <c r="V600" i="23"/>
  <c r="W600" i="23" s="1"/>
  <c r="V1299" i="23"/>
  <c r="W1299" i="23" s="1"/>
  <c r="V710" i="23"/>
  <c r="W710" i="23" s="1"/>
  <c r="V153" i="23"/>
  <c r="W153" i="23" s="1"/>
  <c r="V1210" i="23"/>
  <c r="W1210" i="23" s="1"/>
  <c r="V625" i="23"/>
  <c r="W625" i="23" s="1"/>
  <c r="V146" i="23"/>
  <c r="W146" i="23" s="1"/>
  <c r="V1688" i="23"/>
  <c r="W1688" i="23" s="1"/>
  <c r="V1384" i="23"/>
  <c r="W1384" i="23" s="1"/>
  <c r="V795" i="23"/>
  <c r="W795" i="23" s="1"/>
  <c r="V1481" i="23"/>
  <c r="W1481" i="23" s="1"/>
  <c r="V939" i="23"/>
  <c r="W939" i="23" s="1"/>
  <c r="V1607" i="23"/>
  <c r="W1607" i="23" s="1"/>
  <c r="V1648" i="23"/>
  <c r="W1648" i="23" s="1"/>
  <c r="V1221" i="23"/>
  <c r="W1221" i="23" s="1"/>
  <c r="V516" i="23"/>
  <c r="W516" i="23" s="1"/>
  <c r="V185" i="23"/>
  <c r="W185" i="23" s="1"/>
  <c r="V1154" i="23"/>
  <c r="W1154" i="23" s="1"/>
  <c r="V1141" i="23"/>
  <c r="W1141" i="23" s="1"/>
  <c r="V603" i="23"/>
  <c r="W603" i="23" s="1"/>
  <c r="V609" i="23"/>
  <c r="W609" i="23" s="1"/>
  <c r="V147" i="23"/>
  <c r="W147" i="23" s="1"/>
  <c r="V1732" i="23"/>
  <c r="W1732" i="23" s="1"/>
  <c r="V691" i="23"/>
  <c r="W691" i="23" s="1"/>
  <c r="V401" i="23"/>
  <c r="W401" i="23" s="1"/>
  <c r="V407" i="23"/>
  <c r="W407" i="23" s="1"/>
  <c r="V1546" i="23"/>
  <c r="W1546" i="23" s="1"/>
  <c r="V507" i="23"/>
  <c r="W507" i="23" s="1"/>
  <c r="V548" i="23"/>
  <c r="W548" i="23" s="1"/>
  <c r="V390" i="23"/>
  <c r="W390" i="23" s="1"/>
  <c r="V318" i="23"/>
  <c r="W318" i="23" s="1"/>
  <c r="V1592" i="23"/>
  <c r="W1592" i="23" s="1"/>
  <c r="V550" i="23"/>
  <c r="W550" i="23" s="1"/>
  <c r="V745" i="23"/>
  <c r="W745" i="23" s="1"/>
  <c r="V110" i="23"/>
  <c r="W110" i="23" s="1"/>
  <c r="V765" i="23"/>
  <c r="W765" i="23" s="1"/>
  <c r="V632" i="23"/>
  <c r="W632" i="23" s="1"/>
  <c r="V510" i="23"/>
  <c r="W510" i="23" s="1"/>
  <c r="V848" i="23"/>
  <c r="W848" i="23" s="1"/>
  <c r="V876" i="23"/>
  <c r="W876" i="23" s="1"/>
  <c r="V1148" i="23"/>
  <c r="W1148" i="23" s="1"/>
  <c r="V895" i="23"/>
  <c r="W895" i="23" s="1"/>
  <c r="V152" i="23"/>
  <c r="W152" i="23" s="1"/>
  <c r="V255" i="23"/>
  <c r="W255" i="23" s="1"/>
  <c r="V672" i="23"/>
  <c r="W672" i="23" s="1"/>
  <c r="V189" i="23"/>
  <c r="W189" i="23" s="1"/>
  <c r="V404" i="23"/>
  <c r="W404" i="23" s="1"/>
  <c r="V775" i="23"/>
  <c r="W775" i="23" s="1"/>
  <c r="V1451" i="23"/>
  <c r="W1451" i="23" s="1"/>
  <c r="V1548" i="23"/>
  <c r="W1548" i="23" s="1"/>
  <c r="V115" i="23"/>
  <c r="W115" i="23" s="1"/>
  <c r="V809" i="23"/>
  <c r="W809" i="23" s="1"/>
  <c r="V682" i="23"/>
  <c r="W682" i="23" s="1"/>
  <c r="V475" i="23"/>
  <c r="W475" i="23" s="1"/>
  <c r="V372" i="23"/>
  <c r="W372" i="23" s="1"/>
  <c r="V244" i="23"/>
  <c r="W244" i="23" s="1"/>
  <c r="V1313" i="23"/>
  <c r="W1313" i="23" s="1"/>
  <c r="V660" i="23"/>
  <c r="W660" i="23" s="1"/>
  <c r="V1189" i="23"/>
  <c r="W1189" i="23" s="1"/>
  <c r="V987" i="23"/>
  <c r="W987" i="23" s="1"/>
  <c r="V48" i="23"/>
  <c r="W48" i="23" s="1"/>
  <c r="V513" i="23"/>
  <c r="W513" i="23" s="1"/>
  <c r="V859" i="23"/>
  <c r="W859" i="23" s="1"/>
  <c r="V133" i="23"/>
  <c r="W133" i="23" s="1"/>
  <c r="V344" i="23"/>
  <c r="W344" i="23" s="1"/>
  <c r="V1001" i="23"/>
  <c r="W1001" i="23" s="1"/>
  <c r="V1700" i="23"/>
  <c r="W1700" i="23" s="1"/>
  <c r="V659" i="23"/>
  <c r="W659" i="23" s="1"/>
  <c r="V519" i="23"/>
  <c r="W519" i="23" s="1"/>
  <c r="V462" i="23"/>
  <c r="W462" i="23" s="1"/>
  <c r="V641" i="23"/>
  <c r="W641" i="23" s="1"/>
  <c r="V170" i="23"/>
  <c r="W170" i="23" s="1"/>
  <c r="V947" i="23"/>
  <c r="W947" i="23" s="1"/>
  <c r="V573" i="23"/>
  <c r="W573" i="23" s="1"/>
  <c r="V1048" i="23"/>
  <c r="W1048" i="23" s="1"/>
  <c r="V1363" i="23"/>
  <c r="W1363" i="23" s="1"/>
  <c r="V763" i="23"/>
  <c r="W763" i="23" s="1"/>
  <c r="V329" i="23"/>
  <c r="W329" i="23" s="1"/>
  <c r="V1621" i="23"/>
  <c r="W1621" i="23" s="1"/>
  <c r="V829" i="23"/>
  <c r="W829" i="23" s="1"/>
  <c r="V706" i="23"/>
  <c r="W706" i="23" s="1"/>
  <c r="V806" i="23"/>
  <c r="W806" i="23" s="1"/>
  <c r="V1096" i="23"/>
  <c r="W1096" i="23" s="1"/>
  <c r="V1114" i="23"/>
  <c r="W1114" i="23" s="1"/>
  <c r="V478" i="23"/>
  <c r="W478" i="23" s="1"/>
  <c r="V1642" i="23"/>
  <c r="W1642" i="23" s="1"/>
  <c r="V1107" i="23"/>
  <c r="W1107" i="23" s="1"/>
  <c r="V1132" i="23"/>
  <c r="W1132" i="23" s="1"/>
  <c r="V1326" i="23"/>
  <c r="W1326" i="23" s="1"/>
  <c r="V159" i="23"/>
  <c r="W159" i="23" s="1"/>
  <c r="V351" i="23"/>
  <c r="W351" i="23" s="1"/>
  <c r="V1693" i="23"/>
  <c r="W1693" i="23" s="1"/>
  <c r="V1739" i="23"/>
  <c r="W1739" i="23" s="1"/>
  <c r="V1269" i="23"/>
  <c r="W1269" i="23" s="1"/>
  <c r="V1564" i="23"/>
  <c r="W1564" i="23" s="1"/>
  <c r="V738" i="23"/>
  <c r="W738" i="23" s="1"/>
  <c r="V1402" i="23"/>
  <c r="W1402" i="23" s="1"/>
  <c r="V319" i="23"/>
  <c r="W319" i="23" s="1"/>
  <c r="V731" i="23"/>
  <c r="W731" i="23" s="1"/>
  <c r="V257" i="23"/>
  <c r="W257" i="23" s="1"/>
  <c r="V1368" i="23"/>
  <c r="W1368" i="23" s="1"/>
  <c r="V601" i="23"/>
  <c r="W601" i="23" s="1"/>
  <c r="V500" i="23"/>
  <c r="W500" i="23" s="1"/>
  <c r="V1297" i="23"/>
  <c r="W1297" i="23" s="1"/>
  <c r="V1578" i="23"/>
  <c r="W1578" i="23" s="1"/>
  <c r="V1243" i="23"/>
  <c r="W1243" i="23" s="1"/>
  <c r="V5" i="23"/>
  <c r="W5" i="23" s="1"/>
  <c r="V637" i="23"/>
  <c r="W637" i="23" s="1"/>
  <c r="V295" i="23"/>
  <c r="W295" i="23" s="1"/>
  <c r="V60" i="23"/>
  <c r="W60" i="23" s="1"/>
  <c r="V769" i="23"/>
  <c r="W769" i="23" s="1"/>
  <c r="V17" i="23"/>
  <c r="W17" i="23" s="1"/>
  <c r="V1681" i="23"/>
  <c r="W1681" i="23" s="1"/>
  <c r="V1115" i="23"/>
  <c r="W1115" i="23" s="1"/>
  <c r="V389" i="23"/>
  <c r="W389" i="23" s="1"/>
  <c r="V844" i="23"/>
  <c r="W844" i="23" s="1"/>
  <c r="V263" i="23"/>
  <c r="W263" i="23" s="1"/>
  <c r="V241" i="23"/>
  <c r="W241" i="23" s="1"/>
  <c r="V897" i="23"/>
  <c r="W897" i="23" s="1"/>
  <c r="V426" i="23"/>
  <c r="W426" i="23" s="1"/>
  <c r="V1203" i="23"/>
  <c r="W1203" i="23" s="1"/>
  <c r="V913" i="23"/>
  <c r="W913" i="23" s="1"/>
  <c r="V411" i="23"/>
  <c r="W411" i="23" s="1"/>
  <c r="V124" i="23"/>
  <c r="W124" i="23" s="1"/>
  <c r="V849" i="23"/>
  <c r="W849" i="23" s="1"/>
  <c r="V1516" i="23"/>
  <c r="W1516" i="23" s="1"/>
  <c r="V193" i="23"/>
  <c r="W193" i="23" s="1"/>
  <c r="V1019" i="23"/>
  <c r="W1019" i="23" s="1"/>
  <c r="V81" i="23"/>
  <c r="W81" i="23" s="1"/>
  <c r="V1062" i="23"/>
  <c r="W1062" i="23" s="1"/>
  <c r="V392" i="23"/>
  <c r="W392" i="23" s="1"/>
  <c r="V1755" i="23"/>
  <c r="W1755" i="23" s="1"/>
  <c r="V856" i="23"/>
  <c r="W856" i="23" s="1"/>
  <c r="V1635" i="23"/>
  <c r="W1635" i="23" s="1"/>
  <c r="V1329" i="23"/>
  <c r="W1329" i="23" s="1"/>
  <c r="V136" i="23"/>
  <c r="W136" i="23" s="1"/>
  <c r="V1052" i="23"/>
  <c r="W1052" i="23" s="1"/>
  <c r="V663" i="23"/>
  <c r="W663" i="23" s="1"/>
  <c r="V1499" i="23"/>
  <c r="W1499" i="23" s="1"/>
  <c r="V968" i="23"/>
  <c r="W968" i="23" s="1"/>
  <c r="V234" i="23"/>
  <c r="W234" i="23" s="1"/>
  <c r="V1184" i="23"/>
  <c r="W1184" i="23" s="1"/>
  <c r="V180" i="23"/>
  <c r="W180" i="23" s="1"/>
  <c r="V1192" i="23"/>
  <c r="W1192" i="23" s="1"/>
  <c r="V477" i="23"/>
  <c r="W477" i="23" s="1"/>
  <c r="V18" i="23"/>
  <c r="W18" i="23" s="1"/>
  <c r="V802" i="23"/>
  <c r="W802" i="23" s="1"/>
  <c r="V1158" i="23"/>
  <c r="W1158" i="23" s="1"/>
  <c r="V154" i="23"/>
  <c r="W154" i="23" s="1"/>
  <c r="V669" i="23"/>
  <c r="W669" i="23" s="1"/>
  <c r="V719" i="23"/>
  <c r="W719" i="23" s="1"/>
  <c r="V1645" i="23"/>
  <c r="W1645" i="23" s="1"/>
  <c r="V1218" i="23"/>
  <c r="W1218" i="23" s="1"/>
  <c r="V942" i="23"/>
  <c r="W942" i="23" s="1"/>
  <c r="V1738" i="23"/>
  <c r="W1738" i="23" s="1"/>
  <c r="V1316" i="23"/>
  <c r="W1316" i="23" s="1"/>
  <c r="V1240" i="23"/>
  <c r="W1240" i="23" s="1"/>
  <c r="V76" i="23"/>
  <c r="W76" i="23" s="1"/>
  <c r="V285" i="23"/>
  <c r="W285" i="23" s="1"/>
  <c r="V14" i="23"/>
  <c r="W14" i="23" s="1"/>
  <c r="V30" i="23"/>
  <c r="W30" i="23" s="1"/>
  <c r="V460" i="23"/>
  <c r="W460" i="23" s="1"/>
  <c r="V479" i="23"/>
  <c r="W479" i="23" s="1"/>
  <c r="V1196" i="23"/>
  <c r="W1196" i="23" s="1"/>
  <c r="V1342" i="23"/>
  <c r="W1342" i="23" s="1"/>
  <c r="V816" i="23"/>
  <c r="W816" i="23" s="1"/>
  <c r="V1004" i="23"/>
  <c r="W1004" i="23" s="1"/>
  <c r="V1023" i="23"/>
  <c r="W1023" i="23" s="1"/>
  <c r="V84" i="23"/>
  <c r="W84" i="23" s="1"/>
  <c r="V1200" i="23"/>
  <c r="W1200" i="23" s="1"/>
  <c r="V1308" i="23"/>
  <c r="W1308" i="23" s="1"/>
  <c r="V720" i="23"/>
  <c r="W720" i="23" s="1"/>
  <c r="V1540" i="23"/>
  <c r="W1540" i="23" s="1"/>
  <c r="V742" i="23"/>
  <c r="W742" i="23" s="1"/>
  <c r="V869" i="23"/>
  <c r="W869" i="23" s="1"/>
  <c r="V850" i="23"/>
  <c r="W850" i="23" s="1"/>
  <c r="V1397" i="23"/>
  <c r="W1397" i="23" s="1"/>
  <c r="V1740" i="23"/>
  <c r="W1740" i="23" s="1"/>
  <c r="V1478" i="23"/>
  <c r="W1478" i="23" s="1"/>
  <c r="V1380" i="23"/>
  <c r="W1380" i="23" s="1"/>
  <c r="V165" i="23"/>
  <c r="W165" i="23" s="1"/>
  <c r="V1472" i="23"/>
  <c r="W1472" i="23" s="1"/>
  <c r="V935" i="23"/>
  <c r="W935" i="23" s="1"/>
  <c r="V1045" i="23"/>
  <c r="W1045" i="23" s="1"/>
  <c r="V1616" i="23"/>
  <c r="W1616" i="23" s="1"/>
  <c r="V1696" i="23"/>
  <c r="W1696" i="23" s="1"/>
  <c r="V665" i="23"/>
  <c r="W665" i="23" s="1"/>
  <c r="V587" i="23"/>
  <c r="W587" i="23" s="1"/>
  <c r="V313" i="23"/>
  <c r="W313" i="23" s="1"/>
  <c r="V1066" i="23"/>
  <c r="W1066" i="23" s="1"/>
  <c r="V1661" i="23"/>
  <c r="W1661" i="23" s="1"/>
  <c r="V1209" i="23"/>
  <c r="W1209" i="23" s="1"/>
  <c r="V1485" i="23"/>
  <c r="W1485" i="23" s="1"/>
  <c r="V503" i="23"/>
  <c r="W503" i="23" s="1"/>
  <c r="V1122" i="23"/>
  <c r="W1122" i="23" s="1"/>
  <c r="V203" i="23"/>
  <c r="W203" i="23" s="1"/>
  <c r="V198" i="23"/>
  <c r="W198" i="23" s="1"/>
  <c r="V1171" i="23"/>
  <c r="W1171" i="23" s="1"/>
  <c r="V449" i="23"/>
  <c r="W449" i="23" s="1"/>
  <c r="V1553" i="23"/>
  <c r="W1553" i="23" s="1"/>
  <c r="V498" i="23"/>
  <c r="W498" i="23" s="1"/>
  <c r="V517" i="23"/>
  <c r="W517" i="23" s="1"/>
  <c r="V778" i="23"/>
  <c r="W778" i="23" s="1"/>
  <c r="V1571" i="23"/>
  <c r="W1571" i="23" s="1"/>
  <c r="V567" i="23"/>
  <c r="W567" i="23" s="1"/>
  <c r="V1379" i="23"/>
  <c r="W1379" i="23" s="1"/>
  <c r="V1475" i="23"/>
  <c r="W1475" i="23" s="1"/>
  <c r="V370" i="23"/>
  <c r="W370" i="23" s="1"/>
  <c r="V214" i="23"/>
  <c r="W214" i="23" s="1"/>
  <c r="V1495" i="23"/>
  <c r="W1495" i="23" s="1"/>
  <c r="V394" i="23"/>
  <c r="W394" i="23" s="1"/>
  <c r="V1443" i="23"/>
  <c r="W1443" i="23" s="1"/>
  <c r="V13" i="23"/>
  <c r="W13" i="23" s="1"/>
  <c r="V1128" i="23"/>
  <c r="W1128" i="23" s="1"/>
  <c r="V139" i="23"/>
  <c r="W139" i="23" s="1"/>
  <c r="V724" i="23"/>
  <c r="W724" i="23" s="1"/>
  <c r="V1338" i="23"/>
  <c r="W1338" i="23" s="1"/>
  <c r="V923" i="23"/>
  <c r="W923" i="23" s="1"/>
  <c r="V1055" i="23"/>
  <c r="W1055" i="23" s="1"/>
  <c r="V174" i="23"/>
  <c r="W174" i="23" s="1"/>
  <c r="V921" i="23"/>
  <c r="W921" i="23" s="1"/>
  <c r="V705" i="23"/>
  <c r="W705" i="23" s="1"/>
  <c r="V374" i="23"/>
  <c r="W374" i="23" s="1"/>
  <c r="V410" i="23"/>
  <c r="W410" i="23" s="1"/>
  <c r="V1034" i="23"/>
  <c r="W1034" i="23" s="1"/>
  <c r="V1474" i="23"/>
  <c r="W1474" i="23" s="1"/>
  <c r="V1281" i="23"/>
  <c r="W1281" i="23" s="1"/>
  <c r="V396" i="23"/>
  <c r="W396" i="23" s="1"/>
  <c r="V1765" i="23"/>
  <c r="W1765" i="23" s="1"/>
  <c r="V1550" i="23"/>
  <c r="W1550" i="23" s="1"/>
  <c r="V527" i="23"/>
  <c r="W527" i="23" s="1"/>
  <c r="V767" i="23"/>
  <c r="W767" i="23" s="1"/>
  <c r="V1341" i="23"/>
  <c r="W1341" i="23" s="1"/>
  <c r="V228" i="23"/>
  <c r="W228" i="23" s="1"/>
  <c r="V1653" i="23"/>
  <c r="W1653" i="23" s="1"/>
  <c r="V1767" i="23"/>
  <c r="W1767" i="23" s="1"/>
  <c r="V552" i="23"/>
  <c r="W552" i="23" s="1"/>
  <c r="V1637" i="23"/>
  <c r="W1637" i="23" s="1"/>
  <c r="V1352" i="23"/>
  <c r="W1352" i="23" s="1"/>
  <c r="V1500" i="23"/>
  <c r="W1500" i="23" s="1"/>
  <c r="V1041" i="23"/>
  <c r="W1041" i="23" s="1"/>
  <c r="V1731" i="23"/>
  <c r="W1731" i="23" s="1"/>
  <c r="V63" i="23"/>
  <c r="W63" i="23" s="1"/>
  <c r="V993" i="23"/>
  <c r="W993" i="23" s="1"/>
  <c r="V740" i="23"/>
  <c r="W740" i="23" s="1"/>
  <c r="V1544" i="23"/>
  <c r="W1544" i="23" s="1"/>
  <c r="V734" i="23"/>
  <c r="W734" i="23" s="1"/>
  <c r="V1262" i="23"/>
  <c r="W1262" i="23" s="1"/>
  <c r="V886" i="23"/>
  <c r="W886" i="23" s="1"/>
  <c r="V1670" i="23"/>
  <c r="W1670" i="23" s="1"/>
  <c r="V666" i="23"/>
  <c r="W666" i="23" s="1"/>
  <c r="V1484" i="23"/>
  <c r="W1484" i="23" s="1"/>
  <c r="V1508" i="23"/>
  <c r="W1508" i="23" s="1"/>
  <c r="V1730" i="23"/>
  <c r="W1730" i="23" s="1"/>
  <c r="V61" i="23"/>
  <c r="W61" i="23" s="1"/>
  <c r="V1490" i="23"/>
  <c r="W1490" i="23" s="1"/>
  <c r="V56" i="23"/>
  <c r="W56" i="23" s="1"/>
  <c r="V1021" i="23"/>
  <c r="W1021" i="23" s="1"/>
  <c r="V1038" i="23"/>
  <c r="W1038" i="23" s="1"/>
  <c r="V494" i="23"/>
  <c r="W494" i="23" s="1"/>
  <c r="V476" i="23"/>
  <c r="W476" i="23" s="1"/>
  <c r="V495" i="23"/>
  <c r="W495" i="23" s="1"/>
  <c r="V157" i="23"/>
  <c r="W157" i="23" s="1"/>
  <c r="V253" i="23"/>
  <c r="W253" i="23" s="1"/>
  <c r="V836" i="23"/>
  <c r="W836" i="23" s="1"/>
  <c r="V596" i="23"/>
  <c r="W596" i="23" s="1"/>
  <c r="V989" i="23"/>
  <c r="W989" i="23" s="1"/>
  <c r="V1232" i="23"/>
  <c r="W1232" i="23" s="1"/>
  <c r="V958" i="23"/>
  <c r="W958" i="23" s="1"/>
  <c r="V1340" i="23"/>
  <c r="W1340" i="23" s="1"/>
  <c r="V948" i="23"/>
  <c r="W948" i="23" s="1"/>
  <c r="V629" i="23"/>
  <c r="W629" i="23" s="1"/>
  <c r="V4" i="23"/>
  <c r="W4" i="23" s="1"/>
  <c r="V1409" i="23"/>
  <c r="W1409" i="23" s="1"/>
  <c r="V1754" i="23"/>
  <c r="W1754" i="23" s="1"/>
  <c r="V1667" i="23"/>
  <c r="W1667" i="23" s="1"/>
  <c r="V1685" i="23"/>
  <c r="W1685" i="23" s="1"/>
  <c r="V1749" i="23"/>
  <c r="W1749" i="23" s="1"/>
  <c r="V1565" i="23"/>
  <c r="W1565" i="23" s="1"/>
  <c r="V793" i="23"/>
  <c r="W793" i="23" s="1"/>
  <c r="V418" i="23"/>
  <c r="W418" i="23" s="1"/>
  <c r="V1624" i="23"/>
  <c r="W1624" i="23" s="1"/>
  <c r="V1737" i="23"/>
  <c r="W1737" i="23" s="1"/>
  <c r="V713" i="23"/>
  <c r="W713" i="23" s="1"/>
  <c r="V857" i="23"/>
  <c r="W857" i="23" s="1"/>
  <c r="V1496" i="23"/>
  <c r="W1496" i="23" s="1"/>
  <c r="V967" i="23"/>
  <c r="W967" i="23" s="1"/>
  <c r="V1643" i="23"/>
  <c r="W1643" i="23" s="1"/>
  <c r="V994" i="23"/>
  <c r="W994" i="23" s="1"/>
  <c r="V1437" i="23"/>
  <c r="W1437" i="23" s="1"/>
  <c r="V1532" i="23"/>
  <c r="W1532" i="23" s="1"/>
  <c r="V425" i="23"/>
  <c r="W425" i="23" s="1"/>
  <c r="V1163" i="23"/>
  <c r="W1163" i="23" s="1"/>
  <c r="V578" i="23"/>
  <c r="W578" i="23" s="1"/>
  <c r="V1741" i="23"/>
  <c r="W1741" i="23" s="1"/>
  <c r="V1479" i="23"/>
  <c r="W1479" i="23" s="1"/>
  <c r="V1064" i="23"/>
  <c r="W1064" i="23" s="1"/>
  <c r="V618" i="23"/>
  <c r="W618" i="23" s="1"/>
  <c r="V1518" i="23"/>
  <c r="W1518" i="23" s="1"/>
  <c r="V201" i="23"/>
  <c r="W201" i="23" s="1"/>
  <c r="V134" i="23"/>
  <c r="W134" i="23" s="1"/>
  <c r="V1684" i="23"/>
  <c r="W1684" i="23" s="1"/>
  <c r="V1043" i="23"/>
  <c r="W1043" i="23" s="1"/>
  <c r="V593" i="23"/>
  <c r="W593" i="23" s="1"/>
  <c r="V1208" i="23"/>
  <c r="W1208" i="23" s="1"/>
  <c r="V977" i="23"/>
  <c r="W977" i="23" s="1"/>
  <c r="V260" i="23"/>
  <c r="W260" i="23" s="1"/>
  <c r="V303" i="23"/>
  <c r="W303" i="23" s="1"/>
  <c r="V540" i="23"/>
  <c r="W540" i="23" s="1"/>
  <c r="V1786" i="23"/>
  <c r="W1786" i="23" s="1"/>
  <c r="V321" i="23"/>
  <c r="W321" i="23" s="1"/>
  <c r="V1620" i="23"/>
  <c r="W1620" i="23" s="1"/>
  <c r="V882" i="23"/>
  <c r="W882" i="23" s="1"/>
  <c r="V865" i="23"/>
  <c r="W865" i="23" s="1"/>
  <c r="V107" i="23"/>
  <c r="W107" i="23" s="1"/>
  <c r="V132" i="23"/>
  <c r="W132" i="23" s="1"/>
  <c r="V991" i="23"/>
  <c r="W991" i="23" s="1"/>
  <c r="V961" i="23"/>
  <c r="W961" i="23" s="1"/>
  <c r="V437" i="23"/>
  <c r="W437" i="23" s="1"/>
  <c r="V178" i="23"/>
  <c r="W178" i="23" s="1"/>
  <c r="V197" i="23"/>
  <c r="W197" i="23" s="1"/>
  <c r="V492" i="23"/>
  <c r="W492" i="23" s="1"/>
  <c r="V1086" i="23"/>
  <c r="W1086" i="23" s="1"/>
  <c r="V1298" i="23"/>
  <c r="W1298" i="23" s="1"/>
  <c r="V307" i="23"/>
  <c r="W307" i="23" s="1"/>
  <c r="V343" i="23"/>
  <c r="W343" i="23" s="1"/>
  <c r="V123" i="23"/>
  <c r="W123" i="23" s="1"/>
  <c r="V1237" i="23"/>
  <c r="W1237" i="23" s="1"/>
  <c r="V1719" i="23"/>
  <c r="W1719" i="23" s="1"/>
  <c r="V121" i="23"/>
  <c r="W121" i="23" s="1"/>
  <c r="V211" i="23"/>
  <c r="W211" i="23" s="1"/>
  <c r="V743" i="23"/>
  <c r="W743" i="23" s="1"/>
  <c r="V429" i="23"/>
  <c r="W429" i="23" s="1"/>
  <c r="V125" i="23"/>
  <c r="W125" i="23" s="1"/>
  <c r="V1392" i="23"/>
  <c r="W1392" i="23" s="1"/>
  <c r="V1617" i="23"/>
  <c r="W1617" i="23" s="1"/>
  <c r="V668" i="23"/>
  <c r="W668" i="23" s="1"/>
  <c r="V636" i="23"/>
  <c r="W636" i="23" s="1"/>
  <c r="V270" i="23"/>
  <c r="W270" i="23" s="1"/>
  <c r="V605" i="23"/>
  <c r="W605" i="23" s="1"/>
  <c r="V413" i="23"/>
  <c r="W413" i="23" s="1"/>
  <c r="V656" i="23"/>
  <c r="W656" i="23" s="1"/>
  <c r="V973" i="23"/>
  <c r="W973" i="23" s="1"/>
  <c r="V40" i="23"/>
  <c r="W40" i="23" s="1"/>
  <c r="V620" i="23"/>
  <c r="W620" i="23" s="1"/>
  <c r="V1774" i="23"/>
  <c r="W1774" i="23" s="1"/>
  <c r="V1488" i="23"/>
  <c r="W1488" i="23" s="1"/>
  <c r="V1615" i="23"/>
  <c r="W1615" i="23" s="1"/>
  <c r="V1487" i="23"/>
  <c r="W1487" i="23" s="1"/>
  <c r="V1583" i="23"/>
  <c r="W1583" i="23" s="1"/>
  <c r="V225" i="23"/>
  <c r="W225" i="23" s="1"/>
  <c r="V1604" i="23"/>
  <c r="W1604" i="23" s="1"/>
  <c r="V1033" i="23"/>
  <c r="W1033" i="23" s="1"/>
  <c r="V1194" i="23"/>
  <c r="W1194" i="23" s="1"/>
  <c r="V65" i="23"/>
  <c r="W65" i="23" s="1"/>
  <c r="V1394" i="23"/>
  <c r="W1394" i="23" s="1"/>
  <c r="V1138" i="23"/>
  <c r="W1138" i="23" s="1"/>
  <c r="V752" i="23"/>
  <c r="W752" i="23" s="1"/>
  <c r="V363" i="23"/>
  <c r="W363" i="23" s="1"/>
  <c r="V388" i="23"/>
  <c r="W388" i="23" s="1"/>
  <c r="V1406" i="23"/>
  <c r="W1406" i="23" s="1"/>
  <c r="V1498" i="23"/>
  <c r="W1498" i="23" s="1"/>
  <c r="V1489" i="23"/>
  <c r="W1489" i="23" s="1"/>
  <c r="V434" i="23"/>
  <c r="W434" i="23" s="1"/>
  <c r="V453" i="23"/>
  <c r="W453" i="23" s="1"/>
  <c r="V928" i="23"/>
  <c r="W928" i="23" s="1"/>
  <c r="V1416" i="23"/>
  <c r="W1416" i="23" s="1"/>
  <c r="V717" i="23"/>
  <c r="W717" i="23" s="1"/>
  <c r="V35" i="23"/>
  <c r="W35" i="23" s="1"/>
  <c r="V103" i="23"/>
  <c r="W103" i="23" s="1"/>
  <c r="V377" i="23"/>
  <c r="W377" i="23" s="1"/>
  <c r="V721" i="23"/>
  <c r="W721" i="23" s="1"/>
  <c r="V1108" i="23"/>
  <c r="W1108" i="23" s="1"/>
  <c r="V1735" i="23"/>
  <c r="W1735" i="23" s="1"/>
  <c r="V988" i="23"/>
  <c r="W988" i="23" s="1"/>
  <c r="V700" i="23"/>
  <c r="W700" i="23" s="1"/>
  <c r="V1000" i="23"/>
  <c r="W1000" i="23" s="1"/>
  <c r="V924" i="23"/>
  <c r="W924" i="23" s="1"/>
  <c r="V943" i="23"/>
  <c r="W943" i="23" s="1"/>
  <c r="V863" i="23"/>
  <c r="W863" i="23" s="1"/>
  <c r="V718" i="23"/>
  <c r="W718" i="23" s="1"/>
  <c r="V45" i="23"/>
  <c r="W45" i="23" s="1"/>
  <c r="V1007" i="23"/>
  <c r="W1007" i="23" s="1"/>
  <c r="V912" i="23"/>
  <c r="W912" i="23" s="1"/>
  <c r="V622" i="23"/>
  <c r="W622" i="23" s="1"/>
  <c r="V638" i="23"/>
  <c r="W638" i="23" s="1"/>
  <c r="V142" i="23"/>
  <c r="W142" i="23" s="1"/>
  <c r="V1309" i="23"/>
  <c r="W1309" i="23" s="1"/>
  <c r="V1612" i="23"/>
  <c r="W1612" i="23" s="1"/>
  <c r="V817" i="23"/>
  <c r="W817" i="23" s="1"/>
  <c r="V1391" i="23"/>
  <c r="W1391" i="23" s="1"/>
  <c r="V1724" i="23"/>
  <c r="W1724" i="23" s="1"/>
  <c r="V789" i="23"/>
  <c r="W789" i="23" s="1"/>
  <c r="V1448" i="23"/>
  <c r="W1448" i="23" s="1"/>
  <c r="V1519" i="23"/>
  <c r="W1519" i="23" s="1"/>
  <c r="V403" i="23"/>
  <c r="W403" i="23" s="1"/>
  <c r="V520" i="23"/>
  <c r="W520" i="23" s="1"/>
  <c r="V311" i="23"/>
  <c r="W311" i="23" s="1"/>
  <c r="V501" i="23"/>
  <c r="W501" i="23" s="1"/>
  <c r="V1686" i="23"/>
  <c r="W1686" i="23" s="1"/>
  <c r="V1238" i="23"/>
  <c r="W1238" i="23" s="1"/>
  <c r="V1436" i="23"/>
  <c r="W1436" i="23" s="1"/>
  <c r="V616" i="23"/>
  <c r="W616" i="23" s="1"/>
  <c r="V161" i="23"/>
  <c r="W161" i="23" s="1"/>
  <c r="V261" i="23"/>
  <c r="W261" i="23" s="1"/>
  <c r="V1570" i="23"/>
  <c r="W1570" i="23" s="1"/>
  <c r="V1699" i="23"/>
  <c r="W1699" i="23" s="1"/>
  <c r="V821" i="23"/>
  <c r="W821" i="23" s="1"/>
  <c r="V1259" i="23"/>
  <c r="W1259" i="23" s="1"/>
  <c r="V1706" i="23"/>
  <c r="W1706" i="23" s="1"/>
  <c r="V316" i="23"/>
  <c r="W316" i="23" s="1"/>
  <c r="V381" i="23"/>
  <c r="W381" i="23" s="1"/>
  <c r="V262" i="23"/>
  <c r="W262" i="23" s="1"/>
  <c r="V1745" i="23"/>
  <c r="W1745" i="23" s="1"/>
  <c r="V690" i="23"/>
  <c r="W690" i="23" s="1"/>
  <c r="V22" i="23"/>
  <c r="W22" i="23" s="1"/>
  <c r="V1271" i="23"/>
  <c r="W1271" i="23" s="1"/>
  <c r="V465" i="23"/>
  <c r="W465" i="23" s="1"/>
  <c r="V1562" i="23"/>
  <c r="W1562" i="23" s="1"/>
  <c r="V42" i="23"/>
  <c r="W42" i="23" s="1"/>
  <c r="V819" i="23"/>
  <c r="W819" i="23" s="1"/>
  <c r="V631" i="23"/>
  <c r="W631" i="23" s="1"/>
  <c r="V1527" i="23"/>
  <c r="W1527" i="23" s="1"/>
  <c r="V633" i="23"/>
  <c r="W633" i="23" s="1"/>
  <c r="V1434" i="23"/>
  <c r="W1434" i="23" s="1"/>
  <c r="V376" i="23"/>
  <c r="W376" i="23" s="1"/>
  <c r="V1257" i="23"/>
  <c r="W1257" i="23" s="1"/>
  <c r="V1336" i="23"/>
  <c r="W1336" i="23" s="1"/>
  <c r="V1586" i="23"/>
  <c r="W1586" i="23" s="1"/>
  <c r="V980" i="23"/>
  <c r="W980" i="23" s="1"/>
  <c r="V80" i="23"/>
  <c r="W80" i="23" s="1"/>
  <c r="V96" i="23"/>
  <c r="W96" i="23" s="1"/>
  <c r="V624" i="23"/>
  <c r="W624" i="23" s="1"/>
  <c r="V557" i="23"/>
  <c r="W557" i="23" s="1"/>
  <c r="V671" i="23"/>
  <c r="W671" i="23" s="1"/>
  <c r="V1294" i="23"/>
  <c r="W1294" i="23" s="1"/>
  <c r="V463" i="23"/>
  <c r="W463" i="23" s="1"/>
  <c r="V128" i="23"/>
  <c r="W128" i="23" s="1"/>
  <c r="V925" i="23"/>
  <c r="W925" i="23" s="1"/>
  <c r="V1168" i="23"/>
  <c r="W1168" i="23" s="1"/>
  <c r="V232" i="23"/>
  <c r="W232" i="23" s="1"/>
  <c r="V448" i="23"/>
  <c r="W448" i="23" s="1"/>
  <c r="V126" i="23"/>
  <c r="W126" i="23" s="1"/>
  <c r="V398" i="23"/>
  <c r="W398" i="23" s="1"/>
  <c r="V158" i="23"/>
  <c r="W158" i="23" s="1"/>
  <c r="V348" i="23"/>
  <c r="W348" i="23" s="1"/>
  <c r="V16" i="23"/>
  <c r="W16" i="23" s="1"/>
  <c r="V883" i="23"/>
  <c r="W883" i="23" s="1"/>
  <c r="V1251" i="23"/>
  <c r="W1251" i="23" s="1"/>
  <c r="V1647" i="23"/>
  <c r="W1647" i="23" s="1"/>
  <c r="V1191" i="23"/>
  <c r="W1191" i="23" s="1"/>
  <c r="V1345" i="23"/>
  <c r="W1345" i="23" s="1"/>
  <c r="V746" i="23"/>
  <c r="W746" i="23" s="1"/>
  <c r="V122" i="23"/>
  <c r="W122" i="23" s="1"/>
  <c r="V245" i="23"/>
  <c r="W245" i="23" s="1"/>
  <c r="V427" i="23"/>
  <c r="W427" i="23" s="1"/>
  <c r="V1355" i="23"/>
  <c r="W1355" i="23" s="1"/>
  <c r="V138" i="23"/>
  <c r="W138" i="23" s="1"/>
  <c r="V1058" i="23"/>
  <c r="W1058" i="23" s="1"/>
  <c r="V1656" i="23"/>
  <c r="W1656" i="23" s="1"/>
  <c r="V611" i="23"/>
  <c r="W611" i="23" s="1"/>
  <c r="V981" i="23"/>
  <c r="W981" i="23" s="1"/>
  <c r="V1031" i="23"/>
  <c r="W1031" i="23" s="1"/>
  <c r="V43" i="23"/>
  <c r="W43" i="23" s="1"/>
  <c r="V984" i="23"/>
  <c r="W984" i="23" s="1"/>
  <c r="V645" i="23"/>
  <c r="W645" i="23" s="1"/>
  <c r="V1362" i="23"/>
  <c r="W1362" i="23" s="1"/>
  <c r="V932" i="23"/>
  <c r="W932" i="23" s="1"/>
  <c r="V957" i="23"/>
  <c r="W957" i="23" s="1"/>
  <c r="V21" i="23"/>
  <c r="W21" i="23" s="1"/>
  <c r="V1494" i="23"/>
  <c r="W1494" i="23" s="1"/>
  <c r="V353" i="23"/>
  <c r="W353" i="23" s="1"/>
  <c r="V1466" i="23"/>
  <c r="W1466" i="23" s="1"/>
  <c r="V518" i="23"/>
  <c r="W518" i="23" s="1"/>
  <c r="V917" i="23"/>
  <c r="W917" i="23" s="1"/>
  <c r="V736" i="23"/>
  <c r="W736" i="23" s="1"/>
  <c r="V880" i="23"/>
  <c r="W880" i="23" s="1"/>
  <c r="V1325" i="23"/>
  <c r="W1325" i="23" s="1"/>
  <c r="V447" i="23"/>
  <c r="W447" i="23" s="1"/>
  <c r="V975" i="23"/>
  <c r="W975" i="23" s="1"/>
  <c r="V384" i="23"/>
  <c r="W384" i="23" s="1"/>
  <c r="V1181" i="23"/>
  <c r="W1181" i="23" s="1"/>
  <c r="V95" i="23"/>
  <c r="W95" i="23" s="1"/>
  <c r="V488" i="23"/>
  <c r="W488" i="23" s="1"/>
  <c r="V100" i="23"/>
  <c r="W100" i="23" s="1"/>
  <c r="V654" i="23"/>
  <c r="W654" i="23" s="1"/>
  <c r="V1182" i="23"/>
  <c r="W1182" i="23" s="1"/>
  <c r="V399" i="23"/>
  <c r="W399" i="23" s="1"/>
  <c r="V739" i="23"/>
  <c r="W739" i="23" s="1"/>
  <c r="V1515" i="23"/>
  <c r="W1515" i="23" s="1"/>
  <c r="V1744" i="23"/>
  <c r="W1744" i="23" s="1"/>
  <c r="V250" i="23"/>
  <c r="W250" i="23" s="1"/>
  <c r="V971" i="23"/>
  <c r="W971" i="23" s="1"/>
  <c r="V1159" i="23"/>
  <c r="W1159" i="23" s="1"/>
  <c r="V712" i="23"/>
  <c r="W712" i="23" s="1"/>
  <c r="V1470" i="23"/>
  <c r="W1470" i="23" s="1"/>
  <c r="V933" i="23"/>
  <c r="W933" i="23" s="1"/>
  <c r="V439" i="23"/>
  <c r="W439" i="23" s="1"/>
  <c r="V1321" i="23"/>
  <c r="W1321" i="23" s="1"/>
  <c r="V728" i="23"/>
  <c r="W728" i="23" s="1"/>
  <c r="V101" i="23"/>
  <c r="W101" i="23" s="1"/>
  <c r="V1628" i="23"/>
  <c r="W1628" i="23" s="1"/>
  <c r="V1433" i="23"/>
  <c r="W1433" i="23" s="1"/>
  <c r="V202" i="23"/>
  <c r="W202" i="23" s="1"/>
  <c r="V456" i="23"/>
  <c r="W456" i="23" s="1"/>
  <c r="V1526" i="23"/>
  <c r="W1526" i="23" s="1"/>
  <c r="V1015" i="23"/>
  <c r="W1015" i="23" s="1"/>
  <c r="V870" i="23"/>
  <c r="W870" i="23" s="1"/>
  <c r="V41" i="23"/>
  <c r="W41" i="23" s="1"/>
  <c r="V1337" i="23"/>
  <c r="W1337" i="23" s="1"/>
  <c r="V898" i="23"/>
  <c r="W898" i="23" s="1"/>
  <c r="V349" i="23"/>
  <c r="W349" i="23" s="1"/>
  <c r="V37" i="23"/>
  <c r="W37" i="23" s="1"/>
  <c r="V1593" i="23"/>
  <c r="W1593" i="23" s="1"/>
  <c r="V342" i="23"/>
  <c r="W342" i="23" s="1"/>
  <c r="V1172" i="23"/>
  <c r="W1172" i="23" s="1"/>
  <c r="V275" i="23"/>
  <c r="W275" i="23" s="1"/>
  <c r="V1229" i="23"/>
  <c r="W1229" i="23" s="1"/>
  <c r="V297" i="23"/>
  <c r="W297" i="23" s="1"/>
  <c r="V1650" i="23"/>
  <c r="W1650" i="23" s="1"/>
  <c r="V726" i="23"/>
  <c r="W726" i="23" s="1"/>
  <c r="V230" i="23"/>
  <c r="W230" i="23" s="1"/>
  <c r="V1207" i="23"/>
  <c r="W1207" i="23" s="1"/>
  <c r="V1022" i="23"/>
  <c r="W1022" i="23" s="1"/>
  <c r="V651" i="23"/>
  <c r="W651" i="23" s="1"/>
  <c r="V442" i="23"/>
  <c r="W442" i="23" s="1"/>
  <c r="V707" i="23"/>
  <c r="W707" i="23" s="1"/>
  <c r="V1558" i="23"/>
  <c r="W1558" i="23" s="1"/>
  <c r="V1573" i="23"/>
  <c r="W1573" i="23" s="1"/>
  <c r="V34" i="23"/>
  <c r="W34" i="23" s="1"/>
  <c r="V891" i="23"/>
  <c r="W891" i="23" s="1"/>
  <c r="V908" i="23"/>
  <c r="W908" i="23" s="1"/>
  <c r="V709" i="23"/>
  <c r="W709" i="23" s="1"/>
  <c r="V1704" i="23"/>
  <c r="W1704" i="23" s="1"/>
  <c r="V714" i="23"/>
  <c r="W714" i="23" s="1"/>
  <c r="V199" i="23"/>
  <c r="W199" i="23" s="1"/>
  <c r="V1736" i="23"/>
  <c r="W1736" i="23" s="1"/>
  <c r="V192" i="23"/>
  <c r="W192" i="23" s="1"/>
  <c r="V1142" i="23"/>
  <c r="W1142" i="23" s="1"/>
  <c r="V1249" i="23"/>
  <c r="W1249" i="23" s="1"/>
  <c r="V858" i="23"/>
  <c r="W858" i="23" s="1"/>
  <c r="V1671" i="23"/>
  <c r="W1671" i="23" s="1"/>
  <c r="V1636" i="23"/>
  <c r="W1636" i="23" s="1"/>
  <c r="V481" i="23"/>
  <c r="W481" i="23" s="1"/>
  <c r="V906" i="23"/>
  <c r="W906" i="23" s="1"/>
  <c r="V1274" i="23"/>
  <c r="W1274" i="23" s="1"/>
  <c r="V929" i="23"/>
  <c r="W929" i="23" s="1"/>
  <c r="V1541" i="23"/>
  <c r="W1541" i="23" s="1"/>
  <c r="V570" i="23"/>
  <c r="W570" i="23" s="1"/>
  <c r="V325" i="23"/>
  <c r="W325" i="23" s="1"/>
  <c r="V916" i="23"/>
  <c r="W916" i="23" s="1"/>
  <c r="V93" i="23"/>
  <c r="W93" i="23" s="1"/>
  <c r="V1130" i="23"/>
  <c r="W1130" i="23" s="1"/>
  <c r="V1728" i="23"/>
  <c r="W1728" i="23" s="1"/>
  <c r="V135" i="23"/>
  <c r="W135" i="23" s="1"/>
  <c r="V1462" i="23"/>
  <c r="W1462" i="23" s="1"/>
  <c r="V1161" i="23"/>
  <c r="W1161" i="23" s="1"/>
  <c r="V1304" i="23"/>
  <c r="W1304" i="23" s="1"/>
  <c r="V68" i="23"/>
  <c r="W68" i="23" s="1"/>
  <c r="V1473" i="23"/>
  <c r="W1473" i="23" s="1"/>
  <c r="V1187" i="23"/>
  <c r="W1187" i="23" s="1"/>
  <c r="V551" i="23"/>
  <c r="W551" i="23" s="1"/>
  <c r="V445" i="23"/>
  <c r="W445" i="23" s="1"/>
  <c r="V1371" i="23"/>
  <c r="W1371" i="23" s="1"/>
  <c r="V791" i="23"/>
  <c r="W791" i="23" s="1"/>
  <c r="V1063" i="23"/>
  <c r="W1063" i="23" s="1"/>
  <c r="V1471" i="23"/>
  <c r="W1471" i="23" s="1"/>
  <c r="V1201" i="23"/>
  <c r="W1201" i="23" s="1"/>
  <c r="V1010" i="23"/>
  <c r="W1010" i="23" s="1"/>
  <c r="V441" i="23"/>
  <c r="W441" i="23" s="1"/>
  <c r="V470" i="23"/>
  <c r="W470" i="23" s="1"/>
  <c r="V451" i="23"/>
  <c r="W451" i="23" s="1"/>
  <c r="V1234" i="23"/>
  <c r="W1234" i="23" s="1"/>
  <c r="V1266" i="23"/>
  <c r="W1266" i="23" s="1"/>
  <c r="V10" i="23"/>
  <c r="W10" i="23" s="1"/>
  <c r="V598" i="23"/>
  <c r="W598" i="23" s="1"/>
  <c r="V531" i="23"/>
  <c r="W531" i="23" s="1"/>
  <c r="V553" i="23"/>
  <c r="W553" i="23" s="1"/>
  <c r="V1037" i="23"/>
  <c r="W1037" i="23" s="1"/>
  <c r="V486" i="23"/>
  <c r="W486" i="23" s="1"/>
  <c r="V549" i="23"/>
  <c r="W549" i="23" s="1"/>
  <c r="V647" i="23"/>
  <c r="W647" i="23" s="1"/>
  <c r="V542" i="23"/>
  <c r="W542" i="23" s="1"/>
  <c r="V568" i="23"/>
  <c r="W568" i="23" s="1"/>
  <c r="V1199" i="23"/>
  <c r="W1199" i="23" s="1"/>
  <c r="V414" i="23"/>
  <c r="W414" i="23" s="1"/>
  <c r="V901" i="23"/>
  <c r="W901" i="23" s="1"/>
  <c r="V150" i="23"/>
  <c r="W150" i="23" s="1"/>
  <c r="V175" i="23"/>
  <c r="W175" i="23" s="1"/>
  <c r="V1708" i="23"/>
  <c r="W1708" i="23" s="1"/>
  <c r="V753" i="23"/>
  <c r="W753" i="23" s="1"/>
  <c r="V1457" i="23"/>
  <c r="W1457" i="23" s="1"/>
  <c r="V580" i="23"/>
  <c r="W580" i="23" s="1"/>
  <c r="V828" i="23"/>
  <c r="W828" i="23" s="1"/>
  <c r="V1618" i="23"/>
  <c r="W1618" i="23" s="1"/>
  <c r="V1009" i="23"/>
  <c r="W1009" i="23" s="1"/>
  <c r="V1459" i="23"/>
  <c r="W1459" i="23" s="1"/>
  <c r="V1068" i="23"/>
  <c r="W1068" i="23" s="1"/>
  <c r="V779" i="23"/>
  <c r="W779" i="23" s="1"/>
  <c r="V379" i="23"/>
  <c r="W379" i="23" s="1"/>
  <c r="V1104" i="23"/>
  <c r="W1104" i="23" s="1"/>
  <c r="V1318" i="23"/>
  <c r="W1318" i="23" s="1"/>
  <c r="V1278" i="23"/>
  <c r="W1278" i="23" s="1"/>
  <c r="V978" i="23"/>
  <c r="W978" i="23" s="1"/>
  <c r="V905" i="23"/>
  <c r="W905" i="23" s="1"/>
  <c r="V1486" i="23"/>
  <c r="W1486" i="23" s="1"/>
  <c r="V1236" i="23"/>
  <c r="W1236" i="23" s="1"/>
  <c r="V675" i="23"/>
  <c r="W675" i="23" s="1"/>
  <c r="V830" i="23"/>
  <c r="W830" i="23" s="1"/>
  <c r="V19" i="23"/>
  <c r="W19" i="23" s="1"/>
  <c r="V92" i="23"/>
  <c r="W92" i="23" s="1"/>
  <c r="V661" i="23"/>
  <c r="W661" i="23" s="1"/>
  <c r="V395" i="23"/>
  <c r="W395" i="23" s="1"/>
  <c r="V1302" i="23"/>
  <c r="W1302" i="23" s="1"/>
  <c r="V1071" i="23"/>
  <c r="W1071" i="23" s="1"/>
  <c r="V292" i="23"/>
  <c r="W292" i="23" s="1"/>
  <c r="V1605" i="23"/>
  <c r="W1605" i="23" s="1"/>
  <c r="V1349" i="23"/>
  <c r="W1349" i="23" s="1"/>
  <c r="V1126" i="23"/>
  <c r="W1126" i="23" s="1"/>
  <c r="V169" i="23"/>
  <c r="W169" i="23" s="1"/>
  <c r="V1522" i="23"/>
  <c r="W1522" i="23" s="1"/>
  <c r="V382" i="23"/>
  <c r="W382" i="23" s="1"/>
  <c r="V266" i="23"/>
  <c r="W266" i="23" s="1"/>
  <c r="V1382" i="23"/>
  <c r="W1382" i="23" s="1"/>
  <c r="V528" i="23"/>
  <c r="W528" i="23" s="1"/>
  <c r="V131" i="23"/>
  <c r="W131" i="23" s="1"/>
  <c r="V982" i="23"/>
  <c r="W982" i="23" s="1"/>
  <c r="V831" i="23"/>
  <c r="W831" i="23" s="1"/>
  <c r="V57" i="23"/>
  <c r="W57" i="23" s="1"/>
  <c r="V907" i="23"/>
  <c r="W907" i="23" s="1"/>
  <c r="V963" i="23"/>
  <c r="W963" i="23" s="1"/>
  <c r="V1188" i="23"/>
  <c r="W1188" i="23" s="1"/>
  <c r="V290" i="23"/>
  <c r="W290" i="23" s="1"/>
  <c r="V1226" i="23"/>
  <c r="W1226" i="23" s="1"/>
  <c r="V1147" i="23"/>
  <c r="W1147" i="23" s="1"/>
  <c r="V1065" i="23"/>
  <c r="W1065" i="23" s="1"/>
  <c r="V171" i="23"/>
  <c r="W171" i="23" s="1"/>
  <c r="V1235" i="23"/>
  <c r="W1235" i="23" s="1"/>
  <c r="V227" i="23"/>
  <c r="W227" i="23" s="1"/>
  <c r="V483" i="23"/>
  <c r="W483" i="23" s="1"/>
  <c r="V1398" i="23"/>
  <c r="W1398" i="23" s="1"/>
  <c r="V1376" i="23"/>
  <c r="W1376" i="23" s="1"/>
  <c r="V522" i="23"/>
  <c r="W522" i="23" s="1"/>
  <c r="V787" i="23"/>
  <c r="W787" i="23" s="1"/>
  <c r="V1638" i="23"/>
  <c r="W1638" i="23" s="1"/>
  <c r="V953" i="23"/>
  <c r="W953" i="23" s="1"/>
  <c r="V1672" i="23"/>
  <c r="W1672" i="23" s="1"/>
  <c r="V204" i="23"/>
  <c r="W204" i="23" s="1"/>
  <c r="V1666" i="23"/>
  <c r="W1666" i="23" s="1"/>
  <c r="V701" i="23"/>
  <c r="W701" i="23" s="1"/>
  <c r="V420" i="23"/>
  <c r="W420" i="23" s="1"/>
  <c r="V1219" i="23"/>
  <c r="W1219" i="23" s="1"/>
  <c r="V615" i="23"/>
  <c r="W615" i="23" s="1"/>
  <c r="V461" i="23"/>
  <c r="W461" i="23" s="1"/>
  <c r="V761" i="23"/>
  <c r="W761" i="23" s="1"/>
  <c r="V1042" i="23"/>
  <c r="W1042" i="23" s="1"/>
  <c r="V118" i="23"/>
  <c r="W118" i="23" s="1"/>
  <c r="V546" i="23"/>
  <c r="W546" i="23" s="1"/>
  <c r="V309" i="23"/>
  <c r="W309" i="23" s="1"/>
  <c r="V200" i="23"/>
  <c r="W200" i="23" s="1"/>
  <c r="V1701" i="23"/>
  <c r="W1701" i="23" s="1"/>
  <c r="V1525" i="23"/>
  <c r="W1525" i="23" s="1"/>
  <c r="V1691" i="23"/>
  <c r="W1691" i="23" s="1"/>
  <c r="V1572" i="23"/>
  <c r="W1572" i="23" s="1"/>
  <c r="V283" i="23"/>
  <c r="W283" i="23" s="1"/>
  <c r="V1333" i="23"/>
  <c r="W1333" i="23" s="1"/>
  <c r="V1715" i="23"/>
  <c r="W1715" i="23" s="1"/>
  <c r="V1264" i="23"/>
  <c r="W1264" i="23" s="1"/>
  <c r="V1770" i="23"/>
  <c r="W1770" i="23" s="1"/>
  <c r="V751" i="23"/>
  <c r="W751" i="23" s="1"/>
  <c r="V1641" i="23"/>
  <c r="W1641" i="23" s="1"/>
  <c r="V1742" i="23"/>
  <c r="W1742" i="23" s="1"/>
  <c r="V1455" i="23"/>
  <c r="W1455" i="23" s="1"/>
  <c r="V1310" i="23"/>
  <c r="W1310" i="23" s="1"/>
  <c r="V560" i="23"/>
  <c r="W560" i="23" s="1"/>
  <c r="V1291" i="23"/>
  <c r="W1291" i="23" s="1"/>
  <c r="V812" i="23"/>
  <c r="W812" i="23" s="1"/>
  <c r="V94" i="23"/>
  <c r="W94" i="23" s="1"/>
  <c r="V112" i="23"/>
  <c r="W112" i="23" s="1"/>
  <c r="V1461" i="23"/>
  <c r="W1461" i="23" s="1"/>
  <c r="V996" i="23"/>
  <c r="W996" i="23" s="1"/>
  <c r="V1528" i="23"/>
  <c r="W1528" i="23" s="1"/>
  <c r="V1174" i="23"/>
  <c r="W1174" i="23" s="1"/>
  <c r="V1067" i="23"/>
  <c r="W1067" i="23" s="1"/>
  <c r="V729" i="23"/>
  <c r="W729" i="23" s="1"/>
  <c r="V561" i="23"/>
  <c r="W561" i="23" s="1"/>
  <c r="V239" i="23"/>
  <c r="W239" i="23" s="1"/>
  <c r="V1597" i="23"/>
  <c r="W1597" i="23" s="1"/>
  <c r="V604" i="23"/>
  <c r="W604" i="23" s="1"/>
  <c r="V148" i="23"/>
  <c r="W148" i="23" s="1"/>
  <c r="V496" i="23"/>
  <c r="W496" i="23" s="1"/>
  <c r="V1598" i="23"/>
  <c r="W1598" i="23" s="1"/>
  <c r="V941" i="23"/>
  <c r="W941" i="23" s="1"/>
  <c r="V1311" i="23"/>
  <c r="W1311" i="23" s="1"/>
  <c r="V1395" i="23"/>
  <c r="W1395" i="23" s="1"/>
  <c r="V1256" i="23"/>
  <c r="W1256" i="23" s="1"/>
  <c r="V1157" i="23"/>
  <c r="W1157" i="23" s="1"/>
  <c r="V679" i="23"/>
  <c r="W679" i="23" s="1"/>
  <c r="V1160" i="23"/>
  <c r="W1160" i="23" s="1"/>
  <c r="V1280" i="23"/>
  <c r="W1280" i="23" s="1"/>
  <c r="V490" i="23"/>
  <c r="W490" i="23" s="1"/>
  <c r="V1768" i="23"/>
  <c r="W1768" i="23" s="1"/>
  <c r="V1198" i="23"/>
  <c r="W1198" i="23" s="1"/>
  <c r="V431" i="23"/>
  <c r="W431" i="23" s="1"/>
  <c r="V683" i="23"/>
  <c r="W683" i="23" s="1"/>
  <c r="V24" i="23"/>
  <c r="W24" i="23" s="1"/>
  <c r="V1324" i="23"/>
  <c r="W1324" i="23" s="1"/>
  <c r="V995" i="23"/>
  <c r="W995" i="23" s="1"/>
  <c r="V1152" i="23"/>
  <c r="W1152" i="23" s="1"/>
  <c r="V212" i="23"/>
  <c r="W212" i="23" s="1"/>
  <c r="V327" i="23"/>
  <c r="W327" i="23" s="1"/>
  <c r="V432" i="23"/>
  <c r="W432" i="23" s="1"/>
  <c r="V1531" i="23"/>
  <c r="W1531" i="23" s="1"/>
  <c r="V1100" i="23"/>
  <c r="W1100" i="23" s="1"/>
  <c r="V205" i="23"/>
  <c r="W205" i="23" s="1"/>
  <c r="V1180" i="23"/>
  <c r="W1180" i="23" s="1"/>
  <c r="V1710" i="23"/>
  <c r="W1710" i="23" s="1"/>
  <c r="V1537" i="23"/>
  <c r="W1537" i="23" s="1"/>
  <c r="V539" i="23"/>
  <c r="W539" i="23" s="1"/>
  <c r="V940" i="23"/>
  <c r="W940" i="23" s="1"/>
  <c r="V937" i="23"/>
  <c r="W937" i="23" s="1"/>
  <c r="V1609" i="23"/>
  <c r="W1609" i="23" s="1"/>
  <c r="V355" i="23"/>
  <c r="W355" i="23" s="1"/>
  <c r="V1177" i="23"/>
  <c r="W1177" i="23" s="1"/>
  <c r="V422" i="23"/>
  <c r="W422" i="23" s="1"/>
  <c r="V1709" i="23"/>
  <c r="W1709" i="23" s="1"/>
  <c r="V1556" i="23"/>
  <c r="W1556" i="23" s="1"/>
  <c r="V47" i="23"/>
  <c r="W47" i="23" s="1"/>
  <c r="V1127" i="23"/>
  <c r="W1127" i="23" s="1"/>
  <c r="V515" i="23"/>
  <c r="W515" i="23" s="1"/>
  <c r="V55" i="23"/>
  <c r="W55" i="23" s="1"/>
  <c r="V899" i="23"/>
  <c r="W899" i="23" s="1"/>
  <c r="V1750" i="23"/>
  <c r="W1750" i="23" s="1"/>
  <c r="V181" i="23"/>
  <c r="W181" i="23" s="1"/>
  <c r="V667" i="23"/>
  <c r="W667" i="23" s="1"/>
  <c r="V1720" i="23"/>
  <c r="W1720" i="23" s="1"/>
  <c r="V1253" i="23"/>
  <c r="W1253" i="23" s="1"/>
  <c r="V1305" i="23"/>
  <c r="W1305" i="23" s="1"/>
  <c r="V1079" i="23"/>
  <c r="W1079" i="23" s="1"/>
  <c r="V156" i="23"/>
  <c r="W156" i="23" s="1"/>
  <c r="V229" i="23"/>
  <c r="W229" i="23" s="1"/>
  <c r="V71" i="23"/>
  <c r="W71" i="23" s="1"/>
  <c r="V317" i="23"/>
  <c r="W317" i="23" s="1"/>
  <c r="V760" i="23"/>
  <c r="W760" i="23" s="1"/>
  <c r="V1674" i="23"/>
  <c r="W1674" i="23" s="1"/>
  <c r="V1588" i="23"/>
  <c r="W1588" i="23" s="1"/>
  <c r="V1627" i="23"/>
  <c r="W1627" i="23" s="1"/>
  <c r="V305" i="23"/>
  <c r="W305" i="23" s="1"/>
  <c r="V137" i="23"/>
  <c r="W137" i="23" s="1"/>
  <c r="V737" i="23"/>
  <c r="W737" i="23" s="1"/>
  <c r="V1039" i="23"/>
  <c r="W1039" i="23" s="1"/>
  <c r="V1239" i="23"/>
  <c r="W1239" i="23" s="1"/>
  <c r="V1072" i="23"/>
  <c r="W1072" i="23" s="1"/>
  <c r="V1694" i="23"/>
  <c r="W1694" i="23" s="1"/>
  <c r="V1074" i="23"/>
  <c r="W1074" i="23" s="1"/>
  <c r="V639" i="23"/>
  <c r="W639" i="23" s="1"/>
  <c r="V1424" i="23"/>
  <c r="W1424" i="23" s="1"/>
  <c r="V183" i="23"/>
  <c r="W183" i="23" s="1"/>
  <c r="V703" i="23"/>
  <c r="W703" i="23" s="1"/>
  <c r="V744" i="23"/>
  <c r="W744" i="23" s="1"/>
  <c r="V1655" i="23"/>
  <c r="W1655" i="23" s="1"/>
  <c r="V50" i="23"/>
  <c r="W50" i="23" s="1"/>
  <c r="V119" i="23"/>
  <c r="W119" i="23" s="1"/>
  <c r="V877" i="23"/>
  <c r="W877" i="23" s="1"/>
  <c r="V1090" i="23"/>
  <c r="W1090" i="23" s="1"/>
  <c r="V543" i="23"/>
  <c r="W543" i="23" s="1"/>
  <c r="V525" i="23"/>
  <c r="W525" i="23" s="1"/>
  <c r="V735" i="23"/>
  <c r="W735" i="23" s="1"/>
  <c r="V555" i="23"/>
  <c r="W555" i="23" s="1"/>
  <c r="V1103" i="23"/>
  <c r="W1103" i="23" s="1"/>
  <c r="V867" i="23"/>
  <c r="W867" i="23" s="1"/>
  <c r="V591" i="23"/>
  <c r="W591" i="23" s="1"/>
  <c r="V1289" i="23"/>
  <c r="W1289" i="23" s="1"/>
  <c r="V281" i="23"/>
  <c r="W281" i="23" s="1"/>
  <c r="V541" i="23"/>
  <c r="W541" i="23" s="1"/>
  <c r="V1400" i="23"/>
  <c r="W1400" i="23" s="1"/>
  <c r="V1659" i="23"/>
  <c r="W1659" i="23" s="1"/>
  <c r="V1013" i="23"/>
  <c r="W1013" i="23" s="1"/>
  <c r="V808" i="23"/>
  <c r="W808" i="23" s="1"/>
  <c r="V584" i="23"/>
  <c r="W584" i="23" s="1"/>
  <c r="V797" i="23"/>
  <c r="W797" i="23" s="1"/>
  <c r="V1787" i="23"/>
  <c r="W1787" i="23" s="1"/>
  <c r="V1323" i="23"/>
  <c r="W1323" i="23" s="1"/>
  <c r="V807" i="23"/>
  <c r="W807" i="23" s="1"/>
  <c r="V985" i="23"/>
  <c r="W985" i="23" s="1"/>
  <c r="V117" i="23"/>
  <c r="W117" i="23" s="1"/>
  <c r="V70" i="23"/>
  <c r="W70" i="23" s="1"/>
  <c r="V1511" i="23"/>
  <c r="W1511" i="23" s="1"/>
  <c r="V1175" i="23"/>
  <c r="W1175" i="23" s="1"/>
  <c r="V1717" i="23"/>
  <c r="W1717" i="23" s="1"/>
  <c r="V1712" i="23"/>
  <c r="W1712" i="23" s="1"/>
  <c r="V1319" i="23"/>
  <c r="W1319" i="23" s="1"/>
  <c r="V1535" i="23"/>
  <c r="W1535" i="23" s="1"/>
  <c r="V1779" i="23"/>
  <c r="W1779" i="23" s="1"/>
  <c r="V143" i="23"/>
  <c r="W143" i="23" s="1"/>
  <c r="V310" i="23"/>
  <c r="W310" i="23" s="1"/>
  <c r="V599" i="23"/>
  <c r="W599" i="23" s="1"/>
  <c r="V919" i="23"/>
  <c r="W919" i="23" s="1"/>
  <c r="V762" i="23"/>
  <c r="W762" i="23" s="1"/>
  <c r="V1027" i="23"/>
  <c r="W1027" i="23" s="1"/>
  <c r="V279" i="23"/>
  <c r="W279" i="23" s="1"/>
  <c r="V747" i="23"/>
  <c r="W747" i="23" s="1"/>
  <c r="V628" i="23"/>
  <c r="W628" i="23" s="1"/>
  <c r="V1465" i="23"/>
  <c r="W1465" i="23" s="1"/>
  <c r="V172" i="23"/>
  <c r="W172" i="23" s="1"/>
  <c r="V347" i="23"/>
  <c r="W347" i="23" s="1"/>
  <c r="V215" i="23"/>
  <c r="W215" i="23" s="1"/>
  <c r="V826" i="23"/>
  <c r="W826" i="23" s="1"/>
  <c r="V650" i="23"/>
  <c r="W650" i="23" s="1"/>
  <c r="V915" i="23"/>
  <c r="W915" i="23" s="1"/>
  <c r="V1766" i="23"/>
  <c r="W1766" i="23" s="1"/>
  <c r="V1124" i="23"/>
  <c r="W1124" i="23" s="1"/>
  <c r="V930" i="23"/>
  <c r="W930" i="23" s="1"/>
  <c r="V6" i="23"/>
  <c r="W6" i="23" s="1"/>
  <c r="V1179" i="23"/>
  <c r="W1179" i="23" s="1"/>
  <c r="V436" i="23"/>
  <c r="W436" i="23" s="1"/>
  <c r="V697" i="23"/>
  <c r="W697" i="23" s="1"/>
  <c r="V72" i="23"/>
  <c r="W72" i="23" s="1"/>
  <c r="V26" i="23"/>
  <c r="W26" i="23" s="1"/>
  <c r="V291" i="23"/>
  <c r="W291" i="23" s="1"/>
  <c r="V217" i="23"/>
  <c r="W217" i="23" s="1"/>
  <c r="V646" i="23"/>
  <c r="W646" i="23" s="1"/>
  <c r="V493" i="23"/>
  <c r="W493" i="23" s="1"/>
  <c r="V1170" i="23"/>
  <c r="W1170" i="23" s="1"/>
  <c r="V825" i="23"/>
  <c r="W825" i="23" s="1"/>
  <c r="V1552" i="23"/>
  <c r="W1552" i="23" s="1"/>
  <c r="V1073" i="23"/>
  <c r="W1073" i="23" s="1"/>
  <c r="V1677" i="23"/>
  <c r="W1677" i="23" s="1"/>
  <c r="V194" i="23"/>
  <c r="W194" i="23" s="1"/>
  <c r="V772" i="23"/>
  <c r="W772" i="23" s="1"/>
  <c r="V1077" i="23"/>
  <c r="W1077" i="23" s="1"/>
  <c r="V872" i="23"/>
  <c r="W872" i="23" s="1"/>
  <c r="V687" i="23"/>
  <c r="W687" i="23" s="1"/>
  <c r="V862" i="23"/>
  <c r="W862" i="23" s="1"/>
  <c r="V1509" i="23"/>
  <c r="W1509" i="23" s="1"/>
  <c r="V468" i="23"/>
  <c r="W468" i="23" s="1"/>
  <c r="V1112" i="23"/>
  <c r="W1112" i="23" s="1"/>
  <c r="V649" i="23"/>
  <c r="W649" i="23" s="1"/>
  <c r="V1078" i="23"/>
  <c r="W1078" i="23" s="1"/>
  <c r="V1503" i="23"/>
  <c r="W1503" i="23" s="1"/>
  <c r="V206" i="23"/>
  <c r="W206" i="23" s="1"/>
  <c r="V1422" i="23"/>
  <c r="W1422" i="23" s="1"/>
  <c r="V1584" i="23"/>
  <c r="W1584" i="23" s="1"/>
  <c r="V67" i="23"/>
  <c r="W67" i="23" s="1"/>
  <c r="V168" i="23"/>
  <c r="W168" i="23" s="1"/>
  <c r="V904" i="23"/>
  <c r="W904" i="23" s="1"/>
  <c r="V1061" i="23"/>
  <c r="W1061" i="23" s="1"/>
  <c r="V1260" i="23"/>
  <c r="W1260" i="23" s="1"/>
  <c r="V1095" i="23"/>
  <c r="W1095" i="23" s="1"/>
  <c r="V1662" i="23"/>
  <c r="W1662" i="23" s="1"/>
  <c r="V306" i="23"/>
  <c r="W306" i="23" s="1"/>
  <c r="V1582" i="23"/>
  <c r="W1582" i="23" s="1"/>
  <c r="V83" i="23"/>
  <c r="W83" i="23" s="1"/>
  <c r="V1300" i="23"/>
  <c r="W1300" i="23" s="1"/>
  <c r="V1317" i="23"/>
  <c r="W1317" i="23" s="1"/>
  <c r="V680" i="23"/>
  <c r="W680" i="23" s="1"/>
  <c r="V627" i="23"/>
  <c r="W627" i="23" s="1"/>
  <c r="V1454" i="23"/>
  <c r="W1454" i="23" s="1"/>
  <c r="V1005" i="23"/>
  <c r="W1005" i="23" s="1"/>
  <c r="V1549" i="23"/>
  <c r="W1549" i="23" s="1"/>
  <c r="V366" i="23"/>
  <c r="W366" i="23" s="1"/>
  <c r="V1543" i="23"/>
  <c r="W1543" i="23" s="1"/>
  <c r="V582" i="23"/>
  <c r="W582" i="23" s="1"/>
  <c r="V715" i="23"/>
  <c r="W715" i="23" s="1"/>
  <c r="V1176" i="23"/>
  <c r="W1176" i="23" s="1"/>
  <c r="V655" i="23"/>
  <c r="W655" i="23" s="1"/>
  <c r="V282" i="23"/>
  <c r="W282" i="23" s="1"/>
  <c r="V547" i="23"/>
  <c r="W547" i="23" s="1"/>
  <c r="V473" i="23"/>
  <c r="W473" i="23" s="1"/>
  <c r="V51" i="23"/>
  <c r="W51" i="23" s="1"/>
  <c r="V902" i="23"/>
  <c r="W902" i="23" s="1"/>
  <c r="V73" i="23"/>
  <c r="W73" i="23" s="1"/>
  <c r="V1426" i="23"/>
  <c r="W1426" i="23" s="1"/>
  <c r="V1166" i="23"/>
  <c r="W1166" i="23" s="1"/>
  <c r="V176" i="23"/>
  <c r="W176" i="23" s="1"/>
  <c r="V1404" i="23"/>
  <c r="W1404" i="23" s="1"/>
  <c r="V1117" i="23"/>
  <c r="W1117" i="23" s="1"/>
  <c r="V450" i="23"/>
  <c r="W450" i="23" s="1"/>
  <c r="V213" i="23"/>
  <c r="W213" i="23" s="1"/>
  <c r="V1623" i="23"/>
  <c r="W1623" i="23" s="1"/>
  <c r="V1213" i="23"/>
  <c r="W1213" i="23" s="1"/>
  <c r="V1069" i="23"/>
  <c r="W1069" i="23" s="1"/>
  <c r="V1246" i="23"/>
  <c r="W1246" i="23" s="1"/>
  <c r="V1665" i="23"/>
  <c r="W1665" i="23" s="1"/>
  <c r="V788" i="23"/>
  <c r="W788" i="23" s="1"/>
  <c r="V417" i="23"/>
  <c r="W417" i="23" s="1"/>
  <c r="V545" i="23"/>
  <c r="W545" i="23" s="1"/>
  <c r="V218" i="23"/>
  <c r="W218" i="23" s="1"/>
  <c r="V231" i="23"/>
  <c r="W231" i="23" s="1"/>
  <c r="V964" i="23"/>
  <c r="W964" i="23" s="1"/>
  <c r="V337" i="23"/>
  <c r="W337" i="23" s="1"/>
  <c r="V756" i="23"/>
  <c r="W756" i="23" s="1"/>
  <c r="V1595" i="23"/>
  <c r="W1595" i="23" s="1"/>
  <c r="V1756" i="23"/>
  <c r="W1756" i="23" s="1"/>
  <c r="V1663" i="23"/>
  <c r="W1663" i="23" s="1"/>
  <c r="V835" i="23"/>
  <c r="W835" i="23" s="1"/>
  <c r="V280" i="23"/>
  <c r="W280" i="23" s="1"/>
  <c r="V1644" i="23"/>
  <c r="W1644" i="23" s="1"/>
  <c r="V1109" i="23"/>
  <c r="W1109" i="23" s="1"/>
  <c r="V1497" i="23"/>
  <c r="W1497" i="23" s="1"/>
  <c r="V240" i="23"/>
  <c r="W240" i="23" s="1"/>
  <c r="V1575" i="23"/>
  <c r="W1575" i="23" s="1"/>
  <c r="V1440" i="23"/>
  <c r="W1440" i="23" s="1"/>
  <c r="V1703" i="23"/>
  <c r="W1703" i="23" s="1"/>
  <c r="V562" i="23"/>
  <c r="W562" i="23" s="1"/>
  <c r="V885" i="23"/>
  <c r="W885" i="23" s="1"/>
  <c r="V444" i="23"/>
  <c r="W444" i="23" s="1"/>
  <c r="V595" i="23"/>
  <c r="W595" i="23" s="1"/>
  <c r="V1197" i="23"/>
  <c r="W1197" i="23" s="1"/>
  <c r="V834" i="23"/>
  <c r="W834" i="23" s="1"/>
  <c r="V504" i="23"/>
  <c r="W504" i="23" s="1"/>
  <c r="V1320" i="23"/>
  <c r="W1320" i="23" s="1"/>
  <c r="V1356" i="23"/>
  <c r="W1356" i="23" s="1"/>
  <c r="V1374" i="23"/>
  <c r="W1374" i="23" s="1"/>
  <c r="V356" i="23"/>
  <c r="W356" i="23" s="1"/>
  <c r="V265" i="23"/>
  <c r="W265" i="23" s="1"/>
  <c r="V421" i="23"/>
  <c r="W421" i="23" s="1"/>
  <c r="V415" i="23"/>
  <c r="W415" i="23" s="1"/>
  <c r="V97" i="23"/>
  <c r="W97" i="23" s="1"/>
  <c r="V1419" i="23"/>
  <c r="W1419" i="23" s="1"/>
  <c r="V1581" i="23"/>
  <c r="W1581" i="23" s="1"/>
  <c r="V1630" i="23"/>
  <c r="W1630" i="23" s="1"/>
  <c r="V1477" i="23"/>
  <c r="W1477" i="23" s="1"/>
  <c r="V1600" i="23"/>
  <c r="W1600" i="23" s="1"/>
  <c r="V1364" i="23"/>
  <c r="W1364" i="23" s="1"/>
  <c r="V247" i="23"/>
  <c r="W247" i="23" s="1"/>
  <c r="V1212" i="23"/>
  <c r="W1212" i="23" s="1"/>
  <c r="V1133" i="23"/>
  <c r="W1133" i="23" s="1"/>
  <c r="V748" i="23"/>
  <c r="W748" i="23" s="1"/>
  <c r="V1456" i="23"/>
  <c r="W1456" i="23" s="1"/>
  <c r="V208" i="23"/>
  <c r="W208" i="23" s="1"/>
  <c r="V1576" i="23"/>
  <c r="W1576" i="23" s="1"/>
  <c r="V1660" i="23"/>
  <c r="W1660" i="23" s="1"/>
  <c r="V1772" i="23"/>
  <c r="W1772" i="23" s="1"/>
  <c r="V485" i="23"/>
  <c r="W485" i="23" s="1"/>
  <c r="V1230" i="23"/>
  <c r="W1230" i="23" s="1"/>
  <c r="V1303" i="23"/>
  <c r="W1303" i="23" s="1"/>
  <c r="V474" i="23"/>
  <c r="W474" i="23" s="1"/>
  <c r="V1247" i="23"/>
  <c r="W1247" i="23" s="1"/>
  <c r="V766" i="23"/>
  <c r="W766" i="23" s="1"/>
  <c r="V842" i="23"/>
  <c r="W842" i="23" s="1"/>
  <c r="V574" i="23"/>
  <c r="W574" i="23" s="1"/>
  <c r="V288" i="23"/>
  <c r="W288" i="23" s="1"/>
  <c r="V558" i="23"/>
  <c r="W558" i="23" s="1"/>
  <c r="V956" i="23"/>
  <c r="W956" i="23" s="1"/>
  <c r="V1347" i="23"/>
  <c r="W1347" i="23" s="1"/>
  <c r="V648" i="23"/>
  <c r="W648" i="23" s="1"/>
  <c r="V1690" i="23"/>
  <c r="W1690" i="23" s="1"/>
  <c r="V960" i="23"/>
  <c r="W960" i="23" s="1"/>
  <c r="V300" i="23"/>
  <c r="W300" i="23" s="1"/>
  <c r="V28" i="23"/>
  <c r="W28" i="23" s="1"/>
  <c r="V1775" i="23"/>
  <c r="W1775" i="23" s="1"/>
  <c r="V1292" i="23"/>
  <c r="W1292" i="23" s="1"/>
  <c r="V818" i="23"/>
  <c r="W818" i="23" s="1"/>
  <c r="V750" i="23"/>
  <c r="W750" i="23" s="1"/>
  <c r="V1559" i="23"/>
  <c r="W1559" i="23" s="1"/>
  <c r="V52" i="23"/>
  <c r="W52" i="23" s="1"/>
  <c r="V1438" i="23"/>
  <c r="W1438" i="23" s="1"/>
  <c r="V120" i="23"/>
  <c r="W120" i="23" s="1"/>
  <c r="V1261" i="23"/>
  <c r="W1261" i="23" s="1"/>
  <c r="V1346" i="23"/>
  <c r="W1346" i="23" s="1"/>
  <c r="V1651" i="23"/>
  <c r="W1651" i="23" s="1"/>
  <c r="V920" i="23"/>
  <c r="W920" i="23" s="1"/>
  <c r="V360" i="23"/>
  <c r="W360" i="23" s="1"/>
  <c r="V249" i="23"/>
  <c r="W249" i="23" s="1"/>
  <c r="V1751" i="23"/>
  <c r="W1751" i="23" s="1"/>
  <c r="V454" i="23"/>
  <c r="W454" i="23" s="1"/>
  <c r="V346" i="23"/>
  <c r="W346" i="23" s="1"/>
  <c r="V1431" i="23"/>
  <c r="W1431" i="23" s="1"/>
  <c r="V354" i="23"/>
  <c r="W354" i="23" s="1"/>
  <c r="V686" i="23"/>
  <c r="W686" i="23" s="1"/>
  <c r="V677" i="23"/>
  <c r="W677" i="23" s="1"/>
  <c r="V887" i="23"/>
  <c r="W887" i="23" s="1"/>
  <c r="V684" i="23"/>
  <c r="W684" i="23" s="1"/>
  <c r="V400" i="23"/>
  <c r="W400" i="23" s="1"/>
  <c r="V1566" i="23"/>
  <c r="W1566" i="23" s="1"/>
  <c r="V440" i="23"/>
  <c r="W440" i="23" s="1"/>
  <c r="V113" i="23"/>
  <c r="W113" i="23" s="1"/>
  <c r="V1353" i="23"/>
  <c r="W1353" i="23" s="1"/>
  <c r="V75" i="23"/>
  <c r="W75" i="23" s="1"/>
  <c r="V1222" i="23"/>
  <c r="W1222" i="23" s="1"/>
  <c r="V1769" i="23"/>
  <c r="W1769" i="23" s="1"/>
  <c r="V1611" i="23"/>
  <c r="W1611" i="23" s="1"/>
  <c r="V892" i="23"/>
  <c r="W892" i="23" s="1"/>
  <c r="V1119" i="23"/>
  <c r="W1119" i="23" s="1"/>
  <c r="V1059" i="23"/>
  <c r="W1059" i="23" s="1"/>
  <c r="V298" i="23"/>
  <c r="W298" i="23" s="1"/>
  <c r="V563" i="23"/>
  <c r="W563" i="23" s="1"/>
  <c r="V1414" i="23"/>
  <c r="W1414" i="23" s="1"/>
  <c r="V585" i="23"/>
  <c r="W585" i="23" s="1"/>
  <c r="V359" i="23"/>
  <c r="W359" i="23" s="1"/>
  <c r="V890" i="23"/>
  <c r="W890" i="23" s="1"/>
  <c r="V1088" i="23"/>
  <c r="W1088" i="23" s="1"/>
  <c r="V1413" i="23"/>
  <c r="W1413" i="23" s="1"/>
  <c r="V1545" i="23"/>
  <c r="W1545" i="23" s="1"/>
  <c r="V962" i="23"/>
  <c r="W962" i="23" s="1"/>
  <c r="V38" i="23"/>
  <c r="W38" i="23" s="1"/>
  <c r="V951" i="23"/>
  <c r="W951" i="23" s="1"/>
  <c r="V759" i="23"/>
  <c r="W759" i="23" s="1"/>
  <c r="V511" i="23"/>
  <c r="W511" i="23" s="1"/>
  <c r="V190" i="23"/>
  <c r="W190" i="23" s="1"/>
  <c r="V1608" i="23"/>
  <c r="W1608" i="23" s="1"/>
  <c r="V54" i="23"/>
  <c r="W54" i="23" s="1"/>
  <c r="V222" i="23"/>
  <c r="W222" i="23" s="1"/>
  <c r="V730" i="23"/>
  <c r="W730" i="23" s="1"/>
  <c r="V1098" i="23"/>
  <c r="W1098" i="23" s="1"/>
  <c r="V1439" i="23"/>
  <c r="W1439" i="23" s="1"/>
  <c r="V1183" i="23"/>
  <c r="W1183" i="23" s="1"/>
  <c r="V990" i="23"/>
  <c r="W990" i="23" s="1"/>
  <c r="V1568" i="23"/>
  <c r="W1568" i="23" s="1"/>
  <c r="V36" i="23"/>
  <c r="W36" i="23" s="1"/>
  <c r="V464" i="23"/>
  <c r="W464" i="23" s="1"/>
  <c r="V1733" i="23"/>
  <c r="W1733" i="23" s="1"/>
  <c r="V1632" i="23"/>
  <c r="W1632" i="23" s="1"/>
  <c r="V1097" i="23"/>
  <c r="W1097" i="23" s="1"/>
  <c r="V608" i="23"/>
  <c r="W608" i="23" s="1"/>
  <c r="V328" i="23"/>
  <c r="W328" i="23" s="1"/>
  <c r="V592" i="23"/>
  <c r="W592" i="23" s="1"/>
  <c r="V1591" i="23"/>
  <c r="W1591" i="23" s="1"/>
  <c r="V1330" i="23"/>
  <c r="W1330" i="23" s="1"/>
  <c r="V1116" i="23"/>
  <c r="W1116" i="23" s="1"/>
  <c r="V85" i="23"/>
  <c r="W85" i="23" s="1"/>
  <c r="V922" i="23"/>
  <c r="W922" i="23" s="1"/>
  <c r="V1785" i="23"/>
  <c r="W1785" i="23" s="1"/>
  <c r="V1092" i="23"/>
  <c r="W1092" i="23" s="1"/>
  <c r="V339" i="23"/>
  <c r="W339" i="23" s="1"/>
  <c r="V1435" i="23"/>
  <c r="W1435" i="23" s="1"/>
  <c r="V340" i="23"/>
  <c r="W340" i="23" s="1"/>
  <c r="V505" i="23"/>
  <c r="W505" i="23" s="1"/>
  <c r="V221" i="23"/>
  <c r="W221" i="23" s="1"/>
  <c r="V1734" i="23"/>
  <c r="W1734" i="23" s="1"/>
  <c r="V602" i="23"/>
  <c r="W602" i="23" s="1"/>
  <c r="V106" i="23"/>
  <c r="W106" i="23" s="1"/>
  <c r="V644" i="23"/>
  <c r="W644" i="23" s="1"/>
  <c r="V191" i="23"/>
  <c r="W191" i="23" s="1"/>
  <c r="V246" i="23"/>
  <c r="W246" i="23" s="1"/>
  <c r="V1228" i="23"/>
  <c r="W1228" i="23" s="1"/>
  <c r="V878" i="23"/>
  <c r="W878" i="23" s="1"/>
  <c r="V664" i="23"/>
  <c r="W664" i="23" s="1"/>
  <c r="V1513" i="23"/>
  <c r="W1513" i="23" s="1"/>
  <c r="V900" i="23"/>
  <c r="W900" i="23" s="1"/>
  <c r="V695" i="23"/>
  <c r="W695" i="23" s="1"/>
  <c r="V1567" i="23"/>
  <c r="W1567" i="23" s="1"/>
  <c r="V796" i="23"/>
  <c r="W796" i="23" s="1"/>
  <c r="V813" i="23"/>
  <c r="W813" i="23" s="1"/>
  <c r="V1444" i="23"/>
  <c r="W1444" i="23" s="1"/>
  <c r="V612" i="23"/>
  <c r="W612" i="23" s="1"/>
  <c r="V1076" i="23"/>
  <c r="W1076" i="23" s="1"/>
  <c r="V108" i="23"/>
  <c r="W108" i="23" s="1"/>
  <c r="V74" i="23"/>
  <c r="W74" i="23" s="1"/>
  <c r="V1263" i="23"/>
  <c r="W1263" i="23" s="1"/>
  <c r="V1348" i="23"/>
  <c r="W1348" i="23" s="1"/>
  <c r="V59" i="23"/>
  <c r="W59" i="23" s="1"/>
  <c r="V1139" i="23"/>
  <c r="W1139" i="23" s="1"/>
  <c r="V1680" i="23"/>
  <c r="W1680" i="23" s="1"/>
  <c r="V1040" i="23"/>
  <c r="W1040" i="23" s="1"/>
  <c r="V502" i="23"/>
  <c r="W502" i="23" s="1"/>
  <c r="V160" i="23"/>
  <c r="W160" i="23" s="1"/>
  <c r="V1375" i="23"/>
  <c r="W1375" i="23" s="1"/>
  <c r="V1220" i="23"/>
  <c r="W1220" i="23" s="1"/>
  <c r="V1032" i="23"/>
  <c r="W1032" i="23" s="1"/>
  <c r="V23" i="23"/>
  <c r="W23" i="23" s="1"/>
  <c r="V1241" i="23"/>
  <c r="W1241" i="23" s="1"/>
  <c r="V1053" i="23"/>
  <c r="W1053" i="23" s="1"/>
  <c r="V1506" i="23"/>
  <c r="W1506" i="23" s="1"/>
  <c r="V1547" i="23"/>
  <c r="W1547" i="23" s="1"/>
  <c r="V1099" i="23"/>
  <c r="W1099" i="23" s="1"/>
  <c r="V301" i="23"/>
  <c r="W301" i="23" s="1"/>
  <c r="V1505" i="23"/>
  <c r="W1505" i="23" s="1"/>
  <c r="V1267" i="23"/>
  <c r="W1267" i="23" s="1"/>
  <c r="V1307" i="23"/>
  <c r="W1307" i="23" s="1"/>
  <c r="V521" i="23"/>
  <c r="W521" i="23" s="1"/>
  <c r="V9" i="23"/>
  <c r="W9" i="23" s="1"/>
  <c r="V357" i="23"/>
  <c r="W357" i="23" s="1"/>
  <c r="V1599" i="23"/>
  <c r="W1599" i="23" s="1"/>
  <c r="V1377" i="23"/>
  <c r="W1377" i="23" s="1"/>
  <c r="V330" i="23"/>
  <c r="W330" i="23" s="1"/>
  <c r="V90" i="23"/>
  <c r="W90" i="23" s="1"/>
  <c r="V1016" i="23"/>
  <c r="W1016" i="23" s="1"/>
  <c r="V315" i="23"/>
  <c r="W315" i="23" s="1"/>
  <c r="V373" i="23"/>
  <c r="W373" i="23" s="1"/>
  <c r="V1146" i="23"/>
  <c r="W1146" i="23" s="1"/>
  <c r="V1682" i="23"/>
  <c r="W1682" i="23" s="1"/>
  <c r="V758" i="23"/>
  <c r="W758" i="23" s="1"/>
  <c r="V727" i="23"/>
  <c r="W727" i="23" s="1"/>
  <c r="V397" i="23"/>
  <c r="W397" i="23" s="1"/>
  <c r="V77" i="23"/>
  <c r="W77" i="23" s="1"/>
  <c r="V1365" i="23"/>
  <c r="W1365" i="23" s="1"/>
  <c r="V832" i="23"/>
  <c r="W832" i="23" s="1"/>
  <c r="V111" i="23"/>
  <c r="W111" i="23" s="1"/>
  <c r="V1385" i="23"/>
  <c r="W1385" i="23" s="1"/>
  <c r="V484" i="23"/>
  <c r="W484" i="23" s="1"/>
  <c r="V1412" i="23"/>
  <c r="W1412" i="23" s="1"/>
  <c r="V98" i="23"/>
  <c r="W98" i="23" s="1"/>
  <c r="V409" i="23"/>
  <c r="W409" i="23" s="1"/>
  <c r="V1534" i="23"/>
  <c r="W1534" i="23" s="1"/>
  <c r="V1780" i="23"/>
  <c r="W1780" i="23" s="1"/>
  <c r="V871" i="23"/>
  <c r="W871" i="23" s="1"/>
  <c r="V1178" i="23"/>
  <c r="W1178" i="23" s="1"/>
  <c r="V696" i="23"/>
  <c r="W696" i="23" s="1"/>
  <c r="V1480" i="23"/>
  <c r="W1480" i="23" s="1"/>
  <c r="V839" i="23"/>
  <c r="W839" i="23" s="1"/>
  <c r="V508" i="23"/>
  <c r="W508" i="23" s="1"/>
  <c r="V188" i="23"/>
  <c r="W188" i="23" s="1"/>
  <c r="V1423" i="23"/>
  <c r="W1423" i="23" s="1"/>
  <c r="V1211" i="23"/>
  <c r="W1211" i="23" s="1"/>
  <c r="V1334" i="23"/>
  <c r="W1334" i="23" s="1"/>
  <c r="V893" i="23"/>
  <c r="W893" i="23" s="1"/>
  <c r="V590" i="23"/>
  <c r="W590" i="23" s="1"/>
  <c r="V699" i="23"/>
  <c r="W699" i="23" s="1"/>
  <c r="V889" i="23"/>
  <c r="W889" i="23" s="1"/>
  <c r="V1288" i="23"/>
  <c r="W1288" i="23" s="1"/>
  <c r="V1056" i="23"/>
  <c r="W1056" i="23" s="1"/>
  <c r="V873" i="23"/>
  <c r="W873" i="23" s="1"/>
  <c r="V688" i="23"/>
  <c r="W688" i="23" s="1"/>
  <c r="V369" i="23"/>
  <c r="W369" i="23" s="1"/>
  <c r="V1408" i="23"/>
  <c r="W1408" i="23" s="1"/>
  <c r="V406" i="23"/>
  <c r="W406" i="23" s="1"/>
  <c r="V851" i="23"/>
  <c r="W851" i="23" s="1"/>
  <c r="V430" i="23"/>
  <c r="W430" i="23" s="1"/>
  <c r="V144" i="23"/>
  <c r="W144" i="23" s="1"/>
  <c r="V1563" i="23"/>
  <c r="W1563" i="23" s="1"/>
  <c r="V233" i="23"/>
  <c r="W233" i="23" s="1"/>
  <c r="V579" i="23"/>
  <c r="W579" i="23" s="1"/>
  <c r="V1017" i="23"/>
  <c r="W1017" i="23" s="1"/>
  <c r="V1245" i="23"/>
  <c r="W1245" i="23" s="1"/>
  <c r="V391" i="23"/>
  <c r="W391" i="23" s="1"/>
  <c r="V1580" i="23"/>
  <c r="W1580" i="23" s="1"/>
  <c r="V1244" i="23"/>
  <c r="W1244" i="23" s="1"/>
  <c r="V12" i="23"/>
  <c r="W12" i="23" s="1"/>
  <c r="V324" i="23"/>
  <c r="W324" i="23" s="1"/>
  <c r="V1083" i="23"/>
  <c r="W1083" i="23" s="1"/>
  <c r="V182" i="23"/>
  <c r="W182" i="23" s="1"/>
  <c r="V1529" i="23"/>
  <c r="W1529" i="23" s="1"/>
  <c r="V1614" i="23"/>
  <c r="W1614" i="23" s="1"/>
  <c r="V586" i="23"/>
  <c r="W586" i="23" s="1"/>
  <c r="V613" i="23"/>
  <c r="W613" i="23" s="1"/>
  <c r="V805" i="23"/>
  <c r="W805" i="23" s="1"/>
  <c r="V571" i="23"/>
  <c r="W571" i="23" s="1"/>
  <c r="V966" i="23"/>
  <c r="W966" i="23" s="1"/>
  <c r="V163" i="23"/>
  <c r="W163" i="23" s="1"/>
  <c r="V1014" i="23"/>
  <c r="W1014" i="23" s="1"/>
  <c r="V1080" i="23"/>
  <c r="W1080" i="23" s="1"/>
  <c r="V874" i="23"/>
  <c r="W874" i="23" s="1"/>
  <c r="V657" i="23"/>
  <c r="W657" i="23" s="1"/>
  <c r="V1678" i="23"/>
  <c r="W1678" i="23" s="1"/>
  <c r="V1776" i="23"/>
  <c r="W1776" i="23" s="1"/>
  <c r="V689" i="23"/>
  <c r="W689" i="23" s="1"/>
  <c r="V838" i="23"/>
  <c r="W838" i="23" s="1"/>
  <c r="V610" i="23"/>
  <c r="W610" i="23" s="1"/>
  <c r="V1216" i="23"/>
  <c r="W1216" i="23" s="1"/>
  <c r="V1493" i="23"/>
  <c r="W1493" i="23" s="1"/>
  <c r="V1403" i="23"/>
  <c r="W1403" i="23" s="1"/>
  <c r="V1205" i="23"/>
  <c r="W1205" i="23" s="1"/>
  <c r="V248" i="23"/>
  <c r="W248" i="23" s="1"/>
  <c r="V1343" i="23"/>
  <c r="W1343" i="23" s="1"/>
  <c r="V955" i="23"/>
  <c r="W955" i="23" s="1"/>
  <c r="V954" i="23"/>
  <c r="W954" i="23" s="1"/>
  <c r="V768" i="23"/>
  <c r="W768" i="23" s="1"/>
  <c r="V1388" i="23"/>
  <c r="W1388" i="23" s="1"/>
  <c r="V1214" i="23"/>
  <c r="W1214" i="23" s="1"/>
  <c r="V1049" i="23"/>
  <c r="W1049" i="23" s="1"/>
  <c r="V861" i="23"/>
  <c r="W861" i="23" s="1"/>
  <c r="V1727" i="23"/>
  <c r="W1727" i="23" s="1"/>
  <c r="V918" i="23"/>
  <c r="W918" i="23" s="1"/>
  <c r="V1279" i="23"/>
  <c r="W1279" i="23" s="1"/>
  <c r="V597" i="23"/>
  <c r="W597" i="23" s="1"/>
  <c r="V46" i="23"/>
  <c r="W46" i="23" s="1"/>
  <c r="V1711" i="23"/>
  <c r="W1711" i="23" s="1"/>
  <c r="V894" i="23"/>
  <c r="W894" i="23" s="1"/>
  <c r="V716" i="23"/>
  <c r="W716" i="23" s="1"/>
  <c r="V412" i="23"/>
  <c r="W412" i="23" s="1"/>
  <c r="V489" i="23"/>
  <c r="W489" i="23" s="1"/>
  <c r="V1091" i="23"/>
  <c r="W1091" i="23" s="1"/>
  <c r="V1082" i="23"/>
  <c r="W1082" i="23" s="1"/>
  <c r="V1429" i="23"/>
  <c r="W1429" i="23" s="1"/>
  <c r="V1601" i="23"/>
  <c r="W1601" i="23" s="1"/>
  <c r="V1625" i="23"/>
  <c r="W1625" i="23" s="1"/>
  <c r="V1275" i="23"/>
  <c r="W1275" i="23" s="1"/>
  <c r="V446" i="23"/>
  <c r="W446" i="23" s="1"/>
  <c r="V341" i="23"/>
  <c r="W341" i="23" s="1"/>
  <c r="V338" i="23"/>
  <c r="W338" i="23" s="1"/>
  <c r="V438" i="23"/>
  <c r="W438" i="23" s="1"/>
  <c r="V455" i="23"/>
  <c r="W455" i="23" s="1"/>
  <c r="V623" i="23"/>
  <c r="W623" i="23" s="1"/>
  <c r="V299" i="23"/>
  <c r="W299" i="23" s="1"/>
  <c r="V1118" i="23"/>
  <c r="W1118" i="23" s="1"/>
  <c r="V733" i="23"/>
  <c r="W733" i="23" s="1"/>
  <c r="V827" i="23"/>
  <c r="W827" i="23" s="1"/>
  <c r="V823" i="23"/>
  <c r="W823" i="23" s="1"/>
  <c r="V965" i="23"/>
  <c r="W965" i="23" s="1"/>
  <c r="V419" i="23"/>
  <c r="W419" i="23" s="1"/>
  <c r="V1270" i="23"/>
  <c r="W1270" i="23" s="1"/>
  <c r="V1215" i="23"/>
  <c r="W1215" i="23" s="1"/>
  <c r="V1029" i="23"/>
  <c r="W1029" i="23" s="1"/>
  <c r="V1255" i="23"/>
  <c r="W1255" i="23" s="1"/>
  <c r="V220" i="23"/>
  <c r="W220" i="23" s="1"/>
  <c r="V1050" i="23"/>
  <c r="W1050" i="23" s="1"/>
  <c r="V1327" i="23"/>
  <c r="W1327" i="23" s="1"/>
  <c r="V1113" i="23"/>
  <c r="W1113" i="23" s="1"/>
  <c r="V385" i="23"/>
  <c r="W385" i="23" s="1"/>
  <c r="V459" i="23"/>
  <c r="W459" i="23" s="1"/>
  <c r="V1557" i="23"/>
  <c r="W1557" i="23" s="1"/>
  <c r="V755" i="23"/>
  <c r="W755" i="23" s="1"/>
  <c r="V1002" i="23"/>
  <c r="W1002" i="23" s="1"/>
  <c r="V326" i="23"/>
  <c r="W326" i="23" s="1"/>
  <c r="V1143" i="23"/>
  <c r="W1143" i="23" s="1"/>
  <c r="V1025" i="23"/>
  <c r="W1025" i="23" s="1"/>
  <c r="V383" i="23"/>
  <c r="W383" i="23" s="1"/>
  <c r="V7" i="23"/>
  <c r="W7" i="23" s="1"/>
  <c r="V210" i="23"/>
  <c r="W210" i="23" s="1"/>
  <c r="V1757" i="23"/>
  <c r="W1757" i="23" s="1"/>
  <c r="V1381" i="23"/>
  <c r="W1381" i="23" s="1"/>
  <c r="V1430" i="23"/>
  <c r="W1430" i="23" s="1"/>
  <c r="V365" i="23"/>
  <c r="W365" i="23" s="1"/>
  <c r="V1190" i="23"/>
  <c r="W1190" i="23" s="1"/>
  <c r="V1579" i="23"/>
  <c r="W1579" i="23" s="1"/>
  <c r="V1070" i="23"/>
  <c r="W1070" i="23" s="1"/>
  <c r="V881" i="23"/>
  <c r="W881" i="23" s="1"/>
  <c r="V58" i="23"/>
  <c r="W58" i="23" s="1"/>
  <c r="V62" i="23"/>
  <c r="W62" i="23" s="1"/>
  <c r="V236" i="23"/>
  <c r="W236" i="23" s="1"/>
  <c r="V1743" i="23"/>
  <c r="W1743" i="23" s="1"/>
  <c r="V1273" i="23"/>
  <c r="W1273" i="23" s="1"/>
  <c r="V1561" i="23"/>
  <c r="W1561" i="23" s="1"/>
  <c r="V678" i="23"/>
  <c r="W678" i="23" s="1"/>
  <c r="V594" i="23"/>
  <c r="W594" i="23" s="1"/>
  <c r="V950" i="23"/>
  <c r="W950" i="23" s="1"/>
  <c r="V1415" i="23"/>
  <c r="W1415" i="23" s="1"/>
  <c r="V1657" i="23"/>
  <c r="W1657" i="23" s="1"/>
  <c r="V811" i="23"/>
  <c r="W811" i="23" s="1"/>
  <c r="V15" i="23"/>
  <c r="W15" i="23" s="1"/>
  <c r="V82" i="23"/>
  <c r="W82" i="23" s="1"/>
  <c r="V1560" i="23"/>
  <c r="W1560" i="23" s="1"/>
  <c r="V801" i="23"/>
  <c r="W801" i="23" s="1"/>
  <c r="V1533" i="23"/>
  <c r="W1533" i="23" s="1"/>
  <c r="V1361" i="23"/>
  <c r="W1361" i="23" s="1"/>
  <c r="V1351" i="23"/>
  <c r="W1351" i="23" s="1"/>
  <c r="V1517" i="23"/>
  <c r="W1517" i="23" s="1"/>
  <c r="V1383" i="23"/>
  <c r="W1383" i="23" s="1"/>
  <c r="V1428" i="23"/>
  <c r="W1428" i="23" s="1"/>
  <c r="V992" i="23"/>
  <c r="W992" i="23" s="1"/>
  <c r="V1631" i="23"/>
  <c r="W1631" i="23" s="1"/>
  <c r="V1652" i="23"/>
  <c r="W1652" i="23" s="1"/>
  <c r="V1606" i="23"/>
  <c r="W1606" i="23" s="1"/>
  <c r="V1322" i="23"/>
  <c r="W1322" i="23" s="1"/>
  <c r="V1758" i="23"/>
  <c r="W1758" i="23" s="1"/>
  <c r="V1359" i="23"/>
  <c r="W1359" i="23" s="1"/>
  <c r="V702" i="23"/>
  <c r="W702" i="23" s="1"/>
  <c r="V1524" i="23"/>
  <c r="W1524" i="23" s="1"/>
  <c r="V1169" i="23"/>
  <c r="W1169" i="23" s="1"/>
  <c r="V467" i="23"/>
  <c r="W467" i="23" s="1"/>
  <c r="V1093" i="23"/>
  <c r="W1093" i="23" s="1"/>
  <c r="V1129" i="23"/>
  <c r="W1129" i="23" s="1"/>
  <c r="V104" i="23"/>
  <c r="W104" i="23" s="1"/>
  <c r="V368" i="23"/>
  <c r="W368" i="23" s="1"/>
  <c r="V286" i="23"/>
  <c r="W286" i="23" s="1"/>
  <c r="V86" i="23"/>
  <c r="W86" i="23" s="1"/>
  <c r="V888" i="23"/>
  <c r="W888" i="23" s="1"/>
  <c r="V186" i="23"/>
  <c r="W186" i="23" s="1"/>
  <c r="V1258" i="23"/>
  <c r="W1258" i="23" s="1"/>
  <c r="V274" i="23"/>
  <c r="W274" i="23" s="1"/>
  <c r="V1035" i="23"/>
  <c r="W1035" i="23" s="1"/>
  <c r="V380" i="23"/>
  <c r="W380" i="23" s="1"/>
  <c r="V635" i="23"/>
  <c r="W635" i="23" s="1"/>
  <c r="V1639" i="23"/>
  <c r="W1639" i="23" s="1"/>
  <c r="V1390" i="23"/>
  <c r="W1390" i="23" s="1"/>
  <c r="V458" i="23"/>
  <c r="W458" i="23" s="1"/>
  <c r="V723" i="23"/>
  <c r="W723" i="23" s="1"/>
  <c r="V1574" i="23"/>
  <c r="W1574" i="23" s="1"/>
  <c r="V1421" i="23"/>
  <c r="W1421" i="23" s="1"/>
  <c r="V471" i="23"/>
  <c r="W471" i="23" s="1"/>
  <c r="V1453" i="23"/>
  <c r="W1453" i="23" s="1"/>
  <c r="V1679" i="23"/>
  <c r="W1679" i="23" s="1"/>
  <c r="V722" i="23"/>
  <c r="W722" i="23" s="1"/>
  <c r="V1233" i="23"/>
  <c r="W1233" i="23" s="1"/>
  <c r="V1449" i="23"/>
  <c r="W1449" i="23" s="1"/>
  <c r="V909" i="23"/>
  <c r="W909" i="23" s="1"/>
  <c r="V685" i="23"/>
  <c r="W685" i="23" s="1"/>
  <c r="V367" i="23"/>
  <c r="W367" i="23" s="1"/>
  <c r="V1520" i="23"/>
  <c r="W1520" i="23" s="1"/>
  <c r="V1512" i="23"/>
  <c r="W1512" i="23" s="1"/>
  <c r="V375" i="23"/>
  <c r="W375" i="23" s="1"/>
  <c r="V184" i="23"/>
  <c r="W184" i="23" s="1"/>
  <c r="V884" i="23"/>
  <c r="W884" i="23" s="1"/>
  <c r="V976" i="23"/>
  <c r="W976" i="23" s="1"/>
  <c r="V781" i="23"/>
  <c r="W781" i="23" s="1"/>
  <c r="V141" i="23"/>
  <c r="W141" i="23" s="1"/>
  <c r="V1401" i="23"/>
  <c r="W1401" i="23" s="1"/>
  <c r="V1224" i="23"/>
  <c r="W1224" i="23" s="1"/>
  <c r="V308" i="23"/>
  <c r="W308" i="23" s="1"/>
  <c r="V1761" i="23"/>
  <c r="W1761" i="23" s="1"/>
  <c r="V927" i="23"/>
  <c r="W927" i="23" s="1"/>
  <c r="V1446" i="23"/>
  <c r="W1446" i="23" s="1"/>
  <c r="V1106" i="23"/>
  <c r="W1106" i="23" s="1"/>
  <c r="V1206" i="23"/>
  <c r="W1206" i="23" s="1"/>
  <c r="V322" i="23"/>
  <c r="W322" i="23" s="1"/>
  <c r="V1060" i="23"/>
  <c r="W1060" i="23" s="1"/>
  <c r="V1782" i="23"/>
  <c r="W1782" i="23" s="1"/>
  <c r="V1145" i="23"/>
  <c r="W1145" i="23" s="1"/>
  <c r="V1354" i="23"/>
  <c r="W1354" i="23" s="1"/>
  <c r="V693" i="23"/>
  <c r="W693" i="23" s="1"/>
  <c r="V1530" i="23"/>
  <c r="W1530" i="23" s="1"/>
  <c r="V1722" i="23"/>
  <c r="W1722" i="23" s="1"/>
  <c r="V1151" i="23"/>
  <c r="W1151" i="23" s="1"/>
  <c r="V810" i="23"/>
  <c r="W810" i="23" s="1"/>
  <c r="V986" i="23"/>
  <c r="W986" i="23" s="1"/>
  <c r="H10" i="10" a="1"/>
  <c r="H10" i="10" s="1"/>
  <c r="H45" i="10" a="1"/>
  <c r="H45" i="10" s="1"/>
  <c r="G10" i="10" a="1"/>
  <c r="G10" i="10" s="1"/>
  <c r="G45" i="10" a="1"/>
  <c r="G45" i="10" s="1"/>
  <c r="F10" i="10" a="1"/>
  <c r="F10" i="10" s="1"/>
  <c r="F45" i="10" a="1"/>
  <c r="F45" i="10" s="1"/>
  <c r="E10" i="10" a="1"/>
  <c r="E10" i="10" s="1"/>
  <c r="E45" i="10" a="1"/>
  <c r="E45" i="10" s="1"/>
  <c r="D10" i="10" a="1"/>
  <c r="D10" i="10" s="1"/>
  <c r="D33" i="10" s="1"/>
  <c r="D45" i="10" a="1"/>
  <c r="D45" i="10" s="1"/>
  <c r="B14" i="17"/>
  <c r="AJ9" i="23"/>
  <c r="AK9" i="23"/>
  <c r="AL9" i="23"/>
  <c r="B77" i="17"/>
  <c r="B75" i="17"/>
  <c r="B67" i="17"/>
  <c r="B63" i="17"/>
  <c r="B56" i="17"/>
  <c r="B47" i="17"/>
  <c r="B50" i="17" s="1"/>
  <c r="B46" i="17"/>
  <c r="B32" i="17"/>
  <c r="B36" i="17" s="1"/>
  <c r="B31" i="17"/>
  <c r="B23" i="17"/>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5" i="23"/>
  <c r="X6" i="23"/>
  <c r="X7" i="23"/>
  <c r="X8" i="23"/>
  <c r="X9" i="23"/>
  <c r="X10" i="23"/>
  <c r="X11" i="23"/>
  <c r="X4" i="23"/>
  <c r="R45" i="22" l="1"/>
  <c r="S45" i="22" s="1"/>
  <c r="T45" i="22" s="1"/>
  <c r="U45" i="22" s="1"/>
  <c r="V45" i="22" s="1"/>
  <c r="W45" i="22" s="1"/>
  <c r="X45" i="22" s="1"/>
  <c r="Y45" i="22" s="1"/>
  <c r="Z45" i="22" s="1"/>
  <c r="AA45" i="22" s="1"/>
  <c r="AB45" i="22" s="1"/>
  <c r="O71" i="22"/>
  <c r="Q87" i="22"/>
  <c r="H44" i="10"/>
  <c r="H43" i="10"/>
  <c r="F43" i="10"/>
  <c r="F44" i="10"/>
  <c r="G44" i="10"/>
  <c r="G43" i="10"/>
  <c r="E43" i="10"/>
  <c r="E44" i="10"/>
  <c r="D43" i="10"/>
  <c r="D44" i="10"/>
  <c r="AE3" i="23" a="1"/>
  <c r="B37" i="17"/>
  <c r="H37" i="10"/>
  <c r="H36" i="10"/>
  <c r="G36" i="10"/>
  <c r="G37" i="10"/>
  <c r="F36" i="10"/>
  <c r="F37" i="10"/>
  <c r="E36" i="10"/>
  <c r="E37" i="10"/>
  <c r="D36" i="10"/>
  <c r="D37" i="10"/>
  <c r="Z3" i="23"/>
  <c r="Y3" i="23" s="1"/>
  <c r="R88" i="22" l="1"/>
  <c r="R87" i="22" s="1"/>
  <c r="S87" i="22" s="1"/>
  <c r="T87" i="22" s="1"/>
  <c r="U87" i="22" s="1"/>
  <c r="V87" i="22" s="1"/>
  <c r="W87" i="22" s="1"/>
  <c r="X87" i="22" s="1"/>
  <c r="Y87" i="22" s="1"/>
  <c r="Z87" i="22" s="1"/>
  <c r="AA87" i="22" s="1"/>
  <c r="G88" i="22"/>
  <c r="G87" i="22" s="1"/>
  <c r="H87" i="22" s="1"/>
  <c r="I87" i="22" s="1"/>
  <c r="J87" i="22" s="1"/>
  <c r="K87" i="22" s="1"/>
  <c r="L87" i="22" s="1"/>
  <c r="M87" i="22" s="1"/>
  <c r="N87" i="22" s="1"/>
  <c r="O87" i="22" s="1"/>
  <c r="P87" i="22" s="1"/>
  <c r="AE3" i="23"/>
  <c r="AG8" i="23"/>
  <c r="AI4" i="23"/>
  <c r="AF5" i="23"/>
  <c r="AI5" i="23"/>
  <c r="AF6" i="23"/>
  <c r="AI6" i="23"/>
  <c r="AF7" i="23"/>
  <c r="AH6" i="23"/>
  <c r="AH8" i="23"/>
  <c r="AG4" i="23"/>
  <c r="AG5" i="23"/>
  <c r="AG6" i="23"/>
  <c r="AI7" i="23"/>
  <c r="AI8" i="23"/>
  <c r="AH4" i="23"/>
  <c r="AH5" i="23"/>
  <c r="AH7" i="23"/>
  <c r="AG7" i="23"/>
  <c r="AF4" i="23"/>
  <c r="AF8" i="23"/>
  <c r="H52" i="10"/>
  <c r="G52" i="10"/>
  <c r="F52" i="10"/>
  <c r="E52" i="10"/>
  <c r="D52" i="10"/>
  <c r="E10" i="22"/>
  <c r="F10" i="22"/>
  <c r="G10" i="22"/>
  <c r="G9" i="22"/>
  <c r="F9" i="22"/>
  <c r="E9" i="22"/>
  <c r="D10" i="22"/>
  <c r="D9" i="22"/>
  <c r="C10" i="22"/>
  <c r="C9" i="22"/>
  <c r="O9" i="22" l="1"/>
  <c r="Q9" i="22"/>
  <c r="P9" i="22"/>
  <c r="Q10" i="22"/>
  <c r="P10" i="22"/>
  <c r="O10" i="22"/>
  <c r="D8" i="22"/>
  <c r="C49" i="10"/>
  <c r="I49" i="10" l="1"/>
  <c r="J49" i="10" s="1"/>
  <c r="E8" i="22"/>
  <c r="F50" i="4"/>
  <c r="J40" i="1" s="1"/>
  <c r="O18" i="3"/>
  <c r="N18" i="3"/>
  <c r="M18" i="3"/>
  <c r="L18" i="3"/>
  <c r="K18" i="3"/>
  <c r="Q4" i="19"/>
  <c r="P4" i="19"/>
  <c r="O4" i="19"/>
  <c r="N4" i="19"/>
  <c r="M4" i="19"/>
  <c r="F8" i="22" l="1"/>
  <c r="I46" i="10"/>
  <c r="J46" i="10" s="1"/>
  <c r="E2" i="1"/>
  <c r="H22" i="10"/>
  <c r="G22" i="10"/>
  <c r="F22" i="10"/>
  <c r="E22" i="10"/>
  <c r="D22" i="10"/>
  <c r="C77" i="17"/>
  <c r="F53" i="1" s="1"/>
  <c r="D77" i="17"/>
  <c r="F52" i="1" s="1"/>
  <c r="E77" i="17"/>
  <c r="F51" i="1" s="1"/>
  <c r="F77" i="17"/>
  <c r="F50" i="1" s="1"/>
  <c r="G77" i="17"/>
  <c r="F49" i="1" s="1"/>
  <c r="H77" i="17"/>
  <c r="F48" i="1" s="1"/>
  <c r="I77" i="17"/>
  <c r="F47" i="1" s="1"/>
  <c r="J77" i="17"/>
  <c r="F46" i="1" s="1"/>
  <c r="K77" i="17"/>
  <c r="L77" i="17"/>
  <c r="M77" i="17"/>
  <c r="F54" i="1"/>
  <c r="G8" i="22" l="1"/>
  <c r="C21" i="1" a="1"/>
  <c r="C21" i="1" s="1"/>
  <c r="C20" i="1" a="1"/>
  <c r="C20" i="1" s="1"/>
  <c r="C8" i="10"/>
  <c r="AG12" i="23" l="1"/>
  <c r="B81" i="17"/>
  <c r="B82" i="17" s="1"/>
  <c r="M20" i="1" s="1"/>
  <c r="C45" i="10" a="1"/>
  <c r="C45" i="10" s="1"/>
  <c r="C44" i="10" s="1"/>
  <c r="I44" i="10" s="1"/>
  <c r="J44" i="10" s="1"/>
  <c r="G107" i="1"/>
  <c r="H8" i="22"/>
  <c r="L4" i="19"/>
  <c r="C10" i="10" a="1"/>
  <c r="C10" i="10" s="1"/>
  <c r="E28" i="10"/>
  <c r="L6" i="19"/>
  <c r="P9" i="19"/>
  <c r="P8" i="19"/>
  <c r="P7" i="19"/>
  <c r="P6" i="19"/>
  <c r="C23" i="17"/>
  <c r="B22" i="17" s="1"/>
  <c r="D23" i="17"/>
  <c r="E23" i="17"/>
  <c r="F23" i="17"/>
  <c r="G23" i="17"/>
  <c r="H23" i="17"/>
  <c r="I23" i="17"/>
  <c r="J23" i="17"/>
  <c r="K23" i="17"/>
  <c r="L23" i="17"/>
  <c r="M23" i="17"/>
  <c r="D21" i="4"/>
  <c r="D19" i="4" s="1"/>
  <c r="E21" i="4"/>
  <c r="E19" i="4" s="1"/>
  <c r="F21" i="4"/>
  <c r="F19" i="4" s="1"/>
  <c r="D24" i="4"/>
  <c r="C43" i="10" l="1"/>
  <c r="I8" i="22"/>
  <c r="D27" i="4"/>
  <c r="E27" i="4"/>
  <c r="J8" i="22" l="1"/>
  <c r="K75" i="17"/>
  <c r="L75" i="17"/>
  <c r="M75" i="17"/>
  <c r="J75" i="17"/>
  <c r="F31" i="4"/>
  <c r="E67" i="17"/>
  <c r="M63" i="17"/>
  <c r="E63" i="17"/>
  <c r="F63" i="17"/>
  <c r="G63" i="17"/>
  <c r="H63" i="17"/>
  <c r="I63" i="17"/>
  <c r="J63" i="17"/>
  <c r="F27" i="1"/>
  <c r="F21" i="1"/>
  <c r="D28" i="4"/>
  <c r="E28" i="4"/>
  <c r="F25" i="4"/>
  <c r="K8" i="22" l="1"/>
  <c r="D73" i="4"/>
  <c r="L8" i="22" l="1"/>
  <c r="G10" i="4"/>
  <c r="E75" i="17"/>
  <c r="F75" i="17"/>
  <c r="G75" i="17"/>
  <c r="H75" i="17"/>
  <c r="I75" i="17"/>
  <c r="E36" i="17"/>
  <c r="F46" i="17"/>
  <c r="C32" i="17"/>
  <c r="K50" i="17"/>
  <c r="D75" i="17"/>
  <c r="D31" i="4" s="1"/>
  <c r="C75" i="17"/>
  <c r="E31" i="4" s="1"/>
  <c r="D63" i="17"/>
  <c r="I22" i="17"/>
  <c r="K22" i="17"/>
  <c r="C8" i="19"/>
  <c r="M6" i="19"/>
  <c r="N6" i="19"/>
  <c r="O6" i="19"/>
  <c r="Q6" i="19"/>
  <c r="M7" i="19"/>
  <c r="N7" i="19"/>
  <c r="O7" i="19"/>
  <c r="Q7" i="19"/>
  <c r="M8" i="19"/>
  <c r="N8" i="19"/>
  <c r="O8" i="19"/>
  <c r="Q8" i="19"/>
  <c r="M9" i="19"/>
  <c r="N9" i="19"/>
  <c r="O9" i="19"/>
  <c r="Q9" i="19"/>
  <c r="L7" i="19"/>
  <c r="L8" i="19"/>
  <c r="L9" i="19"/>
  <c r="L17" i="3"/>
  <c r="M17" i="3"/>
  <c r="N17" i="3"/>
  <c r="O17" i="3"/>
  <c r="L19" i="3"/>
  <c r="M19" i="3"/>
  <c r="N19" i="3"/>
  <c r="O19" i="3"/>
  <c r="L20" i="3"/>
  <c r="M20" i="3"/>
  <c r="N20" i="3"/>
  <c r="O20" i="3"/>
  <c r="L21" i="3"/>
  <c r="M21" i="3"/>
  <c r="N21" i="3"/>
  <c r="O21" i="3"/>
  <c r="K19" i="3"/>
  <c r="K20" i="3"/>
  <c r="K21" i="3"/>
  <c r="K17" i="3"/>
  <c r="O5" i="3"/>
  <c r="N5" i="3"/>
  <c r="M5" i="3"/>
  <c r="L5" i="3"/>
  <c r="K5" i="3"/>
  <c r="E22" i="4"/>
  <c r="F22" i="4"/>
  <c r="E11" i="4"/>
  <c r="F11" i="4"/>
  <c r="D11" i="4"/>
  <c r="C63" i="17"/>
  <c r="D67" i="17"/>
  <c r="D25" i="4" s="1"/>
  <c r="M8" i="22" l="1"/>
  <c r="G39" i="4"/>
  <c r="G38" i="4"/>
  <c r="R8" i="19"/>
  <c r="R7" i="19"/>
  <c r="R6" i="19"/>
  <c r="R9" i="19"/>
  <c r="C6" i="19"/>
  <c r="D22" i="3"/>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7" i="10"/>
  <c r="E47" i="10"/>
  <c r="F47" i="10"/>
  <c r="G47" i="10"/>
  <c r="H47" i="10"/>
  <c r="G28" i="10"/>
  <c r="D11" i="10"/>
  <c r="D50" i="10" s="1"/>
  <c r="E11" i="10"/>
  <c r="E50" i="10" s="1"/>
  <c r="F11" i="10"/>
  <c r="F50" i="10" s="1"/>
  <c r="G11" i="10"/>
  <c r="G50" i="10" s="1"/>
  <c r="H11" i="10"/>
  <c r="H50" i="10" s="1"/>
  <c r="D13" i="10"/>
  <c r="E13" i="10"/>
  <c r="F13" i="10"/>
  <c r="G13" i="10"/>
  <c r="H13" i="10"/>
  <c r="D14" i="10"/>
  <c r="E14" i="10"/>
  <c r="F14" i="10"/>
  <c r="G14" i="10"/>
  <c r="H14" i="10"/>
  <c r="D15" i="10"/>
  <c r="E15" i="10"/>
  <c r="F15" i="10"/>
  <c r="G15" i="10"/>
  <c r="H15" i="10"/>
  <c r="D16" i="10"/>
  <c r="E16" i="10"/>
  <c r="F16" i="10"/>
  <c r="G16" i="10"/>
  <c r="H16" i="10"/>
  <c r="D17" i="10"/>
  <c r="E17" i="10"/>
  <c r="F17" i="10"/>
  <c r="G17" i="10"/>
  <c r="H17" i="10"/>
  <c r="D20" i="10"/>
  <c r="E20" i="10"/>
  <c r="F20" i="10"/>
  <c r="G20" i="10"/>
  <c r="H20" i="10"/>
  <c r="D21" i="10"/>
  <c r="E21" i="10"/>
  <c r="F21" i="10"/>
  <c r="G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E33" i="10"/>
  <c r="F33" i="10"/>
  <c r="G33" i="10"/>
  <c r="H33" i="10"/>
  <c r="D34" i="10"/>
  <c r="E34" i="10"/>
  <c r="F34" i="10"/>
  <c r="G34" i="10"/>
  <c r="H34" i="10"/>
  <c r="D35" i="10"/>
  <c r="E35" i="10"/>
  <c r="F35" i="10"/>
  <c r="G35" i="10"/>
  <c r="H35" i="10"/>
  <c r="C40" i="10"/>
  <c r="C39" i="10"/>
  <c r="C52" i="10"/>
  <c r="I9" i="10"/>
  <c r="I38" i="10"/>
  <c r="C72" i="10"/>
  <c r="C71" i="10"/>
  <c r="C68" i="10"/>
  <c r="B14" i="3"/>
  <c r="E22" i="3"/>
  <c r="F22" i="3"/>
  <c r="G22" i="3"/>
  <c r="H22" i="3"/>
  <c r="I22" i="3"/>
  <c r="E12" i="3"/>
  <c r="F12" i="3"/>
  <c r="G12" i="3"/>
  <c r="H12" i="3"/>
  <c r="I12" i="3"/>
  <c r="K16" i="3"/>
  <c r="L16" i="3" s="1"/>
  <c r="M16" i="3" s="1"/>
  <c r="N16" i="3" s="1"/>
  <c r="O16" i="3" s="1"/>
  <c r="P16" i="3" s="1"/>
  <c r="K4" i="3"/>
  <c r="L4" i="3" s="1"/>
  <c r="M4" i="3" s="1"/>
  <c r="N4" i="3" s="1"/>
  <c r="O4" i="3" s="1"/>
  <c r="P4" i="3" s="1"/>
  <c r="D16" i="3"/>
  <c r="E16" i="3" s="1"/>
  <c r="F16" i="3" s="1"/>
  <c r="G16" i="3" s="1"/>
  <c r="H16" i="3" s="1"/>
  <c r="I16" i="3" s="1"/>
  <c r="D4" i="3"/>
  <c r="E4" i="3" s="1"/>
  <c r="F4" i="3" s="1"/>
  <c r="G4" i="3" s="1"/>
  <c r="H4" i="3" s="1"/>
  <c r="I4" i="3" s="1"/>
  <c r="M74" i="16"/>
  <c r="L74" i="16"/>
  <c r="K74" i="16"/>
  <c r="J74" i="16"/>
  <c r="I74" i="16"/>
  <c r="H74" i="16"/>
  <c r="G74" i="16"/>
  <c r="F74" i="16"/>
  <c r="E74" i="16"/>
  <c r="D74" i="16"/>
  <c r="C74" i="16"/>
  <c r="B74" i="16"/>
  <c r="M73" i="16"/>
  <c r="L73" i="16"/>
  <c r="K73" i="16"/>
  <c r="J73" i="16"/>
  <c r="I73" i="16"/>
  <c r="H73" i="16"/>
  <c r="G73" i="16"/>
  <c r="F73" i="16"/>
  <c r="E73" i="16"/>
  <c r="D73" i="16"/>
  <c r="C73" i="16"/>
  <c r="B73" i="16"/>
  <c r="M72" i="16"/>
  <c r="L72" i="16"/>
  <c r="K72" i="16"/>
  <c r="J72" i="16"/>
  <c r="I72" i="16"/>
  <c r="H72" i="16"/>
  <c r="G72" i="16"/>
  <c r="F72" i="16"/>
  <c r="E72" i="16"/>
  <c r="D72" i="16"/>
  <c r="C72" i="16"/>
  <c r="B72" i="16"/>
  <c r="M70" i="16"/>
  <c r="L70" i="16"/>
  <c r="K70" i="16"/>
  <c r="J70" i="16"/>
  <c r="I70" i="16"/>
  <c r="H70" i="16"/>
  <c r="G70" i="16"/>
  <c r="F70" i="16"/>
  <c r="E70" i="16"/>
  <c r="D70" i="16"/>
  <c r="C70" i="16"/>
  <c r="B70" i="16"/>
  <c r="M69" i="16"/>
  <c r="L69" i="16"/>
  <c r="K69" i="16"/>
  <c r="J69" i="16"/>
  <c r="I69" i="16"/>
  <c r="H69" i="16"/>
  <c r="G69" i="16"/>
  <c r="F69" i="16"/>
  <c r="E69" i="16"/>
  <c r="D69" i="16"/>
  <c r="C69" i="16"/>
  <c r="B69" i="16"/>
  <c r="B23" i="16"/>
  <c r="AJ12" i="23" s="1"/>
  <c r="M62" i="16"/>
  <c r="L62" i="16"/>
  <c r="K62" i="16"/>
  <c r="J62" i="16"/>
  <c r="I62" i="16"/>
  <c r="H62" i="16"/>
  <c r="G62" i="16"/>
  <c r="F62" i="16"/>
  <c r="E62" i="16"/>
  <c r="D62" i="16"/>
  <c r="C62" i="16"/>
  <c r="B62" i="16"/>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M79" i="16"/>
  <c r="L79" i="16"/>
  <c r="K79" i="16"/>
  <c r="J79" i="16"/>
  <c r="I79" i="16"/>
  <c r="H79" i="16"/>
  <c r="G79" i="16"/>
  <c r="F79" i="16"/>
  <c r="E79" i="16"/>
  <c r="D79" i="16"/>
  <c r="C79" i="16"/>
  <c r="B79" i="16"/>
  <c r="M78" i="16"/>
  <c r="L78" i="16"/>
  <c r="K78" i="16"/>
  <c r="J78" i="16"/>
  <c r="I78" i="16"/>
  <c r="H78" i="16"/>
  <c r="G78" i="16"/>
  <c r="F78" i="16"/>
  <c r="E78" i="16"/>
  <c r="D78" i="16"/>
  <c r="C78" i="16"/>
  <c r="B78" i="16"/>
  <c r="M52" i="16"/>
  <c r="L52" i="16"/>
  <c r="J52" i="16"/>
  <c r="I52" i="16"/>
  <c r="H52" i="16"/>
  <c r="G52" i="16"/>
  <c r="F52" i="16"/>
  <c r="E52" i="16"/>
  <c r="D52" i="16"/>
  <c r="B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L49" i="16"/>
  <c r="K49" i="16"/>
  <c r="J49" i="16"/>
  <c r="I49" i="16"/>
  <c r="H49" i="16"/>
  <c r="G49" i="16"/>
  <c r="F49" i="16"/>
  <c r="E49" i="16"/>
  <c r="D49" i="16"/>
  <c r="C49" i="16"/>
  <c r="B49" i="16"/>
  <c r="B44" i="16"/>
  <c r="C70" i="10" s="1"/>
  <c r="M42" i="16"/>
  <c r="L42" i="16"/>
  <c r="K42" i="16"/>
  <c r="J42" i="16"/>
  <c r="I42" i="16"/>
  <c r="H42" i="16"/>
  <c r="G42" i="16"/>
  <c r="F42" i="16"/>
  <c r="E42" i="16"/>
  <c r="D42" i="16"/>
  <c r="C42" i="16"/>
  <c r="B42" i="16"/>
  <c r="C69" i="10" s="1"/>
  <c r="M41" i="16"/>
  <c r="L41" i="16"/>
  <c r="K41" i="16"/>
  <c r="J41" i="16"/>
  <c r="I41" i="16"/>
  <c r="H41" i="16"/>
  <c r="G41" i="16"/>
  <c r="F41" i="16"/>
  <c r="E41" i="16"/>
  <c r="D41" i="16"/>
  <c r="C41" i="16"/>
  <c r="B41" i="16"/>
  <c r="M40" i="16"/>
  <c r="L40" i="16"/>
  <c r="K40" i="16"/>
  <c r="J40" i="16"/>
  <c r="I40" i="16"/>
  <c r="H40" i="16"/>
  <c r="G40" i="16"/>
  <c r="F40" i="16"/>
  <c r="E40" i="16"/>
  <c r="D40" i="16"/>
  <c r="C40" i="16"/>
  <c r="B40" i="16"/>
  <c r="M39" i="16"/>
  <c r="M26" i="16" s="1"/>
  <c r="L39" i="16"/>
  <c r="K39" i="16"/>
  <c r="J39" i="16"/>
  <c r="I39" i="16"/>
  <c r="H39" i="16"/>
  <c r="G39" i="16"/>
  <c r="F39" i="16"/>
  <c r="E39" i="16"/>
  <c r="D39" i="16"/>
  <c r="C39" i="16"/>
  <c r="C110" i="22" s="1"/>
  <c r="B39" i="16"/>
  <c r="M33" i="16"/>
  <c r="L33" i="16"/>
  <c r="K33" i="16"/>
  <c r="J33" i="16"/>
  <c r="I33" i="16"/>
  <c r="H33" i="16"/>
  <c r="G33" i="16"/>
  <c r="F33" i="16"/>
  <c r="E33" i="16"/>
  <c r="D33" i="16"/>
  <c r="C33" i="16"/>
  <c r="B33" i="16"/>
  <c r="M32" i="16"/>
  <c r="L32" i="16"/>
  <c r="K32" i="16"/>
  <c r="J32" i="16"/>
  <c r="I32" i="16"/>
  <c r="H32" i="16"/>
  <c r="G32" i="16"/>
  <c r="F32" i="16"/>
  <c r="E32" i="16"/>
  <c r="D32" i="16"/>
  <c r="C32" i="16"/>
  <c r="B32" i="16"/>
  <c r="F23" i="4" s="1"/>
  <c r="M28" i="16"/>
  <c r="L28" i="16"/>
  <c r="K28" i="16"/>
  <c r="J28" i="16"/>
  <c r="I28" i="16"/>
  <c r="H28" i="16"/>
  <c r="G28" i="16"/>
  <c r="F28" i="16"/>
  <c r="E28" i="16"/>
  <c r="D28" i="16"/>
  <c r="C28" i="16"/>
  <c r="B28" i="16"/>
  <c r="M27" i="16"/>
  <c r="L27" i="16"/>
  <c r="K27" i="16"/>
  <c r="J27" i="16"/>
  <c r="I27" i="16"/>
  <c r="H27" i="16"/>
  <c r="G27" i="16"/>
  <c r="F27" i="16"/>
  <c r="E27" i="16"/>
  <c r="D27" i="16"/>
  <c r="C27" i="16"/>
  <c r="B27" i="16"/>
  <c r="M23" i="16"/>
  <c r="L23" i="16"/>
  <c r="K23" i="16"/>
  <c r="J23" i="16"/>
  <c r="I23" i="16"/>
  <c r="H23" i="16"/>
  <c r="G23" i="16"/>
  <c r="F23" i="16"/>
  <c r="E23" i="16"/>
  <c r="D23" i="16"/>
  <c r="D17" i="4" s="1"/>
  <c r="C23" i="16"/>
  <c r="E17" i="4" s="1"/>
  <c r="M21" i="16"/>
  <c r="L21" i="16"/>
  <c r="K21" i="16"/>
  <c r="J21" i="16"/>
  <c r="I21" i="16"/>
  <c r="H21" i="16"/>
  <c r="G21" i="16"/>
  <c r="F21" i="16"/>
  <c r="E21" i="16"/>
  <c r="D21" i="16"/>
  <c r="D16" i="4" s="1"/>
  <c r="C21" i="16"/>
  <c r="E16" i="4" s="1"/>
  <c r="B21" i="16"/>
  <c r="F16" i="4" s="1"/>
  <c r="M17" i="16"/>
  <c r="L17" i="16"/>
  <c r="K17" i="16"/>
  <c r="J17" i="16"/>
  <c r="I17" i="16"/>
  <c r="H17" i="16"/>
  <c r="G17" i="16"/>
  <c r="F17" i="16"/>
  <c r="E17" i="16"/>
  <c r="D17" i="16"/>
  <c r="C17" i="16"/>
  <c r="B17" i="16"/>
  <c r="M15" i="16"/>
  <c r="L15" i="16"/>
  <c r="K15" i="16"/>
  <c r="J15" i="16"/>
  <c r="I15" i="16"/>
  <c r="H15" i="16"/>
  <c r="G15" i="16"/>
  <c r="F15" i="16"/>
  <c r="E15" i="16"/>
  <c r="D15" i="16"/>
  <c r="D14" i="4" s="1"/>
  <c r="C15" i="16"/>
  <c r="E14" i="4" s="1"/>
  <c r="B15" i="16"/>
  <c r="F14" i="4" s="1"/>
  <c r="M14" i="16"/>
  <c r="L14" i="16"/>
  <c r="K14" i="16"/>
  <c r="J14" i="16"/>
  <c r="I14" i="16"/>
  <c r="H14" i="16"/>
  <c r="G14" i="16"/>
  <c r="F14" i="16"/>
  <c r="E14" i="16"/>
  <c r="D14" i="16"/>
  <c r="D13" i="4" s="1"/>
  <c r="C14" i="16"/>
  <c r="E13" i="4" s="1"/>
  <c r="C11" i="16"/>
  <c r="D11" i="16"/>
  <c r="D8" i="4" s="1"/>
  <c r="E11" i="16"/>
  <c r="F11" i="16"/>
  <c r="G11" i="16"/>
  <c r="H11" i="16"/>
  <c r="I11" i="16"/>
  <c r="J11" i="16"/>
  <c r="K11" i="16"/>
  <c r="L11" i="16"/>
  <c r="M11" i="16"/>
  <c r="B11" i="16"/>
  <c r="C7" i="16"/>
  <c r="D7" i="16"/>
  <c r="E7" i="16"/>
  <c r="F7" i="16"/>
  <c r="G7" i="16"/>
  <c r="H7" i="16"/>
  <c r="I7" i="16"/>
  <c r="J7" i="16"/>
  <c r="K7" i="16"/>
  <c r="L7" i="16"/>
  <c r="M7" i="16"/>
  <c r="B7" i="16"/>
  <c r="M5" i="16"/>
  <c r="L5" i="16"/>
  <c r="K5" i="16"/>
  <c r="J5" i="16"/>
  <c r="I5" i="16"/>
  <c r="H5" i="16"/>
  <c r="G5" i="16"/>
  <c r="F5" i="16"/>
  <c r="E5" i="16"/>
  <c r="D5" i="16"/>
  <c r="C5" i="16"/>
  <c r="B5" i="16"/>
  <c r="D68" i="16"/>
  <c r="E68" i="16"/>
  <c r="F68" i="16"/>
  <c r="G68" i="16"/>
  <c r="H68" i="16"/>
  <c r="I68" i="16"/>
  <c r="K68" i="16"/>
  <c r="M71" i="16"/>
  <c r="L71" i="16"/>
  <c r="K71" i="16"/>
  <c r="J71" i="16"/>
  <c r="I71" i="16"/>
  <c r="H71" i="16"/>
  <c r="G71" i="16"/>
  <c r="F71" i="16"/>
  <c r="E71" i="16"/>
  <c r="D71" i="16"/>
  <c r="C71" i="16"/>
  <c r="B71" i="16"/>
  <c r="B67" i="16"/>
  <c r="M75" i="16"/>
  <c r="L75" i="16"/>
  <c r="K75" i="16"/>
  <c r="J75" i="16"/>
  <c r="I75" i="16"/>
  <c r="H75" i="16"/>
  <c r="G75" i="16"/>
  <c r="F75" i="16"/>
  <c r="E75" i="16"/>
  <c r="D75" i="16"/>
  <c r="C75" i="16"/>
  <c r="M67" i="16"/>
  <c r="J67" i="16"/>
  <c r="I67" i="16"/>
  <c r="H67" i="16"/>
  <c r="G67" i="16"/>
  <c r="F67" i="16"/>
  <c r="E67" i="16"/>
  <c r="D67" i="16"/>
  <c r="C67" i="16"/>
  <c r="C36" i="17"/>
  <c r="C31" i="17"/>
  <c r="D31" i="17"/>
  <c r="E31" i="17"/>
  <c r="F31" i="17"/>
  <c r="G31" i="17"/>
  <c r="H31" i="17"/>
  <c r="I31" i="17"/>
  <c r="J31" i="17"/>
  <c r="K31" i="17"/>
  <c r="L31" i="17"/>
  <c r="M31" i="17"/>
  <c r="C44" i="16"/>
  <c r="B56" i="16"/>
  <c r="D50" i="17"/>
  <c r="D55" i="16" s="1"/>
  <c r="E50" i="17"/>
  <c r="E55" i="16" s="1"/>
  <c r="F50" i="17"/>
  <c r="F55" i="16" s="1"/>
  <c r="G50" i="17"/>
  <c r="H50" i="17"/>
  <c r="I50" i="17"/>
  <c r="J50" i="17"/>
  <c r="L50" i="17"/>
  <c r="M50" i="17"/>
  <c r="M55" i="16" s="1"/>
  <c r="B55" i="16"/>
  <c r="C46" i="17"/>
  <c r="C51" i="16" s="1"/>
  <c r="D46" i="17"/>
  <c r="D51" i="16" s="1"/>
  <c r="E46" i="17"/>
  <c r="G46" i="17"/>
  <c r="H46" i="17"/>
  <c r="I46" i="17"/>
  <c r="J46" i="17"/>
  <c r="J51" i="16" s="1"/>
  <c r="K46" i="17"/>
  <c r="L46" i="17"/>
  <c r="M46" i="17"/>
  <c r="B51" i="16"/>
  <c r="AB38" i="17"/>
  <c r="C65" i="10" l="1"/>
  <c r="B110" i="22"/>
  <c r="D43" i="4"/>
  <c r="D110" i="22"/>
  <c r="B19" i="3"/>
  <c r="B20" i="3"/>
  <c r="B21" i="3"/>
  <c r="B18" i="3"/>
  <c r="B58" i="16"/>
  <c r="AL12" i="23"/>
  <c r="D7" i="4"/>
  <c r="D12" i="4"/>
  <c r="E8" i="4"/>
  <c r="E7" i="4" s="1"/>
  <c r="C62" i="10"/>
  <c r="B17" i="3"/>
  <c r="H27" i="1" s="1"/>
  <c r="C37" i="17"/>
  <c r="I43" i="10"/>
  <c r="J43" i="10" s="1"/>
  <c r="D29" i="4"/>
  <c r="D30" i="4"/>
  <c r="E30" i="4"/>
  <c r="E29" i="4"/>
  <c r="F30" i="4"/>
  <c r="C61" i="10"/>
  <c r="F29" i="4"/>
  <c r="H10" i="4"/>
  <c r="G46" i="4"/>
  <c r="F45" i="4"/>
  <c r="F46" i="4"/>
  <c r="F47" i="4"/>
  <c r="H16" i="16"/>
  <c r="L58" i="16"/>
  <c r="M58" i="16"/>
  <c r="I58" i="16"/>
  <c r="J58" i="16"/>
  <c r="K58" i="16"/>
  <c r="E23" i="4"/>
  <c r="E24" i="4"/>
  <c r="F24" i="4"/>
  <c r="C66" i="10"/>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6" i="10"/>
  <c r="D23" i="4"/>
  <c r="E51" i="16"/>
  <c r="C54" i="10"/>
  <c r="C55" i="10"/>
  <c r="D58" i="16"/>
  <c r="D111" i="22" s="1"/>
  <c r="D15" i="4"/>
  <c r="C58" i="16"/>
  <c r="C111" i="22" s="1"/>
  <c r="G58" i="16"/>
  <c r="F58" i="16"/>
  <c r="E58" i="16"/>
  <c r="C60" i="10"/>
  <c r="C59" i="10"/>
  <c r="F8" i="4"/>
  <c r="M12" i="3"/>
  <c r="L12" i="3"/>
  <c r="O22" i="3"/>
  <c r="N22" i="3"/>
  <c r="M22" i="3"/>
  <c r="L22" i="3"/>
  <c r="K22" i="3"/>
  <c r="N12" i="3"/>
  <c r="O12" i="3"/>
  <c r="C24" i="10"/>
  <c r="D14" i="17"/>
  <c r="C14" i="17"/>
  <c r="F17" i="4"/>
  <c r="E5" i="4"/>
  <c r="C24" i="1"/>
  <c r="H58" i="16"/>
  <c r="H130" i="22" s="1"/>
  <c r="C57" i="10"/>
  <c r="E8" i="16"/>
  <c r="G8" i="16"/>
  <c r="M24" i="16"/>
  <c r="M25" i="16" s="1"/>
  <c r="L51" i="16"/>
  <c r="I16" i="16"/>
  <c r="L55" i="16"/>
  <c r="F51" i="16"/>
  <c r="L22" i="16"/>
  <c r="M51" i="16"/>
  <c r="K16" i="16"/>
  <c r="C16" i="16"/>
  <c r="E16" i="16"/>
  <c r="M16" i="16"/>
  <c r="F24" i="16"/>
  <c r="B8" i="16"/>
  <c r="J24" i="16"/>
  <c r="H55" i="16"/>
  <c r="G24" i="16"/>
  <c r="M8" i="16"/>
  <c r="G22" i="16"/>
  <c r="C24" i="16"/>
  <c r="K24" i="16"/>
  <c r="I55" i="16"/>
  <c r="L8" i="16"/>
  <c r="D8" i="16"/>
  <c r="J55" i="16"/>
  <c r="I8" i="16"/>
  <c r="K8" i="16"/>
  <c r="C8" i="16"/>
  <c r="F8" i="16"/>
  <c r="G16" i="16"/>
  <c r="G51" i="16"/>
  <c r="G55" i="16"/>
  <c r="E22" i="16"/>
  <c r="E24" i="16"/>
  <c r="B16" i="16"/>
  <c r="H51" i="16"/>
  <c r="J16" i="16"/>
  <c r="I51" i="16"/>
  <c r="I12" i="16"/>
  <c r="B24" i="16"/>
  <c r="J8" i="16"/>
  <c r="F12" i="16"/>
  <c r="B19" i="16"/>
  <c r="K51" i="16"/>
  <c r="C22" i="16"/>
  <c r="K22" i="16"/>
  <c r="D22" i="16"/>
  <c r="L24" i="16"/>
  <c r="L16" i="16"/>
  <c r="D12" i="16"/>
  <c r="H8" i="16"/>
  <c r="G12" i="16"/>
  <c r="D16" i="16"/>
  <c r="F22" i="16"/>
  <c r="D24" i="16"/>
  <c r="J12" i="16"/>
  <c r="F16" i="16"/>
  <c r="I22" i="16"/>
  <c r="H22" i="16"/>
  <c r="K12" i="16"/>
  <c r="C12" i="16"/>
  <c r="L12" i="16"/>
  <c r="B22" i="16"/>
  <c r="J22" i="16"/>
  <c r="M12" i="16"/>
  <c r="M13" i="16" s="1"/>
  <c r="M22" i="16"/>
  <c r="E12" i="16"/>
  <c r="H24" i="16"/>
  <c r="I24" i="16"/>
  <c r="B12" i="16"/>
  <c r="B2" i="3"/>
  <c r="C5" i="17"/>
  <c r="B4" i="16"/>
  <c r="L46" i="1"/>
  <c r="M46" i="1" s="1"/>
  <c r="B54" i="1"/>
  <c r="B53" i="1" s="1"/>
  <c r="B52" i="1" s="1"/>
  <c r="B51" i="1" s="1"/>
  <c r="B50" i="1" s="1"/>
  <c r="I26" i="10"/>
  <c r="C12" i="19"/>
  <c r="C13" i="19"/>
  <c r="C14" i="19"/>
  <c r="C15" i="19"/>
  <c r="C16" i="19"/>
  <c r="C17" i="19"/>
  <c r="C18" i="19"/>
  <c r="C19" i="19"/>
  <c r="C20" i="19"/>
  <c r="C21" i="19"/>
  <c r="C22" i="19"/>
  <c r="C7" i="19"/>
  <c r="C9" i="19"/>
  <c r="C10" i="19"/>
  <c r="I12" i="10"/>
  <c r="I40" i="10"/>
  <c r="J40" i="10" s="1"/>
  <c r="M22" i="17"/>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F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C22" i="1"/>
  <c r="D12" i="3"/>
  <c r="B8" i="3" s="1"/>
  <c r="C25" i="10" l="1"/>
  <c r="L110" i="22"/>
  <c r="D22" i="22" s="1"/>
  <c r="D58" i="4" s="1"/>
  <c r="B130" i="22"/>
  <c r="B131" i="22" s="1"/>
  <c r="B111" i="22"/>
  <c r="L111" i="22" s="1"/>
  <c r="D21" i="22" s="1"/>
  <c r="D57" i="4" s="1"/>
  <c r="Z13" i="17"/>
  <c r="Z14" i="17" s="1"/>
  <c r="H24" i="1"/>
  <c r="B9" i="3"/>
  <c r="H25" i="1" s="1"/>
  <c r="B6" i="3"/>
  <c r="H22" i="1" s="1"/>
  <c r="B7" i="3"/>
  <c r="H23" i="1" s="1"/>
  <c r="D5" i="17"/>
  <c r="D87" i="17" s="1"/>
  <c r="C87" i="17"/>
  <c r="E23" i="1"/>
  <c r="E24" i="1"/>
  <c r="E15" i="4"/>
  <c r="E12" i="4"/>
  <c r="C23" i="1"/>
  <c r="C25" i="1" s="1"/>
  <c r="AH12" i="23"/>
  <c r="AM12" i="23" s="1"/>
  <c r="C58" i="10"/>
  <c r="C22" i="10" s="1"/>
  <c r="C33" i="10"/>
  <c r="I25" i="10"/>
  <c r="J25" i="10" s="1"/>
  <c r="C47" i="10"/>
  <c r="I45" i="10"/>
  <c r="J45" i="10" s="1"/>
  <c r="E32" i="4"/>
  <c r="C31" i="10"/>
  <c r="C11" i="10"/>
  <c r="C50" i="10" s="1"/>
  <c r="B22" i="3"/>
  <c r="D32" i="4"/>
  <c r="D22" i="4"/>
  <c r="F35" i="4"/>
  <c r="D35" i="4"/>
  <c r="F32" i="4"/>
  <c r="C15" i="10"/>
  <c r="C13" i="10"/>
  <c r="E35" i="4"/>
  <c r="F7" i="4"/>
  <c r="C30" i="10"/>
  <c r="B59" i="16"/>
  <c r="C28" i="10"/>
  <c r="C14" i="10"/>
  <c r="C34" i="10"/>
  <c r="C16" i="10"/>
  <c r="D44" i="4"/>
  <c r="E44" i="4"/>
  <c r="F44" i="4"/>
  <c r="F26" i="4"/>
  <c r="F34" i="4" s="1"/>
  <c r="H13" i="16"/>
  <c r="G13" i="16"/>
  <c r="B60" i="16"/>
  <c r="D26" i="4"/>
  <c r="F12" i="4"/>
  <c r="F15" i="4"/>
  <c r="B5" i="3"/>
  <c r="K12" i="3"/>
  <c r="F5" i="4"/>
  <c r="C29" i="10"/>
  <c r="C27" i="10"/>
  <c r="B10" i="3"/>
  <c r="B11" i="3"/>
  <c r="M47" i="1"/>
  <c r="M55" i="1"/>
  <c r="M48" i="1"/>
  <c r="L50" i="1"/>
  <c r="L51" i="1"/>
  <c r="M50" i="1"/>
  <c r="L54" i="1"/>
  <c r="M51" i="1"/>
  <c r="L55" i="1"/>
  <c r="M52" i="1"/>
  <c r="M53" i="1"/>
  <c r="M54" i="1"/>
  <c r="L47" i="1"/>
  <c r="L53" i="1"/>
  <c r="L52" i="1"/>
  <c r="L48" i="1"/>
  <c r="K22" i="1"/>
  <c r="K24" i="1"/>
  <c r="K31" i="1"/>
  <c r="K30" i="1"/>
  <c r="K25" i="1"/>
  <c r="K23" i="1"/>
  <c r="E29" i="1"/>
  <c r="E28" i="1"/>
  <c r="B20" i="16"/>
  <c r="E22" i="1"/>
  <c r="E20" i="1"/>
  <c r="E21" i="1"/>
  <c r="L25" i="16"/>
  <c r="E25" i="16"/>
  <c r="I25" i="16"/>
  <c r="G25" i="16"/>
  <c r="D25" i="16"/>
  <c r="C13" i="16"/>
  <c r="B25" i="16"/>
  <c r="F25" i="16"/>
  <c r="E13" i="16"/>
  <c r="J25" i="16"/>
  <c r="H18" i="16"/>
  <c r="E18" i="16"/>
  <c r="L18" i="16"/>
  <c r="D56" i="16"/>
  <c r="K18" i="16"/>
  <c r="B18" i="16"/>
  <c r="G56" i="16"/>
  <c r="C18" i="16"/>
  <c r="C43" i="16"/>
  <c r="J56" i="16"/>
  <c r="F18" i="16"/>
  <c r="E56" i="16"/>
  <c r="B80" i="16"/>
  <c r="B43" i="16"/>
  <c r="K25" i="16"/>
  <c r="G18" i="16"/>
  <c r="B64" i="16"/>
  <c r="AK12" i="23" s="1"/>
  <c r="AJ13" i="23" s="1"/>
  <c r="H56" i="16"/>
  <c r="I18" i="16"/>
  <c r="B82" i="16"/>
  <c r="B81" i="16"/>
  <c r="J18" i="16"/>
  <c r="L56" i="16"/>
  <c r="M56" i="16"/>
  <c r="F56" i="16"/>
  <c r="I56" i="16"/>
  <c r="M18" i="16"/>
  <c r="D18"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B49" i="1"/>
  <c r="E5" i="17" l="1"/>
  <c r="F5" i="17" s="1"/>
  <c r="I50" i="10"/>
  <c r="J50" i="10" s="1"/>
  <c r="AN12" i="23"/>
  <c r="AM13" i="23" s="1"/>
  <c r="AM14" i="23" s="1"/>
  <c r="M42" i="1" s="1"/>
  <c r="F36" i="4"/>
  <c r="C74" i="10"/>
  <c r="C35" i="10" s="1"/>
  <c r="AJ14" i="23"/>
  <c r="M40" i="1" s="1"/>
  <c r="I27" i="10"/>
  <c r="J27" i="10" s="1"/>
  <c r="I30" i="10"/>
  <c r="J30" i="10" s="1"/>
  <c r="I15" i="10"/>
  <c r="J15" i="10" s="1"/>
  <c r="I11" i="10"/>
  <c r="J11" i="10" s="1"/>
  <c r="I29" i="10"/>
  <c r="J29" i="10" s="1"/>
  <c r="I31" i="10"/>
  <c r="J31" i="10" s="1"/>
  <c r="I47" i="10"/>
  <c r="J47" i="10" s="1"/>
  <c r="H21" i="1"/>
  <c r="D34" i="4"/>
  <c r="D36" i="4" s="1"/>
  <c r="M32" i="1"/>
  <c r="C41" i="10" s="1"/>
  <c r="B12" i="3"/>
  <c r="K27" i="1"/>
  <c r="K26" i="1"/>
  <c r="E25" i="1"/>
  <c r="I33" i="10"/>
  <c r="J33" i="10" s="1"/>
  <c r="C73" i="10"/>
  <c r="B34" i="16"/>
  <c r="M27" i="1"/>
  <c r="I24" i="10"/>
  <c r="J24" i="10" s="1"/>
  <c r="I16" i="10"/>
  <c r="J16" i="10" s="1"/>
  <c r="M24" i="1"/>
  <c r="B35" i="16"/>
  <c r="I14" i="10"/>
  <c r="J14" i="10" s="1"/>
  <c r="G4" i="16"/>
  <c r="B48" i="1"/>
  <c r="C18" i="10" l="1"/>
  <c r="K28" i="1" s="1"/>
  <c r="C37" i="10"/>
  <c r="C36" i="10"/>
  <c r="C17" i="10"/>
  <c r="I17" i="10" s="1"/>
  <c r="J17" i="10" s="1"/>
  <c r="I35" i="10"/>
  <c r="J35" i="10" s="1"/>
  <c r="I41" i="10"/>
  <c r="J41" i="10" s="1"/>
  <c r="G41" i="4"/>
  <c r="C21" i="10"/>
  <c r="C20" i="10"/>
  <c r="I19" i="10"/>
  <c r="B36" i="16"/>
  <c r="I10" i="10"/>
  <c r="J10" i="10" s="1"/>
  <c r="I22" i="10"/>
  <c r="J22" i="10" s="1"/>
  <c r="G5" i="17"/>
  <c r="H4" i="16"/>
  <c r="B47" i="1"/>
  <c r="I36" i="10" l="1"/>
  <c r="J36" i="10" s="1"/>
  <c r="I18" i="10"/>
  <c r="J18" i="10" s="1"/>
  <c r="I37" i="10"/>
  <c r="J37" i="10" s="1"/>
  <c r="I20" i="10"/>
  <c r="J20" i="10" s="1"/>
  <c r="I21" i="10"/>
  <c r="J21" i="10" s="1"/>
  <c r="E26" i="1"/>
  <c r="H5" i="17"/>
  <c r="I4" i="16"/>
  <c r="J4" i="16" s="1"/>
  <c r="B46" i="1"/>
  <c r="D46" i="1" s="1" a="1"/>
  <c r="D46" i="1" l="1"/>
  <c r="D58" i="1"/>
  <c r="H46" i="1" a="1"/>
  <c r="H46" i="1" s="1"/>
  <c r="C46" i="1" a="1"/>
  <c r="I5" i="17"/>
  <c r="C46" i="1" l="1"/>
  <c r="C55" i="1" s="1"/>
  <c r="J5" i="17"/>
  <c r="K4" i="16"/>
  <c r="K5" i="17" l="1"/>
  <c r="L4" i="16"/>
  <c r="L5" i="17" l="1"/>
  <c r="M4" i="16"/>
  <c r="M5" i="17" l="1"/>
  <c r="B91" i="16" s="1"/>
  <c r="D91" i="16"/>
  <c r="E91" i="16"/>
  <c r="M6" i="16" l="1"/>
  <c r="D34" i="16"/>
  <c r="K35" i="16"/>
  <c r="K36" i="16" s="1"/>
  <c r="I34" i="16"/>
  <c r="G9" i="16"/>
  <c r="G10" i="16" s="1"/>
  <c r="K19" i="16"/>
  <c r="I19" i="16"/>
  <c r="K9" i="16"/>
  <c r="K10" i="16" s="1"/>
  <c r="I9" i="16"/>
  <c r="I10" i="16" s="1"/>
  <c r="M26" i="1"/>
  <c r="I28" i="10"/>
  <c r="J28" i="10" s="1"/>
  <c r="C34" i="16"/>
  <c r="H58" i="1"/>
  <c r="E34" i="16"/>
  <c r="C91" i="16"/>
  <c r="F26" i="16"/>
  <c r="I6" i="16"/>
  <c r="K26" i="16"/>
  <c r="K29" i="16" s="1"/>
  <c r="J26" i="16"/>
  <c r="I35" i="16"/>
  <c r="I36" i="16" s="1"/>
  <c r="K34" i="16"/>
  <c r="I20" i="16" l="1"/>
  <c r="K20" i="16"/>
  <c r="D60" i="16"/>
  <c r="K60" i="16"/>
  <c r="I60" i="16"/>
  <c r="L34" i="16"/>
  <c r="M34" i="16"/>
  <c r="M19" i="16"/>
  <c r="M20" i="16" s="1"/>
  <c r="L6" i="16"/>
  <c r="M9" i="16"/>
  <c r="M10" i="16" s="1"/>
  <c r="M29" i="16"/>
  <c r="M30" i="16" s="1"/>
  <c r="M31" i="16" s="1"/>
  <c r="E26" i="16"/>
  <c r="E29" i="16" s="1"/>
  <c r="M35" i="16"/>
  <c r="M36" i="16" s="1"/>
  <c r="L26" i="16"/>
  <c r="L29" i="16" s="1"/>
  <c r="H55" i="1"/>
  <c r="R49" i="1"/>
  <c r="C35" i="16"/>
  <c r="C36" i="16" s="1"/>
  <c r="L35" i="16"/>
  <c r="L36" i="16" s="1"/>
  <c r="D26" i="16"/>
  <c r="D29" i="16" s="1"/>
  <c r="J35" i="16"/>
  <c r="J36" i="16" s="1"/>
  <c r="H34" i="16"/>
  <c r="C60" i="16"/>
  <c r="J34" i="16"/>
  <c r="G19" i="16"/>
  <c r="F35" i="16"/>
  <c r="F36" i="16" s="1"/>
  <c r="F29" i="16"/>
  <c r="G35" i="16"/>
  <c r="G36" i="16" s="1"/>
  <c r="J29" i="16"/>
  <c r="I26" i="16"/>
  <c r="I29" i="16" s="1"/>
  <c r="E9" i="16"/>
  <c r="E10" i="16" s="1"/>
  <c r="D6" i="16"/>
  <c r="D5" i="4" s="1"/>
  <c r="B6" i="16"/>
  <c r="C6" i="16"/>
  <c r="R54" i="1"/>
  <c r="R51" i="1"/>
  <c r="R50" i="1"/>
  <c r="J19" i="16"/>
  <c r="E35" i="16"/>
  <c r="E36" i="16" s="1"/>
  <c r="C26" i="16"/>
  <c r="C29" i="16" s="1"/>
  <c r="B26" i="16"/>
  <c r="B29" i="16" s="1"/>
  <c r="O50" i="1"/>
  <c r="F19" i="16"/>
  <c r="O49" i="1"/>
  <c r="H19" i="16"/>
  <c r="H131" i="22" s="1"/>
  <c r="C9" i="16"/>
  <c r="C10" i="16" s="1"/>
  <c r="C19" i="16"/>
  <c r="E19" i="16"/>
  <c r="D35" i="16"/>
  <c r="D36" i="16" s="1"/>
  <c r="G6" i="16"/>
  <c r="H9" i="16"/>
  <c r="H10" i="16" s="1"/>
  <c r="H6" i="16"/>
  <c r="J9" i="16"/>
  <c r="J10" i="16" s="1"/>
  <c r="J6" i="16"/>
  <c r="D19" i="16"/>
  <c r="H57" i="1"/>
  <c r="K6" i="16"/>
  <c r="L9" i="16"/>
  <c r="L10" i="16" s="1"/>
  <c r="G34" i="16"/>
  <c r="L19" i="16"/>
  <c r="D9" i="16"/>
  <c r="D10" i="16" s="1"/>
  <c r="G26" i="16"/>
  <c r="G29" i="16" s="1"/>
  <c r="H26" i="16"/>
  <c r="H29" i="16" s="1"/>
  <c r="E6" i="16"/>
  <c r="F9" i="16"/>
  <c r="F10" i="16" s="1"/>
  <c r="N50" i="1"/>
  <c r="F6" i="16"/>
  <c r="R48" i="1"/>
  <c r="H35" i="16"/>
  <c r="F34" i="16"/>
  <c r="L20" i="16" l="1"/>
  <c r="J20" i="16"/>
  <c r="H20" i="16"/>
  <c r="E46" i="1" a="1"/>
  <c r="E46" i="1" s="1"/>
  <c r="E31" i="1"/>
  <c r="G20" i="16"/>
  <c r="F20" i="16"/>
  <c r="E20" i="16"/>
  <c r="D20" i="16"/>
  <c r="I46" i="1" a="1"/>
  <c r="S51" i="1" s="1"/>
  <c r="B30" i="16"/>
  <c r="B31" i="16" s="1"/>
  <c r="I32" i="10" s="1"/>
  <c r="H36" i="16"/>
  <c r="K29" i="1"/>
  <c r="N55" i="1"/>
  <c r="C20" i="16"/>
  <c r="J60" i="16"/>
  <c r="M60" i="16"/>
  <c r="G60" i="16"/>
  <c r="F60" i="16"/>
  <c r="E60" i="16"/>
  <c r="L60" i="16"/>
  <c r="H60" i="16"/>
  <c r="C59" i="16"/>
  <c r="K30" i="16"/>
  <c r="K31" i="16" s="1"/>
  <c r="L30" i="16"/>
  <c r="L31" i="16" s="1"/>
  <c r="O47" i="1"/>
  <c r="O48" i="1"/>
  <c r="J30" i="16"/>
  <c r="J31" i="16" s="1"/>
  <c r="D30" i="16"/>
  <c r="D31" i="16" s="1"/>
  <c r="N47" i="1"/>
  <c r="N51" i="1"/>
  <c r="E30" i="16"/>
  <c r="E31" i="16" s="1"/>
  <c r="I30" i="16"/>
  <c r="I31" i="16" s="1"/>
  <c r="H30" i="16"/>
  <c r="H31" i="16" s="1"/>
  <c r="N49" i="1"/>
  <c r="N48" i="1"/>
  <c r="G30" i="16"/>
  <c r="G31" i="16" s="1"/>
  <c r="C30" i="16"/>
  <c r="C31" i="16" s="1"/>
  <c r="C57" i="1"/>
  <c r="F30" i="16"/>
  <c r="F31" i="16" s="1"/>
  <c r="O51" i="1"/>
  <c r="R53" i="1"/>
  <c r="R52" i="1"/>
  <c r="N52" i="1"/>
  <c r="O52" i="1"/>
  <c r="O53" i="1"/>
  <c r="C58" i="1"/>
  <c r="N54" i="1"/>
  <c r="N53" i="1"/>
  <c r="M31" i="1" l="1"/>
  <c r="E27" i="1"/>
  <c r="M57" i="1"/>
  <c r="S50" i="1"/>
  <c r="S49" i="1"/>
  <c r="I46" i="1"/>
  <c r="S54" i="1"/>
  <c r="S53" i="1"/>
  <c r="S52" i="1"/>
  <c r="L57" i="1"/>
  <c r="S48" i="1"/>
  <c r="Q50" i="1"/>
  <c r="Q51" i="1"/>
  <c r="Q52" i="1"/>
  <c r="Q48" i="1"/>
  <c r="M29" i="1"/>
  <c r="C56" i="1"/>
  <c r="F57" i="1"/>
  <c r="F55" i="1"/>
  <c r="F58" i="1"/>
  <c r="Q53" i="1"/>
  <c r="Q49" i="1"/>
  <c r="Q54" i="1"/>
  <c r="H56" i="1" l="1"/>
  <c r="F56" i="1"/>
  <c r="M25" i="1"/>
  <c r="D55" i="1" l="1"/>
  <c r="O55" i="1" s="1"/>
  <c r="B9" i="16"/>
  <c r="B10" i="16" s="1"/>
  <c r="L58" i="1" l="1"/>
  <c r="I34" i="10"/>
  <c r="J34" i="10" s="1"/>
  <c r="D57" i="1"/>
  <c r="M28" i="1"/>
  <c r="O54" i="1"/>
  <c r="D56" i="1" s="1"/>
  <c r="M58" i="1" l="1"/>
  <c r="I13" i="10"/>
  <c r="J13" i="10" s="1"/>
  <c r="F36" i="17" l="1"/>
  <c r="F37" i="17" s="1"/>
  <c r="J56" i="17"/>
  <c r="J36" i="17"/>
  <c r="J37" i="17" s="1"/>
  <c r="M44" i="16"/>
  <c r="M59" i="16" s="1"/>
  <c r="M36" i="17"/>
  <c r="M37" i="17" s="1"/>
  <c r="I44" i="16"/>
  <c r="I59" i="16" s="1"/>
  <c r="I36" i="17"/>
  <c r="I37" i="17" s="1"/>
  <c r="I43" i="16" s="1"/>
  <c r="E44" i="16"/>
  <c r="E59" i="16" s="1"/>
  <c r="E37" i="17"/>
  <c r="G36" i="17"/>
  <c r="G37" i="17" s="1"/>
  <c r="K36" i="17"/>
  <c r="K37" i="17" s="1"/>
  <c r="H56" i="17"/>
  <c r="H36" i="17"/>
  <c r="H37" i="17" s="1"/>
  <c r="L44" i="16"/>
  <c r="L59" i="16" s="1"/>
  <c r="L36" i="17"/>
  <c r="L37" i="17" s="1"/>
  <c r="L43" i="16" s="1"/>
  <c r="G56" i="17" l="1"/>
  <c r="G64" i="16" s="1"/>
  <c r="J44" i="16"/>
  <c r="J59" i="16" s="1"/>
  <c r="H64" i="16"/>
  <c r="K43" i="16"/>
  <c r="F43" i="16"/>
  <c r="J43" i="16"/>
  <c r="G43" i="16"/>
  <c r="M56" i="17"/>
  <c r="F56" i="17"/>
  <c r="K44" i="16"/>
  <c r="K59" i="16" s="1"/>
  <c r="F44" i="16"/>
  <c r="F59" i="16" s="1"/>
  <c r="G44" i="16"/>
  <c r="G59" i="16" s="1"/>
  <c r="H44" i="16"/>
  <c r="H59" i="16" s="1"/>
  <c r="L56" i="17"/>
  <c r="I56" i="17"/>
  <c r="M64" i="16" l="1"/>
  <c r="I64" i="16"/>
  <c r="M43" i="16"/>
  <c r="H43" i="16"/>
  <c r="E43" i="16"/>
  <c r="F64" i="16"/>
  <c r="J64" i="16"/>
  <c r="L64" i="16"/>
  <c r="E64" i="16"/>
  <c r="D36" i="17"/>
  <c r="D37" i="17" s="1"/>
  <c r="D56" i="17"/>
  <c r="D64" i="16" s="1"/>
  <c r="C56" i="17"/>
  <c r="C64" i="16" s="1"/>
  <c r="C56" i="16"/>
  <c r="C47" i="17"/>
  <c r="C50" i="17" s="1"/>
  <c r="D43" i="16" l="1"/>
  <c r="D44" i="16"/>
  <c r="D59" i="16" s="1"/>
  <c r="G46" i="1" s="1" a="1"/>
  <c r="G46" i="1" s="1"/>
  <c r="C55" i="16"/>
  <c r="C52" i="16"/>
  <c r="B68" i="16"/>
  <c r="L49" i="1" s="1"/>
  <c r="L56" i="1" s="1"/>
  <c r="B75" i="16"/>
  <c r="C68" i="16"/>
  <c r="M49" i="1" s="1"/>
  <c r="M56" i="1" s="1"/>
  <c r="C67" i="17"/>
  <c r="E25" i="4" s="1"/>
  <c r="E26" i="4" s="1"/>
  <c r="E34" i="4" s="1"/>
  <c r="E36" i="4" l="1"/>
  <c r="E43" i="4" s="1"/>
  <c r="F43" i="4" s="1"/>
  <c r="G13" i="4" s="1"/>
  <c r="K56" i="17"/>
  <c r="K56" i="16"/>
  <c r="K52" i="16"/>
  <c r="K55" i="16"/>
  <c r="K64" i="16" l="1"/>
  <c r="H38" i="4" l="1"/>
  <c r="H39" i="4"/>
  <c r="I10" i="4" l="1"/>
  <c r="I39" i="4" s="1"/>
  <c r="I38" i="4" l="1"/>
  <c r="J10" i="4" s="1"/>
  <c r="J39" i="4" l="1"/>
  <c r="J38" i="4"/>
  <c r="K10" i="4" s="1"/>
  <c r="K38" i="4" l="1"/>
  <c r="L10" i="4" s="1"/>
  <c r="K39" i="4"/>
  <c r="L39" i="4" l="1"/>
  <c r="L38" i="4"/>
  <c r="M10" i="4" s="1"/>
  <c r="M39" i="4" l="1"/>
  <c r="M38" i="4"/>
  <c r="N10" i="4" s="1"/>
  <c r="N38" i="4" l="1"/>
  <c r="O10" i="4" s="1"/>
  <c r="N39" i="4"/>
  <c r="O39" i="4" l="1"/>
  <c r="O38" i="4"/>
  <c r="P10" i="4" s="1"/>
  <c r="P38" i="4" l="1"/>
  <c r="Q10" i="4" s="1"/>
  <c r="P39" i="4"/>
  <c r="Q38" i="4" l="1"/>
  <c r="R10" i="4" s="1"/>
  <c r="Q39" i="4"/>
  <c r="R39" i="4" l="1"/>
  <c r="R38" i="4"/>
  <c r="S10" i="4" s="1"/>
  <c r="S39" i="4" l="1"/>
  <c r="S38" i="4"/>
  <c r="T10" i="4" s="1"/>
  <c r="T38" i="4" l="1"/>
  <c r="U10" i="4" s="1"/>
  <c r="T39" i="4" l="1"/>
  <c r="U39" i="4" l="1"/>
  <c r="U38" i="4"/>
  <c r="V10" i="4" s="1"/>
  <c r="V39" i="4" l="1"/>
  <c r="V38" i="4"/>
  <c r="W10" i="4" s="1"/>
  <c r="W38" i="4" l="1"/>
  <c r="X10" i="4" s="1"/>
  <c r="W39" i="4"/>
  <c r="X39" i="4" l="1"/>
  <c r="X38" i="4"/>
  <c r="Y10" i="4" s="1"/>
  <c r="Y38" i="4" l="1"/>
  <c r="Z10" i="4" s="1"/>
  <c r="Y39" i="4"/>
  <c r="Z39" i="4" l="1"/>
  <c r="Z38" i="4"/>
  <c r="AA10" i="4" s="1"/>
  <c r="AA39" i="4" l="1"/>
  <c r="AA38" i="4"/>
  <c r="AB10" i="4" s="1"/>
  <c r="AB38" i="4" l="1"/>
  <c r="AC10" i="4" s="1"/>
  <c r="AB39" i="4" l="1"/>
  <c r="AC39" i="4" l="1"/>
  <c r="AC38" i="4"/>
  <c r="AD10" i="4" s="1"/>
  <c r="AD39" i="4" l="1"/>
  <c r="AD38" i="4"/>
  <c r="AE10" i="4" s="1"/>
  <c r="AE38" i="4" l="1"/>
  <c r="AF10" i="4" s="1"/>
  <c r="AE39" i="4"/>
  <c r="AF39" i="4" l="1"/>
  <c r="AG39" i="4" s="1"/>
  <c r="AF38" i="4"/>
  <c r="AG38" i="4" s="1"/>
  <c r="K63" i="17" l="1"/>
  <c r="K67" i="16"/>
  <c r="L63" i="17"/>
  <c r="L67" i="16"/>
  <c r="J68" i="16"/>
  <c r="L68" i="16"/>
  <c r="M68" i="16"/>
  <c r="AH3" i="23" l="1"/>
  <c r="AI3" i="23" l="1"/>
  <c r="AG3" i="23"/>
  <c r="AF3" i="23"/>
  <c r="AN9" i="23" l="1"/>
  <c r="I39" i="10"/>
  <c r="J39" i="10" s="1"/>
  <c r="AF27" i="4"/>
  <c r="AE27" i="4"/>
  <c r="AD27" i="4"/>
  <c r="AC27" i="4"/>
  <c r="AB27" i="4"/>
  <c r="AA27" i="4"/>
  <c r="Z27" i="4"/>
  <c r="Y27" i="4"/>
  <c r="X27" i="4"/>
  <c r="W27" i="4"/>
  <c r="V27" i="4"/>
  <c r="U27" i="4"/>
  <c r="T27" i="4"/>
  <c r="S27" i="4"/>
  <c r="AF8" i="4"/>
  <c r="AE8" i="4"/>
  <c r="R27" i="4"/>
  <c r="AD8" i="4"/>
  <c r="AC8" i="4"/>
  <c r="Q27" i="4"/>
  <c r="AB8" i="4"/>
  <c r="AA8" i="4"/>
  <c r="P27" i="4"/>
  <c r="Z8" i="4"/>
  <c r="Y8" i="4"/>
  <c r="O27" i="4"/>
  <c r="X8" i="4"/>
  <c r="W8" i="4"/>
  <c r="N27" i="4"/>
  <c r="V8" i="4"/>
  <c r="U8" i="4"/>
  <c r="M27" i="4"/>
  <c r="T8" i="4"/>
  <c r="S8" i="4"/>
  <c r="L27" i="4"/>
  <c r="R8" i="4"/>
  <c r="Q8" i="4"/>
  <c r="K27" i="4"/>
  <c r="P8" i="4"/>
  <c r="O8" i="4"/>
  <c r="J27" i="4"/>
  <c r="N8" i="4"/>
  <c r="M8" i="4"/>
  <c r="I27" i="4"/>
  <c r="L8" i="4"/>
  <c r="K8" i="4"/>
  <c r="J8" i="4"/>
  <c r="I8" i="4"/>
  <c r="H27" i="4"/>
  <c r="G27" i="4"/>
  <c r="H8" i="4"/>
  <c r="AF23" i="4"/>
  <c r="AE23" i="4"/>
  <c r="AD23" i="4"/>
  <c r="AC23" i="4"/>
  <c r="AB23" i="4"/>
  <c r="AA23" i="4"/>
  <c r="Z23" i="4"/>
  <c r="Y23" i="4"/>
  <c r="X23" i="4"/>
  <c r="W23" i="4"/>
  <c r="V23" i="4"/>
  <c r="U23" i="4"/>
  <c r="T23" i="4"/>
  <c r="S23" i="4"/>
  <c r="R23" i="4"/>
  <c r="Q23" i="4"/>
  <c r="P23" i="4"/>
  <c r="O23" i="4"/>
  <c r="N23" i="4"/>
  <c r="M23" i="4"/>
  <c r="L23" i="4"/>
  <c r="K23" i="4"/>
  <c r="Q5" i="4"/>
  <c r="T5" i="4"/>
  <c r="W5" i="4"/>
  <c r="Z5" i="4"/>
  <c r="AC5" i="4"/>
  <c r="AF5" i="4"/>
  <c r="N5" i="4"/>
  <c r="K5" i="4"/>
  <c r="J23" i="4"/>
  <c r="G8" i="4"/>
  <c r="G12" i="4"/>
  <c r="G24" i="4"/>
  <c r="G11" i="4"/>
  <c r="G20" i="4" s="1"/>
  <c r="H11" i="4"/>
  <c r="H20" i="4" s="1"/>
  <c r="H24" i="4"/>
  <c r="H21" i="4"/>
  <c r="I11" i="4"/>
  <c r="I20" i="4" s="1"/>
  <c r="I24" i="4"/>
  <c r="I21" i="4"/>
  <c r="AF21" i="4"/>
  <c r="AF11" i="4"/>
  <c r="AF20" i="4" s="1"/>
  <c r="AF24" i="4"/>
  <c r="G23" i="4"/>
  <c r="G5" i="4"/>
  <c r="G26" i="4"/>
  <c r="H23" i="4"/>
  <c r="H5" i="4"/>
  <c r="H25" i="4"/>
  <c r="L5" i="4"/>
  <c r="O5" i="4"/>
  <c r="R5" i="4"/>
  <c r="U5" i="4"/>
  <c r="X5" i="4"/>
  <c r="AA5" i="4"/>
  <c r="AD5" i="4"/>
  <c r="I23" i="4"/>
  <c r="I5" i="4"/>
  <c r="I25" i="4"/>
  <c r="I26" i="4" s="1"/>
  <c r="V5" i="4"/>
  <c r="Y5" i="4"/>
  <c r="AB5" i="4"/>
  <c r="AE5" i="4"/>
  <c r="M5" i="4"/>
  <c r="P5" i="4"/>
  <c r="S5" i="4"/>
  <c r="J11" i="4"/>
  <c r="J20" i="4" s="1"/>
  <c r="J24" i="4"/>
  <c r="J21" i="4"/>
  <c r="K21" i="4"/>
  <c r="K24" i="4"/>
  <c r="K11" i="4"/>
  <c r="K20" i="4" s="1"/>
  <c r="L21" i="4"/>
  <c r="L24" i="4"/>
  <c r="L11" i="4"/>
  <c r="L20" i="4" s="1"/>
  <c r="M21" i="4"/>
  <c r="M24" i="4"/>
  <c r="M11" i="4"/>
  <c r="M20" i="4" s="1"/>
  <c r="N21" i="4"/>
  <c r="N24" i="4"/>
  <c r="N11" i="4"/>
  <c r="N20" i="4" s="1"/>
  <c r="O21" i="4"/>
  <c r="O24" i="4"/>
  <c r="O11" i="4"/>
  <c r="O20" i="4" s="1"/>
  <c r="P21" i="4"/>
  <c r="P24" i="4"/>
  <c r="P11" i="4"/>
  <c r="P20" i="4" s="1"/>
  <c r="Q21" i="4"/>
  <c r="Q24" i="4"/>
  <c r="Q11" i="4"/>
  <c r="Q20" i="4" s="1"/>
  <c r="R21" i="4"/>
  <c r="R24" i="4"/>
  <c r="R11" i="4"/>
  <c r="R20" i="4" s="1"/>
  <c r="S21" i="4"/>
  <c r="S24" i="4"/>
  <c r="S11" i="4"/>
  <c r="S20" i="4" s="1"/>
  <c r="T21" i="4"/>
  <c r="T24" i="4"/>
  <c r="T11" i="4"/>
  <c r="T20" i="4" s="1"/>
  <c r="U21" i="4"/>
  <c r="U24" i="4"/>
  <c r="U11" i="4"/>
  <c r="U20" i="4" s="1"/>
  <c r="V21" i="4"/>
  <c r="V24" i="4"/>
  <c r="V11" i="4"/>
  <c r="V20" i="4" s="1"/>
  <c r="W21" i="4"/>
  <c r="W24" i="4"/>
  <c r="W11" i="4"/>
  <c r="W20" i="4" s="1"/>
  <c r="X21" i="4"/>
  <c r="X24" i="4"/>
  <c r="X11" i="4"/>
  <c r="X20" i="4" s="1"/>
  <c r="Y21" i="4"/>
  <c r="Y24" i="4"/>
  <c r="Y11" i="4"/>
  <c r="Y20" i="4" s="1"/>
  <c r="Z21" i="4"/>
  <c r="Z24" i="4"/>
  <c r="Z11" i="4"/>
  <c r="Z20" i="4" s="1"/>
  <c r="AA21" i="4"/>
  <c r="AA24" i="4"/>
  <c r="AA11" i="4"/>
  <c r="AA20" i="4" s="1"/>
  <c r="AB21" i="4"/>
  <c r="AB24" i="4"/>
  <c r="AB11" i="4"/>
  <c r="AB20" i="4" s="1"/>
  <c r="AC21" i="4"/>
  <c r="AC24" i="4"/>
  <c r="AC11" i="4"/>
  <c r="AC20" i="4" s="1"/>
  <c r="AD21" i="4"/>
  <c r="AD24" i="4"/>
  <c r="AD11" i="4"/>
  <c r="AD20" i="4" s="1"/>
  <c r="AE21" i="4"/>
  <c r="AE24" i="4"/>
  <c r="J5" i="4"/>
  <c r="AE11" i="4"/>
  <c r="AE20" i="4" s="1"/>
  <c r="G44" i="4" l="1"/>
  <c r="G28" i="4" s="1"/>
  <c r="B155" i="22"/>
  <c r="J25" i="4"/>
  <c r="K25" i="4"/>
  <c r="H26" i="4"/>
  <c r="G14" i="4"/>
  <c r="G15" i="4" s="1"/>
  <c r="G16" i="4" s="1"/>
  <c r="G17" i="4" s="1"/>
  <c r="G31" i="4"/>
  <c r="G40" i="4"/>
  <c r="AG23" i="4"/>
  <c r="J26" i="4"/>
  <c r="K26" i="4"/>
  <c r="L25" i="4" l="1"/>
  <c r="M25" i="4"/>
  <c r="G19" i="4"/>
  <c r="G22" i="4" s="1"/>
  <c r="G34" i="4" s="1"/>
  <c r="G30" i="4"/>
  <c r="H9" i="4"/>
  <c r="H40" i="4"/>
  <c r="H31" i="4"/>
  <c r="H14" i="4"/>
  <c r="M26" i="4" l="1"/>
  <c r="L26" i="4"/>
  <c r="N25" i="4"/>
  <c r="I14" i="4"/>
  <c r="J14" i="4" s="1"/>
  <c r="I31" i="4"/>
  <c r="I40" i="4"/>
  <c r="I9" i="4"/>
  <c r="I12" i="4" s="1"/>
  <c r="H41" i="4"/>
  <c r="H12" i="4"/>
  <c r="G35" i="4"/>
  <c r="G36" i="4" s="1"/>
  <c r="G32" i="4"/>
  <c r="H44" i="4" l="1"/>
  <c r="H28" i="4" s="1"/>
  <c r="C155" i="22"/>
  <c r="I44" i="4"/>
  <c r="D155" i="22"/>
  <c r="G43" i="4"/>
  <c r="J31" i="4"/>
  <c r="K14" i="4"/>
  <c r="N26" i="4"/>
  <c r="O25" i="4"/>
  <c r="I41" i="4"/>
  <c r="I28" i="4"/>
  <c r="J40" i="4"/>
  <c r="J9" i="4"/>
  <c r="H13" i="4" l="1"/>
  <c r="H15" i="4" s="1"/>
  <c r="H16" i="4" s="1"/>
  <c r="H17" i="4" s="1"/>
  <c r="B154" i="22"/>
  <c r="B156" i="22" s="1"/>
  <c r="O26" i="4"/>
  <c r="P25" i="4"/>
  <c r="L14" i="4"/>
  <c r="K31" i="4"/>
  <c r="J12" i="4"/>
  <c r="K40" i="4"/>
  <c r="K9" i="4"/>
  <c r="J41" i="4"/>
  <c r="J44" i="4" l="1"/>
  <c r="J28" i="4" s="1"/>
  <c r="E155" i="22"/>
  <c r="H19" i="4"/>
  <c r="H22" i="4" s="1"/>
  <c r="H34" i="4" s="1"/>
  <c r="H30" i="4"/>
  <c r="L31" i="4"/>
  <c r="M14" i="4"/>
  <c r="P26" i="4"/>
  <c r="Q25" i="4"/>
  <c r="K41" i="4"/>
  <c r="K12" i="4"/>
  <c r="L40" i="4"/>
  <c r="L9" i="4"/>
  <c r="K44" i="4" l="1"/>
  <c r="K28" i="4" s="1"/>
  <c r="F155" i="22"/>
  <c r="H32" i="4"/>
  <c r="H35" i="4"/>
  <c r="H36" i="4" s="1"/>
  <c r="H43" i="4" s="1"/>
  <c r="Q26" i="4"/>
  <c r="R25" i="4"/>
  <c r="N14" i="4"/>
  <c r="M31" i="4"/>
  <c r="L12" i="4"/>
  <c r="M40" i="4"/>
  <c r="M9" i="4"/>
  <c r="L41" i="4"/>
  <c r="L44" i="4" l="1"/>
  <c r="L28" i="4" s="1"/>
  <c r="G155" i="22"/>
  <c r="I13" i="4"/>
  <c r="I15" i="4" s="1"/>
  <c r="I16" i="4" s="1"/>
  <c r="I17" i="4" s="1"/>
  <c r="C154" i="22"/>
  <c r="C156" i="22" s="1"/>
  <c r="N31" i="4"/>
  <c r="O14" i="4"/>
  <c r="R26" i="4"/>
  <c r="S25" i="4"/>
  <c r="M41" i="4"/>
  <c r="M12" i="4"/>
  <c r="N40" i="4"/>
  <c r="N9" i="4"/>
  <c r="M44" i="4" l="1"/>
  <c r="M28" i="4" s="1"/>
  <c r="H155" i="22"/>
  <c r="I19" i="4"/>
  <c r="I22" i="4" s="1"/>
  <c r="I34" i="4" s="1"/>
  <c r="I30" i="4"/>
  <c r="S26" i="4"/>
  <c r="T25" i="4"/>
  <c r="P14" i="4"/>
  <c r="O31" i="4"/>
  <c r="N12" i="4"/>
  <c r="O40" i="4"/>
  <c r="O9" i="4"/>
  <c r="N41" i="4"/>
  <c r="N44" i="4" l="1"/>
  <c r="N28" i="4" s="1"/>
  <c r="I155" i="22"/>
  <c r="I35" i="4"/>
  <c r="I36" i="4" s="1"/>
  <c r="I43" i="4" s="1"/>
  <c r="I32" i="4"/>
  <c r="P31" i="4"/>
  <c r="Q14" i="4"/>
  <c r="T26" i="4"/>
  <c r="U25" i="4"/>
  <c r="O41" i="4"/>
  <c r="O12" i="4"/>
  <c r="P40" i="4"/>
  <c r="P9" i="4"/>
  <c r="O44" i="4" l="1"/>
  <c r="O28" i="4" s="1"/>
  <c r="J155" i="22"/>
  <c r="J13" i="4"/>
  <c r="J15" i="4" s="1"/>
  <c r="J16" i="4" s="1"/>
  <c r="J17" i="4" s="1"/>
  <c r="D154" i="22"/>
  <c r="D156" i="22" s="1"/>
  <c r="U26" i="4"/>
  <c r="V25" i="4"/>
  <c r="R14" i="4"/>
  <c r="Q31" i="4"/>
  <c r="P12" i="4"/>
  <c r="Q40" i="4"/>
  <c r="Q9" i="4"/>
  <c r="P41" i="4"/>
  <c r="P44" i="4" l="1"/>
  <c r="P28" i="4" s="1"/>
  <c r="K155" i="22"/>
  <c r="J19" i="4"/>
  <c r="J22" i="4" s="1"/>
  <c r="J34" i="4" s="1"/>
  <c r="J29" i="4"/>
  <c r="J30" i="4"/>
  <c r="R31" i="4"/>
  <c r="S14" i="4"/>
  <c r="V26" i="4"/>
  <c r="W25" i="4"/>
  <c r="Q41" i="4"/>
  <c r="Q12" i="4"/>
  <c r="R40" i="4"/>
  <c r="R9" i="4"/>
  <c r="Q44" i="4" l="1"/>
  <c r="Q28" i="4" s="1"/>
  <c r="L155" i="22"/>
  <c r="J35" i="4"/>
  <c r="J36" i="4" s="1"/>
  <c r="J43" i="4" s="1"/>
  <c r="J32" i="4"/>
  <c r="W26" i="4"/>
  <c r="X25" i="4"/>
  <c r="T14" i="4"/>
  <c r="S31" i="4"/>
  <c r="R12" i="4"/>
  <c r="S40" i="4"/>
  <c r="S9" i="4"/>
  <c r="R41" i="4"/>
  <c r="R44" i="4" l="1"/>
  <c r="R28" i="4" s="1"/>
  <c r="M155" i="22"/>
  <c r="K13" i="4"/>
  <c r="K15" i="4" s="1"/>
  <c r="K16" i="4" s="1"/>
  <c r="K17" i="4" s="1"/>
  <c r="K29" i="4" s="1"/>
  <c r="E154" i="22"/>
  <c r="E156" i="22" s="1"/>
  <c r="T31" i="4"/>
  <c r="U14" i="4"/>
  <c r="X26" i="4"/>
  <c r="Y25" i="4"/>
  <c r="S41" i="4"/>
  <c r="S12" i="4"/>
  <c r="T40" i="4"/>
  <c r="T9" i="4"/>
  <c r="S44" i="4" l="1"/>
  <c r="S28" i="4" s="1"/>
  <c r="N155" i="22"/>
  <c r="K19" i="4"/>
  <c r="K22" i="4" s="1"/>
  <c r="K34" i="4" s="1"/>
  <c r="K30" i="4"/>
  <c r="Y26" i="4"/>
  <c r="Z25" i="4"/>
  <c r="V14" i="4"/>
  <c r="U31" i="4"/>
  <c r="T12" i="4"/>
  <c r="U40" i="4"/>
  <c r="U9" i="4"/>
  <c r="T41" i="4"/>
  <c r="T44" i="4" l="1"/>
  <c r="T28" i="4" s="1"/>
  <c r="O155" i="22"/>
  <c r="K35" i="4"/>
  <c r="K36" i="4" s="1"/>
  <c r="K43" i="4" s="1"/>
  <c r="K32" i="4"/>
  <c r="V31" i="4"/>
  <c r="W14" i="4"/>
  <c r="Z26" i="4"/>
  <c r="AA25" i="4"/>
  <c r="U41" i="4"/>
  <c r="U12" i="4"/>
  <c r="V40" i="4"/>
  <c r="V9" i="4"/>
  <c r="U44" i="4" l="1"/>
  <c r="U28" i="4" s="1"/>
  <c r="P155" i="22"/>
  <c r="L13" i="4"/>
  <c r="L15" i="4" s="1"/>
  <c r="L16" i="4" s="1"/>
  <c r="L17" i="4" s="1"/>
  <c r="L29" i="4" s="1"/>
  <c r="F154" i="22"/>
  <c r="F156" i="22" s="1"/>
  <c r="AA26" i="4"/>
  <c r="AB25" i="4"/>
  <c r="X14" i="4"/>
  <c r="W31" i="4"/>
  <c r="V12" i="4"/>
  <c r="W40" i="4"/>
  <c r="W9" i="4"/>
  <c r="V41" i="4"/>
  <c r="V44" i="4" l="1"/>
  <c r="V28" i="4" s="1"/>
  <c r="Q155" i="22"/>
  <c r="L19" i="4"/>
  <c r="L22" i="4" s="1"/>
  <c r="L34" i="4" s="1"/>
  <c r="L30" i="4"/>
  <c r="X31" i="4"/>
  <c r="Y14" i="4"/>
  <c r="AB26" i="4"/>
  <c r="AC25" i="4"/>
  <c r="W41" i="4"/>
  <c r="W12" i="4"/>
  <c r="X40" i="4"/>
  <c r="X9" i="4"/>
  <c r="W44" i="4" l="1"/>
  <c r="W28" i="4" s="1"/>
  <c r="R155" i="22"/>
  <c r="L35" i="4"/>
  <c r="L36" i="4" s="1"/>
  <c r="L43" i="4" s="1"/>
  <c r="L32" i="4"/>
  <c r="AC26" i="4"/>
  <c r="AD25" i="4"/>
  <c r="Z14" i="4"/>
  <c r="Y31" i="4"/>
  <c r="X12" i="4"/>
  <c r="Y40" i="4"/>
  <c r="Y9" i="4"/>
  <c r="X41" i="4"/>
  <c r="X44" i="4" l="1"/>
  <c r="X28" i="4" s="1"/>
  <c r="S155" i="22"/>
  <c r="M13" i="4"/>
  <c r="M15" i="4" s="1"/>
  <c r="M16" i="4" s="1"/>
  <c r="M17" i="4" s="1"/>
  <c r="M29" i="4" s="1"/>
  <c r="G154" i="22"/>
  <c r="G156" i="22" s="1"/>
  <c r="Z31" i="4"/>
  <c r="AA14" i="4"/>
  <c r="AD26" i="4"/>
  <c r="AE25" i="4"/>
  <c r="Y41" i="4"/>
  <c r="Y12" i="4"/>
  <c r="Z40" i="4"/>
  <c r="Z9" i="4"/>
  <c r="Y44" i="4" l="1"/>
  <c r="Y28" i="4" s="1"/>
  <c r="T155" i="22"/>
  <c r="M19" i="4"/>
  <c r="M22" i="4" s="1"/>
  <c r="M34" i="4" s="1"/>
  <c r="M30" i="4"/>
  <c r="AE26" i="4"/>
  <c r="AF25" i="4"/>
  <c r="AF26" i="4" s="1"/>
  <c r="AB14" i="4"/>
  <c r="AA31" i="4"/>
  <c r="Z12" i="4"/>
  <c r="AA40" i="4"/>
  <c r="AA9" i="4"/>
  <c r="Z41" i="4"/>
  <c r="Z44" i="4" l="1"/>
  <c r="Z28" i="4" s="1"/>
  <c r="U155" i="22"/>
  <c r="M35" i="4"/>
  <c r="M36" i="4" s="1"/>
  <c r="M43" i="4" s="1"/>
  <c r="M32" i="4"/>
  <c r="AB31" i="4"/>
  <c r="AC14" i="4"/>
  <c r="AA41" i="4"/>
  <c r="AA12" i="4"/>
  <c r="AB40" i="4"/>
  <c r="AB9" i="4"/>
  <c r="AA44" i="4" l="1"/>
  <c r="AA28" i="4" s="1"/>
  <c r="V155" i="22"/>
  <c r="N13" i="4"/>
  <c r="N15" i="4" s="1"/>
  <c r="N16" i="4" s="1"/>
  <c r="N17" i="4" s="1"/>
  <c r="N29" i="4" s="1"/>
  <c r="H154" i="22"/>
  <c r="H156" i="22" s="1"/>
  <c r="AD14" i="4"/>
  <c r="AC31" i="4"/>
  <c r="AB12" i="4"/>
  <c r="AC40" i="4"/>
  <c r="AC9" i="4"/>
  <c r="AB41" i="4"/>
  <c r="AB44" i="4" l="1"/>
  <c r="AB28" i="4" s="1"/>
  <c r="W155" i="22"/>
  <c r="N19" i="4"/>
  <c r="N22" i="4" s="1"/>
  <c r="N34" i="4" s="1"/>
  <c r="N30" i="4"/>
  <c r="AD31" i="4"/>
  <c r="AE14" i="4"/>
  <c r="AF14" i="4" s="1"/>
  <c r="AC41" i="4"/>
  <c r="AC12" i="4"/>
  <c r="AD40" i="4"/>
  <c r="AD9" i="4"/>
  <c r="AC44" i="4" l="1"/>
  <c r="AC28" i="4" s="1"/>
  <c r="X155" i="22"/>
  <c r="N35" i="4"/>
  <c r="N36" i="4" s="1"/>
  <c r="N43" i="4" s="1"/>
  <c r="N32" i="4"/>
  <c r="AE31" i="4"/>
  <c r="AF31" i="4" s="1"/>
  <c r="AD12" i="4"/>
  <c r="AE40" i="4"/>
  <c r="AE9" i="4"/>
  <c r="AD41" i="4"/>
  <c r="AD44" i="4" l="1"/>
  <c r="AD28" i="4" s="1"/>
  <c r="Y155" i="22"/>
  <c r="O13" i="4"/>
  <c r="O15" i="4" s="1"/>
  <c r="O16" i="4" s="1"/>
  <c r="O17" i="4" s="1"/>
  <c r="O29" i="4" s="1"/>
  <c r="I154" i="22"/>
  <c r="I156" i="22" s="1"/>
  <c r="AE41" i="4"/>
  <c r="AE12" i="4"/>
  <c r="AF9" i="4"/>
  <c r="AF40" i="4"/>
  <c r="AG40" i="4" s="1"/>
  <c r="AE44" i="4" l="1"/>
  <c r="AE28" i="4" s="1"/>
  <c r="Z155" i="22"/>
  <c r="O19" i="4"/>
  <c r="O22" i="4" s="1"/>
  <c r="O34" i="4" s="1"/>
  <c r="O30" i="4"/>
  <c r="AF12" i="4"/>
  <c r="AG9" i="4"/>
  <c r="AH24" i="4" s="1"/>
  <c r="AF41" i="4"/>
  <c r="AG41" i="4" s="1"/>
  <c r="AF44" i="4" l="1"/>
  <c r="AF28" i="4" s="1"/>
  <c r="AA155" i="22"/>
  <c r="O35" i="4"/>
  <c r="O36" i="4" s="1"/>
  <c r="O43" i="4" s="1"/>
  <c r="O32" i="4"/>
  <c r="P13" i="4" l="1"/>
  <c r="P15" i="4" s="1"/>
  <c r="P16" i="4" s="1"/>
  <c r="P17" i="4" s="1"/>
  <c r="P29" i="4" s="1"/>
  <c r="J154" i="22"/>
  <c r="J156" i="22" s="1"/>
  <c r="P19" i="4" l="1"/>
  <c r="P22" i="4" s="1"/>
  <c r="P34" i="4" s="1"/>
  <c r="P30" i="4"/>
  <c r="P35" i="4" l="1"/>
  <c r="P36" i="4" s="1"/>
  <c r="P43" i="4" s="1"/>
  <c r="P32" i="4"/>
  <c r="Q13" i="4" l="1"/>
  <c r="Q15" i="4" s="1"/>
  <c r="Q16" i="4" s="1"/>
  <c r="Q17" i="4" s="1"/>
  <c r="Q29" i="4" s="1"/>
  <c r="K154" i="22"/>
  <c r="K156" i="22" s="1"/>
  <c r="Q19" i="4" l="1"/>
  <c r="Q22" i="4" s="1"/>
  <c r="Q34" i="4" s="1"/>
  <c r="Q30" i="4"/>
  <c r="Q35" i="4" l="1"/>
  <c r="Q36" i="4" s="1"/>
  <c r="Q43" i="4" s="1"/>
  <c r="Q32" i="4"/>
  <c r="R13" i="4" l="1"/>
  <c r="R15" i="4" s="1"/>
  <c r="R16" i="4" s="1"/>
  <c r="R17" i="4" s="1"/>
  <c r="R29" i="4" s="1"/>
  <c r="L154" i="22"/>
  <c r="L156" i="22" s="1"/>
  <c r="R19" i="4" l="1"/>
  <c r="R22" i="4" s="1"/>
  <c r="R34" i="4" s="1"/>
  <c r="R30" i="4"/>
  <c r="R35" i="4" l="1"/>
  <c r="R32" i="4"/>
  <c r="R36" i="4"/>
  <c r="R43" i="4" s="1"/>
  <c r="S13" i="4" l="1"/>
  <c r="S15" i="4" s="1"/>
  <c r="S16" i="4" s="1"/>
  <c r="S17" i="4" s="1"/>
  <c r="S29" i="4" s="1"/>
  <c r="M154" i="22"/>
  <c r="M156" i="22" s="1"/>
  <c r="S19" i="4" l="1"/>
  <c r="S22" i="4" s="1"/>
  <c r="S34" i="4" s="1"/>
  <c r="S30" i="4"/>
  <c r="S35" i="4" l="1"/>
  <c r="S36" i="4" s="1"/>
  <c r="S43" i="4" s="1"/>
  <c r="S32" i="4"/>
  <c r="T13" i="4" l="1"/>
  <c r="T15" i="4" s="1"/>
  <c r="T16" i="4" s="1"/>
  <c r="T17" i="4" s="1"/>
  <c r="T29" i="4" s="1"/>
  <c r="N154" i="22"/>
  <c r="N156" i="22" s="1"/>
  <c r="T19" i="4" l="1"/>
  <c r="T22" i="4" s="1"/>
  <c r="T34" i="4" s="1"/>
  <c r="T30" i="4"/>
  <c r="T35" i="4" l="1"/>
  <c r="T32" i="4"/>
  <c r="T36" i="4"/>
  <c r="T43" i="4" s="1"/>
  <c r="U13" i="4" l="1"/>
  <c r="U15" i="4" s="1"/>
  <c r="U16" i="4" s="1"/>
  <c r="U17" i="4" s="1"/>
  <c r="U29" i="4" s="1"/>
  <c r="O154" i="22"/>
  <c r="O156" i="22" s="1"/>
  <c r="U19" i="4" l="1"/>
  <c r="U22" i="4" s="1"/>
  <c r="U34" i="4" s="1"/>
  <c r="U30" i="4"/>
  <c r="U35" i="4" l="1"/>
  <c r="U36" i="4" s="1"/>
  <c r="U43" i="4" s="1"/>
  <c r="U32" i="4"/>
  <c r="V13" i="4" l="1"/>
  <c r="V15" i="4" s="1"/>
  <c r="V16" i="4" s="1"/>
  <c r="V17" i="4" s="1"/>
  <c r="P154" i="22"/>
  <c r="P156" i="22" s="1"/>
  <c r="V19" i="4" l="1"/>
  <c r="V22" i="4" s="1"/>
  <c r="V34" i="4" s="1"/>
  <c r="V29" i="4"/>
  <c r="V30" i="4"/>
  <c r="V35" i="4" l="1"/>
  <c r="V32" i="4"/>
  <c r="V36" i="4"/>
  <c r="V43" i="4" s="1"/>
  <c r="W13" i="4" l="1"/>
  <c r="W15" i="4" s="1"/>
  <c r="W16" i="4" s="1"/>
  <c r="W17" i="4" s="1"/>
  <c r="Q154" i="22"/>
  <c r="Q156" i="22" s="1"/>
  <c r="W19" i="4" l="1"/>
  <c r="W22" i="4" s="1"/>
  <c r="W34" i="4" s="1"/>
  <c r="W29" i="4"/>
  <c r="W30" i="4"/>
  <c r="W35" i="4" l="1"/>
  <c r="W32" i="4"/>
  <c r="W36" i="4"/>
  <c r="W43" i="4" s="1"/>
  <c r="X13" i="4" l="1"/>
  <c r="X15" i="4" s="1"/>
  <c r="X16" i="4" s="1"/>
  <c r="X17" i="4" s="1"/>
  <c r="R154" i="22"/>
  <c r="R156" i="22" s="1"/>
  <c r="X19" i="4" l="1"/>
  <c r="X22" i="4" s="1"/>
  <c r="X34" i="4" s="1"/>
  <c r="X29" i="4"/>
  <c r="X30" i="4"/>
  <c r="X35" i="4" l="1"/>
  <c r="X36" i="4" s="1"/>
  <c r="X43" i="4" s="1"/>
  <c r="X32" i="4"/>
  <c r="Y13" i="4" l="1"/>
  <c r="Y15" i="4" s="1"/>
  <c r="Y16" i="4" s="1"/>
  <c r="Y17" i="4" s="1"/>
  <c r="S154" i="22"/>
  <c r="S156" i="22" s="1"/>
  <c r="Y19" i="4" l="1"/>
  <c r="Y22" i="4" s="1"/>
  <c r="Y34" i="4" s="1"/>
  <c r="Y29" i="4"/>
  <c r="Y30" i="4"/>
  <c r="Y35" i="4" l="1"/>
  <c r="Y36" i="4" s="1"/>
  <c r="Y43" i="4" s="1"/>
  <c r="Y32" i="4"/>
  <c r="Z13" i="4" l="1"/>
  <c r="Z15" i="4" s="1"/>
  <c r="Z16" i="4" s="1"/>
  <c r="Z17" i="4" s="1"/>
  <c r="T154" i="22"/>
  <c r="T156" i="22" s="1"/>
  <c r="Z19" i="4" l="1"/>
  <c r="Z22" i="4" s="1"/>
  <c r="Z34" i="4" s="1"/>
  <c r="Z29" i="4"/>
  <c r="Z30" i="4"/>
  <c r="Z35" i="4" l="1"/>
  <c r="Z32" i="4"/>
  <c r="Z36" i="4"/>
  <c r="Z43" i="4" s="1"/>
  <c r="AA13" i="4" l="1"/>
  <c r="AA15" i="4" s="1"/>
  <c r="AA16" i="4" s="1"/>
  <c r="AA17" i="4" s="1"/>
  <c r="U154" i="22"/>
  <c r="U156" i="22" s="1"/>
  <c r="AA19" i="4" l="1"/>
  <c r="AA22" i="4" s="1"/>
  <c r="AA34" i="4" s="1"/>
  <c r="AA29" i="4"/>
  <c r="AA30" i="4"/>
  <c r="AA35" i="4" l="1"/>
  <c r="AA36" i="4" s="1"/>
  <c r="AA43" i="4" s="1"/>
  <c r="AA32" i="4"/>
  <c r="AB13" i="4" l="1"/>
  <c r="AB15" i="4" s="1"/>
  <c r="AB16" i="4" s="1"/>
  <c r="AB17" i="4" s="1"/>
  <c r="V154" i="22"/>
  <c r="V156" i="22" s="1"/>
  <c r="AB19" i="4" l="1"/>
  <c r="AB22" i="4" s="1"/>
  <c r="AB34" i="4" s="1"/>
  <c r="AB29" i="4"/>
  <c r="AB30" i="4"/>
  <c r="AB35" i="4" l="1"/>
  <c r="AB32" i="4"/>
  <c r="AB36" i="4"/>
  <c r="AB43" i="4" s="1"/>
  <c r="AC13" i="4" l="1"/>
  <c r="AC15" i="4" s="1"/>
  <c r="AC16" i="4" s="1"/>
  <c r="AC17" i="4" s="1"/>
  <c r="W154" i="22"/>
  <c r="W156" i="22" s="1"/>
  <c r="AC19" i="4" l="1"/>
  <c r="AC22" i="4" s="1"/>
  <c r="AC34" i="4" s="1"/>
  <c r="AC29" i="4"/>
  <c r="AC30" i="4"/>
  <c r="AC35" i="4" l="1"/>
  <c r="AC32" i="4"/>
  <c r="AC36" i="4"/>
  <c r="AC43" i="4" s="1"/>
  <c r="AD13" i="4" l="1"/>
  <c r="AD15" i="4" s="1"/>
  <c r="AD16" i="4" s="1"/>
  <c r="AD17" i="4" s="1"/>
  <c r="X154" i="22"/>
  <c r="X156" i="22" s="1"/>
  <c r="AD19" i="4" l="1"/>
  <c r="AD22" i="4" s="1"/>
  <c r="AD34" i="4" s="1"/>
  <c r="AD29" i="4"/>
  <c r="AD30" i="4"/>
  <c r="AD35" i="4" l="1"/>
  <c r="AD32" i="4"/>
  <c r="AD36" i="4"/>
  <c r="AD43" i="4" s="1"/>
  <c r="AE13" i="4" l="1"/>
  <c r="AE15" i="4" s="1"/>
  <c r="AE16" i="4" s="1"/>
  <c r="AE17" i="4" s="1"/>
  <c r="Y154" i="22"/>
  <c r="Y156" i="22" s="1"/>
  <c r="AE19" i="4" l="1"/>
  <c r="AE22" i="4" s="1"/>
  <c r="AE34" i="4" s="1"/>
  <c r="AE29" i="4"/>
  <c r="AE30" i="4"/>
  <c r="AE35" i="4" l="1"/>
  <c r="AE36" i="4" s="1"/>
  <c r="AE43" i="4" s="1"/>
  <c r="AE32" i="4"/>
  <c r="AF13" i="4" l="1"/>
  <c r="AF15" i="4" s="1"/>
  <c r="AF16" i="4" s="1"/>
  <c r="AF17" i="4" s="1"/>
  <c r="Z154" i="22"/>
  <c r="Z156" i="22" s="1"/>
  <c r="AF19" i="4" l="1"/>
  <c r="AF22" i="4" s="1"/>
  <c r="AF34" i="4" s="1"/>
  <c r="AF29" i="4"/>
  <c r="AF30" i="4"/>
  <c r="AF35" i="4" l="1"/>
  <c r="AF32" i="4"/>
  <c r="D71" i="4"/>
  <c r="AF36" i="4"/>
  <c r="AF43" i="4" s="1"/>
  <c r="AA154" i="22" s="1"/>
  <c r="AA156" i="22" s="1"/>
  <c r="D78" i="4" l="1"/>
  <c r="D70" i="4"/>
  <c r="D77" i="4"/>
  <c r="D72" i="4" l="1"/>
  <c r="E70" i="4" s="1"/>
  <c r="D75" i="4" l="1"/>
  <c r="E71" i="4"/>
  <c r="H40" i="1" l="1"/>
  <c r="D74" i="4"/>
  <c r="J42" i="1" s="1"/>
  <c r="D80" i="4"/>
  <c r="E77" i="4"/>
  <c r="E7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5"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tc={6CB9FE48-D3B2-42A8-A40D-6D330C7B9C2F}</author>
    <author>SARA SOARES MAJO DE OLIVEIRA</author>
  </authors>
  <commentList>
    <comment ref="D25" authorId="0" shapeId="0" xr:uid="{6CB9FE48-D3B2-42A8-A40D-6D330C7B9C2F}">
      <text>
        <t>[Threaded comment]
Your version of Excel allows you to read this threaded comment; however, any edits to it will get removed if the file is opened in a newer version of Excel. Learn more: https://go.microsoft.com/fwlink/?linkid=870924
Comment:
    Capri sun used under license</t>
      </text>
    </comment>
    <comment ref="D37" authorId="1" shapeId="0" xr:uid="{49E27DD9-F332-45CF-B956-FD1029572062}">
      <text>
        <r>
          <rPr>
            <sz val="10"/>
            <rFont val="Arial"/>
            <family val="2"/>
          </rPr>
          <t>SARA SOARES MAJO DE OLIVEIRA:
Earnings call transcript 2024: "we have seen the beginning of the potential of Foodservice and that is actually driving faster growth than we have seen in the industry"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Damião Carvalho Perdigão Gonçalves Ribeiro</author>
  </authors>
  <commentList>
    <comment ref="K1" authorId="0" shapeId="0" xr:uid="{184A6058-1AB3-4A28-A1D1-6239237C27B5}">
      <text>
        <r>
          <rPr>
            <sz val="10"/>
            <rFont val="Arial"/>
            <family val="2"/>
          </rPr>
          <t>Damião Carvalho Perdigão Gonçalves Ribeiro:
Adjust length of formulas to number of companies provided by Refinitiv</t>
        </r>
      </text>
    </comment>
    <comment ref="V2" authorId="0" shapeId="0" xr:uid="{36153C84-419C-4EE8-AB46-BA7A3B30CBC2}">
      <text>
        <r>
          <rPr>
            <sz val="10"/>
            <rFont val="Arial"/>
            <family val="2"/>
          </rPr>
          <t>Damião Carvalho Perdigão Gonçalves Ribeiro:
Adjust length of formula to number of companies provided by Refinitiv</t>
        </r>
      </text>
    </comment>
    <comment ref="AE2" authorId="0" shapeId="0" xr:uid="{CBFE96F4-6BFC-42E0-B959-E7D7D2199F8A}">
      <text>
        <r>
          <rPr>
            <sz val="10"/>
            <rFont val="Arial"/>
            <family val="2"/>
          </rPr>
          <t>Damião Carvalho Perdigão Gonçalves Ribeiro:
Adjust length of formula to number of companies provided by Refinitiv</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tc={AE1BF7DF-A46F-4EA9-8AD0-EBBEABA2AEE1}</author>
    <author>tc={11C6A416-8BD0-4C4D-AD89-11B26CFC878D}</author>
    <author>tc={077F420F-4DB8-4B31-92CC-4DC5BC8FE8B4}</author>
    <author>tc={BD7380B4-A672-467E-BD94-AB74B22FCFD4}</author>
  </authors>
  <commentList>
    <comment ref="D25" authorId="0" shapeId="0" xr:uid="{AE1BF7DF-A46F-4EA9-8AD0-EBBEABA2AEE1}">
      <text>
        <t>[Threaded comment]
Your version of Excel allows you to read this threaded comment; however, any edits to it will get removed if the file is opened in a newer version of Excel. Learn more: https://go.microsoft.com/fwlink/?linkid=870924
Comment:
    outlier: sale of business</t>
      </text>
    </comment>
    <comment ref="G29" authorId="1" shapeId="0" xr:uid="{11C6A416-8BD0-4C4D-AD89-11B26CFC878D}">
      <text>
        <t>[Threaded comment]
Your version of Excel allows you to read this threaded comment; however, any edits to it will get removed if the file is opened in a newer version of Excel. Learn more: https://go.microsoft.com/fwlink/?linkid=870924
Comment:
    share buyback program up to 3 billion through december 2026 - check assumptions</t>
      </text>
    </comment>
    <comment ref="C50" authorId="2" shapeId="0" xr:uid="{077F420F-4DB8-4B31-92CC-4DC5BC8FE8B4}">
      <text>
        <t>[Threaded comment]
Your version of Excel allows you to read this threaded comment; however, any edits to it will get removed if the file is opened in a newer version of Excel. Learn more: https://go.microsoft.com/fwlink/?linkid=870924
Comment:
    https://www.cnbc.com/quotes/US10Y</t>
      </text>
    </comment>
    <comment ref="G65" authorId="3" shapeId="0" xr:uid="{BD7380B4-A672-467E-BD94-AB74B22FCFD4}">
      <text>
        <t>[Threaded comment]
Your version of Excel allows you to read this threaded comment; however, any edits to it will get removed if the file is opened in a newer version of Excel. Learn more: https://go.microsoft.com/fwlink/?linkid=870924
Comment:
    medium term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Damião Ribeiro</author>
    <author>Damião Carvalho Perdigão Gonçalves Ribeiro</author>
    <author>tc={CB5AB586-02C0-4912-8CB5-19A58F95FEAB}</author>
    <author>tc={536313A2-5679-485B-9257-210D244E45BF}</author>
    <author>tc={5BF01BB2-88ED-43A3-B955-2F75FC6DB7D3}</author>
    <author>tc={A2DC287F-E909-4ACE-BEE1-D3660000472E}</author>
    <author>tc={A4C6B560-9FB2-4F73-B1F4-EDB8522951C7}</author>
    <author>tc={75881CB4-49F2-407C-8164-7A3FF2DF90E1}</author>
  </authors>
  <commentList>
    <comment ref="O23" authorId="0" shapeId="0" xr:uid="{4933DAFF-721E-4DD7-9652-E02D2A561EE8}">
      <text>
        <r>
          <rPr>
            <b/>
            <sz val="9"/>
            <color indexed="81"/>
            <rFont val="Tahoma"/>
            <family val="2"/>
          </rPr>
          <t>Damião Ribeiro:</t>
        </r>
        <r>
          <rPr>
            <sz val="9"/>
            <color indexed="81"/>
            <rFont val="Tahoma"/>
            <family val="2"/>
          </rPr>
          <t xml:space="preserve">
Average YoY Growth (Gross PPE)</t>
        </r>
      </text>
    </comment>
    <comment ref="P23" authorId="1" shapeId="0" xr:uid="{6E478CFC-98B1-491D-B9A2-4B23F33AC43B}">
      <text>
        <r>
          <rPr>
            <sz val="10"/>
            <rFont val="Arial"/>
            <family val="2"/>
          </rPr>
          <t>Damião Carvalho Perdigão Gonçalves Ribeiro:
Average YoY Growth (Gross PPE)</t>
        </r>
      </text>
    </comment>
    <comment ref="Q23" authorId="1" shapeId="0" xr:uid="{1EA63F23-E7A6-4972-8A14-A15EA6172957}">
      <text>
        <r>
          <rPr>
            <sz val="10"/>
            <rFont val="Arial"/>
            <family val="2"/>
          </rPr>
          <t>Damião Carvalho Perdigão Gonçalves Ribeiro:
Average YoY Growth (Gross PPE)</t>
        </r>
      </text>
    </comment>
    <comment ref="O25" authorId="0" shapeId="0" xr:uid="{07A694DB-1205-411E-9BB0-027D86C87314}">
      <text>
        <r>
          <rPr>
            <b/>
            <sz val="9"/>
            <color indexed="81"/>
            <rFont val="Tahoma"/>
            <family val="2"/>
          </rPr>
          <t>Damião Ribeiro:</t>
        </r>
        <r>
          <rPr>
            <sz val="9"/>
            <color indexed="81"/>
            <rFont val="Tahoma"/>
            <family val="2"/>
          </rPr>
          <t xml:space="preserve">
Average YoY Growth (Gross IA)</t>
        </r>
      </text>
    </comment>
    <comment ref="P25" authorId="1" shapeId="0" xr:uid="{73CD9603-F085-467F-BBA9-49CE7A829CFD}">
      <text>
        <r>
          <rPr>
            <sz val="10"/>
            <rFont val="Arial"/>
            <family val="2"/>
          </rPr>
          <t>Damião Carvalho Perdigão Gonçalves Ribeiro:
Average YoY Growth (Gross IA)</t>
        </r>
      </text>
    </comment>
    <comment ref="Q25" authorId="1" shapeId="0" xr:uid="{87DB85B0-C8E7-4E44-A787-C670A9DA7EB6}">
      <text>
        <r>
          <rPr>
            <sz val="10"/>
            <rFont val="Arial"/>
            <family val="2"/>
          </rPr>
          <t>Damião Carvalho Perdigão Gonçalves Ribeiro:
Average YoY Growth (Gross IA)</t>
        </r>
      </text>
    </comment>
    <comment ref="X53" authorId="2" shapeId="0" xr:uid="{CB5AB586-02C0-4912-8CB5-19A58F95FEAB}">
      <text>
        <t>[Threaded comment]
Your version of Excel allows you to read this threaded comment; however, any edits to it will get removed if the file is opened in a newer version of Excel. Learn more: https://go.microsoft.com/fwlink/?linkid=870924
Comment:
    https://pages.stern.nyu.edu/~adamodar/New_Home_Page/datafile/ctryprem.html</t>
      </text>
    </comment>
    <comment ref="X57" authorId="3" shapeId="0" xr:uid="{536313A2-5679-485B-9257-210D244E45BF}">
      <text>
        <t>[Threaded comment]
Your version of Excel allows you to read this threaded comment; however, any edits to it will get removed if the file is opened in a newer version of Excel. Learn more: https://go.microsoft.com/fwlink/?linkid=870924
Comment:
    considering erp as an average of the erp of the 3 previous regions</t>
      </text>
    </comment>
    <comment ref="L66" authorId="4" shapeId="0" xr:uid="{5BF01BB2-88ED-43A3-B955-2F75FC6DB7D3}">
      <text>
        <t>[Threaded comment]
Your version of Excel allows you to read this threaded comment; however, any edits to it will get removed if the file is opened in a newer version of Excel. Learn more: https://go.microsoft.com/fwlink/?linkid=870924
Comment:
    exc 2015</t>
      </text>
    </comment>
    <comment ref="N66" authorId="5" shapeId="0" xr:uid="{A2DC287F-E909-4ACE-BEE1-D3660000472E}">
      <text>
        <t>[Threaded comment]
Your version of Excel allows you to read this threaded comment; however, any edits to it will get removed if the file is opened in a newer version of Excel. Learn more: https://go.microsoft.com/fwlink/?linkid=870924
Comment:
    exc 2015</t>
      </text>
    </comment>
    <comment ref="AB87" authorId="6" shapeId="0" xr:uid="{A4C6B560-9FB2-4F73-B1F4-EDB8522951C7}">
      <text>
        <t>[Threaded comment]
Your version of Excel allows you to read this threaded comment; however, any edits to it will get removed if the file is opened in a newer version of Excel. Learn more: https://go.microsoft.com/fwlink/?linkid=870924
Comment:
    best operating margin among the peers (Hershey Company)</t>
      </text>
    </comment>
    <comment ref="L140" authorId="7" shapeId="0" xr:uid="{75881CB4-49F2-407C-8164-7A3FF2DF90E1}">
      <text>
        <t>[Threaded comment]
Your version of Excel allows you to read this threaded comment; however, any edits to it will get removed if the file is opened in a newer version of Excel. Learn more: https://go.microsoft.com/fwlink/?linkid=870924
Comment:
    set 150% to keep the working capital flows stable, since there is no obvious pattern in both methods used and the company has no information about it.</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3">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futureMetadata>
  <futureMetadata name="XLDAPR" count="1">
    <bk>
      <extLst>
        <ext uri="{bdbb8cdc-fa1e-496e-a857-3c3f30c029c3}">
          <xda:dynamicArrayProperties fDynamic="1" fCollapsed="0"/>
        </ext>
      </extLst>
    </bk>
  </futureMetadata>
  <cellMetadata count="1">
    <bk>
      <rc t="2" v="0"/>
    </bk>
  </cell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<sst xmlns="http://schemas.openxmlformats.org/spreadsheetml/2006/main" count="9023" uniqueCount="4608">
  <si>
    <t>Team 1</t>
  </si>
  <si>
    <t>NYSE</t>
  </si>
  <si>
    <t xml:space="preserve">SIC: </t>
  </si>
  <si>
    <t>COMPANY DESCRIPTION</t>
  </si>
  <si>
    <t>CEO &amp; BOARD OF DIRECTORS</t>
  </si>
  <si>
    <t>Name</t>
  </si>
  <si>
    <t>Gender</t>
  </si>
  <si>
    <t>Age</t>
  </si>
  <si>
    <t>Tenure</t>
  </si>
  <si>
    <t>Executive?</t>
  </si>
  <si>
    <t>Other roles</t>
  </si>
  <si>
    <t>Carlos Abrams-Rivera</t>
  </si>
  <si>
    <t>Male</t>
  </si>
  <si>
    <t>Yes</t>
  </si>
  <si>
    <t>Director and Chief Executive Officer</t>
  </si>
  <si>
    <t>Humberto P. Alfonso</t>
  </si>
  <si>
    <t>No</t>
  </si>
  <si>
    <t>Former Executive Vice President and Chief Financial Officer, Information Services Group, Inc.</t>
  </si>
  <si>
    <t>Lori Dickerson Fouché</t>
  </si>
  <si>
    <t>Female</t>
  </si>
  <si>
    <t>Former Senior Executive Vice President and Chief Executive Officer, TIAA Financial Solutions, TIAA</t>
  </si>
  <si>
    <t>Diane Gherson</t>
  </si>
  <si>
    <t>Former Senior Vice President and Chief Human Resources Officer, International Business Machines Corporation (IBM)</t>
  </si>
  <si>
    <t>Timothy Kenesey</t>
  </si>
  <si>
    <t>President and Chief Executive Officer, MedPro Group Inc.</t>
  </si>
  <si>
    <t>Alicia Knapp</t>
  </si>
  <si>
    <t>President and Chief Executive Officer,
BHE Renewables, LLC</t>
  </si>
  <si>
    <t>Elio Leoni Sceti</t>
  </si>
  <si>
    <t>Co-Founder, Chief Crafter, and Chairman, The Craftory</t>
  </si>
  <si>
    <t>James Park</t>
  </si>
  <si>
    <t>Vice President, Alphabet,
Google LLC</t>
  </si>
  <si>
    <t>Miguel Patricio</t>
  </si>
  <si>
    <t>Chair non-executive; Former Chief Executive Officer, Kraft Heinz</t>
  </si>
  <si>
    <t>John T. Cahill</t>
  </si>
  <si>
    <t>Vice-Chair; Former Chief Executive Officer and Executive Chairman, Kraft Foods Group, Inc.</t>
  </si>
  <si>
    <t>John C. Pope</t>
  </si>
  <si>
    <t>Lead Director; Chairman and Chief Executive Officer, PFI Group LLC</t>
  </si>
  <si>
    <t>USD MILLIONS</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</si>
  <si>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</si>
  <si>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</si>
  <si>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</si>
  <si>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</si>
  <si>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</si>
  <si>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</si>
  <si>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</si>
  <si>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</si>
  <si>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</si>
  <si>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</si>
  <si>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</si>
  <si>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</si>
  <si>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</si>
  <si>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</si>
  <si>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</si>
  <si>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</si>
  <si>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</si>
  <si>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</si>
  <si>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</si>
  <si>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</si>
  <si>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</si>
  <si>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</si>
  <si>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</si>
  <si>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</si>
  <si>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BBB</t>
  </si>
  <si>
    <t>-Cash</t>
  </si>
  <si>
    <t>Debt/EBITDA</t>
  </si>
  <si>
    <t>EBIT</t>
  </si>
  <si>
    <t>Price/Book Value</t>
  </si>
  <si>
    <t>=Enterprise Value</t>
  </si>
  <si>
    <t>"Others Assets"/Asset</t>
  </si>
  <si>
    <t>Net Income</t>
  </si>
  <si>
    <t>NCF(3y avg)/Asset</t>
  </si>
  <si>
    <t>Holdings (nac/int'l)</t>
  </si>
  <si>
    <t>-</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</si>
  <si>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</si>
  <si>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</si>
  <si>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</si>
  <si>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</si>
  <si>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</si>
  <si>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</si>
  <si>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</si>
  <si>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</si>
  <si>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</si>
  <si>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</si>
  <si>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</si>
  <si>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</si>
  <si>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</si>
  <si>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</si>
  <si>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</si>
  <si>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</si>
  <si>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</si>
  <si>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</si>
  <si>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</si>
  <si>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</si>
  <si>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</si>
  <si>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</si>
  <si>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</si>
  <si>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</si>
  <si>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</si>
  <si>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</si>
  <si>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</si>
  <si>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</si>
  <si>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</si>
  <si>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</si>
  <si>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</si>
  <si>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BUY</t>
  </si>
  <si>
    <t>CHECK DCF</t>
  </si>
  <si>
    <t>Strong Brand Portfolio</t>
  </si>
  <si>
    <t>Kraft Heinz owns many iconic brand known all over the world.</t>
  </si>
  <si>
    <t>Strategic Acquisitions</t>
  </si>
  <si>
    <t>Kraft Heinz has a history of strategic acquistions that help region and product diversification.</t>
  </si>
  <si>
    <t>Financial Performance</t>
  </si>
  <si>
    <t>Good financial performance with significant annual revenue and returns to shareholders.</t>
  </si>
  <si>
    <t>Risks of Investment</t>
  </si>
  <si>
    <t>Price Target</t>
  </si>
  <si>
    <t>Valuation</t>
  </si>
  <si>
    <t>Risk</t>
  </si>
  <si>
    <t>Discount Rate</t>
  </si>
  <si>
    <t>Price M. Upside</t>
  </si>
  <si>
    <t>Commodity prices</t>
  </si>
  <si>
    <t>Fluctuations in prices leading to an increase in cogs may harm operating  and profit margins.</t>
  </si>
  <si>
    <t>Limited Organic Growth</t>
  </si>
  <si>
    <t>Kraft Heinz may have some difficulty to grow without acquisitions.</t>
  </si>
  <si>
    <t>Upside</t>
  </si>
  <si>
    <t>EV M. Upside</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</si>
  <si>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</si>
  <si>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</si>
  <si>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</si>
  <si>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</si>
  <si>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</si>
  <si>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</si>
  <si>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</si>
  <si>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</si>
  <si>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</si>
  <si>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</si>
  <si>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</si>
  <si>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</si>
  <si>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</si>
  <si>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</si>
  <si>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</si>
  <si>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</si>
  <si>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</si>
  <si>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</si>
  <si>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</si>
  <si>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</si>
  <si>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</si>
  <si>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</si>
  <si>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</si>
  <si>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</si>
  <si>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</si>
  <si>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</si>
  <si>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</si>
  <si>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</si>
  <si>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</si>
  <si>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t>Berkshire Hathaway Inc.</t>
  </si>
  <si>
    <t>The Vanguard Group, Inc.</t>
  </si>
  <si>
    <t>BlackRock Institutional Trust Company, N.A.</t>
  </si>
  <si>
    <t>State Street Global Advisors (US)</t>
  </si>
  <si>
    <t>Capital International Investors</t>
  </si>
  <si>
    <t>Invesco Capital Management (QQQ Trust)</t>
  </si>
  <si>
    <t>BlackRock Financial Management, Inc.</t>
  </si>
  <si>
    <t>Geode Capital Management, L.L.C.</t>
  </si>
  <si>
    <t>Managed Account Advisors LLC</t>
  </si>
  <si>
    <t>T. Rowe Price Associates, Inc.</t>
  </si>
  <si>
    <t>Opportunities</t>
  </si>
  <si>
    <t>Risks</t>
  </si>
  <si>
    <t>Invesco Capital Management LLC</t>
  </si>
  <si>
    <t>Franklin Mutual Advisers, LLC [Activist]</t>
  </si>
  <si>
    <t>Invesco Advisers, Inc.</t>
  </si>
  <si>
    <t>BofA Global Research (US)</t>
  </si>
  <si>
    <t>LSV Asset Management</t>
  </si>
  <si>
    <t>Legal &amp; General Investment Management Ltd.</t>
  </si>
  <si>
    <t>BlackRock Asset Management Ireland Limited</t>
  </si>
  <si>
    <t>Citadel Advisors LLC</t>
  </si>
  <si>
    <t>First Eagle Investment Management, L.L.C.</t>
  </si>
  <si>
    <t>BlackRock Investment Management, LLC</t>
  </si>
  <si>
    <t>NOTES</t>
  </si>
  <si>
    <t>STOCK PERFORMANCE (5 years)</t>
  </si>
  <si>
    <t>Invertir</t>
  </si>
  <si>
    <t>NO invertir</t>
  </si>
  <si>
    <t>Mantener sin elevar posición</t>
  </si>
  <si>
    <t>Mantener (y seguir comprando)</t>
  </si>
  <si>
    <t>Liquidar</t>
  </si>
  <si>
    <t>PENDIENTE</t>
  </si>
  <si>
    <t>Products</t>
  </si>
  <si>
    <t>Nominal value</t>
  </si>
  <si>
    <t>YoY Growth</t>
  </si>
  <si>
    <t>Weight</t>
  </si>
  <si>
    <t>Region</t>
  </si>
  <si>
    <t>United States</t>
  </si>
  <si>
    <t>United Kingdom</t>
  </si>
  <si>
    <t xml:space="preserve">-- </t>
  </si>
  <si>
    <t>Canada</t>
  </si>
  <si>
    <t>EMEA</t>
  </si>
  <si>
    <t>Other</t>
  </si>
  <si>
    <t>TOTAL</t>
  </si>
  <si>
    <t>Category</t>
  </si>
  <si>
    <t>Operating Segment -North America</t>
  </si>
  <si>
    <t xml:space="preserve">
Operating Segment - International</t>
  </si>
  <si>
    <t xml:space="preserve">Operating Segment -Europe </t>
  </si>
  <si>
    <t>Operating Segment - United States</t>
  </si>
  <si>
    <t>Operating Segment - Canada</t>
  </si>
  <si>
    <t>Description</t>
  </si>
  <si>
    <t>Graphs</t>
  </si>
  <si>
    <t>Combination of United States and Canada zones. Majority Owned and Licensed Trademarks: Kraft, Oscar Mayer, Heinz, Philadelphia, Lunchables, Velveeta, Ore-Ida, Capri Sun, Maxwell House, Kool-Aid,
Jell-O</t>
  </si>
  <si>
    <t>Operating Segment - International</t>
  </si>
  <si>
    <t>Majority Owned and Licensed Trademarks: Heinz, ABC, Master, Quero, Kraft, Golden Circle, Wattie’s, Pudliszki, Plasmon</t>
  </si>
  <si>
    <t>Industry</t>
  </si>
  <si>
    <t>Graphs (Industry Forecasts)</t>
  </si>
  <si>
    <t>Drivers</t>
  </si>
  <si>
    <t>Changes in Consumer preferences</t>
  </si>
  <si>
    <t>Shifts in consumer preferences can significantly affect the market dynamics, possibly leading to shifts in supply and demand, price alterations and widely fluctuating market shares</t>
  </si>
  <si>
    <t>Economic and political conditions</t>
  </si>
  <si>
    <t>Economic and political conditions can have an impact in the United States and other places where they do business or source raw materials (including inflationary pressures)</t>
  </si>
  <si>
    <t>Agricultural Productivity</t>
  </si>
  <si>
    <t xml:space="preserve">Agricultural productivity may affect its supply chain efficiency, quality control, sustainability efforts and risk management strategies. Factors such as climate change and Natural disasters may also affect this driver. </t>
  </si>
  <si>
    <t xml:space="preserve">FoodService </t>
  </si>
  <si>
    <t>The foodservice or catering industry includes the businesses, institutions, and companies which prepare meals outside the home. It includes restaurants, grocery stores, school and hospital cafeterias, catering operations, and many other formats</t>
  </si>
  <si>
    <t>Sales forecast</t>
  </si>
  <si>
    <t>Source</t>
  </si>
  <si>
    <t>Market Growth CAGR</t>
  </si>
  <si>
    <t>Period</t>
  </si>
  <si>
    <t>Mordor Intelligence</t>
  </si>
  <si>
    <t>7,43%</t>
  </si>
  <si>
    <t>2024-2029</t>
  </si>
  <si>
    <t>Statista</t>
  </si>
  <si>
    <t>2022-2027</t>
  </si>
  <si>
    <t>IMARC group</t>
  </si>
  <si>
    <t>2024-2032</t>
  </si>
  <si>
    <t>Polaris Market Research</t>
  </si>
  <si>
    <t>2023-2028</t>
  </si>
  <si>
    <t>Average</t>
  </si>
  <si>
    <t>Company's Strategy / Extra Notes</t>
  </si>
  <si>
    <t>•	The company strongly relies on innovation in order to expand the option of their consumers
•	Intend to continue CapEx investment and continue to grow organically
•	Working capital should expect to continue to improve as a consequence of the investments
•	Kraft Heinz is expanding into new channels for example to vending opportunities or new hospitality areas and intends to continue to invest in their brands to have longer value offerings
•	Gross margin is expected to expand as part of their long-term plan, which is mainly due to gross efficiencies. The gross efficiency is expected to continue to offset the component of the inflation, help expand gross margins and help invest a little more in the business on the SG&amp;A side
•	Expect a year-over-year increase of another 10% SKU in stores versus what they had in the past
•	Partnership with Microsoft intends to improve supply chain using technology and improving their decision-making. Want to improve labor usage and reduce yield losses
•	Uses the Brand Growth System, a global methodology, designed to enable the Company to measure, monitor and build a superior brand proposition
•	Their long-term growth algorithm consists of:
1.	Organic Net Sales growth of 2% to 3%
2.	Adjusted Operating Income growth of 4% to 6%
3.	Adjusted EPS growth of 6% to 8%
4.	Free Cash Flow Conversion at approximately 100%
•	On November 27, 2023, the Company announced that the Board of Directors approved a share repurchase program authorizing the Company to purchase up to $3.0 billion of the Company’s common stock through December 26, 2026</t>
  </si>
  <si>
    <t>Peer Logo</t>
  </si>
  <si>
    <t>Peer Name</t>
  </si>
  <si>
    <t>General Mills, Inc. is a leading manufacturer and marketer of consumer foods, operating through four key segments: North America Retail, International, Pet, and North America Foodservice. The company serves various retail outlets including grocery stores, mass merchandisers, and e-commerce platforms. Additionally, it offers pet food products, ready-to-eat cereals, snacks, refrigerated yogurt, frozen meals, and bakery items.</t>
  </si>
  <si>
    <t>The Hershey Company specializes in confectionery products and operates through three segments: North America Confectionery, North America Salty Snacks, and International. Its offerings include chocolate, sweets, mints, and snacks. The company serves consumers globally, with operations in Mexico, Brazil, India, and Malaysia, and distributes products across Asia, Latin America, the Middle East, Europe, Africa, and other regions.</t>
  </si>
  <si>
    <t>Campbell Soup Company is a prominent manufacturer and marketer of branded food and beverage items, organized into Meals &amp; Beverages and Snacks segments. Its product portfolio comprises soups, sauces, pasta, beverages, cookies, crackers, and frozen bakery products. Serving retail and foodservice markets in the United States and Canada, the company's brands include Campbell's, Swanson, Prego, Pepperidge Farm, and V8.</t>
  </si>
  <si>
    <t>Conagra Brands, Inc. is a major player in the consumer packaged goods food industry, operating across Grocery &amp; Snacks, Refrigerated &amp; Frozen, International, and Foodservice segments. Its product range encompasses branded and private-label food items, including shelf-stable products, refrigerated foods, and customized culinary products for foodservice establishments. The company's retail presence spans various channels in the United States, with international distribution as well.</t>
  </si>
  <si>
    <t>Nestle S.A. is a global leader in nutrition, health, and wellness. Its segments cover Europe, the Middle East, and North Africa; the Americas; Asia, Oceania, and sub-Saharan Africa; Nestle Waters; Nestle Nutrition; and Other Businesses. With a presence in nearly 190 countries, it offers a wide range of products including beverages, water, dairy, nutrition, confectionery, and pet care items. Key markets include the United States, Greater China Region, Brazil, Mexico, and various European nations.</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</si>
  <si>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</si>
  <si>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</si>
  <si>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</si>
  <si>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</si>
  <si>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</si>
  <si>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</si>
  <si>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</si>
  <si>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</si>
  <si>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</si>
  <si>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</si>
  <si>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</si>
  <si>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</si>
  <si>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</si>
  <si>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</si>
  <si>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</si>
  <si>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</si>
  <si>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</si>
  <si>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</si>
  <si>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</si>
  <si>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</si>
  <si>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</si>
  <si>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</si>
  <si>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</si>
  <si>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</si>
  <si>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</si>
  <si>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</si>
  <si>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</si>
  <si>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</si>
  <si>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</si>
  <si>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</si>
  <si>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</si>
  <si>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</si>
  <si>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</si>
  <si>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</si>
  <si>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</si>
  <si>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</si>
  <si>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</si>
  <si>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</si>
  <si>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</si>
  <si>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</si>
  <si>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</si>
  <si>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</si>
  <si>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</si>
  <si>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</si>
  <si>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</si>
  <si>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</si>
  <si>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</si>
  <si>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</si>
  <si>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</si>
  <si>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</si>
  <si>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</si>
  <si>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</si>
  <si>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</si>
  <si>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</si>
  <si>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</si>
  <si>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</si>
  <si>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</si>
  <si>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</si>
  <si>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</si>
  <si>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</si>
  <si>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</si>
  <si>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</si>
  <si>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</si>
  <si>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</si>
  <si>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Variables</t>
  </si>
  <si>
    <t>Rankings</t>
  </si>
  <si>
    <t>Difference</t>
  </si>
  <si>
    <t>Results</t>
  </si>
  <si>
    <t>Additional Information</t>
  </si>
  <si>
    <t>Selected Peers</t>
  </si>
  <si>
    <t>Price Multiples (TTM)</t>
  </si>
  <si>
    <t>Enterprise Value Multiples (TTM)</t>
  </si>
  <si>
    <t>Ticker</t>
  </si>
  <si>
    <t>Company Name</t>
  </si>
  <si>
    <t>TRBC Industry</t>
  </si>
  <si>
    <t>Country</t>
  </si>
  <si>
    <t>ROE</t>
  </si>
  <si>
    <t>DEBT/EBIT</t>
  </si>
  <si>
    <t>EPS Growth (2019-2023) (Refinitiv Smart Estimate)</t>
  </si>
  <si>
    <t>EBIT Margin</t>
  </si>
  <si>
    <t>EPS Growth</t>
  </si>
  <si>
    <t>SARD Result</t>
  </si>
  <si>
    <t>SARD Peers</t>
  </si>
  <si>
    <t>SARD Peers adjusted Rank</t>
  </si>
  <si>
    <t>Suitability</t>
  </si>
  <si>
    <t>Relevant Information Missing</t>
  </si>
  <si>
    <t>Author's Override</t>
  </si>
  <si>
    <t>Observations</t>
  </si>
  <si>
    <t>P / E</t>
  </si>
  <si>
    <t>P / B</t>
  </si>
  <si>
    <t>Price / Sales</t>
  </si>
  <si>
    <t>EV / Sales</t>
  </si>
  <si>
    <t>EV / EBITDA</t>
  </si>
  <si>
    <t>Benchmark</t>
  </si>
  <si>
    <t>KHC.OQ</t>
  </si>
  <si>
    <t>The Kraft Heinz Company</t>
  </si>
  <si>
    <t>Food Processing</t>
  </si>
  <si>
    <t>United States of America</t>
  </si>
  <si>
    <t>Comparison</t>
  </si>
  <si>
    <t>AVIJ.J</t>
  </si>
  <si>
    <t>Avi Ltd</t>
  </si>
  <si>
    <t>South Africa</t>
  </si>
  <si>
    <t>MANV.VI</t>
  </si>
  <si>
    <t>Josef Manner &amp; Comp AG</t>
  </si>
  <si>
    <t>Austria</t>
  </si>
  <si>
    <t>TONJ.J</t>
  </si>
  <si>
    <t>Tongaat Hulett Ltd</t>
  </si>
  <si>
    <t>LOTB.BR</t>
  </si>
  <si>
    <t>Lotus Bakeries NV</t>
  </si>
  <si>
    <t>Belgium</t>
  </si>
  <si>
    <t>ITMI.MI</t>
  </si>
  <si>
    <t>Italmobiliare SpA</t>
  </si>
  <si>
    <t>Italy</t>
  </si>
  <si>
    <t>SIFB.BR</t>
  </si>
  <si>
    <t>Sipef NV</t>
  </si>
  <si>
    <t>Median</t>
  </si>
  <si>
    <t>WHATS.BR</t>
  </si>
  <si>
    <t>What's Cooking Group NV</t>
  </si>
  <si>
    <t>Benchmark Data</t>
  </si>
  <si>
    <t>Price / Share</t>
  </si>
  <si>
    <t>ADM.N</t>
  </si>
  <si>
    <t>Archer-Daniels-Midland Co</t>
  </si>
  <si>
    <t>Multiplier</t>
  </si>
  <si>
    <t># Shares</t>
  </si>
  <si>
    <t>-Debt + Cash</t>
  </si>
  <si>
    <t>AEE1.D</t>
  </si>
  <si>
    <t>AEE Gold AG</t>
  </si>
  <si>
    <t>Germany</t>
  </si>
  <si>
    <t>FARM.OQ</t>
  </si>
  <si>
    <t>Farmer Bros Co</t>
  </si>
  <si>
    <t>By Consolidated Average</t>
  </si>
  <si>
    <t>AJIN.KL</t>
  </si>
  <si>
    <t>Ajinomoto (Malaysia) Bhd</t>
  </si>
  <si>
    <t>Malaysia</t>
  </si>
  <si>
    <t>CIHB.KL</t>
  </si>
  <si>
    <t>CI Holdings Bhd</t>
  </si>
  <si>
    <t>0156.HK</t>
  </si>
  <si>
    <t>Lippo China Resources Ltd</t>
  </si>
  <si>
    <t>Hong Kong</t>
  </si>
  <si>
    <t>KSMS.KL</t>
  </si>
  <si>
    <t>Keck Seng (Malaysia) Bhd</t>
  </si>
  <si>
    <t>HNDG.F</t>
  </si>
  <si>
    <t>FRoSTA AG</t>
  </si>
  <si>
    <t>0411.HK</t>
  </si>
  <si>
    <t>Lam Soon Hong Kong Ltd</t>
  </si>
  <si>
    <t>MFMS.KL</t>
  </si>
  <si>
    <t>Malayan Flour Mills Bhd</t>
  </si>
  <si>
    <t>PMCS.KL</t>
  </si>
  <si>
    <t>Pan Malaysia Corporation Bhd</t>
  </si>
  <si>
    <t>PEPT.KL</t>
  </si>
  <si>
    <t>PPB Group Bhd</t>
  </si>
  <si>
    <t>LKMG.MU</t>
  </si>
  <si>
    <t>Landshuter Kunstmuehle CA Meyer`s Nachfolger AG</t>
  </si>
  <si>
    <t>FLO.N</t>
  </si>
  <si>
    <t>Flowers Foods Inc</t>
  </si>
  <si>
    <t>OELG.F</t>
  </si>
  <si>
    <t>ADM Hamburg AG</t>
  </si>
  <si>
    <t>PPZG.BE</t>
  </si>
  <si>
    <t>Pommersche Provinzial-Zuckersiederei AG</t>
  </si>
  <si>
    <t>SMBG.F</t>
  </si>
  <si>
    <t>Schwaelbchen Molkerei Jakob Berz AG</t>
  </si>
  <si>
    <t>SSHG.F</t>
  </si>
  <si>
    <t>Suedwestdeutsche Salzwerke AG</t>
  </si>
  <si>
    <t>SZUG.DE</t>
  </si>
  <si>
    <t>Suedzucker AG</t>
  </si>
  <si>
    <t>GIS.N</t>
  </si>
  <si>
    <t>General Mills Inc</t>
  </si>
  <si>
    <t>SAVEN.PA</t>
  </si>
  <si>
    <t>Savencia SA</t>
  </si>
  <si>
    <t>France</t>
  </si>
  <si>
    <t>DANO.PA</t>
  </si>
  <si>
    <t>Danone SA</t>
  </si>
  <si>
    <t>CBQP.PA</t>
  </si>
  <si>
    <t>Unibel SA</t>
  </si>
  <si>
    <t>IVFH.PK</t>
  </si>
  <si>
    <t>Innovative Food Holdings Inc</t>
  </si>
  <si>
    <t>2294.T</t>
  </si>
  <si>
    <t>Kakiyasu Honten Co Ltd</t>
  </si>
  <si>
    <t>Japan</t>
  </si>
  <si>
    <t>SABL.PA</t>
  </si>
  <si>
    <t>Saint Jean Groupe</t>
  </si>
  <si>
    <t>LVGI.PK</t>
  </si>
  <si>
    <t>Limitless Venture Group Inc</t>
  </si>
  <si>
    <t>1215.TW</t>
  </si>
  <si>
    <t>Charoen Pokphand Enterprise Taiwan Co Ltd</t>
  </si>
  <si>
    <t>Taiwan</t>
  </si>
  <si>
    <t>TIPK.PA</t>
  </si>
  <si>
    <t>Tipiak SA</t>
  </si>
  <si>
    <t>GL9.I</t>
  </si>
  <si>
    <t>Glanbia PLC</t>
  </si>
  <si>
    <t>Ireland; Republic of</t>
  </si>
  <si>
    <t>HSY.N</t>
  </si>
  <si>
    <t>Hershey Co</t>
  </si>
  <si>
    <t>HRL.N</t>
  </si>
  <si>
    <t>Hormel Foods Corp</t>
  </si>
  <si>
    <t>AMNF.PK</t>
  </si>
  <si>
    <t>Armanino Foods Of Distinction Inc</t>
  </si>
  <si>
    <t>CWK.L</t>
  </si>
  <si>
    <t>Cranswick PLC</t>
  </si>
  <si>
    <t>600737.SS</t>
  </si>
  <si>
    <t>COFCO Sugar Holding Co Ltd</t>
  </si>
  <si>
    <t>China</t>
  </si>
  <si>
    <t>FEMP.SI</t>
  </si>
  <si>
    <t>Food Empire Holdings Ltd</t>
  </si>
  <si>
    <t>Singapore</t>
  </si>
  <si>
    <t>0142.HK</t>
  </si>
  <si>
    <t>First Pacific Co Ltd</t>
  </si>
  <si>
    <t>IFF.N</t>
  </si>
  <si>
    <t>International Flavors &amp; Fragrances Inc</t>
  </si>
  <si>
    <t>KYGa.I</t>
  </si>
  <si>
    <t>Kerry Group PLC</t>
  </si>
  <si>
    <t>KNFRT.IS</t>
  </si>
  <si>
    <t>Konfrut Gida Sanayi ve Ticaret AS</t>
  </si>
  <si>
    <t>Turkey</t>
  </si>
  <si>
    <t>JJSF.OQ</t>
  </si>
  <si>
    <t>J &amp; J Snack Foods Corp</t>
  </si>
  <si>
    <t>K.N</t>
  </si>
  <si>
    <t>Kellanova</t>
  </si>
  <si>
    <t>DHRS.NS</t>
  </si>
  <si>
    <t>Dharani Sugars and Chemicals Ltd</t>
  </si>
  <si>
    <t>India</t>
  </si>
  <si>
    <t>EMPE.BO</t>
  </si>
  <si>
    <t>Empee Sugars and Chemicals Ltd</t>
  </si>
  <si>
    <t>LANC.OQ</t>
  </si>
  <si>
    <t>Lancaster Colony Corp</t>
  </si>
  <si>
    <t>TATE.L</t>
  </si>
  <si>
    <t>Tate &amp; Lyle PLC</t>
  </si>
  <si>
    <t>LASa.TO</t>
  </si>
  <si>
    <t>Lassonde Industries Inc</t>
  </si>
  <si>
    <t>TET.L</t>
  </si>
  <si>
    <t>Treatt PLC</t>
  </si>
  <si>
    <t>BRID.OQ</t>
  </si>
  <si>
    <t>Bridgford Foods Corp</t>
  </si>
  <si>
    <t>RJSG.NS</t>
  </si>
  <si>
    <t>Rajshree Sugars &amp; Chemicals Ltd</t>
  </si>
  <si>
    <t>SKSG.NS</t>
  </si>
  <si>
    <t>Sakthi Sugars Ltd</t>
  </si>
  <si>
    <t>LWAY.OQ</t>
  </si>
  <si>
    <t>Lifeway Foods Inc</t>
  </si>
  <si>
    <t>BELL.S</t>
  </si>
  <si>
    <t>Bell Food Group AG</t>
  </si>
  <si>
    <t>Switzerland</t>
  </si>
  <si>
    <t>LISN.S</t>
  </si>
  <si>
    <t>Chocoladefabriken Lindt &amp; Spruengli AG</t>
  </si>
  <si>
    <t>GMI.S</t>
  </si>
  <si>
    <t>Groupe Minoteries SA</t>
  </si>
  <si>
    <t>NESN.S</t>
  </si>
  <si>
    <t>Nestle SA</t>
  </si>
  <si>
    <t>MFI.TO</t>
  </si>
  <si>
    <t>Maple Leaf Foods Inc</t>
  </si>
  <si>
    <t>1232.TW</t>
  </si>
  <si>
    <t>TTET Union Corp</t>
  </si>
  <si>
    <t>2804.T</t>
  </si>
  <si>
    <t>Bull-Dog Sauce Co Ltd</t>
  </si>
  <si>
    <t>000639.SZ</t>
  </si>
  <si>
    <t>Xiwang Foodstuffs Co Ltd</t>
  </si>
  <si>
    <t>MKC.N</t>
  </si>
  <si>
    <t>McCormick &amp; Company Inc</t>
  </si>
  <si>
    <t>2112.T</t>
  </si>
  <si>
    <t>Ensuiko Sugar Refining Co Ltd</t>
  </si>
  <si>
    <t>2206.T</t>
  </si>
  <si>
    <t>Ezaki Glico Co Ltd</t>
  </si>
  <si>
    <t>2215.T</t>
  </si>
  <si>
    <t>First Baking Co Ltd</t>
  </si>
  <si>
    <t>2607.T</t>
  </si>
  <si>
    <t>Fuji Oil Holdings Inc</t>
  </si>
  <si>
    <t>2211.T</t>
  </si>
  <si>
    <t>Fujiya Co Ltd</t>
  </si>
  <si>
    <t>2291.T</t>
  </si>
  <si>
    <t>Fukutome Meat Packers Ltd</t>
  </si>
  <si>
    <t>NUTTQ.PK</t>
  </si>
  <si>
    <t>Nutroganics Inc</t>
  </si>
  <si>
    <t>CENT.OQ</t>
  </si>
  <si>
    <t>Central Garden &amp; Pet Co</t>
  </si>
  <si>
    <t>2810.T</t>
  </si>
  <si>
    <t>House Foods Group Inc</t>
  </si>
  <si>
    <t>2209.T</t>
  </si>
  <si>
    <t>Imuraya Group Co Ltd</t>
  </si>
  <si>
    <t>2894.T</t>
  </si>
  <si>
    <t>Ishii Food Co Ltd</t>
  </si>
  <si>
    <t>INGEALB.MX</t>
  </si>
  <si>
    <t>Ingeal SAB de CV</t>
  </si>
  <si>
    <t>Mexico</t>
  </si>
  <si>
    <t>2811.T</t>
  </si>
  <si>
    <t>Kagome Co Ltd</t>
  </si>
  <si>
    <t>2220.T</t>
  </si>
  <si>
    <t>Kameda Seika Co Ltd</t>
  </si>
  <si>
    <t>2216.T</t>
  </si>
  <si>
    <t>Kanro Inc</t>
  </si>
  <si>
    <t>2801.T</t>
  </si>
  <si>
    <t>Kikkoman Corp</t>
  </si>
  <si>
    <t>HLF.TO</t>
  </si>
  <si>
    <t>High Liner Foods Inc</t>
  </si>
  <si>
    <t>1301.T</t>
  </si>
  <si>
    <t>Kyokuyo Co Ltd</t>
  </si>
  <si>
    <t>NATR.OQ</t>
  </si>
  <si>
    <t>Nature's Sunshine Products Inc</t>
  </si>
  <si>
    <t>2288.T</t>
  </si>
  <si>
    <t>Marudai Food Co Ltd</t>
  </si>
  <si>
    <t>CAG.N</t>
  </si>
  <si>
    <t>Conagra Brands Inc</t>
  </si>
  <si>
    <t>2207.T</t>
  </si>
  <si>
    <t>Meito Sangyo Co Ltd</t>
  </si>
  <si>
    <t>NTLC.CI</t>
  </si>
  <si>
    <t>Nestle Cote d'Ivoire SA</t>
  </si>
  <si>
    <t>Ivory Coast</t>
  </si>
  <si>
    <t>4404.T</t>
  </si>
  <si>
    <t>Miyoshi Oil &amp; Fat Co Ltd</t>
  </si>
  <si>
    <t>2201.T</t>
  </si>
  <si>
    <t>Morinaga &amp; Co Ltd</t>
  </si>
  <si>
    <t>2264.T</t>
  </si>
  <si>
    <t>Morinaga Milk Industry Co Ltd</t>
  </si>
  <si>
    <t>4524.T</t>
  </si>
  <si>
    <t>Morishita Jintan Co Ltd</t>
  </si>
  <si>
    <t>2899.T</t>
  </si>
  <si>
    <t>Nagatanien Holdings Co Ltd</t>
  </si>
  <si>
    <t>SICC.CI</t>
  </si>
  <si>
    <t>Societe Ivoirienne De Coco Rape SA</t>
  </si>
  <si>
    <t>2204.T</t>
  </si>
  <si>
    <t>Nakamuraya Co Ltd</t>
  </si>
  <si>
    <t>8091.T</t>
  </si>
  <si>
    <t>Nichimo Co Ltd</t>
  </si>
  <si>
    <t>2871.T</t>
  </si>
  <si>
    <t>Nichirei Corp</t>
  </si>
  <si>
    <t>2218.SP</t>
  </si>
  <si>
    <t>Nichiryo Baking Co Ltd</t>
  </si>
  <si>
    <t>JOPA4.SA</t>
  </si>
  <si>
    <t>Josapar Joaquim Oliveira SA Participacoes</t>
  </si>
  <si>
    <t>Brazil</t>
  </si>
  <si>
    <t>2114.T</t>
  </si>
  <si>
    <t>Fuji Nihon Seito Corp</t>
  </si>
  <si>
    <t>2872.T</t>
  </si>
  <si>
    <t>Seihyo Co Ltd</t>
  </si>
  <si>
    <t>2108.T</t>
  </si>
  <si>
    <t>Nippon Beet Sugar Manufacturing Co Ltd</t>
  </si>
  <si>
    <t>DMPL.SI</t>
  </si>
  <si>
    <t>Del Monte Pacific Ltd</t>
  </si>
  <si>
    <t>2001.T</t>
  </si>
  <si>
    <t>Nippn Corp</t>
  </si>
  <si>
    <t>2282.T</t>
  </si>
  <si>
    <t>NH Foods Ltd</t>
  </si>
  <si>
    <t>1332.T</t>
  </si>
  <si>
    <t>Nissui Corp</t>
  </si>
  <si>
    <t>2002.T</t>
  </si>
  <si>
    <t>Nisshin Seifun Group Inc</t>
  </si>
  <si>
    <t>2602.T</t>
  </si>
  <si>
    <t>Nisshin OilliO Group Ltd</t>
  </si>
  <si>
    <t>2897.T</t>
  </si>
  <si>
    <t>Nissin Foods Holdings Co Ltd</t>
  </si>
  <si>
    <t>2003.T</t>
  </si>
  <si>
    <t>Nitto Fuji Flour Milling Co Ltd</t>
  </si>
  <si>
    <t>600873.SS</t>
  </si>
  <si>
    <t>MeiHua Holdings Group Co Ltd</t>
  </si>
  <si>
    <t>MAJG.LJ</t>
  </si>
  <si>
    <t>Mlinotest dd</t>
  </si>
  <si>
    <t>Slovenia</t>
  </si>
  <si>
    <t>TIRI.BO</t>
  </si>
  <si>
    <t>Tirupati Industries (India) Ltd</t>
  </si>
  <si>
    <t>SHV.AX</t>
  </si>
  <si>
    <t>Select Harvests Ltd</t>
  </si>
  <si>
    <t>Australia</t>
  </si>
  <si>
    <t>MEAT.CD</t>
  </si>
  <si>
    <t>Modern Plant Based Foods Inc</t>
  </si>
  <si>
    <t>DBMS.KL</t>
  </si>
  <si>
    <t>Dutch Lady Milk Industries Bhd</t>
  </si>
  <si>
    <t>ORK.OL</t>
  </si>
  <si>
    <t>Orkla ASA</t>
  </si>
  <si>
    <t>Norway</t>
  </si>
  <si>
    <t>2908.T</t>
  </si>
  <si>
    <t>Fujicco Co Ltd</t>
  </si>
  <si>
    <t>NBII.OM</t>
  </si>
  <si>
    <t>National Biscuit Industries Ltd SAOG</t>
  </si>
  <si>
    <t>Oman</t>
  </si>
  <si>
    <t>OFCI.OM</t>
  </si>
  <si>
    <t>Oman Fisheries Company SAOG</t>
  </si>
  <si>
    <t>OFMI.OM</t>
  </si>
  <si>
    <t>Oman Flour Mills Company SAOG</t>
  </si>
  <si>
    <t>IOIB.KL</t>
  </si>
  <si>
    <t>IOI Corporation Bhd</t>
  </si>
  <si>
    <t>GNC.L</t>
  </si>
  <si>
    <t>Greencore Group PLC</t>
  </si>
  <si>
    <t>MODN.BO</t>
  </si>
  <si>
    <t>Modi Naturals Ltd</t>
  </si>
  <si>
    <t>SMAR.JK</t>
  </si>
  <si>
    <t>Sinar Mas Agro Resources and Technology Tbk PT</t>
  </si>
  <si>
    <t>Indonesia</t>
  </si>
  <si>
    <t>BNHO.BO</t>
  </si>
  <si>
    <t>BN Holdings Ltd</t>
  </si>
  <si>
    <t>KSRE.BO</t>
  </si>
  <si>
    <t>Kesar Enterprises Ltd</t>
  </si>
  <si>
    <t>2208.T</t>
  </si>
  <si>
    <t>Bourbon Corp</t>
  </si>
  <si>
    <t>KREK.KL</t>
  </si>
  <si>
    <t>Kretam Holdings Bhd</t>
  </si>
  <si>
    <t>CEKA.JK</t>
  </si>
  <si>
    <t>Wilmar Cahaya Indonesia Tbk PT</t>
  </si>
  <si>
    <t>RMCF.OQ</t>
  </si>
  <si>
    <t>Rocky Mountain Chocolate Factory Inc (Delaware)</t>
  </si>
  <si>
    <t>MLKF.BO</t>
  </si>
  <si>
    <t>Milkfood Ltd</t>
  </si>
  <si>
    <t>APETIT.HE</t>
  </si>
  <si>
    <t>Apetit Oyj</t>
  </si>
  <si>
    <t>Finland</t>
  </si>
  <si>
    <t>FB.PS</t>
  </si>
  <si>
    <t>San Miguel Food and Beverage Inc</t>
  </si>
  <si>
    <t>Philippines</t>
  </si>
  <si>
    <t>SEB.A</t>
  </si>
  <si>
    <t>Seaboard Corp</t>
  </si>
  <si>
    <t>RCLJ.J</t>
  </si>
  <si>
    <t>RCL Foods Ltd</t>
  </si>
  <si>
    <t>THEV.BO</t>
  </si>
  <si>
    <t>Ravalgaon Sugar Farm Ltd</t>
  </si>
  <si>
    <t>RFM.PS</t>
  </si>
  <si>
    <t>RFM Corp</t>
  </si>
  <si>
    <t>2910.T</t>
  </si>
  <si>
    <t>Rock Field Co Ltd</t>
  </si>
  <si>
    <t>PRAI.BO</t>
  </si>
  <si>
    <t>Pradhin Ltd</t>
  </si>
  <si>
    <t>2922.T</t>
  </si>
  <si>
    <t>Natori Co Ltd</t>
  </si>
  <si>
    <t>KRBL.NS</t>
  </si>
  <si>
    <t>KRBL Ltd</t>
  </si>
  <si>
    <t>CCLP.NS</t>
  </si>
  <si>
    <t>CCL Products (India) Ltd</t>
  </si>
  <si>
    <t>CRST.BO</t>
  </si>
  <si>
    <t>Crestchem Ltd</t>
  </si>
  <si>
    <t>600882.SS</t>
  </si>
  <si>
    <t>Shanghai Milkground Food Tech Co Ltd</t>
  </si>
  <si>
    <t>0969.HK</t>
  </si>
  <si>
    <t>Hua Lien International (Holding) Co Ltd</t>
  </si>
  <si>
    <t>FLXF.BO</t>
  </si>
  <si>
    <t>Flex Foods Ltd</t>
  </si>
  <si>
    <t>SOY.TO</t>
  </si>
  <si>
    <t>Sunopta Inc</t>
  </si>
  <si>
    <t>TSTE.BK</t>
  </si>
  <si>
    <t>TSTE PCL</t>
  </si>
  <si>
    <t>Thailand</t>
  </si>
  <si>
    <t>TVO.BK</t>
  </si>
  <si>
    <t>Thai Vegetable Oil PCL</t>
  </si>
  <si>
    <t>HIMA.BO</t>
  </si>
  <si>
    <t>Himalaya Food International Ltd</t>
  </si>
  <si>
    <t>CFRESH.BK</t>
  </si>
  <si>
    <t>Seafresh Industry PCL</t>
  </si>
  <si>
    <t>BOPL.CM</t>
  </si>
  <si>
    <t>Bogawantalawa Tea Estates PLC</t>
  </si>
  <si>
    <t>Sri Lanka</t>
  </si>
  <si>
    <t>HAPL.NS</t>
  </si>
  <si>
    <t>Hatsun Agro Product Ltd</t>
  </si>
  <si>
    <t>600305.SS</t>
  </si>
  <si>
    <t>Jiangsu Hengshun Vinegar Industry Co Ltd</t>
  </si>
  <si>
    <t>TOFB.PK</t>
  </si>
  <si>
    <t>Tofutti Brands Inc</t>
  </si>
  <si>
    <t>TR.N</t>
  </si>
  <si>
    <t>Tootsie Roll Industries Inc</t>
  </si>
  <si>
    <t>BCLN.NS</t>
  </si>
  <si>
    <t>BCL Industries Ltd</t>
  </si>
  <si>
    <t>LOUP.PA</t>
  </si>
  <si>
    <t>Societe LDC SA</t>
  </si>
  <si>
    <t>TSN.N</t>
  </si>
  <si>
    <t>Tyson Foods Inc</t>
  </si>
  <si>
    <t>KAPC.NR</t>
  </si>
  <si>
    <t>Kapchorua Tea Kenya PLC</t>
  </si>
  <si>
    <t>Kenya</t>
  </si>
  <si>
    <t>600883.SS</t>
  </si>
  <si>
    <t>Yunnan Bowin Technology Industry Co Ltd</t>
  </si>
  <si>
    <t>UNGA.NR</t>
  </si>
  <si>
    <t>Unga Group PLC</t>
  </si>
  <si>
    <t>2221.T</t>
  </si>
  <si>
    <t>Iwatsuka Confectionery Co Ltd</t>
  </si>
  <si>
    <t>CADBURY.LG</t>
  </si>
  <si>
    <t>Cadbury Nigeria PLC</t>
  </si>
  <si>
    <t>Nigeria</t>
  </si>
  <si>
    <t>FLOURMI.LG</t>
  </si>
  <si>
    <t>Flour Mills of Nigeria PLC</t>
  </si>
  <si>
    <t>UACN.LG</t>
  </si>
  <si>
    <t>Uac Of Nigeria PLC</t>
  </si>
  <si>
    <t>EAST.NS</t>
  </si>
  <si>
    <t>Eastern Sugar and Industries Ltd</t>
  </si>
  <si>
    <t>2293.T</t>
  </si>
  <si>
    <t>Takizawa Ham Co Ltd</t>
  </si>
  <si>
    <t>2812.T</t>
  </si>
  <si>
    <t>Yaizu Suisankagaku Industry Co Ltd</t>
  </si>
  <si>
    <t>BCBC.CD</t>
  </si>
  <si>
    <t>BC Bud Corp</t>
  </si>
  <si>
    <t>REXI.KL</t>
  </si>
  <si>
    <t>Rex Industry Bhd</t>
  </si>
  <si>
    <t>EPCO.CA</t>
  </si>
  <si>
    <t>Egypt Poultry Company SAE</t>
  </si>
  <si>
    <t>Egypt</t>
  </si>
  <si>
    <t>LOUr.AT</t>
  </si>
  <si>
    <t>Loulis Food Ingredients SA</t>
  </si>
  <si>
    <t>Greece</t>
  </si>
  <si>
    <t>SARr.AT</t>
  </si>
  <si>
    <t>Flour Mills C Sarantopoulos SA</t>
  </si>
  <si>
    <t>CUSI.PK</t>
  </si>
  <si>
    <t>Cuisine Solutions Inc</t>
  </si>
  <si>
    <t>AJWA.CA</t>
  </si>
  <si>
    <t>Ajwa for Food Industries Co Egypt SAE</t>
  </si>
  <si>
    <t>MOR.MZ</t>
  </si>
  <si>
    <t>Mauritius Oil Refineries Ltd</t>
  </si>
  <si>
    <t>Mauritius</t>
  </si>
  <si>
    <t>POUL.CA</t>
  </si>
  <si>
    <t>Cairo Poultry Company SAE</t>
  </si>
  <si>
    <t>ELBEN.TN</t>
  </si>
  <si>
    <t>Ste Elbene Industrie SA</t>
  </si>
  <si>
    <t>Tunisia</t>
  </si>
  <si>
    <t>600887.SS</t>
  </si>
  <si>
    <t>Inner Mongolia Yili Industrial Group Co Ltd</t>
  </si>
  <si>
    <t>INTP.BO</t>
  </si>
  <si>
    <t>Integrated Proteins Ltd</t>
  </si>
  <si>
    <t>NTO.TA</t>
  </si>
  <si>
    <t>Neto ME Holdings Ltd</t>
  </si>
  <si>
    <t>Israel</t>
  </si>
  <si>
    <t>BAMB.BO</t>
  </si>
  <si>
    <t>Bambino Agro Industries Ltd</t>
  </si>
  <si>
    <t>KFBL.BO</t>
  </si>
  <si>
    <t>Kothari Fermentation and Biochem Ltd</t>
  </si>
  <si>
    <t>ELAMF.PK</t>
  </si>
  <si>
    <t>Elamex SA de CV</t>
  </si>
  <si>
    <t>BMM.PS</t>
  </si>
  <si>
    <t>Bogo-Medellin Milling Co Inc</t>
  </si>
  <si>
    <t>CAT.PS</t>
  </si>
  <si>
    <t>Central Azucarera de Tarlac Inc</t>
  </si>
  <si>
    <t>MAFD.BO</t>
  </si>
  <si>
    <t>Mahaan Foods Ltd</t>
  </si>
  <si>
    <t>MDRD.BO</t>
  </si>
  <si>
    <t>Modern Dairies Ltd</t>
  </si>
  <si>
    <t>FFI.AX</t>
  </si>
  <si>
    <t>FFI Holdings Ltd</t>
  </si>
  <si>
    <t>NATR.BO</t>
  </si>
  <si>
    <t>Natraj Proteins Ltd</t>
  </si>
  <si>
    <t>NKIN.NS</t>
  </si>
  <si>
    <t>N K Industries Ltd</t>
  </si>
  <si>
    <t>KENT.IS</t>
  </si>
  <si>
    <t>Kent Gida Maddeleri Sanayii ve Ticaret AS</t>
  </si>
  <si>
    <t>LFM.PS</t>
  </si>
  <si>
    <t>Liberty Flour Mills Inc</t>
  </si>
  <si>
    <t>INNO.KL</t>
  </si>
  <si>
    <t>Innoprise Plantations Bhd</t>
  </si>
  <si>
    <t>NBRY.PK</t>
  </si>
  <si>
    <t>Newberry Bakers Inc</t>
  </si>
  <si>
    <t>ARYN.S</t>
  </si>
  <si>
    <t>Aryzta AG</t>
  </si>
  <si>
    <t>MG.PS</t>
  </si>
  <si>
    <t>Millennium Global Holdings Inc</t>
  </si>
  <si>
    <t>HKSAV.HE</t>
  </si>
  <si>
    <t>HKScan Oyj</t>
  </si>
  <si>
    <t>SNJACIC1.LM</t>
  </si>
  <si>
    <t>Agroindustrias San Jacinto SAA</t>
  </si>
  <si>
    <t>Peru</t>
  </si>
  <si>
    <t>LOTU.KL</t>
  </si>
  <si>
    <t>Lotus KFM Bhd</t>
  </si>
  <si>
    <t>MRCO.NS</t>
  </si>
  <si>
    <t>Marico Ltd</t>
  </si>
  <si>
    <t>VYBE.PK</t>
  </si>
  <si>
    <t>Limitless X Holdings Inc</t>
  </si>
  <si>
    <t>BAUH4.SA</t>
  </si>
  <si>
    <t>Excelsior Alimentos SA</t>
  </si>
  <si>
    <t>2907.T</t>
  </si>
  <si>
    <t>Ahjikan Co Ltd</t>
  </si>
  <si>
    <t>2911.T</t>
  </si>
  <si>
    <t>Asahimatsu Foods Co Ltd</t>
  </si>
  <si>
    <t>000638.SZ</t>
  </si>
  <si>
    <t>Vanfund Urban Investment and Development Co Ltd</t>
  </si>
  <si>
    <t>NOU.AX</t>
  </si>
  <si>
    <t>Noumi Ltd</t>
  </si>
  <si>
    <t>BAL.BO</t>
  </si>
  <si>
    <t>B &amp; A Ltd</t>
  </si>
  <si>
    <t>BJHN.NS</t>
  </si>
  <si>
    <t>Bajaj Hindusthan Sugar Ltd</t>
  </si>
  <si>
    <t>BANN.NS</t>
  </si>
  <si>
    <t>Bannari Amman Sugars Ltd</t>
  </si>
  <si>
    <t>GOLD.KL</t>
  </si>
  <si>
    <t>Golden Land Bhd</t>
  </si>
  <si>
    <t>SNWR.NS</t>
  </si>
  <si>
    <t>Sanwaria Consumer Ltd</t>
  </si>
  <si>
    <t>TARF.BO</t>
  </si>
  <si>
    <t>Tarai Foods Ltd</t>
  </si>
  <si>
    <t>TYTE.BO</t>
  </si>
  <si>
    <t>Tyroon Tea Co Ltd</t>
  </si>
  <si>
    <t>UMEL.BO</t>
  </si>
  <si>
    <t>Uniroyal Marine Exports Ltd</t>
  </si>
  <si>
    <t>TREI.NS</t>
  </si>
  <si>
    <t>Triveni Engineering and Industries Ltd</t>
  </si>
  <si>
    <t>VCIL.BO</t>
  </si>
  <si>
    <t>Virat Crane Industries Ltd</t>
  </si>
  <si>
    <t>STRS.TA</t>
  </si>
  <si>
    <t>Strauss Group Ltd</t>
  </si>
  <si>
    <t>GLORIAI1.LM</t>
  </si>
  <si>
    <t>Leche Gloria SA</t>
  </si>
  <si>
    <t>KTSG.NS</t>
  </si>
  <si>
    <t>Kothari Sugars and Chemicals Ltd</t>
  </si>
  <si>
    <t>UPOIC.BK</t>
  </si>
  <si>
    <t>United Palm Oil Industry PCL</t>
  </si>
  <si>
    <t>SCFK.LU</t>
  </si>
  <si>
    <t>Societe Financiere des Caoutchoucs SA</t>
  </si>
  <si>
    <t>Luxembourg</t>
  </si>
  <si>
    <t>NCH.CN</t>
  </si>
  <si>
    <t>Grupo Nutresa SA</t>
  </si>
  <si>
    <t>Colombia</t>
  </si>
  <si>
    <t>MITF.PSX</t>
  </si>
  <si>
    <t>Mitchell's Fruit Farms Ltd</t>
  </si>
  <si>
    <t>Pakistan</t>
  </si>
  <si>
    <t>FRNM.SI</t>
  </si>
  <si>
    <t>Fraser and Neave Ltd</t>
  </si>
  <si>
    <t>2892.T</t>
  </si>
  <si>
    <t>Nihon Shokuhin Kako Co Ltd</t>
  </si>
  <si>
    <t>QAFS.SI</t>
  </si>
  <si>
    <t>QAF Ltd</t>
  </si>
  <si>
    <t>PBH.TO</t>
  </si>
  <si>
    <t>Premium Brands Holdings Corp</t>
  </si>
  <si>
    <t>OCBB.KL</t>
  </si>
  <si>
    <t>OCB Bhd</t>
  </si>
  <si>
    <t>1220.TW</t>
  </si>
  <si>
    <t>Tai Roun Products Co Ltd</t>
  </si>
  <si>
    <t>PARAMOC1.LM</t>
  </si>
  <si>
    <t>Agro Industrial Paramonga SAA</t>
  </si>
  <si>
    <t>KERVT.IS</t>
  </si>
  <si>
    <t>Kerevitas Gida Sanayi ve Ticaret AS</t>
  </si>
  <si>
    <t>DUNCANFOX.SN</t>
  </si>
  <si>
    <t>Duncan Fox SA</t>
  </si>
  <si>
    <t>JBSS.OQ</t>
  </si>
  <si>
    <t>John B Sanfilippo &amp; Son Inc</t>
  </si>
  <si>
    <t>Chile</t>
  </si>
  <si>
    <t>OLEO.MC</t>
  </si>
  <si>
    <t>Deoleo SA</t>
  </si>
  <si>
    <t>AGRV.VI</t>
  </si>
  <si>
    <t>Agrana Beteiligungs AG</t>
  </si>
  <si>
    <t>Spain</t>
  </si>
  <si>
    <t>ANGL.TA</t>
  </si>
  <si>
    <t>Salomon A Angel Ltd</t>
  </si>
  <si>
    <t>LAREDOC1.LM</t>
  </si>
  <si>
    <t>Agroindustrial Laredo SAA</t>
  </si>
  <si>
    <t>MOSC.CA</t>
  </si>
  <si>
    <t>Misr Oils and Soap Co SAE</t>
  </si>
  <si>
    <t>UEFM.CA</t>
  </si>
  <si>
    <t>Upper Egypt Flour Mills SAE</t>
  </si>
  <si>
    <t>TPL.CM</t>
  </si>
  <si>
    <t>Talawakelle Tea Estates PLC</t>
  </si>
  <si>
    <t>RAIVV.HE</t>
  </si>
  <si>
    <t>Raisio Oyj</t>
  </si>
  <si>
    <t>SCFM.CA</t>
  </si>
  <si>
    <t>South Cairo and Giza Mills and Bakeries SAE</t>
  </si>
  <si>
    <t>2050.SE</t>
  </si>
  <si>
    <t>Savola Group Company SJSC</t>
  </si>
  <si>
    <t>FARS.PSX</t>
  </si>
  <si>
    <t>Faran Sugar Mills Ltd</t>
  </si>
  <si>
    <t>Saudi Arabia</t>
  </si>
  <si>
    <t>SSCL.NS</t>
  </si>
  <si>
    <t>Sukhjit Starch and Chemicals Ltd</t>
  </si>
  <si>
    <t>6010.SE</t>
  </si>
  <si>
    <t>National Agricultural Development Company SJSC</t>
  </si>
  <si>
    <t>JVOI.AM</t>
  </si>
  <si>
    <t>Jordan Vegetable Oil Industries Co PSC</t>
  </si>
  <si>
    <t>6050.SE</t>
  </si>
  <si>
    <t>Saudi Fisheries Company SJSC</t>
  </si>
  <si>
    <t>Jordan</t>
  </si>
  <si>
    <t>BLAB.CD</t>
  </si>
  <si>
    <t>Britannia Life Sciences Inc</t>
  </si>
  <si>
    <t>TGPB.KL</t>
  </si>
  <si>
    <t>Teck Guan Perdana Bhd</t>
  </si>
  <si>
    <t>600784.SS</t>
  </si>
  <si>
    <t>Luyin Investment Group Co Ltd</t>
  </si>
  <si>
    <t>YHSS.SI</t>
  </si>
  <si>
    <t>Yeo Hiap Seng Ltd</t>
  </si>
  <si>
    <t>SOFI.LU</t>
  </si>
  <si>
    <t>Socfinasia SA</t>
  </si>
  <si>
    <t>5902.TWO</t>
  </si>
  <si>
    <t>Tait Marketing &amp; Distribution Co Ltd</t>
  </si>
  <si>
    <t>1216.TW</t>
  </si>
  <si>
    <t>Uni-President Enterprises Corp</t>
  </si>
  <si>
    <t>INTR.BA</t>
  </si>
  <si>
    <t>a Compania Introductora de Buenos Aires SA</t>
  </si>
  <si>
    <t>TSML.CM</t>
  </si>
  <si>
    <t>Tea Smallholder Factories PLC</t>
  </si>
  <si>
    <t>Argentina</t>
  </si>
  <si>
    <t>SSF.BK</t>
  </si>
  <si>
    <t>Surapon Foods PCL</t>
  </si>
  <si>
    <t>0374.HK</t>
  </si>
  <si>
    <t>Four Seas Mercantile Holdings Ltd</t>
  </si>
  <si>
    <t>2913.TW</t>
  </si>
  <si>
    <t>Taiwan Tea Corp</t>
  </si>
  <si>
    <t>1218.TW</t>
  </si>
  <si>
    <t>Taisun Enterprise Co Ltd</t>
  </si>
  <si>
    <t>TC.BK</t>
  </si>
  <si>
    <t>Tropical Canning Thailand PCL</t>
  </si>
  <si>
    <t>TIPCO.BK</t>
  </si>
  <si>
    <t>Tipco Foods PCL</t>
  </si>
  <si>
    <t>EFE.CR</t>
  </si>
  <si>
    <t>Productos EFE SA</t>
  </si>
  <si>
    <t>PTN.CR</t>
  </si>
  <si>
    <t>Protinal CA</t>
  </si>
  <si>
    <t>Venezuela</t>
  </si>
  <si>
    <t>1203.TW</t>
  </si>
  <si>
    <t>Ve Wong Corp</t>
  </si>
  <si>
    <t>1201.TW</t>
  </si>
  <si>
    <t>Wei Chuan Foods Corp</t>
  </si>
  <si>
    <t>032980.KQ</t>
  </si>
  <si>
    <t>Byon Co Ltd</t>
  </si>
  <si>
    <t>2267.T</t>
  </si>
  <si>
    <t>Yakult Honsha Co Ltd</t>
  </si>
  <si>
    <t>Korea; Republic (S. Korea)</t>
  </si>
  <si>
    <t>2212.T</t>
  </si>
  <si>
    <t>Yamazaki Baking Co Ltd</t>
  </si>
  <si>
    <t>HPP.AX</t>
  </si>
  <si>
    <t>Health and Plant Protein Group Ltd</t>
  </si>
  <si>
    <t>2875.T</t>
  </si>
  <si>
    <t>Toyo Suisan Kaisha Ltd</t>
  </si>
  <si>
    <t>2004.T</t>
  </si>
  <si>
    <t>Showa Sangyo Co Ltd</t>
  </si>
  <si>
    <t>2107.T</t>
  </si>
  <si>
    <t>Toyo Sugar Refining Co Ltd</t>
  </si>
  <si>
    <t>2109.T</t>
  </si>
  <si>
    <t>Mitsui DM Sugar Holdings Co Ltd</t>
  </si>
  <si>
    <t>2217.T</t>
  </si>
  <si>
    <t>Morozoff Ltd</t>
  </si>
  <si>
    <t>2903.T</t>
  </si>
  <si>
    <t>Shinobu Foods Products Co Ltd</t>
  </si>
  <si>
    <t>IPAL.SN</t>
  </si>
  <si>
    <t>Ipal SA</t>
  </si>
  <si>
    <t>MINSAB.MX</t>
  </si>
  <si>
    <t>Grupo Minsa SAB de CV</t>
  </si>
  <si>
    <t>000833.SZ</t>
  </si>
  <si>
    <t>Guangxi Yuegui Guangye Holdings Co Ltd</t>
  </si>
  <si>
    <t>2902.NG</t>
  </si>
  <si>
    <t>Taiyo Kagaku Co Ltd</t>
  </si>
  <si>
    <t>HRCR.PK</t>
  </si>
  <si>
    <t>Hershey Creamery Co</t>
  </si>
  <si>
    <t>OCEJ.J</t>
  </si>
  <si>
    <t>Oceana Group Ltd</t>
  </si>
  <si>
    <t>WCDF.CA</t>
  </si>
  <si>
    <t>Middle and West Delta Flour Mills SAE</t>
  </si>
  <si>
    <t>000895.SZ</t>
  </si>
  <si>
    <t>Henan Shuanghui Investment &amp; Development Co Ltd</t>
  </si>
  <si>
    <t>600191.SS</t>
  </si>
  <si>
    <t>Baotou Huazi Industry Co Ltd</t>
  </si>
  <si>
    <t>2806.T</t>
  </si>
  <si>
    <t>Yutaka Foods Corp</t>
  </si>
  <si>
    <t>600127.SS</t>
  </si>
  <si>
    <t>Jinjian Cereals Industry Co Ltd</t>
  </si>
  <si>
    <t>1236.TW</t>
  </si>
  <si>
    <t>Hunya Foods Co Ltd</t>
  </si>
  <si>
    <t>2009.T</t>
  </si>
  <si>
    <t>Torigoe Co Ltd</t>
  </si>
  <si>
    <t>2874.T</t>
  </si>
  <si>
    <t>Yokorei Co Ltd</t>
  </si>
  <si>
    <t>2805.T</t>
  </si>
  <si>
    <t>S&amp;B Foods Inc</t>
  </si>
  <si>
    <t>5103.T</t>
  </si>
  <si>
    <t>Showa Holdings Co Ltd</t>
  </si>
  <si>
    <t>CDSG.PK</t>
  </si>
  <si>
    <t>China Dongsheng International Inc</t>
  </si>
  <si>
    <t>8043.T</t>
  </si>
  <si>
    <t>Starzen Co Ltd</t>
  </si>
  <si>
    <t>MSONb.ST</t>
  </si>
  <si>
    <t>Midsona AB</t>
  </si>
  <si>
    <t>8079.T</t>
  </si>
  <si>
    <t>Shoei Foods Corp</t>
  </si>
  <si>
    <t>Sweden</t>
  </si>
  <si>
    <t>BAFARB.MX</t>
  </si>
  <si>
    <t>Grupo Bafar SAB de CV</t>
  </si>
  <si>
    <t>ULTJ.JK</t>
  </si>
  <si>
    <t>Ultrajaya Milk Industry &amp; Trading Co PT</t>
  </si>
  <si>
    <t>GFPT.BK</t>
  </si>
  <si>
    <t>GFPT PCL</t>
  </si>
  <si>
    <t>1707.TW</t>
  </si>
  <si>
    <t>Grape King Bio Ltd</t>
  </si>
  <si>
    <t>1210.TW</t>
  </si>
  <si>
    <t>Great Wall Enterprise Co Ltd</t>
  </si>
  <si>
    <t>003680.KS</t>
  </si>
  <si>
    <t>Hansung Enterprise Co Ltd</t>
  </si>
  <si>
    <t>CEFM.CA</t>
  </si>
  <si>
    <t>Middle Egypt Flour Mills Co SAE</t>
  </si>
  <si>
    <t>2815.T</t>
  </si>
  <si>
    <t>Ariake Japan Co Ltd</t>
  </si>
  <si>
    <t>CHOTI.BK</t>
  </si>
  <si>
    <t>Kiang Huat Sea Gull Trading Frozen Food PCL</t>
  </si>
  <si>
    <t>1229.TW</t>
  </si>
  <si>
    <t>Lien Hwa Industrial Holdings Corp</t>
  </si>
  <si>
    <t>MALEE.BK</t>
  </si>
  <si>
    <t>Malee Group PCL</t>
  </si>
  <si>
    <t>9679.T</t>
  </si>
  <si>
    <t>Horai Co Ltd</t>
  </si>
  <si>
    <t>600872.SS</t>
  </si>
  <si>
    <t>Jonjee Hi-tech Industrial and Commercial Holding Co Ltd</t>
  </si>
  <si>
    <t>2901.T</t>
  </si>
  <si>
    <t>Ishigaki Foods Co Ltd</t>
  </si>
  <si>
    <t>NESM.KL</t>
  </si>
  <si>
    <t>Nestle (Malaysia) Bhd</t>
  </si>
  <si>
    <t>CPI.BK</t>
  </si>
  <si>
    <t>Chumporn Palm Oil Industry PCL</t>
  </si>
  <si>
    <t>MNPR3.SA</t>
  </si>
  <si>
    <t>Minupar Participacoes SA</t>
  </si>
  <si>
    <t>ODER3.SA</t>
  </si>
  <si>
    <t>Conservas Oderich SA</t>
  </si>
  <si>
    <t>EDFM.CA</t>
  </si>
  <si>
    <t>East Delta Flour Mills Co SAE</t>
  </si>
  <si>
    <t>2100.SE</t>
  </si>
  <si>
    <t>Wafrah for Industry and Development Company SJSC</t>
  </si>
  <si>
    <t>ATRAV.HE</t>
  </si>
  <si>
    <t>Atria Oyj</t>
  </si>
  <si>
    <t>BU.TO</t>
  </si>
  <si>
    <t>Burcon NutraScience Corp</t>
  </si>
  <si>
    <t>BLEG.PK</t>
  </si>
  <si>
    <t>Branded Legacy Inc</t>
  </si>
  <si>
    <t>MORI.BA</t>
  </si>
  <si>
    <t>Morixe Hermanos SACI</t>
  </si>
  <si>
    <t>URC.PS</t>
  </si>
  <si>
    <t>Universal Robina Corp</t>
  </si>
  <si>
    <t>AFMC.CA</t>
  </si>
  <si>
    <t>Alexandria Flour Mills and Bakeries Co SAE</t>
  </si>
  <si>
    <t>HWAT.KL</t>
  </si>
  <si>
    <t>Hwa Tai Industries Bhd</t>
  </si>
  <si>
    <t>GAGR.SI</t>
  </si>
  <si>
    <t>Golden Agri-Resources Ltd</t>
  </si>
  <si>
    <t>2816.T</t>
  </si>
  <si>
    <t>Daisho Co Ltd</t>
  </si>
  <si>
    <t>APURE.BK</t>
  </si>
  <si>
    <t>Agripure Holdings PCL</t>
  </si>
  <si>
    <t>1380.T</t>
  </si>
  <si>
    <t>Akikawa Foods &amp; Farms Co Ltd</t>
  </si>
  <si>
    <t>UTPS.KL</t>
  </si>
  <si>
    <t>United Plantations Bhd</t>
  </si>
  <si>
    <t>ATSYH.IS</t>
  </si>
  <si>
    <t>Atlantis Yatirim Holding AS</t>
  </si>
  <si>
    <t>EGAD.NR</t>
  </si>
  <si>
    <t>Eaagads Ltd</t>
  </si>
  <si>
    <t>WTK.NR</t>
  </si>
  <si>
    <t>Williamson Tea Kenya PLC</t>
  </si>
  <si>
    <t>LIMT.NR</t>
  </si>
  <si>
    <t>Limuru Tea Plc</t>
  </si>
  <si>
    <t>SASN.NR</t>
  </si>
  <si>
    <t>Sasini PLC</t>
  </si>
  <si>
    <t>WWL.WA</t>
  </si>
  <si>
    <t>Wawel SA</t>
  </si>
  <si>
    <t>0336.HK</t>
  </si>
  <si>
    <t>Huabao International Holdings Ltd</t>
  </si>
  <si>
    <t>Poland</t>
  </si>
  <si>
    <t>KHON.SI</t>
  </si>
  <si>
    <t>Khong Guan Ltd</t>
  </si>
  <si>
    <t>2266.T</t>
  </si>
  <si>
    <t>Rokko Butter Co Ltd</t>
  </si>
  <si>
    <t>IAGX.PK</t>
  </si>
  <si>
    <t>Imagenetix Inc</t>
  </si>
  <si>
    <t>2281.T</t>
  </si>
  <si>
    <t>Prima Meat Packers Ltd</t>
  </si>
  <si>
    <t>2809.T</t>
  </si>
  <si>
    <t>Kewpie Corp</t>
  </si>
  <si>
    <t>2802.T</t>
  </si>
  <si>
    <t>Ajinomoto Co Inc</t>
  </si>
  <si>
    <t>4526.T</t>
  </si>
  <si>
    <t>Riken Vitamin Co Ltd</t>
  </si>
  <si>
    <t>VMC.PS</t>
  </si>
  <si>
    <t>Victorias Milling Company Inc</t>
  </si>
  <si>
    <t>MYOR.JK</t>
  </si>
  <si>
    <t>Mayora Indah Tbk PT</t>
  </si>
  <si>
    <t>PETUN.IS</t>
  </si>
  <si>
    <t>Pinar Entegre Et ve Un Sanayii AS</t>
  </si>
  <si>
    <t>PNSUT.IS</t>
  </si>
  <si>
    <t>Pinar Sut Mamulleri Sanayii AS</t>
  </si>
  <si>
    <t>0322.HK</t>
  </si>
  <si>
    <t>Tingyi (Cayman Islands) Holding Corp</t>
  </si>
  <si>
    <t>CM.BK</t>
  </si>
  <si>
    <t>Chiangmai Frozen Foods PCL</t>
  </si>
  <si>
    <t>UNILEVE.LG</t>
  </si>
  <si>
    <t>Unilever Nigeria PLC</t>
  </si>
  <si>
    <t>NNFM.LG</t>
  </si>
  <si>
    <t>Northern Nigeria Flour Mills PLC</t>
  </si>
  <si>
    <t>NESTLE.LG</t>
  </si>
  <si>
    <t>Nestle Nigeria PLC</t>
  </si>
  <si>
    <t>PRG.BK</t>
  </si>
  <si>
    <t>PRG Corporation PCL</t>
  </si>
  <si>
    <t>BHNY.TA</t>
  </si>
  <si>
    <t>Beeio Honey Ltd</t>
  </si>
  <si>
    <t>1231.TW</t>
  </si>
  <si>
    <t>Lian Hwa Foods Corp</t>
  </si>
  <si>
    <t>2876.T</t>
  </si>
  <si>
    <t>Delsole Corp</t>
  </si>
  <si>
    <t>2919.FU</t>
  </si>
  <si>
    <t>Marutai Co Ltd</t>
  </si>
  <si>
    <t>MILS.CA</t>
  </si>
  <si>
    <t>North Cairo Flour Mills Company SAE</t>
  </si>
  <si>
    <t>ZEOT.CA</t>
  </si>
  <si>
    <t>Extracted Oil and Derivatives Co SAE</t>
  </si>
  <si>
    <t>JODA.AM</t>
  </si>
  <si>
    <t>Jordan Dairy Company Psc</t>
  </si>
  <si>
    <t>UMIC.AM</t>
  </si>
  <si>
    <t>Universal Modern Industries Company for Edible Oil PSC</t>
  </si>
  <si>
    <t>JPPC.AM</t>
  </si>
  <si>
    <t>Jordan Poultry Processing and Marketing Company PSC</t>
  </si>
  <si>
    <t>BFMC.BH</t>
  </si>
  <si>
    <t>Bahrain Flour Mills Co BSC</t>
  </si>
  <si>
    <t>001800.KS</t>
  </si>
  <si>
    <t>ORION Holdings Corp</t>
  </si>
  <si>
    <t>Bahrain</t>
  </si>
  <si>
    <t>EVRr.AT</t>
  </si>
  <si>
    <t>Evrofarma SA</t>
  </si>
  <si>
    <t>2594.T</t>
  </si>
  <si>
    <t>Key Coffee Inc</t>
  </si>
  <si>
    <t>AHLJ.J</t>
  </si>
  <si>
    <t>AH Vest Ltd</t>
  </si>
  <si>
    <t>NEST.NS</t>
  </si>
  <si>
    <t>Nestle India Ltd</t>
  </si>
  <si>
    <t>MOWI.OL</t>
  </si>
  <si>
    <t>Mowi ASA</t>
  </si>
  <si>
    <t>ZLKL1.TA</t>
  </si>
  <si>
    <t>Zanlakol Ltd</t>
  </si>
  <si>
    <t>BANVT.IS</t>
  </si>
  <si>
    <t>Banvit Bandirma Vitaminli Yem Sanayi AS</t>
  </si>
  <si>
    <t>1219.TW</t>
  </si>
  <si>
    <t>Fwusow Industry Co Ltd</t>
  </si>
  <si>
    <t>1702.TW</t>
  </si>
  <si>
    <t>Namchow Holdings Co Ltd</t>
  </si>
  <si>
    <t>1217.TW</t>
  </si>
  <si>
    <t>AGV Products Corp</t>
  </si>
  <si>
    <t>USNA.N</t>
  </si>
  <si>
    <t>USANA Health Sciences Inc</t>
  </si>
  <si>
    <t>RELV.PK</t>
  </si>
  <si>
    <t>Reliv International Inc</t>
  </si>
  <si>
    <t>SORKON.BK</t>
  </si>
  <si>
    <t>S Khonkaen Foods PCL</t>
  </si>
  <si>
    <t>PGR.CR</t>
  </si>
  <si>
    <t>Proagro CA</t>
  </si>
  <si>
    <t>FRIGO.IS</t>
  </si>
  <si>
    <t>Frigo-Pak Gida Maddeleri Sanayi ve Ticaret AS</t>
  </si>
  <si>
    <t>004370.KS</t>
  </si>
  <si>
    <t>Nongshim Co Ltd</t>
  </si>
  <si>
    <t>PODR.ZA</t>
  </si>
  <si>
    <t>Podravka dd</t>
  </si>
  <si>
    <t>SACL.ZI</t>
  </si>
  <si>
    <t>starafricacorporation Ltd</t>
  </si>
  <si>
    <t>Croatia</t>
  </si>
  <si>
    <t>CRMT.TA</t>
  </si>
  <si>
    <t>Carmit Candy Industries Ltd</t>
  </si>
  <si>
    <t>Zimbabwe</t>
  </si>
  <si>
    <t>ADSU.PSX</t>
  </si>
  <si>
    <t>Adam Sugar Mills Ltd</t>
  </si>
  <si>
    <t>ABDU.PSX</t>
  </si>
  <si>
    <t>Abdullah Shah Ghazi Sugar Mills Ltd</t>
  </si>
  <si>
    <t>NMFL.PSX</t>
  </si>
  <si>
    <t>Nirala MSR Foods Ltd</t>
  </si>
  <si>
    <t>ALNS.PSX</t>
  </si>
  <si>
    <t>Al Noor Sugar Mills Ltd</t>
  </si>
  <si>
    <t>ANSU.PSX</t>
  </si>
  <si>
    <t>Ansari Sugar Mills Ltd</t>
  </si>
  <si>
    <t>AISA.JK</t>
  </si>
  <si>
    <t>FKS Food Sejahtera Tbk PT</t>
  </si>
  <si>
    <t>HERDEZ.MX</t>
  </si>
  <si>
    <t>Grupo Herdez SAB de CV</t>
  </si>
  <si>
    <t>SAVIAA.MX</t>
  </si>
  <si>
    <t>Savia SA de CV</t>
  </si>
  <si>
    <t>BABA.PSX</t>
  </si>
  <si>
    <t>Baba Farid Sugar Mills Ltd</t>
  </si>
  <si>
    <t>CHSU.PSX</t>
  </si>
  <si>
    <t>Chashma Sugar Mills Ltd</t>
  </si>
  <si>
    <t>1MRZ401E.BV</t>
  </si>
  <si>
    <t>Mraziarne as Sladkovicovo</t>
  </si>
  <si>
    <t>000505.SZ</t>
  </si>
  <si>
    <t>Hainan Jingliang Holdings Co Ltd</t>
  </si>
  <si>
    <t>Slovak Republic</t>
  </si>
  <si>
    <t>GDLK.PSX</t>
  </si>
  <si>
    <t>Good Luck Industries Ltd</t>
  </si>
  <si>
    <t>006040.KS</t>
  </si>
  <si>
    <t>Dongwon Industries Co Ltd</t>
  </si>
  <si>
    <t>HABA.PSX</t>
  </si>
  <si>
    <t>Habib Rice Products Ltd</t>
  </si>
  <si>
    <t>HABS.PSX</t>
  </si>
  <si>
    <t>Habib Sugar Mills Ltd</t>
  </si>
  <si>
    <t>001680.KS</t>
  </si>
  <si>
    <t>Daesang Corp</t>
  </si>
  <si>
    <t>003920.KS</t>
  </si>
  <si>
    <t>Namyang Dairy Products Co Ltd</t>
  </si>
  <si>
    <t>006090.KS</t>
  </si>
  <si>
    <t>Oyang Corp</t>
  </si>
  <si>
    <t>007160.KS</t>
  </si>
  <si>
    <t>Sajo Industries Co Ltd</t>
  </si>
  <si>
    <t>003230.KS</t>
  </si>
  <si>
    <t>Samyang Foods Co Ltd</t>
  </si>
  <si>
    <t>008040.KS</t>
  </si>
  <si>
    <t>Sajodongaone Co Ltd</t>
  </si>
  <si>
    <t>TARI.PSX</t>
  </si>
  <si>
    <t>Tariq Corporation Ltd</t>
  </si>
  <si>
    <t>7443.T</t>
  </si>
  <si>
    <t>Yokohama Gyorui Co Ltd</t>
  </si>
  <si>
    <t>AFHB.KL</t>
  </si>
  <si>
    <t>Apollo Food Holdings Bhd</t>
  </si>
  <si>
    <t>ISML.PSX</t>
  </si>
  <si>
    <t>Ismail Industries Ltd</t>
  </si>
  <si>
    <t>JDWS.PSX</t>
  </si>
  <si>
    <t>JDW Sugar Mills Ltd</t>
  </si>
  <si>
    <t>CATT.KW</t>
  </si>
  <si>
    <t>Livestock Transport &amp; Trading Company KPSC</t>
  </si>
  <si>
    <t>OFIH.KL</t>
  </si>
  <si>
    <t>Oriental Food Industries Holdings Bhd</t>
  </si>
  <si>
    <t>Kuwait</t>
  </si>
  <si>
    <t>005180.KS</t>
  </si>
  <si>
    <t>Binggrae Co Ltd</t>
  </si>
  <si>
    <t>003960.KS</t>
  </si>
  <si>
    <t>Sajodaerim Corp</t>
  </si>
  <si>
    <t>001130.KS</t>
  </si>
  <si>
    <t>Daehan Flour Mill Co Ltd</t>
  </si>
  <si>
    <t>001040.KS</t>
  </si>
  <si>
    <t>CJ Corp</t>
  </si>
  <si>
    <t>005740.KS</t>
  </si>
  <si>
    <t>CrownHaitai Holdings Co Ltd</t>
  </si>
  <si>
    <t>001790.KS</t>
  </si>
  <si>
    <t>TS Corp</t>
  </si>
  <si>
    <t>002600.KS</t>
  </si>
  <si>
    <t>Choheung Corp</t>
  </si>
  <si>
    <t>001630.KS</t>
  </si>
  <si>
    <t>Chongkundang Holdings Corp</t>
  </si>
  <si>
    <t>002760.KS</t>
  </si>
  <si>
    <t>Bolak Co Ltd</t>
  </si>
  <si>
    <t>KHPR.PSX</t>
  </si>
  <si>
    <t>Khairpur Sugar Mills Ltd</t>
  </si>
  <si>
    <t>JAUH.PSX</t>
  </si>
  <si>
    <t>Jauharabad Sugar Mills Ltd</t>
  </si>
  <si>
    <t>LEGL.PSX</t>
  </si>
  <si>
    <t>Leiner Pak Gelatine Ltd</t>
  </si>
  <si>
    <t>MEHS.PSX</t>
  </si>
  <si>
    <t>Mehran Sugar Mills Ltd</t>
  </si>
  <si>
    <t>600811.SS</t>
  </si>
  <si>
    <t>Orient Group Inc</t>
  </si>
  <si>
    <t>000716.SZ</t>
  </si>
  <si>
    <t>Nanfang Black Sesame Group Co Ltd</t>
  </si>
  <si>
    <t>MLKP.PSX</t>
  </si>
  <si>
    <t>Nestle Pakistan Ltd</t>
  </si>
  <si>
    <t>017810.KS</t>
  </si>
  <si>
    <t>Pulmuone Co Ltd</t>
  </si>
  <si>
    <t>BUNN.PSX</t>
  </si>
  <si>
    <t>Bunny's Ltd</t>
  </si>
  <si>
    <t>MPKS.PSX</t>
  </si>
  <si>
    <t>Mirpurkhas Sugar Mills Ltd</t>
  </si>
  <si>
    <t>YOW.AX</t>
  </si>
  <si>
    <t>Yowie Group Ltd</t>
  </si>
  <si>
    <t>SURG.PSX</t>
  </si>
  <si>
    <t>Suraj Ghee Industries Ltd</t>
  </si>
  <si>
    <t>THLI.PSX</t>
  </si>
  <si>
    <t>Thal Industries Corporation Ltd</t>
  </si>
  <si>
    <t>GSFI.TA</t>
  </si>
  <si>
    <t>Gan Shmuel Foods Ltd</t>
  </si>
  <si>
    <t>NATF.PSX</t>
  </si>
  <si>
    <t>National Foods Ltd</t>
  </si>
  <si>
    <t>FAUJ.PSX</t>
  </si>
  <si>
    <t>Fauji Foods Ltd</t>
  </si>
  <si>
    <t>NOON.PSX</t>
  </si>
  <si>
    <t>Noon Sugar Mills Ltd</t>
  </si>
  <si>
    <t>LST.BK</t>
  </si>
  <si>
    <t>Lam Soon Thailand PCL</t>
  </si>
  <si>
    <t>WATTS.SN</t>
  </si>
  <si>
    <t>Watt's SA</t>
  </si>
  <si>
    <t>CAMPOS.SN</t>
  </si>
  <si>
    <t>Sociedad de Inversiones Campos Chilenos SA</t>
  </si>
  <si>
    <t>IANSA.SN</t>
  </si>
  <si>
    <t>Empresas Iansa SA</t>
  </si>
  <si>
    <t>BLUMAR.SN</t>
  </si>
  <si>
    <t>Blumar SA</t>
  </si>
  <si>
    <t>CHUCARC1.LM</t>
  </si>
  <si>
    <t>Central Azucarera Chucarapi Pampa Blanca SA</t>
  </si>
  <si>
    <t>TNDW.PSX</t>
  </si>
  <si>
    <t>Tandlianwala Sugar Mills Ltd</t>
  </si>
  <si>
    <t>000070.KS</t>
  </si>
  <si>
    <t>Samyang Holdings Corp</t>
  </si>
  <si>
    <t>WAZI.PSX</t>
  </si>
  <si>
    <t>Wazir Ali Industries Ltd</t>
  </si>
  <si>
    <t>PJBO.PSX</t>
  </si>
  <si>
    <t>Punjab Oil Mills Ltd</t>
  </si>
  <si>
    <t>PRES.PSX</t>
  </si>
  <si>
    <t>Premier Sugar Mills and Distillery Company Ltd</t>
  </si>
  <si>
    <t>RAMZ.PSX</t>
  </si>
  <si>
    <t>Rafhan Maize Products Co Ltd</t>
  </si>
  <si>
    <t>WLIL.SI</t>
  </si>
  <si>
    <t>Wilmar International Ltd</t>
  </si>
  <si>
    <t>ORCH.NR</t>
  </si>
  <si>
    <t>Kenya Orchards Ltd</t>
  </si>
  <si>
    <t>TATGD.IS</t>
  </si>
  <si>
    <t>Tat Gida Sanayi AS</t>
  </si>
  <si>
    <t>SAKS.PSX</t>
  </si>
  <si>
    <t>Sakrand Sugar Mills Ltd</t>
  </si>
  <si>
    <t>SANS.PSX</t>
  </si>
  <si>
    <t>Sanghar Sugar Mills Ltd</t>
  </si>
  <si>
    <t>SHAS.PSX</t>
  </si>
  <si>
    <t>Shahtaj Sugar Mills Ltd</t>
  </si>
  <si>
    <t>SHEZ.PSX</t>
  </si>
  <si>
    <t>Shezan International Ltd</t>
  </si>
  <si>
    <t>SHKS.PSX</t>
  </si>
  <si>
    <t>Shakarganj Ltd</t>
  </si>
  <si>
    <t>SHMS.PSX</t>
  </si>
  <si>
    <t>Shahmurad Sugar Mills Ltd</t>
  </si>
  <si>
    <t>SNAB.PSX</t>
  </si>
  <si>
    <t>Sindh Abadgars Sugar Mills Ltd</t>
  </si>
  <si>
    <t>UPFL.PSX</t>
  </si>
  <si>
    <t>Unilever Pakistan Foods Ltd</t>
  </si>
  <si>
    <t>BIMBOA.MX</t>
  </si>
  <si>
    <t>Grupo Bimbo SAB de CV</t>
  </si>
  <si>
    <t>ZHCD.QA</t>
  </si>
  <si>
    <t>Zad Holding Company QPSC</t>
  </si>
  <si>
    <t>DAMS.NS</t>
  </si>
  <si>
    <t>Dhampur Sugar Mills Ltd</t>
  </si>
  <si>
    <t>Qatar</t>
  </si>
  <si>
    <t>DCMI.NS</t>
  </si>
  <si>
    <t>Dcm Shriram Industries Ltd</t>
  </si>
  <si>
    <t>2612.T</t>
  </si>
  <si>
    <t>Kadoya Sesame Mills Inc</t>
  </si>
  <si>
    <t>CTEA.CM</t>
  </si>
  <si>
    <t>Dilmah Ceylon Tea Company PLC</t>
  </si>
  <si>
    <t>HARI.CM</t>
  </si>
  <si>
    <t>Harischandra Mills PLC</t>
  </si>
  <si>
    <t>PRMS.NS</t>
  </si>
  <si>
    <t>Prudential Sugar Corp Ltd</t>
  </si>
  <si>
    <t>KFP.CM</t>
  </si>
  <si>
    <t>Keells Food Products PLC</t>
  </si>
  <si>
    <t>LAMB.CM</t>
  </si>
  <si>
    <t>Kotmale Holdings PLC</t>
  </si>
  <si>
    <t>LMF.CM</t>
  </si>
  <si>
    <t>Lanka Milk Foods (CWE) PLC</t>
  </si>
  <si>
    <t>SOY.CM</t>
  </si>
  <si>
    <t>Convenience Foods (Lanka )PLC</t>
  </si>
  <si>
    <t>MAWS.NS</t>
  </si>
  <si>
    <t>Mawana Sugars Ltd</t>
  </si>
  <si>
    <t>CPWA.KL</t>
  </si>
  <si>
    <t>Cepatwawasan Group Bhd</t>
  </si>
  <si>
    <t>1225.TW</t>
  </si>
  <si>
    <t>Formosa Oilseed Processing Co Ltd</t>
  </si>
  <si>
    <t>2917.T</t>
  </si>
  <si>
    <t>Ohmoriya Co Ltd</t>
  </si>
  <si>
    <t>BACH.NS</t>
  </si>
  <si>
    <t>Balrampur Chini Mills Ltd</t>
  </si>
  <si>
    <t>BUB.AX</t>
  </si>
  <si>
    <t>Bubs Australia Ltd</t>
  </si>
  <si>
    <t>AGRIEXPA.MX</t>
  </si>
  <si>
    <t>Agro Industrial Exportadora SA de CV</t>
  </si>
  <si>
    <t>011150.KS</t>
  </si>
  <si>
    <t>CJ Seafood Corp</t>
  </si>
  <si>
    <t>004410.KS</t>
  </si>
  <si>
    <t>Seoul Food Ind Co Ltd</t>
  </si>
  <si>
    <t>007540.KS</t>
  </si>
  <si>
    <t>Sempio Co</t>
  </si>
  <si>
    <t>CSR.CS</t>
  </si>
  <si>
    <t>Compagnie Sucrerie Marocaine et de Raffinage SA</t>
  </si>
  <si>
    <t>DINV.BO</t>
  </si>
  <si>
    <t>Dhampure Speciality Sugars Ltd</t>
  </si>
  <si>
    <t>Morocco</t>
  </si>
  <si>
    <t>LES.CS</t>
  </si>
  <si>
    <t>Lesieur Ste SA</t>
  </si>
  <si>
    <t>NASCON.LG</t>
  </si>
  <si>
    <t>NASCON Allied Industries PLC</t>
  </si>
  <si>
    <t>OKOMUOI.LG</t>
  </si>
  <si>
    <t>Okomu Oil Palm Company PLC</t>
  </si>
  <si>
    <t>600298.SS</t>
  </si>
  <si>
    <t>Angel Yeast Co Ltd</t>
  </si>
  <si>
    <t>2918.T</t>
  </si>
  <si>
    <t>Warabeya Nichiyo Holdings Co Ltd</t>
  </si>
  <si>
    <t>2915.T</t>
  </si>
  <si>
    <t>Kenko Mayonnaise Co Ltd</t>
  </si>
  <si>
    <t>SEFA.BT</t>
  </si>
  <si>
    <t>Sefalana Holding Company Ltd</t>
  </si>
  <si>
    <t>UNIONDI.LG</t>
  </si>
  <si>
    <t>Union Dicon Salt PLC</t>
  </si>
  <si>
    <t>Botswana</t>
  </si>
  <si>
    <t>HAIN.OQ</t>
  </si>
  <si>
    <t>Hain Celestial Group Inc</t>
  </si>
  <si>
    <t>SKLT.JK</t>
  </si>
  <si>
    <t>Sekar Laut Tbk PT</t>
  </si>
  <si>
    <t>SFMI.OM</t>
  </si>
  <si>
    <t>Salalah Mills Company SAOG</t>
  </si>
  <si>
    <t>BUDI.JK</t>
  </si>
  <si>
    <t>Budi Starch &amp; Sweetener Tbk PT</t>
  </si>
  <si>
    <t>USMJ.PK</t>
  </si>
  <si>
    <t>North American Cannabis Holdings Inc</t>
  </si>
  <si>
    <t>NUTRAVALOR.SN</t>
  </si>
  <si>
    <t>Inversiones Nutravalor SA</t>
  </si>
  <si>
    <t>AGRO.NS</t>
  </si>
  <si>
    <t>Agro Tech Foods Ltd</t>
  </si>
  <si>
    <t>CLM.CN</t>
  </si>
  <si>
    <t>Colombina SA</t>
  </si>
  <si>
    <t>AMRN.NS</t>
  </si>
  <si>
    <t>ADF Foods Ltd</t>
  </si>
  <si>
    <t>SAUCE.BK</t>
  </si>
  <si>
    <t>Thaitheparos PCL</t>
  </si>
  <si>
    <t>TU.BK</t>
  </si>
  <si>
    <t>Thai Union Group PCL</t>
  </si>
  <si>
    <t>AVTN.NS</t>
  </si>
  <si>
    <t>AVT Natural Products Ltd</t>
  </si>
  <si>
    <t>IRP.CN</t>
  </si>
  <si>
    <t>Riopaila Agricola SA</t>
  </si>
  <si>
    <t>KHEE.KL</t>
  </si>
  <si>
    <t>Khee San Bhd</t>
  </si>
  <si>
    <t>CETA.BO</t>
  </si>
  <si>
    <t>Ceeta Industries Ltd</t>
  </si>
  <si>
    <t>HWF.MZ</t>
  </si>
  <si>
    <t>Innodis Ltd</t>
  </si>
  <si>
    <t>DLMI.NS</t>
  </si>
  <si>
    <t>Dalmia Bharat Sugar and Industries Ltd</t>
  </si>
  <si>
    <t>FDSI.NS</t>
  </si>
  <si>
    <t>Foods and Inns Ltd</t>
  </si>
  <si>
    <t>FORF.BO</t>
  </si>
  <si>
    <t>Fortune Foods Ltd</t>
  </si>
  <si>
    <t>GAME.NS</t>
  </si>
  <si>
    <t>Gujarat Ambuja Exports Ltd</t>
  </si>
  <si>
    <t>HFDS.NS</t>
  </si>
  <si>
    <t>Hindustan Foods Ltd</t>
  </si>
  <si>
    <t>UNIT.PSX</t>
  </si>
  <si>
    <t>Unity Foods Ltd</t>
  </si>
  <si>
    <t>HAWA.PSX</t>
  </si>
  <si>
    <t>Haseeb Waqas Sugar Mills Ltd</t>
  </si>
  <si>
    <t>BBRM.NS</t>
  </si>
  <si>
    <t>Bombay Burmah Trading Corporation Ltd</t>
  </si>
  <si>
    <t>KOVI.BO</t>
  </si>
  <si>
    <t>Kovilpatti Lakshmi Roller Flour Mills Ltd</t>
  </si>
  <si>
    <t>LACT.BO</t>
  </si>
  <si>
    <t>Lactose (India) Ltd</t>
  </si>
  <si>
    <t>LOTU.BO</t>
  </si>
  <si>
    <t>Lotus Chocolate Company Ltd</t>
  </si>
  <si>
    <t>NIJJ.BO</t>
  </si>
  <si>
    <t>Nijjer Agro Foods Ltd</t>
  </si>
  <si>
    <t>KORE.BO</t>
  </si>
  <si>
    <t>Kore Foods Ltd</t>
  </si>
  <si>
    <t>BRIT.NS</t>
  </si>
  <si>
    <t>Britannia Industries Ltd</t>
  </si>
  <si>
    <t>PAFO.NS</t>
  </si>
  <si>
    <t>Patanjali Foods Ltd</t>
  </si>
  <si>
    <t>JYST.NS</t>
  </si>
  <si>
    <t>Jay Shree Tea and Industries Ltd</t>
  </si>
  <si>
    <t>TACN.NS</t>
  </si>
  <si>
    <t>Tata Consumer Products Ltd</t>
  </si>
  <si>
    <t>ZURI.NS</t>
  </si>
  <si>
    <t>Zuari Industries Ltd</t>
  </si>
  <si>
    <t>1233.TW</t>
  </si>
  <si>
    <t>Ten Ren Tea Co Ltd</t>
  </si>
  <si>
    <t>SIMB.NS</t>
  </si>
  <si>
    <t>Simbhaoli Sugars Ltd</t>
  </si>
  <si>
    <t>SRGI.BO</t>
  </si>
  <si>
    <t>Shri Gang Industries and Allied Products Ltd</t>
  </si>
  <si>
    <t>FML.GH</t>
  </si>
  <si>
    <t>Fan Milk Ltd</t>
  </si>
  <si>
    <t>SGRS.BO</t>
  </si>
  <si>
    <t>Sagar Soya Products Ltd</t>
  </si>
  <si>
    <t>Ghana</t>
  </si>
  <si>
    <t>VDLI.NS</t>
  </si>
  <si>
    <t>Vadilal Industries Ltd</t>
  </si>
  <si>
    <t>GENX.V</t>
  </si>
  <si>
    <t>Genix Pharmaceuticals Corp</t>
  </si>
  <si>
    <t>MOLI.BA</t>
  </si>
  <si>
    <t>Molinos Rio de la Plata SA</t>
  </si>
  <si>
    <t>GRUMAB.MX</t>
  </si>
  <si>
    <t>Gruma SAB de CV</t>
  </si>
  <si>
    <t>2292.T</t>
  </si>
  <si>
    <t>S Foods Inc</t>
  </si>
  <si>
    <t>PACV.PK</t>
  </si>
  <si>
    <t>Pacific Ventures Group Inc</t>
  </si>
  <si>
    <t>2813.T</t>
  </si>
  <si>
    <t>Wakou Shokuhin Co Ltd</t>
  </si>
  <si>
    <t>2814.T</t>
  </si>
  <si>
    <t>Sato Foods Industries Co Ltd</t>
  </si>
  <si>
    <t>2904.T</t>
  </si>
  <si>
    <t>Ichimasa Kamaboko Co Ltd</t>
  </si>
  <si>
    <t>1SMP01AE.BV</t>
  </si>
  <si>
    <t>Seredsky Masovy Priemysel as</t>
  </si>
  <si>
    <t>TBSJ.J</t>
  </si>
  <si>
    <t>Tiger Brands Ltd</t>
  </si>
  <si>
    <t>MED.N</t>
  </si>
  <si>
    <t>Medifast Inc</t>
  </si>
  <si>
    <t>ZSUG.LZ</t>
  </si>
  <si>
    <t>Zambia Sugar PLC</t>
  </si>
  <si>
    <t>ASMC.M3</t>
  </si>
  <si>
    <t>Assam Company India Ltd</t>
  </si>
  <si>
    <t>Zambia</t>
  </si>
  <si>
    <t>GDRC.BO</t>
  </si>
  <si>
    <t>Goodricke Group Ltd</t>
  </si>
  <si>
    <t>2222.T</t>
  </si>
  <si>
    <t>Kotobuki Spirits Co Ltd</t>
  </si>
  <si>
    <t>2916.T</t>
  </si>
  <si>
    <t>Semba Tohka Industries Co Ltd</t>
  </si>
  <si>
    <t>7413.T</t>
  </si>
  <si>
    <t>Sokensha Co Ltd</t>
  </si>
  <si>
    <t>7932.T</t>
  </si>
  <si>
    <t>Nippi Inc</t>
  </si>
  <si>
    <t>600300.SS</t>
  </si>
  <si>
    <t>V V Food &amp; Beverage Co Ltd</t>
  </si>
  <si>
    <t>BOND.PA</t>
  </si>
  <si>
    <t>Bonduelle SA</t>
  </si>
  <si>
    <t>KVAL.CM</t>
  </si>
  <si>
    <t>Kelani Valley Plantations PLC</t>
  </si>
  <si>
    <t>ASIAN.BK</t>
  </si>
  <si>
    <t>Asian Sea Corporation PCL</t>
  </si>
  <si>
    <t>SSOM.PSX</t>
  </si>
  <si>
    <t>S S Oil Mills Ltd</t>
  </si>
  <si>
    <t>AUSTRAC1.LM</t>
  </si>
  <si>
    <t>Austral Group SAA</t>
  </si>
  <si>
    <t>HNFSA.PK</t>
  </si>
  <si>
    <t>Hanover Foods Corp</t>
  </si>
  <si>
    <t>INDF.JK</t>
  </si>
  <si>
    <t>Indofood Sukses Makmur Tbk PT</t>
  </si>
  <si>
    <t>CLV.AX</t>
  </si>
  <si>
    <t>Clover Corporation Ltd</t>
  </si>
  <si>
    <t>SAMI.BA</t>
  </si>
  <si>
    <t>SA San Miguel AGICI y F</t>
  </si>
  <si>
    <t>ABF.L</t>
  </si>
  <si>
    <t>Associated British Foods PLC</t>
  </si>
  <si>
    <t>BENT.BO</t>
  </si>
  <si>
    <t>Bengal Tea &amp; Fabrics Ltd</t>
  </si>
  <si>
    <t>UMDA.NS</t>
  </si>
  <si>
    <t>Umang Dairies Ltd</t>
  </si>
  <si>
    <t>KAIN.BO</t>
  </si>
  <si>
    <t>Kanel Industries Ltd</t>
  </si>
  <si>
    <t>INSU.BO</t>
  </si>
  <si>
    <t>Indian Sucrose Ltd</t>
  </si>
  <si>
    <t>RNSG.NS</t>
  </si>
  <si>
    <t>Rana Sugars Ltd</t>
  </si>
  <si>
    <t>AJAS.BO</t>
  </si>
  <si>
    <t>Ajanta Soya Ltd</t>
  </si>
  <si>
    <t>1227.TW</t>
  </si>
  <si>
    <t>Standard Foods Corp</t>
  </si>
  <si>
    <t>HEFI.NS</t>
  </si>
  <si>
    <t>Heritage Foods Ltd</t>
  </si>
  <si>
    <t>JAAO.NS</t>
  </si>
  <si>
    <t>Jayant Agro-Organics Ltd</t>
  </si>
  <si>
    <t>MADI.BO</t>
  </si>
  <si>
    <t>Madhur Industries Ltd</t>
  </si>
  <si>
    <t>MILS.BO</t>
  </si>
  <si>
    <t>Milk Specialities Ltd</t>
  </si>
  <si>
    <t>NTE.NS</t>
  </si>
  <si>
    <t>Norben Tea and Exports Ltd</t>
  </si>
  <si>
    <t>REVO.BO</t>
  </si>
  <si>
    <t>Revati Organics Ltd</t>
  </si>
  <si>
    <t>SASC.BO</t>
  </si>
  <si>
    <t>Saboo Sodium Chloro Ltd</t>
  </si>
  <si>
    <t>SAMN.BO</t>
  </si>
  <si>
    <t>Sampre Nutritions Ltd</t>
  </si>
  <si>
    <t>SARP.BO</t>
  </si>
  <si>
    <t>Sarda Proteins Ltd</t>
  </si>
  <si>
    <t>KOFO.NS</t>
  </si>
  <si>
    <t>Kohinoor Foods Ltd</t>
  </si>
  <si>
    <t>FITT.KL</t>
  </si>
  <si>
    <t>Fitters Diversified Bhd</t>
  </si>
  <si>
    <t>GAYA.BO</t>
  </si>
  <si>
    <t>Gayatri BioOrganics Ltd</t>
  </si>
  <si>
    <t>TABE.NS</t>
  </si>
  <si>
    <t>Tasty Bite Eatables Ltd</t>
  </si>
  <si>
    <t>TSC.BO</t>
  </si>
  <si>
    <t>Tirupati Starch &amp; Chemicals Ltd</t>
  </si>
  <si>
    <t>CIAN.BO</t>
  </si>
  <si>
    <t>Cian Agro Industries &amp; Infrastructure Ltd</t>
  </si>
  <si>
    <t>VADI.BO</t>
  </si>
  <si>
    <t>Vadilal Dairy International Ltd</t>
  </si>
  <si>
    <t>7559.T</t>
  </si>
  <si>
    <t>Global Food Creators Co Ltd</t>
  </si>
  <si>
    <t>GSFD.PK</t>
  </si>
  <si>
    <t>Global Seafood Technologies Inc</t>
  </si>
  <si>
    <t>DARDL.IS</t>
  </si>
  <si>
    <t>Dardanel Onentas Gida Sanayi AS</t>
  </si>
  <si>
    <t>2877.T</t>
  </si>
  <si>
    <t>NittoBest Corp</t>
  </si>
  <si>
    <t>SENEA.OQ</t>
  </si>
  <si>
    <t>Seneca Foods Corp</t>
  </si>
  <si>
    <t>CPB.N</t>
  </si>
  <si>
    <t>Campbell Soup Co</t>
  </si>
  <si>
    <t>KREKA.AT</t>
  </si>
  <si>
    <t>Kreka SA</t>
  </si>
  <si>
    <t>TUKAS.IS</t>
  </si>
  <si>
    <t>Tukas Gida Sanayi ve Ticaret AS</t>
  </si>
  <si>
    <t>DAR.N</t>
  </si>
  <si>
    <t>Darling Ingredients Inc</t>
  </si>
  <si>
    <t>ABRH.SI</t>
  </si>
  <si>
    <t>ABR Holdings Ltd</t>
  </si>
  <si>
    <t>PSDN.JK</t>
  </si>
  <si>
    <t>Prasidha Aneka Niaga Tbk PT</t>
  </si>
  <si>
    <t>VICONTO.SN</t>
  </si>
  <si>
    <t>Fruticola Viconto SA</t>
  </si>
  <si>
    <t>FND.BK</t>
  </si>
  <si>
    <t>Food and Drinks PCL</t>
  </si>
  <si>
    <t>CYF.V</t>
  </si>
  <si>
    <t>Canyon Creek Food Company Ltd</t>
  </si>
  <si>
    <t>PZV1L.VL</t>
  </si>
  <si>
    <t>Pieno Zvaigzdes AB</t>
  </si>
  <si>
    <t>2224.T</t>
  </si>
  <si>
    <t>Como Co Ltd</t>
  </si>
  <si>
    <t>Lithuania</t>
  </si>
  <si>
    <t>OSCI.OM</t>
  </si>
  <si>
    <t>Sweets of Oman SAOG</t>
  </si>
  <si>
    <t>MERKO.IS</t>
  </si>
  <si>
    <t>Merko Gida Sanayi ve Ticaret AS</t>
  </si>
  <si>
    <t>007310.KS</t>
  </si>
  <si>
    <t>Ottogi Corp</t>
  </si>
  <si>
    <t>600866.SS</t>
  </si>
  <si>
    <t>Star Lake Bioscience Co Inc Zhaoqing Guangdong</t>
  </si>
  <si>
    <t>INGR.N</t>
  </si>
  <si>
    <t>Ingredion Inc</t>
  </si>
  <si>
    <t>024720.KS</t>
  </si>
  <si>
    <t>Kolmar Korea Holdings Co Ltd</t>
  </si>
  <si>
    <t>009780.KQ</t>
  </si>
  <si>
    <t>MSC Co Ltd</t>
  </si>
  <si>
    <t>005670.KQ</t>
  </si>
  <si>
    <t>Foodwell Corp</t>
  </si>
  <si>
    <t>002680.KQ</t>
  </si>
  <si>
    <t>Hantop Inc</t>
  </si>
  <si>
    <t>ZMP1L.VL</t>
  </si>
  <si>
    <t>Zemaitijos Pienas AB</t>
  </si>
  <si>
    <t>POMALCC1.LM</t>
  </si>
  <si>
    <t>Empresa Agroindustrial Pomalca SAA</t>
  </si>
  <si>
    <t>600186.SS</t>
  </si>
  <si>
    <t>Lotus Health Group Co</t>
  </si>
  <si>
    <t>PPSP.WA</t>
  </si>
  <si>
    <t>Przedsiebiorstwo Przemyslu Spozywczego PEPEES SA</t>
  </si>
  <si>
    <t>CASAGRC1.LM</t>
  </si>
  <si>
    <t>Casa Grande Sociedad Anonima Abierta</t>
  </si>
  <si>
    <t>RSU1L.VL</t>
  </si>
  <si>
    <t>Rokiskio Suris AB</t>
  </si>
  <si>
    <t>NDAR.AM</t>
  </si>
  <si>
    <t>Nutri Dar PSC</t>
  </si>
  <si>
    <t>600073.SS</t>
  </si>
  <si>
    <t>Shanghai Maling Aquarius Co Ltd</t>
  </si>
  <si>
    <t>BRFS3.SA</t>
  </si>
  <si>
    <t>BRF SA</t>
  </si>
  <si>
    <t>OFOD.BO</t>
  </si>
  <si>
    <t>Ovobel Foods Ltd</t>
  </si>
  <si>
    <t>KRAR.ZA</t>
  </si>
  <si>
    <t>Kras dd</t>
  </si>
  <si>
    <t>WATA.CM</t>
  </si>
  <si>
    <t>Watawala Plantations PLC</t>
  </si>
  <si>
    <t>AALI.JK</t>
  </si>
  <si>
    <t>Astra Agro Lestari Tbk PT</t>
  </si>
  <si>
    <t>PHLI.PK</t>
  </si>
  <si>
    <t>PacificHealth Laboratories Inc</t>
  </si>
  <si>
    <t>SFSb.IC</t>
  </si>
  <si>
    <t>Slaturfelag Sudurlands svf</t>
  </si>
  <si>
    <t>GREENY.BR</t>
  </si>
  <si>
    <t>Greenyard NV</t>
  </si>
  <si>
    <t>2830.T</t>
  </si>
  <si>
    <t>Aohata Corp</t>
  </si>
  <si>
    <t>Iceland</t>
  </si>
  <si>
    <t>DZL.ZI</t>
  </si>
  <si>
    <t>Dairibord Holdings Ltd</t>
  </si>
  <si>
    <t>PATY.BA</t>
  </si>
  <si>
    <t>Quickfood SA</t>
  </si>
  <si>
    <t>SAP.TO</t>
  </si>
  <si>
    <t>Saputo Inc</t>
  </si>
  <si>
    <t>KCPS.NS</t>
  </si>
  <si>
    <t>KCP Sugar and Industries Corp Ltd</t>
  </si>
  <si>
    <t>MASK.CM</t>
  </si>
  <si>
    <t>Maskeliya Plantations PLC</t>
  </si>
  <si>
    <t>2923.T</t>
  </si>
  <si>
    <t>Sato Foods Co Ltd</t>
  </si>
  <si>
    <t>0809.HK</t>
  </si>
  <si>
    <t>Global Bio-chem Technology Group Co Ltd</t>
  </si>
  <si>
    <t>600419.SS</t>
  </si>
  <si>
    <t>Xinjiang Tianrun Dairy Co Ltd</t>
  </si>
  <si>
    <t>LATF.PK</t>
  </si>
  <si>
    <t>Latteno Food Corp</t>
  </si>
  <si>
    <t>GNC.AX</t>
  </si>
  <si>
    <t>Graincorp Ltd</t>
  </si>
  <si>
    <t>SUGR.CA</t>
  </si>
  <si>
    <t>Delta Sugar Company SAE</t>
  </si>
  <si>
    <t>005990.KQ</t>
  </si>
  <si>
    <t>Maeil Holdings Co Ltd</t>
  </si>
  <si>
    <t>BARN.S</t>
  </si>
  <si>
    <t>Barry Callebaut AG</t>
  </si>
  <si>
    <t>CARTAVC1.LM</t>
  </si>
  <si>
    <t>Cartavio SAA</t>
  </si>
  <si>
    <t>ALFLE.PA</t>
  </si>
  <si>
    <t>Fleury Michon SA</t>
  </si>
  <si>
    <t>PENGD.IS</t>
  </si>
  <si>
    <t>Penguen Gida Sanayi AS</t>
  </si>
  <si>
    <t>GSPT.PK</t>
  </si>
  <si>
    <t>Golden Star Enterprises Ltd</t>
  </si>
  <si>
    <t>AAC.AX</t>
  </si>
  <si>
    <t>Australian Agricultural Company Ltd</t>
  </si>
  <si>
    <t>1SEA01AE.BV</t>
  </si>
  <si>
    <t>Semat as</t>
  </si>
  <si>
    <t>2669.T</t>
  </si>
  <si>
    <t>Kanemi Co Ltd</t>
  </si>
  <si>
    <t>EBRO.MC</t>
  </si>
  <si>
    <t>Ebro Foods SA</t>
  </si>
  <si>
    <t>KROT.MM</t>
  </si>
  <si>
    <t>MKF Krasnyi Oktyabr' PAO</t>
  </si>
  <si>
    <t>SELGD.IS</t>
  </si>
  <si>
    <t>Selcuk Gida Endustri Ihracat Ithalat AS</t>
  </si>
  <si>
    <t>KUBR.PK</t>
  </si>
  <si>
    <t>Kuber Resources Corp</t>
  </si>
  <si>
    <t>Russia</t>
  </si>
  <si>
    <t>ZIVO.PK</t>
  </si>
  <si>
    <t>Zivo Bioscience Inc</t>
  </si>
  <si>
    <t>ONO.WA</t>
  </si>
  <si>
    <t>Onesano SA</t>
  </si>
  <si>
    <t>4205.TWO</t>
  </si>
  <si>
    <t>Chung Hwa Food Industrial Co Ltd</t>
  </si>
  <si>
    <t>2831.T</t>
  </si>
  <si>
    <t>Hagoromo Foods Corp</t>
  </si>
  <si>
    <t>MTEX.OQ</t>
  </si>
  <si>
    <t>Mannatech Inc</t>
  </si>
  <si>
    <t>MIKK.BR</t>
  </si>
  <si>
    <t>Miko NV</t>
  </si>
  <si>
    <t>NU.V</t>
  </si>
  <si>
    <t>NeutriSci International Inc</t>
  </si>
  <si>
    <t>OEFI.OM</t>
  </si>
  <si>
    <t>Omani Euro Food Industries SAOG</t>
  </si>
  <si>
    <t>4207.TWO</t>
  </si>
  <si>
    <t>Taiwan Fructose Co Ltd</t>
  </si>
  <si>
    <t>PNPL.PK</t>
  </si>
  <si>
    <t>Pineapple Inc</t>
  </si>
  <si>
    <t>000972.SZ</t>
  </si>
  <si>
    <t>Chalkis Health Industry Co Ltd</t>
  </si>
  <si>
    <t>TFL.AX</t>
  </si>
  <si>
    <t>Tasfoods Ltd</t>
  </si>
  <si>
    <t>2597.T</t>
  </si>
  <si>
    <t>Unicafe Inc</t>
  </si>
  <si>
    <t>RSI.TO</t>
  </si>
  <si>
    <t>Rogers Sugar Inc</t>
  </si>
  <si>
    <t>MDLZ.OQ</t>
  </si>
  <si>
    <t>Mondelez International Inc</t>
  </si>
  <si>
    <t>200992.SZ</t>
  </si>
  <si>
    <t>Shandong Zhonglu Oceanic Fisheries Co Ltd</t>
  </si>
  <si>
    <t>000911.SZ</t>
  </si>
  <si>
    <t>Guangxi Rural Investment Sugar Industry Group Co Ltd</t>
  </si>
  <si>
    <t>ARLJ.J</t>
  </si>
  <si>
    <t>Astral Foods Ltd</t>
  </si>
  <si>
    <t>1381.T</t>
  </si>
  <si>
    <t>Axyz Co Ltd</t>
  </si>
  <si>
    <t>0831.HK</t>
  </si>
  <si>
    <t>Convenience Retail Asia Ltd</t>
  </si>
  <si>
    <t>RLBD.PK</t>
  </si>
  <si>
    <t>Real Brands Inc</t>
  </si>
  <si>
    <t>PALC.CI</t>
  </si>
  <si>
    <t>Palmci SA</t>
  </si>
  <si>
    <t>2551.NG</t>
  </si>
  <si>
    <t>Marusan-Ai Co Ltd</t>
  </si>
  <si>
    <t>MAL.CM</t>
  </si>
  <si>
    <t>Malwatte Valley Plantations PLC</t>
  </si>
  <si>
    <t>BITE.CD</t>
  </si>
  <si>
    <t>Blender Bites Ltd</t>
  </si>
  <si>
    <t>SJM.N</t>
  </si>
  <si>
    <t>J M Smucker Co</t>
  </si>
  <si>
    <t>CMFO.PK</t>
  </si>
  <si>
    <t>China Marine Food Group Ltd</t>
  </si>
  <si>
    <t>STSU.TN</t>
  </si>
  <si>
    <t>Societe Tunisienne du sucre SA</t>
  </si>
  <si>
    <t>WYWYN.L</t>
  </si>
  <si>
    <t>Wynnstay Group PLC</t>
  </si>
  <si>
    <t>VIKS.BO</t>
  </si>
  <si>
    <t>Vikas Proppant &amp; Granite Ltd</t>
  </si>
  <si>
    <t>GALO.BO</t>
  </si>
  <si>
    <t>Galaxy Cloud Kitchens Ltd</t>
  </si>
  <si>
    <t>ERSU.IS</t>
  </si>
  <si>
    <t>ERSU Meyve ve Gida Sanayi AS</t>
  </si>
  <si>
    <t>ALMAD.IS</t>
  </si>
  <si>
    <t>Altinyag Madencilik ve Enerji Yatirimlari Sanayi ve Ticaret AS</t>
  </si>
  <si>
    <t>HVAL.NFF</t>
  </si>
  <si>
    <t>Hval Sjokoladefabrikk ASA</t>
  </si>
  <si>
    <t>LSG.OL</t>
  </si>
  <si>
    <t>Leroy Seafood Group ASA</t>
  </si>
  <si>
    <t>GLG.TO</t>
  </si>
  <si>
    <t>Glg Life Tech Corp</t>
  </si>
  <si>
    <t>049770.KS</t>
  </si>
  <si>
    <t>Dongwon F &amp; B Co Ltd</t>
  </si>
  <si>
    <t>HSIB.KL</t>
  </si>
  <si>
    <t>Hup Seng Industries Bhd</t>
  </si>
  <si>
    <t>RIBT.PK</t>
  </si>
  <si>
    <t>RiceBran Technologies</t>
  </si>
  <si>
    <t>CLII.MI</t>
  </si>
  <si>
    <t>Centrale del Latte d'Italia SpA</t>
  </si>
  <si>
    <t>UMR.CS</t>
  </si>
  <si>
    <t>Unimer (Ste) SA</t>
  </si>
  <si>
    <t>BG.N</t>
  </si>
  <si>
    <t>Bunge Global SA</t>
  </si>
  <si>
    <t>FBI.CY</t>
  </si>
  <si>
    <t>Alkis H Hadjikyriacos Frou Frou Biscuits Public Ltd</t>
  </si>
  <si>
    <t>600530.SS</t>
  </si>
  <si>
    <t>Shanghai Jiaoda Onlly Co Ltd</t>
  </si>
  <si>
    <t>MYG.CN</t>
  </si>
  <si>
    <t>Mayaguez SA</t>
  </si>
  <si>
    <t>Cyprus</t>
  </si>
  <si>
    <t>HERF.PK</t>
  </si>
  <si>
    <t>Red Oak Hereford Farms Inc</t>
  </si>
  <si>
    <t>MCLE.NS</t>
  </si>
  <si>
    <t>McLeod Russel India Ltd</t>
  </si>
  <si>
    <t>AIXN.PK</t>
  </si>
  <si>
    <t>AiXin Life International Inc</t>
  </si>
  <si>
    <t>TRAF.BO</t>
  </si>
  <si>
    <t>Transglobe Foods Ltd</t>
  </si>
  <si>
    <t>ROALB.BX</t>
  </si>
  <si>
    <t>Albapam SA</t>
  </si>
  <si>
    <t>VOIC.PL</t>
  </si>
  <si>
    <t>Vegetable Oil Industries Co Ltd</t>
  </si>
  <si>
    <t>LAF.HM</t>
  </si>
  <si>
    <t>Long An Food Processing Export JSC</t>
  </si>
  <si>
    <t>Romania</t>
  </si>
  <si>
    <t>SKMO.ST</t>
  </si>
  <si>
    <t>Skane mollan AB</t>
  </si>
  <si>
    <t>Palestine</t>
  </si>
  <si>
    <t>MSC.NR</t>
  </si>
  <si>
    <t>Mumias Sugar Company Ltd</t>
  </si>
  <si>
    <t>Vietnam</t>
  </si>
  <si>
    <t>2935.T</t>
  </si>
  <si>
    <t>Pickles Holdings Co Ltd</t>
  </si>
  <si>
    <t>CAN.HN</t>
  </si>
  <si>
    <t>Ha Long Canned Food Joint Stock Corp</t>
  </si>
  <si>
    <t>BBC.HM</t>
  </si>
  <si>
    <t>Bibica Corp</t>
  </si>
  <si>
    <t>4109.TWO</t>
  </si>
  <si>
    <t>Jia Jie Biomedical Co Ltd</t>
  </si>
  <si>
    <t>KEPr.AT</t>
  </si>
  <si>
    <t>Flour Mills Kepenos SA</t>
  </si>
  <si>
    <t>044820.KS</t>
  </si>
  <si>
    <t>Cosmax BTI Inc</t>
  </si>
  <si>
    <t>HCEI.PK</t>
  </si>
  <si>
    <t>Healthy Coffee International Inc</t>
  </si>
  <si>
    <t>2613.T</t>
  </si>
  <si>
    <t>J-Oil Mills Inc</t>
  </si>
  <si>
    <t>CRSM.KL</t>
  </si>
  <si>
    <t>Cam Resources Bhd</t>
  </si>
  <si>
    <t>2818.T</t>
  </si>
  <si>
    <t>Pietro Co Ltd</t>
  </si>
  <si>
    <t>CVGW.OQ</t>
  </si>
  <si>
    <t>Calavo Growers Inc</t>
  </si>
  <si>
    <t>BZAH.BB</t>
  </si>
  <si>
    <t>Bulgarska Zahar AD</t>
  </si>
  <si>
    <t>HDOM.BB</t>
  </si>
  <si>
    <t>Nash Dom Bulgaria Holding AD</t>
  </si>
  <si>
    <t>MELH.BB</t>
  </si>
  <si>
    <t>Mel Invest Holding AD</t>
  </si>
  <si>
    <t>Bulgaria</t>
  </si>
  <si>
    <t>AGF.HNO</t>
  </si>
  <si>
    <t>An Giang Fisheries Import &amp; Export JSC</t>
  </si>
  <si>
    <t>SALF.JS</t>
  </si>
  <si>
    <t>Salada Foods Jamaica Ltd</t>
  </si>
  <si>
    <t>LAKO.NS</t>
  </si>
  <si>
    <t>Lakshmi Energy And Foods Ltd</t>
  </si>
  <si>
    <t>PONS.NS</t>
  </si>
  <si>
    <t>Ponni Sugars (Erode) Ltd</t>
  </si>
  <si>
    <t>Jamaica</t>
  </si>
  <si>
    <t>6242.TWO</t>
  </si>
  <si>
    <t>Li Kang Biomedical Co Ltd</t>
  </si>
  <si>
    <t>0775.HK</t>
  </si>
  <si>
    <t>CK Life Sciences Intl (Holdings) Inc</t>
  </si>
  <si>
    <t>TQLB.PK</t>
  </si>
  <si>
    <t>Torque Lifestyle Brands Inc</t>
  </si>
  <si>
    <t>SWP.TO</t>
  </si>
  <si>
    <t>Swiss Water Decaffeinated Coffee Inc</t>
  </si>
  <si>
    <t>PRAE.BX</t>
  </si>
  <si>
    <t>Prodlacta SA</t>
  </si>
  <si>
    <t>THEA.KL</t>
  </si>
  <si>
    <t>Three-A Resources Bhd</t>
  </si>
  <si>
    <t>TS4.HNO</t>
  </si>
  <si>
    <t>Seafood JSC No 4</t>
  </si>
  <si>
    <t>600597.SS</t>
  </si>
  <si>
    <t>Bright Dairy &amp; Food Co Ltd</t>
  </si>
  <si>
    <t>NRPR.PK</t>
  </si>
  <si>
    <t>Nutri Pharmaceuticals Research Inc</t>
  </si>
  <si>
    <t>ADIA.PK</t>
  </si>
  <si>
    <t>Adia Nutrition Inc</t>
  </si>
  <si>
    <t>SUWN.PK</t>
  </si>
  <si>
    <t>Sunwin Stevia International Inc</t>
  </si>
  <si>
    <t>PRESCO.LG</t>
  </si>
  <si>
    <t>Presco PLC</t>
  </si>
  <si>
    <t>UARG.BX</t>
  </si>
  <si>
    <t>Argus SA</t>
  </si>
  <si>
    <t>065170.KQ</t>
  </si>
  <si>
    <t>BL PharmTech Corp</t>
  </si>
  <si>
    <t>4120.TWO</t>
  </si>
  <si>
    <t>Orient Europharma Co Ltd</t>
  </si>
  <si>
    <t>NUTR.SI</t>
  </si>
  <si>
    <t>NutryFarm International Ltd</t>
  </si>
  <si>
    <t>VLE.L</t>
  </si>
  <si>
    <t>Volvere PLC</t>
  </si>
  <si>
    <t>PB.BK</t>
  </si>
  <si>
    <t>President Bakery PCL</t>
  </si>
  <si>
    <t>4128.TWO</t>
  </si>
  <si>
    <t>Microbio Co Ltd</t>
  </si>
  <si>
    <t>GOBP.WA</t>
  </si>
  <si>
    <t>Gobarto SA</t>
  </si>
  <si>
    <t>BLLB.PK</t>
  </si>
  <si>
    <t>Bell Buckle Holdings Inc</t>
  </si>
  <si>
    <t>CPC.GH</t>
  </si>
  <si>
    <t>Cocoa Processing Company Ltd</t>
  </si>
  <si>
    <t>EVRN.PK</t>
  </si>
  <si>
    <t>Everock Inc</t>
  </si>
  <si>
    <t>SPFI.OM</t>
  </si>
  <si>
    <t>ASaffa Foods SAOG</t>
  </si>
  <si>
    <t>3164.TW</t>
  </si>
  <si>
    <t>GenMont Biotech Inc</t>
  </si>
  <si>
    <t>BLDN.KL</t>
  </si>
  <si>
    <t>BLD Plantation Bhd</t>
  </si>
  <si>
    <t>ZPKL.ZA</t>
  </si>
  <si>
    <t>Zagrebacke Pekarne Klara dd</t>
  </si>
  <si>
    <t>072710.KS</t>
  </si>
  <si>
    <t>Nongshim Holdings Co Ltd</t>
  </si>
  <si>
    <t>KRIr.AT</t>
  </si>
  <si>
    <t>Kri Kri Milk Industry SA</t>
  </si>
  <si>
    <t>UGSW.NS</t>
  </si>
  <si>
    <t>Ugar Sugar Works Ltd</t>
  </si>
  <si>
    <t>VIDH.NS</t>
  </si>
  <si>
    <t>Vidhi Specialty Food Ingredients Ltd</t>
  </si>
  <si>
    <t>600429.SS</t>
  </si>
  <si>
    <t>Beijing Sanyuan Foods Co Ltd</t>
  </si>
  <si>
    <t>2819.T</t>
  </si>
  <si>
    <t>Ebara Foods Industry Inc</t>
  </si>
  <si>
    <t>DWIS.PK</t>
  </si>
  <si>
    <t>Dinewise Inc</t>
  </si>
  <si>
    <t>2926.T</t>
  </si>
  <si>
    <t>Shinozakiya Inc</t>
  </si>
  <si>
    <t>ZYDS.NS</t>
  </si>
  <si>
    <t>Zydus Wellness Ltd</t>
  </si>
  <si>
    <t>CFPL.BO</t>
  </si>
  <si>
    <t>Chordia Food Products Ltd</t>
  </si>
  <si>
    <t>ABLE.KL</t>
  </si>
  <si>
    <t>Able Global Bhd</t>
  </si>
  <si>
    <t>1737.TW</t>
  </si>
  <si>
    <t>Taiyen Biotech Co Ltd</t>
  </si>
  <si>
    <t>RYNL.PK</t>
  </si>
  <si>
    <t>Reynaldo's Mexican Food Co Inc</t>
  </si>
  <si>
    <t>CVT.NZ</t>
  </si>
  <si>
    <t>Comvita Ltd</t>
  </si>
  <si>
    <t>UVAN.BK</t>
  </si>
  <si>
    <t>Univanich Palm Oil PCL</t>
  </si>
  <si>
    <t>AVOZ.PK</t>
  </si>
  <si>
    <t>Altavoz Entertainment Inc</t>
  </si>
  <si>
    <t>New Zealand</t>
  </si>
  <si>
    <t>CABC.KL</t>
  </si>
  <si>
    <t>CAB Cakaran Corporation Bhd</t>
  </si>
  <si>
    <t>CLSE.NS</t>
  </si>
  <si>
    <t>Chaman Lal Setia Exports Ltd</t>
  </si>
  <si>
    <t>WDAM.QA</t>
  </si>
  <si>
    <t>Widam Food Company QPSC</t>
  </si>
  <si>
    <t>ULKER.IS</t>
  </si>
  <si>
    <t>Ulker Biskuvi Sanayi AS</t>
  </si>
  <si>
    <t>ZHON.SI</t>
  </si>
  <si>
    <t>Zhongxin Fruit and Juice Ltd</t>
  </si>
  <si>
    <t>LMLC.MZ</t>
  </si>
  <si>
    <t>Les Moulins De La Concorde Ltee</t>
  </si>
  <si>
    <t>ATM.NZ</t>
  </si>
  <si>
    <t>A2 Milk Company Ltd</t>
  </si>
  <si>
    <t>NHYF.PK</t>
  </si>
  <si>
    <t>Natural Harmony Foods Inc</t>
  </si>
  <si>
    <t>BTEK.JK</t>
  </si>
  <si>
    <t>Bumi Teknokultura Unggul Tbk PT</t>
  </si>
  <si>
    <t>2226.T</t>
  </si>
  <si>
    <t>Koike-Ya Inc</t>
  </si>
  <si>
    <t>CBMJ.PK</t>
  </si>
  <si>
    <t>Conservative Broadcast Media &amp; Journalism Inc</t>
  </si>
  <si>
    <t>3205.TWO</t>
  </si>
  <si>
    <t>Sagittarius Life Science Corp</t>
  </si>
  <si>
    <t>002001.SZ</t>
  </si>
  <si>
    <t>Zhejiang Nhu Co Ltd</t>
  </si>
  <si>
    <t>2319.HK</t>
  </si>
  <si>
    <t>China Mengniu Dairy Co Ltd</t>
  </si>
  <si>
    <t>ADPC.CA</t>
  </si>
  <si>
    <t>Arab Dairy Products Company SAE</t>
  </si>
  <si>
    <t>600965.SS</t>
  </si>
  <si>
    <t>Fortune Ng Fung Food Hebei Co Ltd</t>
  </si>
  <si>
    <t>PXSP.L</t>
  </si>
  <si>
    <t>Provexis PLC</t>
  </si>
  <si>
    <t>PFD.L</t>
  </si>
  <si>
    <t>Premier Foods PLC</t>
  </si>
  <si>
    <t>INBO.BX</t>
  </si>
  <si>
    <t>Lactate Natura SA</t>
  </si>
  <si>
    <t>JVA.OQ</t>
  </si>
  <si>
    <t>Coffee Holding Co Inc</t>
  </si>
  <si>
    <t>DWAR.NS</t>
  </si>
  <si>
    <t>Dwarikesh Sugar Industries Ltd</t>
  </si>
  <si>
    <t>DELF.SI</t>
  </si>
  <si>
    <t>Delfi Ltd</t>
  </si>
  <si>
    <t>PECD.PK</t>
  </si>
  <si>
    <t>Pet Ecology Brands Inc</t>
  </si>
  <si>
    <t>LAIVEBC1.LM</t>
  </si>
  <si>
    <t>Laive SA</t>
  </si>
  <si>
    <t>EMMN.S</t>
  </si>
  <si>
    <t>Emmi AG</t>
  </si>
  <si>
    <t>RBRXF.PK</t>
  </si>
  <si>
    <t>Rhino Biotech Ltd</t>
  </si>
  <si>
    <t>HLF.N</t>
  </si>
  <si>
    <t>Herbalife Ltd</t>
  </si>
  <si>
    <t>2927.T</t>
  </si>
  <si>
    <t>AFC-HD AMS Life Science Co Ltd</t>
  </si>
  <si>
    <t>Anguilla</t>
  </si>
  <si>
    <t>AGTAR.L</t>
  </si>
  <si>
    <t>Agriterra Ltd</t>
  </si>
  <si>
    <t>Cayman Islands</t>
  </si>
  <si>
    <t>UKR.L</t>
  </si>
  <si>
    <t>Ukrproduct Group Ltd</t>
  </si>
  <si>
    <t>RIGA.BO</t>
  </si>
  <si>
    <t>Riga Sugar Co Ltd</t>
  </si>
  <si>
    <t>Guernsey</t>
  </si>
  <si>
    <t>PONA.BO</t>
  </si>
  <si>
    <t>Poona Dal and Oil Industries Ltd</t>
  </si>
  <si>
    <t>Jersey</t>
  </si>
  <si>
    <t>UNIS.BO</t>
  </si>
  <si>
    <t>Universal Starch Chem Allied Ltd</t>
  </si>
  <si>
    <t>SPAN.BO</t>
  </si>
  <si>
    <t>Span Divergent Ltd</t>
  </si>
  <si>
    <t>KSL.BK</t>
  </si>
  <si>
    <t>Khon Kaen Sugar Industry PCL</t>
  </si>
  <si>
    <t>SUAG.BO</t>
  </si>
  <si>
    <t>Sunil Agro Foods Ltd</t>
  </si>
  <si>
    <t>ILV.MV</t>
  </si>
  <si>
    <t>Illovo Sugar (Malawi) plc</t>
  </si>
  <si>
    <t>GOCE.KL</t>
  </si>
  <si>
    <t>Green Ocean Corporation Bhd</t>
  </si>
  <si>
    <t>GNCH.KL</t>
  </si>
  <si>
    <t>Guan Chong Bhd</t>
  </si>
  <si>
    <t>Malawi</t>
  </si>
  <si>
    <t>1262.HK</t>
  </si>
  <si>
    <t>Labixiaoxin Snacks Group Ltd</t>
  </si>
  <si>
    <t>AGTHIA.AD</t>
  </si>
  <si>
    <t>Agthia Group Pjsc</t>
  </si>
  <si>
    <t>2270.SE</t>
  </si>
  <si>
    <t>Saudia Dairy &amp; Foodstuff Company SJSC</t>
  </si>
  <si>
    <t>THS.N</t>
  </si>
  <si>
    <t>TreeHouse Foods Inc</t>
  </si>
  <si>
    <t>United Arab Emirates</t>
  </si>
  <si>
    <t>AAK.ST</t>
  </si>
  <si>
    <t>AAK AB (publ)</t>
  </si>
  <si>
    <t>CITR.KL</t>
  </si>
  <si>
    <t>Citra Nusa Holdings Bhd</t>
  </si>
  <si>
    <t>GMC.PL</t>
  </si>
  <si>
    <t>Golden Wheat Mills PLC</t>
  </si>
  <si>
    <t>GASU.BO</t>
  </si>
  <si>
    <t>Gayatri Sugars Ltd</t>
  </si>
  <si>
    <t>SBAK.BO</t>
  </si>
  <si>
    <t>Super Bakers Ltd</t>
  </si>
  <si>
    <t>SHAH.BO</t>
  </si>
  <si>
    <t>Shah Foods Ltd</t>
  </si>
  <si>
    <t>VJYS.BO</t>
  </si>
  <si>
    <t>Vijay Solvex Ltd</t>
  </si>
  <si>
    <t>GRMO.NS</t>
  </si>
  <si>
    <t>GRM Overseas Ltd</t>
  </si>
  <si>
    <t>JRFD.BO</t>
  </si>
  <si>
    <t>J R Foods Ltd</t>
  </si>
  <si>
    <t>KNDE.BO</t>
  </si>
  <si>
    <t>Khandelwal Extractions Ltd</t>
  </si>
  <si>
    <t>WELL.BO</t>
  </si>
  <si>
    <t>Wellness Noni Ltd</t>
  </si>
  <si>
    <t>OSWO.BO</t>
  </si>
  <si>
    <t>Oswal Overseas Ltd</t>
  </si>
  <si>
    <t>OPLY.BO</t>
  </si>
  <si>
    <t>Olympic Oil Industries Ltd</t>
  </si>
  <si>
    <t>BIE.MI</t>
  </si>
  <si>
    <t>Bioera SpA</t>
  </si>
  <si>
    <t>KWNF.KL</t>
  </si>
  <si>
    <t>Kawan Food Bhd</t>
  </si>
  <si>
    <t>SRES.NS</t>
  </si>
  <si>
    <t>Shree Renuka Sugars Ltd</t>
  </si>
  <si>
    <t>084690.KS</t>
  </si>
  <si>
    <t>Daesang Holdings Co Ltd</t>
  </si>
  <si>
    <t>2280.SE</t>
  </si>
  <si>
    <t>Almarai Company SJSC</t>
  </si>
  <si>
    <t>AVSL.BX</t>
  </si>
  <si>
    <t>Avicola Slobozia SA</t>
  </si>
  <si>
    <t>BUCS.BX</t>
  </si>
  <si>
    <t>Bucovina SA</t>
  </si>
  <si>
    <t>GRIU.BX</t>
  </si>
  <si>
    <t>Griul SA</t>
  </si>
  <si>
    <t>MORA.BX</t>
  </si>
  <si>
    <t>Morarit Panificatie Roman SA</t>
  </si>
  <si>
    <t>ROSINT.BX</t>
  </si>
  <si>
    <t>Sintofarm SA</t>
  </si>
  <si>
    <t>KASM.BO</t>
  </si>
  <si>
    <t>Kashipur Sugar Mills Ltd</t>
  </si>
  <si>
    <t>PNAG.BO</t>
  </si>
  <si>
    <t>Pioneer Agro Extracts Ltd</t>
  </si>
  <si>
    <t>NEAG.BO</t>
  </si>
  <si>
    <t>Neelamalai Agro Industries Ltd</t>
  </si>
  <si>
    <t>PAOS.BO</t>
  </si>
  <si>
    <t>Paos Industries Ltd</t>
  </si>
  <si>
    <t>ALNA.BO</t>
  </si>
  <si>
    <t>Alna Trading and Exports Ltd</t>
  </si>
  <si>
    <t>CORO.BO</t>
  </si>
  <si>
    <t>Coromandel Agro Products and Oils Ltd</t>
  </si>
  <si>
    <t>MSIRI.RTS</t>
  </si>
  <si>
    <t>Myasokombinat Irkutskiy OAO</t>
  </si>
  <si>
    <t>1068.HK</t>
  </si>
  <si>
    <t>China Yurun Food Group Ltd</t>
  </si>
  <si>
    <t>ABT.HM</t>
  </si>
  <si>
    <t>Bentre Aquaproduct Import and Export JSC</t>
  </si>
  <si>
    <t>PLAG.A</t>
  </si>
  <si>
    <t>Planet Green Holdings Corp</t>
  </si>
  <si>
    <t>CH1604988=BEKB</t>
  </si>
  <si>
    <t>Patiswiss AG</t>
  </si>
  <si>
    <t>PFT.AX</t>
  </si>
  <si>
    <t>Pure Foods Tasmania Ltd</t>
  </si>
  <si>
    <t>CMX.HM</t>
  </si>
  <si>
    <t>Camimex Group JSC</t>
  </si>
  <si>
    <t>084990.KQ</t>
  </si>
  <si>
    <t>Helixmith Co Ltd</t>
  </si>
  <si>
    <t>VNM.HM</t>
  </si>
  <si>
    <t>Vietnam Dairy Products JSC</t>
  </si>
  <si>
    <t>KMSU.NS</t>
  </si>
  <si>
    <t>K M Sugar Mills Ltd</t>
  </si>
  <si>
    <t>KASETm.BK</t>
  </si>
  <si>
    <t>Thai Ha PCL</t>
  </si>
  <si>
    <t>NEWT.EUB</t>
  </si>
  <si>
    <t>Newtree SA</t>
  </si>
  <si>
    <t>KDC.HM</t>
  </si>
  <si>
    <t>Kido Group Corp</t>
  </si>
  <si>
    <t>BSUL.KZ</t>
  </si>
  <si>
    <t>Bayan Sulu AO</t>
  </si>
  <si>
    <t>RAHT.KZ</t>
  </si>
  <si>
    <t>LOTTE Rakhat AO</t>
  </si>
  <si>
    <t>CELA.NS</t>
  </si>
  <si>
    <t>Celestial Biolabs Ltd</t>
  </si>
  <si>
    <t>Kazakhstan</t>
  </si>
  <si>
    <t>UTSM.NS</t>
  </si>
  <si>
    <t>Uttam Sugar Mills Ltd</t>
  </si>
  <si>
    <t>HOTF.PK</t>
  </si>
  <si>
    <t>Hot Mama's Foods Inc</t>
  </si>
  <si>
    <t>VHF.HNO</t>
  </si>
  <si>
    <t>Vinh Ha Food Processing and Construction JSC</t>
  </si>
  <si>
    <t>THPB.KL</t>
  </si>
  <si>
    <t>TH Plantations Bhd</t>
  </si>
  <si>
    <t>SBSU.BO</t>
  </si>
  <si>
    <t>SBEC Sugar Ltd</t>
  </si>
  <si>
    <t>RFG.AX</t>
  </si>
  <si>
    <t>Retail Food Group Ltd</t>
  </si>
  <si>
    <t>VLP1L.VL</t>
  </si>
  <si>
    <t>Vilkyskiu Pienine AB</t>
  </si>
  <si>
    <t>CMN.HNO</t>
  </si>
  <si>
    <t>Colusa Miliket Foodstuff JSC</t>
  </si>
  <si>
    <t>088910.KQ</t>
  </si>
  <si>
    <t>Dongwoo Farm To Table Co Ltd</t>
  </si>
  <si>
    <t>FMC.HM</t>
  </si>
  <si>
    <t>Sao Ta Foods JSC</t>
  </si>
  <si>
    <t>RIMB.KL</t>
  </si>
  <si>
    <t>Rimbunan Sawit Bhd</t>
  </si>
  <si>
    <t>HOCN.S</t>
  </si>
  <si>
    <t>Hochdorf Holding AG</t>
  </si>
  <si>
    <t>BABP.BEL</t>
  </si>
  <si>
    <t>Grupa Univerexport Backa ad Backa Palanka</t>
  </si>
  <si>
    <t>BLAG.BEL</t>
  </si>
  <si>
    <t>Blagoje Kostic Crni Marko ad Pirot</t>
  </si>
  <si>
    <t>FHMS.BEL</t>
  </si>
  <si>
    <t>Fabrika Hleba i Mleka ad Surdulica</t>
  </si>
  <si>
    <t>Republic of Serbia</t>
  </si>
  <si>
    <t>MLBC.BEL</t>
  </si>
  <si>
    <t>Mlin ad Bela Crkva</t>
  </si>
  <si>
    <t>PKMJ.BEL</t>
  </si>
  <si>
    <t>Pekara 1 Maj ad Vrsac</t>
  </si>
  <si>
    <t>PDBC.BEL</t>
  </si>
  <si>
    <t>Podunavlje ad Beocin u stecaju</t>
  </si>
  <si>
    <t>RTAR.BEL</t>
  </si>
  <si>
    <t>Ratar ad Pancevo</t>
  </si>
  <si>
    <t>TRVP.BEL</t>
  </si>
  <si>
    <t>Trivit Pek ad Vrbas</t>
  </si>
  <si>
    <t>VALS.MI</t>
  </si>
  <si>
    <t>Valsoia SpA</t>
  </si>
  <si>
    <t>AUSS.OL</t>
  </si>
  <si>
    <t>Austevoll Seafood ASA</t>
  </si>
  <si>
    <t>LTOL.NS</t>
  </si>
  <si>
    <t>LT Foods Ltd</t>
  </si>
  <si>
    <t>CRS.CS</t>
  </si>
  <si>
    <t>Cartier Saada SA</t>
  </si>
  <si>
    <t>SGC.HN</t>
  </si>
  <si>
    <t>Sa Giang Import Export Corp</t>
  </si>
  <si>
    <t>UFC.DU</t>
  </si>
  <si>
    <t>United Foods Co PSC</t>
  </si>
  <si>
    <t>PMPP.WA</t>
  </si>
  <si>
    <t>Pamapol SA</t>
  </si>
  <si>
    <t>MDIA3.SA</t>
  </si>
  <si>
    <t>M Dias Branco SA Industria e Comercio de Alimentos</t>
  </si>
  <si>
    <t>KRFMI.RTS</t>
  </si>
  <si>
    <t>Maslozhirkombinat Krasnodarskiy OAO</t>
  </si>
  <si>
    <t>VLF.HNO</t>
  </si>
  <si>
    <t>Vinh Long Cereal and Food Corp</t>
  </si>
  <si>
    <t>RGBR.KZ</t>
  </si>
  <si>
    <t>RG Brands AO</t>
  </si>
  <si>
    <t>0834.HK</t>
  </si>
  <si>
    <t>China Kangda Food Co Ltd</t>
  </si>
  <si>
    <t>DEPL.BO</t>
  </si>
  <si>
    <t>Dharti Proteins Ltd</t>
  </si>
  <si>
    <t>TRFP.BO</t>
  </si>
  <si>
    <t>Tricom Fruit Products Ltd</t>
  </si>
  <si>
    <t>PLZII.RTS</t>
  </si>
  <si>
    <t>Plemzavod Im.V.I. Chapayeva PAO</t>
  </si>
  <si>
    <t>NFM.TTB</t>
  </si>
  <si>
    <t>National Flour Mills Ltd</t>
  </si>
  <si>
    <t>SHSU.BO</t>
  </si>
  <si>
    <t>Shree Hanuman Sugar &amp; Industries Ltd</t>
  </si>
  <si>
    <t>COSG.CA</t>
  </si>
  <si>
    <t>Cairo Oils &amp; Soap Co SAE</t>
  </si>
  <si>
    <t>Trinidad and Tobago</t>
  </si>
  <si>
    <t>BMKOI.RTS</t>
  </si>
  <si>
    <t>Bryanskiy Molochnyi Kombinat OAO</t>
  </si>
  <si>
    <t>SPH.HNO</t>
  </si>
  <si>
    <t>Hanoi Seaproducts Import Export Joint Stock Corp</t>
  </si>
  <si>
    <t>SJPR.BEL</t>
  </si>
  <si>
    <t>Lucic Prigrevica ad Novi Sad</t>
  </si>
  <si>
    <t>SPD.HNO</t>
  </si>
  <si>
    <t>Danang Seaproducts Import Export Corp</t>
  </si>
  <si>
    <t>UNIK.DU</t>
  </si>
  <si>
    <t>Unikai Foods PJSC</t>
  </si>
  <si>
    <t>FOOD.PS</t>
  </si>
  <si>
    <t>Alliance Select Foods International Inc</t>
  </si>
  <si>
    <t>3065.T</t>
  </si>
  <si>
    <t>Life Foods Co Ltd</t>
  </si>
  <si>
    <t>LAMZI.RTS</t>
  </si>
  <si>
    <t>Lamzur' OAO</t>
  </si>
  <si>
    <t>002100.SZ</t>
  </si>
  <si>
    <t>Tecon Biology Co Ltd</t>
  </si>
  <si>
    <t>ICF.HNO</t>
  </si>
  <si>
    <t>Investment Commerce Fisheries Corp</t>
  </si>
  <si>
    <t>SAF.HN</t>
  </si>
  <si>
    <t>Safoco Foodstuff JSC</t>
  </si>
  <si>
    <t>PAN.HM</t>
  </si>
  <si>
    <t>PAN Group JSC</t>
  </si>
  <si>
    <t>HNM.HNO</t>
  </si>
  <si>
    <t>Hanoi Milk JSC</t>
  </si>
  <si>
    <t>MPC.HNO</t>
  </si>
  <si>
    <t>Minh Phu Seafood JSC</t>
  </si>
  <si>
    <t>SJ1.HN</t>
  </si>
  <si>
    <t>Hung Hau Agricultural Corp</t>
  </si>
  <si>
    <t>TMKZ.BEL</t>
  </si>
  <si>
    <t>Timok ad Zajecar</t>
  </si>
  <si>
    <t>H2RBn.H</t>
  </si>
  <si>
    <t>Halloren Schokoladenfabrik AG</t>
  </si>
  <si>
    <t>NWND.ST</t>
  </si>
  <si>
    <t>New Nordic Healthbrands AB</t>
  </si>
  <si>
    <t>SMTO3.SA</t>
  </si>
  <si>
    <t>Sao Martinho SA</t>
  </si>
  <si>
    <t>DRI.CS</t>
  </si>
  <si>
    <t>DARI Couspate SA</t>
  </si>
  <si>
    <t>JAMN.PK</t>
  </si>
  <si>
    <t>Jammin Java Corp</t>
  </si>
  <si>
    <t>0546.HK</t>
  </si>
  <si>
    <t>Fufeng Group Ltd</t>
  </si>
  <si>
    <t>3555.TWO</t>
  </si>
  <si>
    <t>Iroc Co Ltd</t>
  </si>
  <si>
    <t>SNFI.CA</t>
  </si>
  <si>
    <t>Souhag National Company Food Industries SAE</t>
  </si>
  <si>
    <t>INFI.CA</t>
  </si>
  <si>
    <t>Ismailia National Company for Food Industries SAE</t>
  </si>
  <si>
    <t>TTP.TZ</t>
  </si>
  <si>
    <t>Tatepa PLC</t>
  </si>
  <si>
    <t>DANGSUG.LG</t>
  </si>
  <si>
    <t>Dangote Sugar Refinery PLC</t>
  </si>
  <si>
    <t>JBSS3.SA</t>
  </si>
  <si>
    <t>JBS SA</t>
  </si>
  <si>
    <t>Tanzania</t>
  </si>
  <si>
    <t>TRVM.BEL</t>
  </si>
  <si>
    <t>Trivit Mlin ad Vrbas</t>
  </si>
  <si>
    <t>SALM.OL</t>
  </si>
  <si>
    <t>SalMar ASA</t>
  </si>
  <si>
    <t>SEKO.WA</t>
  </si>
  <si>
    <t>Seko SA</t>
  </si>
  <si>
    <t>NZS.AX</t>
  </si>
  <si>
    <t>New Zealand Coastal Seafoods Ltd</t>
  </si>
  <si>
    <t>MIPU.CY</t>
  </si>
  <si>
    <t>Mitsides PCL</t>
  </si>
  <si>
    <t>HEL.WA</t>
  </si>
  <si>
    <t>Helio SA</t>
  </si>
  <si>
    <t>BGS.N</t>
  </si>
  <si>
    <t>B&amp;G Foods Inc</t>
  </si>
  <si>
    <t>HFG.L</t>
  </si>
  <si>
    <t>Hilton Food Group PLC</t>
  </si>
  <si>
    <t>MAKP.WA</t>
  </si>
  <si>
    <t>Makarony Polskie SA</t>
  </si>
  <si>
    <t>MRFG3.SA</t>
  </si>
  <si>
    <t>Marfrig Global Foods SA</t>
  </si>
  <si>
    <t>BEEF3.SA</t>
  </si>
  <si>
    <t>Minerva SA</t>
  </si>
  <si>
    <t>ZTPK.BEL</t>
  </si>
  <si>
    <t>Zitopek ad Nis</t>
  </si>
  <si>
    <t>SGRO.JK</t>
  </si>
  <si>
    <t>Sampoerna Agro Tbk PT</t>
  </si>
  <si>
    <t>ANV.HM</t>
  </si>
  <si>
    <t>Nam Viet Corp</t>
  </si>
  <si>
    <t>BLREI.RTS</t>
  </si>
  <si>
    <t>Belorechenskoye SKhAO</t>
  </si>
  <si>
    <t>065150.KQ</t>
  </si>
  <si>
    <t>Daesan F&amp;B Inc</t>
  </si>
  <si>
    <t>ACL.HM</t>
  </si>
  <si>
    <t>Cuulong Fish JSC</t>
  </si>
  <si>
    <t>AREV.CD</t>
  </si>
  <si>
    <t>AREV Life Sciences Global Corp</t>
  </si>
  <si>
    <t>SPLN.KL</t>
  </si>
  <si>
    <t>Sarawak Plantation Bhd</t>
  </si>
  <si>
    <t>097950.KS</t>
  </si>
  <si>
    <t>CJ CheilJedang Corp</t>
  </si>
  <si>
    <t>VITA.MKE</t>
  </si>
  <si>
    <t>Vitaminka AD Prilep</t>
  </si>
  <si>
    <t>ZILU.MKE</t>
  </si>
  <si>
    <t>Zito Luks AD Skopje</t>
  </si>
  <si>
    <t>SIRS.BO</t>
  </si>
  <si>
    <t>Sir Shadi Lal Enterprises Ltd</t>
  </si>
  <si>
    <t>Macedonia</t>
  </si>
  <si>
    <t>PNKS.BEL</t>
  </si>
  <si>
    <t>Panonka Doo Sombor</t>
  </si>
  <si>
    <t>AGM.HM</t>
  </si>
  <si>
    <t>An Giang Import Export Co</t>
  </si>
  <si>
    <t>002166.SZ</t>
  </si>
  <si>
    <t>Guilin Layn Natural Ingredients Corp</t>
  </si>
  <si>
    <t>JBG.JS</t>
  </si>
  <si>
    <t>Jamaica Broilers Group Ltd</t>
  </si>
  <si>
    <t>3889.HK</t>
  </si>
  <si>
    <t>Global Sweeteners Holdings Ltd</t>
  </si>
  <si>
    <t>3838.HK</t>
  </si>
  <si>
    <t>China Starch Holdings Ltd</t>
  </si>
  <si>
    <t>MPRO.BEL</t>
  </si>
  <si>
    <t>Mlinprodukt ad Ada</t>
  </si>
  <si>
    <t>PMLI.BEL</t>
  </si>
  <si>
    <t>Becejska Pekara ad Becej</t>
  </si>
  <si>
    <t>FTLF.OQ</t>
  </si>
  <si>
    <t>FitLife Brands Inc</t>
  </si>
  <si>
    <t>TSC.HM</t>
  </si>
  <si>
    <t>Techno-Agricultural Supplying JSC</t>
  </si>
  <si>
    <t>KHLTI.RTS</t>
  </si>
  <si>
    <t>Kombinat Khleboproduktov Tikhoretskiy AO</t>
  </si>
  <si>
    <t>MKPZI.RTS</t>
  </si>
  <si>
    <t>Molochnyi Kombinat Penzenskiy AO</t>
  </si>
  <si>
    <t>UDRNI.RTS</t>
  </si>
  <si>
    <t>Konditerskaya Fabrika Udarnitsa AO</t>
  </si>
  <si>
    <t>MEATI.RTS</t>
  </si>
  <si>
    <t>Myaso AO</t>
  </si>
  <si>
    <t>CKML.ZA</t>
  </si>
  <si>
    <t>Cakovecki Mlinovi dd</t>
  </si>
  <si>
    <t>ASM.HM</t>
  </si>
  <si>
    <t>Sao Mai Group Corp</t>
  </si>
  <si>
    <t>FRLD.SI</t>
  </si>
  <si>
    <t>First Resources Ltd</t>
  </si>
  <si>
    <t>GOKU.NS</t>
  </si>
  <si>
    <t>Gokul Refoils and Solvent Ltd</t>
  </si>
  <si>
    <t>HHC.HN</t>
  </si>
  <si>
    <t>Haiha Confectionery JSC</t>
  </si>
  <si>
    <t>ATGR.ZA</t>
  </si>
  <si>
    <t>Atlantic Grupa dd</t>
  </si>
  <si>
    <t>KTJV.ZA</t>
  </si>
  <si>
    <t>Kutjevo dd</t>
  </si>
  <si>
    <t>ZVCV.ZA</t>
  </si>
  <si>
    <t>Zvecevo dd</t>
  </si>
  <si>
    <t>ZHBG.BB</t>
  </si>
  <si>
    <t>Zarneni Hrani Bulgaria AD</t>
  </si>
  <si>
    <t>VHC.HM</t>
  </si>
  <si>
    <t>Vinh Hoan Corp</t>
  </si>
  <si>
    <t>AMCL.DH</t>
  </si>
  <si>
    <t>Agricultural Marketing Co Ltd</t>
  </si>
  <si>
    <t>MCML.DH</t>
  </si>
  <si>
    <t>Meghna Condensed Milk Industries Ltd</t>
  </si>
  <si>
    <t>RNJS.DH</t>
  </si>
  <si>
    <t>Renwick Janeswar and Co (BD) Ltd</t>
  </si>
  <si>
    <t>Bangladesh</t>
  </si>
  <si>
    <t>SYSG.DH</t>
  </si>
  <si>
    <t>Shyampur Sugar Mills Ltd</t>
  </si>
  <si>
    <t>OLIS.DH</t>
  </si>
  <si>
    <t>Olympic Industries Ltd</t>
  </si>
  <si>
    <t>APEF.DH</t>
  </si>
  <si>
    <t>Apex Foods Ltd</t>
  </si>
  <si>
    <t>BANG.DH</t>
  </si>
  <si>
    <t>Bangas Ltd</t>
  </si>
  <si>
    <t>GSFD.DH</t>
  </si>
  <si>
    <t>Gemini Sea Food PLC</t>
  </si>
  <si>
    <t>NLTE.DH</t>
  </si>
  <si>
    <t>National Tea Co Ltd</t>
  </si>
  <si>
    <t>ZBSG.DH</t>
  </si>
  <si>
    <t>Zeal Bangla Sugar Mills Ltd</t>
  </si>
  <si>
    <t>RMFD.DH</t>
  </si>
  <si>
    <t>Rahima Food Corp Ltd</t>
  </si>
  <si>
    <t>FWFD.DH</t>
  </si>
  <si>
    <t>Fu-Wang Foods Ltd</t>
  </si>
  <si>
    <t>FNFL.DH</t>
  </si>
  <si>
    <t>Fine Foods Ltd</t>
  </si>
  <si>
    <t>LSS.HM</t>
  </si>
  <si>
    <t>Lam Son Sugar Cane JSC</t>
  </si>
  <si>
    <t>DRFS.PK</t>
  </si>
  <si>
    <t>Dr Foods Inc</t>
  </si>
  <si>
    <t>002216.SZ</t>
  </si>
  <si>
    <t>Sanquan Food Co Ltd</t>
  </si>
  <si>
    <t>COKO.BEL</t>
  </si>
  <si>
    <t>Cokolend ad Paracin</t>
  </si>
  <si>
    <t>NXTH.PK</t>
  </si>
  <si>
    <t>NXT Nutritionals Holdings Inc</t>
  </si>
  <si>
    <t>GLUC.PK</t>
  </si>
  <si>
    <t>Glucose Health Inc</t>
  </si>
  <si>
    <t>SBT.HM</t>
  </si>
  <si>
    <t>Thanh Thanh Cong - Bien Hoa JSC</t>
  </si>
  <si>
    <t>RHL.CM</t>
  </si>
  <si>
    <t>Renuka Holdings PLC</t>
  </si>
  <si>
    <t>0151.HK</t>
  </si>
  <si>
    <t>Want Want China Holdings Ltd</t>
  </si>
  <si>
    <t>ONBI.PK</t>
  </si>
  <si>
    <t>One Bio Corp</t>
  </si>
  <si>
    <t>COAS.NS</t>
  </si>
  <si>
    <t>Coastal Corporation Ltd</t>
  </si>
  <si>
    <t>APIS.BO</t>
  </si>
  <si>
    <t>Apis India Ltd</t>
  </si>
  <si>
    <t>THAR.BO</t>
  </si>
  <si>
    <t>Thakkers Group Limited</t>
  </si>
  <si>
    <t>ANJI.BO</t>
  </si>
  <si>
    <t>Anjani Foods Ltd</t>
  </si>
  <si>
    <t>NGC.HNO</t>
  </si>
  <si>
    <t>Ngo Quyen Processing Export JSC</t>
  </si>
  <si>
    <t>GZCO.JK</t>
  </si>
  <si>
    <t>PT Gozco Plantations Tbk</t>
  </si>
  <si>
    <t>OGO.V</t>
  </si>
  <si>
    <t>Organto Foods Inc</t>
  </si>
  <si>
    <t>6001.SE</t>
  </si>
  <si>
    <t>Halwani Brothers Co SJSC</t>
  </si>
  <si>
    <t>FITX.PK</t>
  </si>
  <si>
    <t>Creative Edge Nutrition Inc</t>
  </si>
  <si>
    <t>TERI.BO</t>
  </si>
  <si>
    <t>Terai Tea Co Ltd</t>
  </si>
  <si>
    <t>SRIU.BO</t>
  </si>
  <si>
    <t>Shri Vasuprada Plantations Ltd</t>
  </si>
  <si>
    <t>BLF.HNO</t>
  </si>
  <si>
    <t>Bac Lieu Fisheries JSC</t>
  </si>
  <si>
    <t>SLR.BB</t>
  </si>
  <si>
    <t>Slantcho AD</t>
  </si>
  <si>
    <t>ANSA.BO</t>
  </si>
  <si>
    <t>ANS Industries Ltd</t>
  </si>
  <si>
    <t>RAJS.NS</t>
  </si>
  <si>
    <t>Raj Oil Mills Ltd</t>
  </si>
  <si>
    <t>PPII.PK</t>
  </si>
  <si>
    <t>Coenzyme A Inc</t>
  </si>
  <si>
    <t>IGRW.PK</t>
  </si>
  <si>
    <t>Interactive Health Network</t>
  </si>
  <si>
    <t>XYLTF.PK</t>
  </si>
  <si>
    <t>Sweet Natural Trading Co Ltd</t>
  </si>
  <si>
    <t>POULA.TN</t>
  </si>
  <si>
    <t>Poulina Group Holding SA</t>
  </si>
  <si>
    <t>IFAR.SI</t>
  </si>
  <si>
    <t>Indofood Agri Resources Ltd</t>
  </si>
  <si>
    <t>ENVT.MI</t>
  </si>
  <si>
    <t>Enervit SpA</t>
  </si>
  <si>
    <t>FTNCOCO.LG</t>
  </si>
  <si>
    <t>FTN Cocoa Processors PLC</t>
  </si>
  <si>
    <t>ZTZA.BEL</t>
  </si>
  <si>
    <t>Zitopromet ad Zajecar</t>
  </si>
  <si>
    <t>RFBC.PK</t>
  </si>
  <si>
    <t>Romana Food Brands Corp</t>
  </si>
  <si>
    <t>TYUM.CD</t>
  </si>
  <si>
    <t>Yumy Candy Company Inc</t>
  </si>
  <si>
    <t>SZBB.KL</t>
  </si>
  <si>
    <t>Sunzen Biotech Bhd</t>
  </si>
  <si>
    <t>OMID.PK</t>
  </si>
  <si>
    <t>OMID Holdings Inc</t>
  </si>
  <si>
    <t>MLP.WA</t>
  </si>
  <si>
    <t>Milkpol SA</t>
  </si>
  <si>
    <t>HONYFLO.LG</t>
  </si>
  <si>
    <t>Honeywell Flour Mills PLC</t>
  </si>
  <si>
    <t>CLOEb.ST</t>
  </si>
  <si>
    <t>Cloetta AB</t>
  </si>
  <si>
    <t>CAD.HNO</t>
  </si>
  <si>
    <t>Cadovimex Seafood Import Export and Processing JSC</t>
  </si>
  <si>
    <t>2269.T</t>
  </si>
  <si>
    <t>Meiji Holdings Co Ltd</t>
  </si>
  <si>
    <t>BBR9.SJ</t>
  </si>
  <si>
    <t>Bimal dd Brcko</t>
  </si>
  <si>
    <t>MJVC.SJ</t>
  </si>
  <si>
    <t>Majevica dd Srebrenik</t>
  </si>
  <si>
    <t>MLPB.SJ</t>
  </si>
  <si>
    <t>Mlinpek dd Bugojno</t>
  </si>
  <si>
    <t>Bosnia and Herzegovina</t>
  </si>
  <si>
    <t>MLUS.SJ</t>
  </si>
  <si>
    <t>MPI Mlin dd Ustikolina</t>
  </si>
  <si>
    <t>RSTT.SJ</t>
  </si>
  <si>
    <t>Rudnik Soli Tuzla dd Tuzla</t>
  </si>
  <si>
    <t>SOLT.SJ</t>
  </si>
  <si>
    <t>Solana dd Tuzla</t>
  </si>
  <si>
    <t>SPRD.SJ</t>
  </si>
  <si>
    <t>Sprind dd Rajlovac Sarajevo</t>
  </si>
  <si>
    <t>ZIMZ.SJ</t>
  </si>
  <si>
    <t>ZIM dd Zenica</t>
  </si>
  <si>
    <t>ZPDH.SJ</t>
  </si>
  <si>
    <t>Zitoprerada dd Bihac u stecaju</t>
  </si>
  <si>
    <t>ZVLC.SJ</t>
  </si>
  <si>
    <t>Lasta dd Capljina u stecaju</t>
  </si>
  <si>
    <t>KLAS.SJ</t>
  </si>
  <si>
    <t>Klas dd Sarajevo</t>
  </si>
  <si>
    <t>VSPK.SJ</t>
  </si>
  <si>
    <t>Vispak dd Visoko</t>
  </si>
  <si>
    <t>IMPR.BJ</t>
  </si>
  <si>
    <t>Impro ad Prijedor u stecaju</t>
  </si>
  <si>
    <t>KLAS.BJ</t>
  </si>
  <si>
    <t>Klas ad Derventa</t>
  </si>
  <si>
    <t>KOOP.BJ</t>
  </si>
  <si>
    <t>Kooperativa PP ad Teslic</t>
  </si>
  <si>
    <t>MIRA.BJ</t>
  </si>
  <si>
    <t>Mira doo Prijedor</t>
  </si>
  <si>
    <t>MRKO.BJ</t>
  </si>
  <si>
    <t>Mrkonjicanka ad Mrkonjic Grad</t>
  </si>
  <si>
    <t>NBS9.BJ</t>
  </si>
  <si>
    <t>Novi Bimeks dd Brcko u stecaju</t>
  </si>
  <si>
    <t>PKRA.BJ</t>
  </si>
  <si>
    <t>Pekara ad Brod</t>
  </si>
  <si>
    <t>PRHR.BJ</t>
  </si>
  <si>
    <t>Prehrana PI ad Gradiska u stecaju</t>
  </si>
  <si>
    <t>STOR.BJ</t>
  </si>
  <si>
    <t>Stocar ad Banja Luka</t>
  </si>
  <si>
    <t>SMPR.BJ</t>
  </si>
  <si>
    <t>Sumaprodukt ad Trebinje</t>
  </si>
  <si>
    <t>ZIXI.SI</t>
  </si>
  <si>
    <t>Zixin Group Holdings Ltd</t>
  </si>
  <si>
    <t>HPKD.BJ</t>
  </si>
  <si>
    <t>HPK ad Kozarska Dubica u stecaju</t>
  </si>
  <si>
    <t>KIPM.BJ</t>
  </si>
  <si>
    <t>Klaonica i prerada mesa ad Sokolac</t>
  </si>
  <si>
    <t>MESR.BJ</t>
  </si>
  <si>
    <t>Mesar ad Derventa u likvidaciji</t>
  </si>
  <si>
    <t>MLPS.BJ</t>
  </si>
  <si>
    <t>Mlinpek ad Prnjavor</t>
  </si>
  <si>
    <t>PKVL.BJ</t>
  </si>
  <si>
    <t>Pekarstvo ad Vlasenica</t>
  </si>
  <si>
    <t>VITA.BJ</t>
  </si>
  <si>
    <t>Vitaminka ad Banja Luka</t>
  </si>
  <si>
    <t>FRTL.BJ</t>
  </si>
  <si>
    <t>Fratello Trade ad Banja Luka</t>
  </si>
  <si>
    <t>MZTJ.SJ</t>
  </si>
  <si>
    <t>Mlinpek Zitar dd Jajce</t>
  </si>
  <si>
    <t>AAM.HM</t>
  </si>
  <si>
    <t>Mekong Fisheries JSC</t>
  </si>
  <si>
    <t>APT.HNO</t>
  </si>
  <si>
    <t>Saigon Aquatic Products Trading JSC</t>
  </si>
  <si>
    <t>FSBN.BJ</t>
  </si>
  <si>
    <t>Fabrika Secera Bijeljina ad V Obarska u stecaju</t>
  </si>
  <si>
    <t>002286.SZ</t>
  </si>
  <si>
    <t>Baolingbao Biology Co Ltd</t>
  </si>
  <si>
    <t>BAGB.BEL</t>
  </si>
  <si>
    <t>Bag ad Backo Gradiste</t>
  </si>
  <si>
    <t>ATA.HNO</t>
  </si>
  <si>
    <t>Ntaco Corp</t>
  </si>
  <si>
    <t>2270.T</t>
  </si>
  <si>
    <t>Megmilk Snow Brand Co Ltd</t>
  </si>
  <si>
    <t>1717.HK</t>
  </si>
  <si>
    <t>Ausnutria Dairy Corp Ltd</t>
  </si>
  <si>
    <t>0829.HK</t>
  </si>
  <si>
    <t>Shenguan Holdings (Group) Ltd</t>
  </si>
  <si>
    <t>SAUD.KL</t>
  </si>
  <si>
    <t>Saudee Group Bhd</t>
  </si>
  <si>
    <t>MSN.HM</t>
  </si>
  <si>
    <t>Masan Group Corp</t>
  </si>
  <si>
    <t>RAFL.CM</t>
  </si>
  <si>
    <t>Renuka Agri Foods PLC</t>
  </si>
  <si>
    <t>HVG.HNO</t>
  </si>
  <si>
    <t>Hung Vuong Corp</t>
  </si>
  <si>
    <t>JUFO.CA</t>
  </si>
  <si>
    <t>Juhayna Food Industries SAE</t>
  </si>
  <si>
    <t>002329.SZ</t>
  </si>
  <si>
    <t>Royal Group Co Ltd</t>
  </si>
  <si>
    <t>002330.SZ</t>
  </si>
  <si>
    <t>Shandong Delisi Food Co Ltd</t>
  </si>
  <si>
    <t>MCNICHO.LG</t>
  </si>
  <si>
    <t>McNichols Consolidated PLC</t>
  </si>
  <si>
    <t>PPC.OQ</t>
  </si>
  <si>
    <t>Pilgrims Pride Corp</t>
  </si>
  <si>
    <t>UNIL.NS</t>
  </si>
  <si>
    <t>United Nilgiri Tea Estates Company Ltd</t>
  </si>
  <si>
    <t>GFCO.CD</t>
  </si>
  <si>
    <t>Good Flour Corp</t>
  </si>
  <si>
    <t>NHCF.BO</t>
  </si>
  <si>
    <t>Nhc Foods Ltd</t>
  </si>
  <si>
    <t>RPI.CN</t>
  </si>
  <si>
    <t>Riopaila Castilla SA</t>
  </si>
  <si>
    <t>CEYL.CM</t>
  </si>
  <si>
    <t>Ceylon Tea Brokers PLC</t>
  </si>
  <si>
    <t>900120.KQ</t>
  </si>
  <si>
    <t>CXI Healthcare Technology Group Limited</t>
  </si>
  <si>
    <t>SPFO.BO</t>
  </si>
  <si>
    <t>Spectrum Foods Ltd</t>
  </si>
  <si>
    <t>RAIG.CM</t>
  </si>
  <si>
    <t>Raigam Wayamba Salterns PLC</t>
  </si>
  <si>
    <t>ROTI.JK</t>
  </si>
  <si>
    <t>Nippon Indosari Corpindo Tbk PT</t>
  </si>
  <si>
    <t>TMILLm.BK</t>
  </si>
  <si>
    <t>T S Flour Mill PCL</t>
  </si>
  <si>
    <t>BTTR.A</t>
  </si>
  <si>
    <t>Better Choice Company Inc</t>
  </si>
  <si>
    <t>ORON.S</t>
  </si>
  <si>
    <t>Orior AG</t>
  </si>
  <si>
    <t>AGME.MOT</t>
  </si>
  <si>
    <t>Mesopromet ad Podgorica</t>
  </si>
  <si>
    <t>CRGO.MOT</t>
  </si>
  <si>
    <t>Crnagoracoop ad Danilovgrad</t>
  </si>
  <si>
    <t>HLAD.MOT</t>
  </si>
  <si>
    <t>Frigo Bell ad Berane</t>
  </si>
  <si>
    <t>Republic of Montenegro</t>
  </si>
  <si>
    <t>INPG.MOT</t>
  </si>
  <si>
    <t>Inpek ad Podgorica</t>
  </si>
  <si>
    <t>MLIN.MOT</t>
  </si>
  <si>
    <t>Niksicki Mlin ad Niksic</t>
  </si>
  <si>
    <t>PLCG.MOT</t>
  </si>
  <si>
    <t>Plodovi Crne Gore ad Podgorica</t>
  </si>
  <si>
    <t>SOBS.MOT</t>
  </si>
  <si>
    <t>Bajo Sekulic ad Ulcinj u stecaju</t>
  </si>
  <si>
    <t>PEKA.MOT</t>
  </si>
  <si>
    <t>Bepek ad Berane</t>
  </si>
  <si>
    <t>VNH.HNO</t>
  </si>
  <si>
    <t>Viet Viet Nhat Investment Corp</t>
  </si>
  <si>
    <t>1780.TWO</t>
  </si>
  <si>
    <t>Allied Biotech Corp</t>
  </si>
  <si>
    <t>OGC.HM</t>
  </si>
  <si>
    <t>Ocean Group JSC</t>
  </si>
  <si>
    <t>ICBP.JK</t>
  </si>
  <si>
    <t>Indofood CBP Sukses Makmur Tbk PT</t>
  </si>
  <si>
    <t>PRF1T.TL</t>
  </si>
  <si>
    <t>PRFoods AS</t>
  </si>
  <si>
    <t>GGROU.PK</t>
  </si>
  <si>
    <t>Golden Growers Cooperative</t>
  </si>
  <si>
    <t>KIVL.BO</t>
  </si>
  <si>
    <t>Kings Infra Ventures Ltd</t>
  </si>
  <si>
    <t>Estonia</t>
  </si>
  <si>
    <t>UNQU.BO</t>
  </si>
  <si>
    <t>Unique Organics Ltd</t>
  </si>
  <si>
    <t>OTMP.WA</t>
  </si>
  <si>
    <t>Zaklady Przemyslu Cukierniczego Otmuchow SA</t>
  </si>
  <si>
    <t>300094.SZ</t>
  </si>
  <si>
    <t>Zhanjiang Guolian Aquatic Products Co Ltd</t>
  </si>
  <si>
    <t>ANT.HNO</t>
  </si>
  <si>
    <t>An Giang Fruit-vegetables &amp; Foodstuff JSC</t>
  </si>
  <si>
    <t>KNLT.NS</t>
  </si>
  <si>
    <t>Kriti Nutrients Ltd</t>
  </si>
  <si>
    <t>PERI.NS</t>
  </si>
  <si>
    <t>Peria Karamalai Tea and Produce Company Ltd</t>
  </si>
  <si>
    <t>SOWG.PK</t>
  </si>
  <si>
    <t>Sow Good Inc</t>
  </si>
  <si>
    <t>EKIZ.IS</t>
  </si>
  <si>
    <t>Ekiz Kimya Sanayi ve Ticaret AS</t>
  </si>
  <si>
    <t>SCCH.KL</t>
  </si>
  <si>
    <t>SCC Holdings Bhd</t>
  </si>
  <si>
    <t>GOOD.JK</t>
  </si>
  <si>
    <t>Garudafood Putra Putri Jaya Tbk PT</t>
  </si>
  <si>
    <t>300106.SZ</t>
  </si>
  <si>
    <t>Xinjiang Western Animal Husbandry Co Ltd</t>
  </si>
  <si>
    <t>SML.NZ</t>
  </si>
  <si>
    <t>Synlait Milk Ltd</t>
  </si>
  <si>
    <t>NUTR.BO</t>
  </si>
  <si>
    <t>Nutricircle Ltd</t>
  </si>
  <si>
    <t>ECKP.WA</t>
  </si>
  <si>
    <t>Eurosnack SA</t>
  </si>
  <si>
    <t>002481.SZ</t>
  </si>
  <si>
    <t>Yantai Shuangta Food Co Ltd</t>
  </si>
  <si>
    <t>300138.SZ</t>
  </si>
  <si>
    <t>Chenguang Biotech Group Co Ltd</t>
  </si>
  <si>
    <t>0926.HK</t>
  </si>
  <si>
    <t>Besunyen Holdings Co Ltd</t>
  </si>
  <si>
    <t>CAMANCHACA.SN</t>
  </si>
  <si>
    <t>Camanchaca SA</t>
  </si>
  <si>
    <t>OCH.HN</t>
  </si>
  <si>
    <t>OCH Hospitality &amp; Service JSC</t>
  </si>
  <si>
    <t>YAMR.SI</t>
  </si>
  <si>
    <t>Yamada Green Resources Ltd</t>
  </si>
  <si>
    <t>002495.SZ</t>
  </si>
  <si>
    <t>Guangdong Jialong Food Co Ltd</t>
  </si>
  <si>
    <t>002515.SZ</t>
  </si>
  <si>
    <t>Jinzi Ham Co Ltd</t>
  </si>
  <si>
    <t>MULTITREX.LG</t>
  </si>
  <si>
    <t>Multi-Trex Integrated Foods PLC</t>
  </si>
  <si>
    <t>002507.SZ</t>
  </si>
  <si>
    <t>Chongqing Fuling Zhacai Group Co Ltd</t>
  </si>
  <si>
    <t>ESKP.WA</t>
  </si>
  <si>
    <t>Eskimos SA w restrukturyzacji</t>
  </si>
  <si>
    <t>AVF.HNO</t>
  </si>
  <si>
    <t>Anvifish JSC</t>
  </si>
  <si>
    <t>MEWI.SI</t>
  </si>
  <si>
    <t>Mewah International Inc</t>
  </si>
  <si>
    <t>300175.SZ</t>
  </si>
  <si>
    <t>Lontrue Co Ltd</t>
  </si>
  <si>
    <t>300146.SZ</t>
  </si>
  <si>
    <t>Byhealth Co Ltd</t>
  </si>
  <si>
    <t>HBGL.KL</t>
  </si>
  <si>
    <t>HB Global Ltd</t>
  </si>
  <si>
    <t>1112.HK</t>
  </si>
  <si>
    <t>Health and Happiness (H&amp;H) International Holdings Ltd</t>
  </si>
  <si>
    <t>MLK.WA</t>
  </si>
  <si>
    <t>Mlk Foods Public Company Ltd</t>
  </si>
  <si>
    <t>002570.SZ</t>
  </si>
  <si>
    <t>Beingmate Co Ltd</t>
  </si>
  <si>
    <t>HVAF.CM</t>
  </si>
  <si>
    <t>HVA Foods PLC</t>
  </si>
  <si>
    <t>KTS.HN</t>
  </si>
  <si>
    <t>Kon Tum Sugar JSC</t>
  </si>
  <si>
    <t>002557.SZ</t>
  </si>
  <si>
    <t>Chacha Food Co Ltd</t>
  </si>
  <si>
    <t>002702.SZ</t>
  </si>
  <si>
    <t>HaiXin Foods Co Ltd</t>
  </si>
  <si>
    <t>AGRO.N</t>
  </si>
  <si>
    <t>Adecoagro SA</t>
  </si>
  <si>
    <t>KBS.BK</t>
  </si>
  <si>
    <t>Khonburi Sugar PCL</t>
  </si>
  <si>
    <t>UNFO.CA</t>
  </si>
  <si>
    <t>Univert Food Industries SAE</t>
  </si>
  <si>
    <t>002562.SZ</t>
  </si>
  <si>
    <t>Brother Enterprises Holding Co Ltd</t>
  </si>
  <si>
    <t>VCF.HM</t>
  </si>
  <si>
    <t>Vinacafe Bien Hoa JSC</t>
  </si>
  <si>
    <t>AVOC.DS</t>
  </si>
  <si>
    <t>Al Ahliah Vegetable Oil Company SA</t>
  </si>
  <si>
    <t>2229.T</t>
  </si>
  <si>
    <t>Calbee Inc</t>
  </si>
  <si>
    <t>MCF.HN</t>
  </si>
  <si>
    <t>Mechanics Construction and Foodstuff JSC</t>
  </si>
  <si>
    <t>Syria</t>
  </si>
  <si>
    <t>SIMP.JK</t>
  </si>
  <si>
    <t>Salim Ivomas Pratama Tbk PT</t>
  </si>
  <si>
    <t>BGA.AX</t>
  </si>
  <si>
    <t>Bega Cheese Ltd</t>
  </si>
  <si>
    <t>002582.SZ</t>
  </si>
  <si>
    <t>Haoxiangni Health Food Co Ltd</t>
  </si>
  <si>
    <t>ZUKI.PK</t>
  </si>
  <si>
    <t>Zuki Inc</t>
  </si>
  <si>
    <t>NSPh.V</t>
  </si>
  <si>
    <t>Naturally Splendid Enterprises Ltd</t>
  </si>
  <si>
    <t>603156.SS</t>
  </si>
  <si>
    <t>Hebei Yangyuan ZhiHui Beverage Co Ltd</t>
  </si>
  <si>
    <t>FTRE.NS</t>
  </si>
  <si>
    <t>Future Consumer Ltd</t>
  </si>
  <si>
    <t>EWLU.PK</t>
  </si>
  <si>
    <t>Merion Inc</t>
  </si>
  <si>
    <t>JP.JS</t>
  </si>
  <si>
    <t>Jamaica Producers Group Ltd</t>
  </si>
  <si>
    <t>JAMT.JS</t>
  </si>
  <si>
    <t>Jamaican Teas Ltd</t>
  </si>
  <si>
    <t>LASM.JS</t>
  </si>
  <si>
    <t>LASCO Manufacturing Ltd</t>
  </si>
  <si>
    <t>HBIS.PK</t>
  </si>
  <si>
    <t>Home Bistro Inc</t>
  </si>
  <si>
    <t>002626.SZ</t>
  </si>
  <si>
    <t>Xiamen Kingdomway Group Co</t>
  </si>
  <si>
    <t>2882.T</t>
  </si>
  <si>
    <t>Eat&amp;Holdings Co Ltd</t>
  </si>
  <si>
    <t>MAMA.OQ</t>
  </si>
  <si>
    <t>Mama's Creations Inc</t>
  </si>
  <si>
    <t>IDI.HM</t>
  </si>
  <si>
    <t>I.D.I International Development and Investment Corp</t>
  </si>
  <si>
    <t>MSMH.KL</t>
  </si>
  <si>
    <t>MSM Malaysia Holdings Bhd</t>
  </si>
  <si>
    <t>HONBUN.JS</t>
  </si>
  <si>
    <t>Honey Bun (1982) Ltd</t>
  </si>
  <si>
    <t>PLHB.KL</t>
  </si>
  <si>
    <t>PeterLabs Holdings Bhd</t>
  </si>
  <si>
    <t>XII.MZ</t>
  </si>
  <si>
    <t>Numeral Ltd</t>
  </si>
  <si>
    <t>300268.SZ</t>
  </si>
  <si>
    <t>Joyvio Food Co Ltd</t>
  </si>
  <si>
    <t>CROS.BO</t>
  </si>
  <si>
    <t>Croissance Ltd</t>
  </si>
  <si>
    <t>EMRG.CD</t>
  </si>
  <si>
    <t>Emergence Global Enterprises Inc</t>
  </si>
  <si>
    <t>FRIE.PSX</t>
  </si>
  <si>
    <t>FrieslandCampina Engro Pakistan Ltd</t>
  </si>
  <si>
    <t>VANGD.IS</t>
  </si>
  <si>
    <t>Vanet Gida Sanayi Ic ve Dis Ticaret AS</t>
  </si>
  <si>
    <t>DLC.V</t>
  </si>
  <si>
    <t>DLC Holdings Corp</t>
  </si>
  <si>
    <t>2117.T</t>
  </si>
  <si>
    <t>Wellneo Sugar Co Ltd</t>
  </si>
  <si>
    <t>6868.HK</t>
  </si>
  <si>
    <t>Tenfu (Cayman) Holdings Co Ltd</t>
  </si>
  <si>
    <t>4977.T</t>
  </si>
  <si>
    <t>Nitta Gelatin Inc</t>
  </si>
  <si>
    <t>002650.SZ</t>
  </si>
  <si>
    <t>Jiajia Food Group Co Ltd</t>
  </si>
  <si>
    <t>RDFO.DH</t>
  </si>
  <si>
    <t>Rangpur Dairy &amp; Food Products Ltd</t>
  </si>
  <si>
    <t>145990.KS</t>
  </si>
  <si>
    <t>Samyang Corp</t>
  </si>
  <si>
    <t>HBC.OL</t>
  </si>
  <si>
    <t>Hofseth Biocare ASA</t>
  </si>
  <si>
    <t>AVOD.IS</t>
  </si>
  <si>
    <t>AVOD Kurutulmus Gida ve Tarim Urunleri Sanayi Ticaret AS</t>
  </si>
  <si>
    <t>DILI.BO</t>
  </si>
  <si>
    <t>Diligent Industries Ltd</t>
  </si>
  <si>
    <t>TERA.MZ</t>
  </si>
  <si>
    <t>Terra Mauricia Ltd</t>
  </si>
  <si>
    <t>VNSS.NS</t>
  </si>
  <si>
    <t>Vishwaraj Sugar Industries Ltd</t>
  </si>
  <si>
    <t>002661.SZ</t>
  </si>
  <si>
    <t>Chen Ke Ming Food Manufacturing Co Ltd</t>
  </si>
  <si>
    <t>SNRA.AM</t>
  </si>
  <si>
    <t>Siniora Food Industries Company PLC</t>
  </si>
  <si>
    <t>POST.N</t>
  </si>
  <si>
    <t>Post Holdings Inc</t>
  </si>
  <si>
    <t>BABY.TO</t>
  </si>
  <si>
    <t>Else Nutrition Holdings Inc</t>
  </si>
  <si>
    <t>8436.TWO</t>
  </si>
  <si>
    <t>TCI Co Ltd</t>
  </si>
  <si>
    <t>1210.HK</t>
  </si>
  <si>
    <t>Christine International Holdings Ltd</t>
  </si>
  <si>
    <t>OJC.AX</t>
  </si>
  <si>
    <t>Original Juice Co Ltd</t>
  </si>
  <si>
    <t>MAKP.MKE</t>
  </si>
  <si>
    <t>Makpromet AD Stip</t>
  </si>
  <si>
    <t>BLTU.MKE</t>
  </si>
  <si>
    <t>Blagoj Tufanov AD Radovis</t>
  </si>
  <si>
    <t>EVRO.MKE</t>
  </si>
  <si>
    <t>Evropa AD Skopje</t>
  </si>
  <si>
    <t>ZKAR.MKE</t>
  </si>
  <si>
    <t>Zito Karaorman AD Kicevo</t>
  </si>
  <si>
    <t>ZPOG.MKE</t>
  </si>
  <si>
    <t>Zito Polog AD Tetovo</t>
  </si>
  <si>
    <t>KLST.MKE</t>
  </si>
  <si>
    <t>Klanica so Ladilnik AD Strumica</t>
  </si>
  <si>
    <t>KONF.MKE</t>
  </si>
  <si>
    <t>Konzervna Fabrika AD Strumica</t>
  </si>
  <si>
    <t>PKB.MKE</t>
  </si>
  <si>
    <t>Pekabesko AD Kadino Ilinden</t>
  </si>
  <si>
    <t>PRES.MKE</t>
  </si>
  <si>
    <t>Progres DOOEL Pehcevo</t>
  </si>
  <si>
    <t>BGOR.MKE</t>
  </si>
  <si>
    <t>Kristal 1923 AD Veles</t>
  </si>
  <si>
    <t>KVAS.MKE</t>
  </si>
  <si>
    <t>Fabrika za Kvasec i Alkohol AD Bitola</t>
  </si>
  <si>
    <t>1699.HK</t>
  </si>
  <si>
    <t>China Putian Food Holding Ltd</t>
  </si>
  <si>
    <t>603020.SS</t>
  </si>
  <si>
    <t>Apple Flavor &amp; Fragrance Group Co Ltd</t>
  </si>
  <si>
    <t>002695.SZ</t>
  </si>
  <si>
    <t>Jiangxi Huangshanghuang Group Food Co Ltd</t>
  </si>
  <si>
    <t>CAROZZI.SN</t>
  </si>
  <si>
    <t>Carozzi SA</t>
  </si>
  <si>
    <t>603288.SS</t>
  </si>
  <si>
    <t>Foshan Haitian Flavouring and Food Co Ltd</t>
  </si>
  <si>
    <t>603043.SS</t>
  </si>
  <si>
    <t>Guangzhou Restaurant Group Co Ltd</t>
  </si>
  <si>
    <t>MCDP.WA</t>
  </si>
  <si>
    <t>Mycodern SA</t>
  </si>
  <si>
    <t>002732.SZ</t>
  </si>
  <si>
    <t>Guangdong Yantang Dairy Co Ltd</t>
  </si>
  <si>
    <t>NARA.BO</t>
  </si>
  <si>
    <t>Naraingarh Sugar Mills Ltd</t>
  </si>
  <si>
    <t>002746.SZ</t>
  </si>
  <si>
    <t>Shandong Xiantan Co Ltd</t>
  </si>
  <si>
    <t>BUMI.SI</t>
  </si>
  <si>
    <t>Bumitama Agri Ltd</t>
  </si>
  <si>
    <t>FCG.NZ</t>
  </si>
  <si>
    <t>Fonterra Co-Operative Group Ltd</t>
  </si>
  <si>
    <t>AGL.TTB</t>
  </si>
  <si>
    <t>Agostini's Ltd</t>
  </si>
  <si>
    <t>1796.TWO</t>
  </si>
  <si>
    <t>GeneFerm Biotechnology Co Ltd</t>
  </si>
  <si>
    <t>KMGM.BO</t>
  </si>
  <si>
    <t>KMG Milk Food Ltd</t>
  </si>
  <si>
    <t>OYLUM.IS</t>
  </si>
  <si>
    <t>Oylum Sinai Yatirimlar AS</t>
  </si>
  <si>
    <t>014710.KS</t>
  </si>
  <si>
    <t>Sajo Sea Food Co Ltd</t>
  </si>
  <si>
    <t>DOMT.CA</t>
  </si>
  <si>
    <t>Arabian Food Industries Company SAE</t>
  </si>
  <si>
    <t>KTIS.BK</t>
  </si>
  <si>
    <t>Kaset Thai International Sugar Corporation PCL</t>
  </si>
  <si>
    <t>7FTP.WA</t>
  </si>
  <si>
    <t>7Fit SA</t>
  </si>
  <si>
    <t>BANT.BO</t>
  </si>
  <si>
    <t>Bansisons Tea Industries Ltd</t>
  </si>
  <si>
    <t>AAGH.PK</t>
  </si>
  <si>
    <t>America Great Health</t>
  </si>
  <si>
    <t>JBFO.SI</t>
  </si>
  <si>
    <t>JB Foods Ltd</t>
  </si>
  <si>
    <t>NTRU.PK</t>
  </si>
  <si>
    <t>Natur International Corp</t>
  </si>
  <si>
    <t>TEJV.BO</t>
  </si>
  <si>
    <t>Tejassvi Aaharam Ltd</t>
  </si>
  <si>
    <t>IIDP.ISX</t>
  </si>
  <si>
    <t>Iraqi Dates Processing and Marking Co</t>
  </si>
  <si>
    <t>Netherlands</t>
  </si>
  <si>
    <t>AMAP.ISX</t>
  </si>
  <si>
    <t>Modern Company for Animal and Agricultural Production</t>
  </si>
  <si>
    <t>VELO.BO</t>
  </si>
  <si>
    <t>Velox Industries Ltd</t>
  </si>
  <si>
    <t>Iraq</t>
  </si>
  <si>
    <t>1256.TW</t>
  </si>
  <si>
    <t>Sunjuice Holdings Co Ltd</t>
  </si>
  <si>
    <t>TKN.BK</t>
  </si>
  <si>
    <t>Taokaenoi Food &amp; Marketing PCL</t>
  </si>
  <si>
    <t>ANFIF.PK</t>
  </si>
  <si>
    <t>Amira Nature Foods Ltd</t>
  </si>
  <si>
    <t>NUZE.OQ</t>
  </si>
  <si>
    <t>NuZee Inc</t>
  </si>
  <si>
    <t>DNL.PS</t>
  </si>
  <si>
    <t>D&amp;L Industries Inc</t>
  </si>
  <si>
    <t>MUSH.V</t>
  </si>
  <si>
    <t>Good Shroom Co Inc</t>
  </si>
  <si>
    <t>SKBM.JK</t>
  </si>
  <si>
    <t>Sekar Bumi Tbk PT</t>
  </si>
  <si>
    <t>SLS.HN</t>
  </si>
  <si>
    <t>Son La Sugar JSC</t>
  </si>
  <si>
    <t>TETMT.IS</t>
  </si>
  <si>
    <t>Tetamat Gida Yatirimlari AS</t>
  </si>
  <si>
    <t>KANC.BO</t>
  </si>
  <si>
    <t>Kanco Tea &amp; Industries Ltd</t>
  </si>
  <si>
    <t>RLVh.V</t>
  </si>
  <si>
    <t>Relevium Technologies Inc</t>
  </si>
  <si>
    <t>2931.T</t>
  </si>
  <si>
    <t>Euglena Co Ltd</t>
  </si>
  <si>
    <t>1260.TWO</t>
  </si>
  <si>
    <t>Flavor Full Foods Inc</t>
  </si>
  <si>
    <t>SNYR.PK</t>
  </si>
  <si>
    <t>Synergy CHC Corp</t>
  </si>
  <si>
    <t>PURITY.JS</t>
  </si>
  <si>
    <t>Consolidated Bakeries (Jamaica) Ltd</t>
  </si>
  <si>
    <t>2733.TWO</t>
  </si>
  <si>
    <t>Vigor Kobo Co Ltd</t>
  </si>
  <si>
    <t>AMNC.PK</t>
  </si>
  <si>
    <t>Amincor Inc</t>
  </si>
  <si>
    <t>HPBC.BO</t>
  </si>
  <si>
    <t>HPC Biosciences Ltd</t>
  </si>
  <si>
    <t>GOLD.DH</t>
  </si>
  <si>
    <t>Golden Harvest Agro Industries Ltd</t>
  </si>
  <si>
    <t>DKLD.L</t>
  </si>
  <si>
    <t>Dekel Agri-Vision Plc</t>
  </si>
  <si>
    <t>LNDOR.TN</t>
  </si>
  <si>
    <t>Land'Or SA</t>
  </si>
  <si>
    <t>ANJT.JK</t>
  </si>
  <si>
    <t>Austindo Nusantara Jaya Tbk PT</t>
  </si>
  <si>
    <t>ASPM.CM</t>
  </si>
  <si>
    <t>Aitken Spence Plantation Managements PLC</t>
  </si>
  <si>
    <t>SISS.L</t>
  </si>
  <si>
    <t>Science in Sport PLC</t>
  </si>
  <si>
    <t>TARP.WA</t>
  </si>
  <si>
    <t>Tarczynski SA</t>
  </si>
  <si>
    <t>LHMPI.RTS</t>
  </si>
  <si>
    <t>PK Limak AO</t>
  </si>
  <si>
    <t>JTRh.V</t>
  </si>
  <si>
    <t>Greenspace Brands Inc</t>
  </si>
  <si>
    <t>0932.HK</t>
  </si>
  <si>
    <t>Shunten International (Holdings) Ltd</t>
  </si>
  <si>
    <t>006880.KS</t>
  </si>
  <si>
    <t>SingSong Holdings Co Ltd</t>
  </si>
  <si>
    <t>BDPT.PK</t>
  </si>
  <si>
    <t>BioAdaptives Inc</t>
  </si>
  <si>
    <t>BDI.BRB</t>
  </si>
  <si>
    <t>Barbados Dairy Industries Ltd</t>
  </si>
  <si>
    <t>178600.KN</t>
  </si>
  <si>
    <t>Daedong Korea Ginseng Co Ltd</t>
  </si>
  <si>
    <t>XOm.BK</t>
  </si>
  <si>
    <t>Exotic Food PCL</t>
  </si>
  <si>
    <t>Barbados</t>
  </si>
  <si>
    <t>TLCC.PK</t>
  </si>
  <si>
    <t>Twinlab Consolidated Holdings Inc</t>
  </si>
  <si>
    <t>002719.SZ</t>
  </si>
  <si>
    <t>Maiquer Group Co Ltd</t>
  </si>
  <si>
    <t>NGTF.PK</t>
  </si>
  <si>
    <t>NightFood Holdings Inc</t>
  </si>
  <si>
    <t>2226.HK</t>
  </si>
  <si>
    <t>Honworld Group Ltd</t>
  </si>
  <si>
    <t>CNPF.PS</t>
  </si>
  <si>
    <t>Century Pacific Food Inc</t>
  </si>
  <si>
    <t>1340.HK</t>
  </si>
  <si>
    <t>Huisheng International Holdings Ltd</t>
  </si>
  <si>
    <t>EMOI.DH</t>
  </si>
  <si>
    <t>Emerald Oil Industries Ltd</t>
  </si>
  <si>
    <t>APIC.PL</t>
  </si>
  <si>
    <t>Arab Palestinian Investment Company Ltd</t>
  </si>
  <si>
    <t>603317.SS</t>
  </si>
  <si>
    <t>Sichuan Teway Food Group Co Ltd</t>
  </si>
  <si>
    <t>HUN.MNE</t>
  </si>
  <si>
    <t>Uvs Khuns JSC</t>
  </si>
  <si>
    <t>HHS.MNE</t>
  </si>
  <si>
    <t>Khuvsgul Khuns JSC</t>
  </si>
  <si>
    <t>ALD.MNE</t>
  </si>
  <si>
    <t>Azik JSC</t>
  </si>
  <si>
    <t>Mongolia</t>
  </si>
  <si>
    <t>TAS.MNE</t>
  </si>
  <si>
    <t>Erdenet Khuns JSC</t>
  </si>
  <si>
    <t>JGL.MNE</t>
  </si>
  <si>
    <t>Goviin Undur JSC</t>
  </si>
  <si>
    <t>ATR.MNE</t>
  </si>
  <si>
    <t>Atar Urguu JSC</t>
  </si>
  <si>
    <t>SES.MNE</t>
  </si>
  <si>
    <t>Selenge Sureg JSC</t>
  </si>
  <si>
    <t>SUU.MNE</t>
  </si>
  <si>
    <t>Suu JSC</t>
  </si>
  <si>
    <t>ADU.MNE</t>
  </si>
  <si>
    <t>Altan Duulga JSC</t>
  </si>
  <si>
    <t>GTJ.MNE</t>
  </si>
  <si>
    <t>Guril Tejeel Bulgan JSC</t>
  </si>
  <si>
    <t>BLG.MNE</t>
  </si>
  <si>
    <t>Zavkhan Bayalag JSC</t>
  </si>
  <si>
    <t>BHG.MNE</t>
  </si>
  <si>
    <t>Bukhug JSC</t>
  </si>
  <si>
    <t>DHU.MNE</t>
  </si>
  <si>
    <t>Darkhan Khuns JSC</t>
  </si>
  <si>
    <t>ONH.MNE</t>
  </si>
  <si>
    <t>Undurkhaan JSC</t>
  </si>
  <si>
    <t>MMX.MNE</t>
  </si>
  <si>
    <t>Mahimpecs JSC</t>
  </si>
  <si>
    <t>GUR.MNE</t>
  </si>
  <si>
    <t>Guril Tejeel JSC</t>
  </si>
  <si>
    <t>TCK.MNE</t>
  </si>
  <si>
    <t>Talkh Chikher JSC</t>
  </si>
  <si>
    <t>AMT.MNE</t>
  </si>
  <si>
    <t>Erdenes Solutions JSC</t>
  </si>
  <si>
    <t>DAR.MNE</t>
  </si>
  <si>
    <t>Darkhan Guril Tejeel JSC</t>
  </si>
  <si>
    <t>0288.HK</t>
  </si>
  <si>
    <t>WH Group Ltd</t>
  </si>
  <si>
    <t>603027.SS</t>
  </si>
  <si>
    <t>Qianhe Condiment and Food Co Ltd</t>
  </si>
  <si>
    <t>NOMD.N</t>
  </si>
  <si>
    <t>Nomad Foods Ltd</t>
  </si>
  <si>
    <t>EFID.CA</t>
  </si>
  <si>
    <t>Edita Food Industries SAE</t>
  </si>
  <si>
    <t>FUEL.CD</t>
  </si>
  <si>
    <t>PlantFuel Life Inc</t>
  </si>
  <si>
    <t>ALRPD.PA</t>
  </si>
  <si>
    <t>Rapid Nutrition PLC</t>
  </si>
  <si>
    <t>002726.SZ</t>
  </si>
  <si>
    <t>Shandong Longda Meishi Co Ltd</t>
  </si>
  <si>
    <t>200130.KQ</t>
  </si>
  <si>
    <t>KolmarBNH Co Ltd</t>
  </si>
  <si>
    <t>SCST.ST</t>
  </si>
  <si>
    <t>Scandi Standard AB (publ)</t>
  </si>
  <si>
    <t>603886.SS</t>
  </si>
  <si>
    <t>Ganso Co Ltd</t>
  </si>
  <si>
    <t>603345.SS</t>
  </si>
  <si>
    <t>Anjoy Foods Group Co Ltd</t>
  </si>
  <si>
    <t>OASS.BO</t>
  </si>
  <si>
    <t>Oasis Tradelink Ltd</t>
  </si>
  <si>
    <t>NICO.ST</t>
  </si>
  <si>
    <t>Nicoccino Holding AB (publ)</t>
  </si>
  <si>
    <t>603696.SS</t>
  </si>
  <si>
    <t>Anji Foodstuff Co Ltd</t>
  </si>
  <si>
    <t>603866.SS</t>
  </si>
  <si>
    <t>Toly Bread Co Ltd</t>
  </si>
  <si>
    <t>GLDH.BO</t>
  </si>
  <si>
    <t>Goldcoin Health Foods Ltd</t>
  </si>
  <si>
    <t>002820.SZ</t>
  </si>
  <si>
    <t>Tianjin Guifaxiang 18th Street Mahua Food Co Ltd</t>
  </si>
  <si>
    <t>JWTL.BO</t>
  </si>
  <si>
    <t>James Warren Tea Ltd</t>
  </si>
  <si>
    <t>JAPF.SI</t>
  </si>
  <si>
    <t>Japfa Ltd</t>
  </si>
  <si>
    <t>VPO.BK</t>
  </si>
  <si>
    <t>Vichitbhan Palmoil PCL</t>
  </si>
  <si>
    <t>002840.SZ</t>
  </si>
  <si>
    <t>Zhejiang Huatong Meat Products Co Ltd</t>
  </si>
  <si>
    <t>NDF.HNO</t>
  </si>
  <si>
    <t>Nam Dinh Export Foodstuff and Agricultural Products Processing JSC</t>
  </si>
  <si>
    <t>EXCP.WA</t>
  </si>
  <si>
    <t>Excellence SA</t>
  </si>
  <si>
    <t>RFGJ.J</t>
  </si>
  <si>
    <t>RFG Holdings Ltd</t>
  </si>
  <si>
    <t>DH.TN</t>
  </si>
  <si>
    <t>Societe Delice Holding SA</t>
  </si>
  <si>
    <t>1285.HK</t>
  </si>
  <si>
    <t>Jiashili Group Ltd</t>
  </si>
  <si>
    <t>FRPT.OQ</t>
  </si>
  <si>
    <t>Freshpet Inc</t>
  </si>
  <si>
    <t>SNC.HNO</t>
  </si>
  <si>
    <t>Nam Can Seaproducts Import Export JSC</t>
  </si>
  <si>
    <t>PRO.HNO</t>
  </si>
  <si>
    <t>Procimex Vietnam JSC</t>
  </si>
  <si>
    <t>603517.SS</t>
  </si>
  <si>
    <t>Juewei Food Co Ltd</t>
  </si>
  <si>
    <t>TFG.BK</t>
  </si>
  <si>
    <t>Thaifoods Group PCL</t>
  </si>
  <si>
    <t>688639.SS</t>
  </si>
  <si>
    <t>Anhui Huaheng Biotechnology Co Ltd</t>
  </si>
  <si>
    <t>002982.SZ</t>
  </si>
  <si>
    <t>Hunan Xiangjia Animal Husbandry Co Ltd</t>
  </si>
  <si>
    <t>MEZZ.KW</t>
  </si>
  <si>
    <t>Mezzan Holding Company KSCP</t>
  </si>
  <si>
    <t>BRR.BK</t>
  </si>
  <si>
    <t>Buriram Sugar PCL</t>
  </si>
  <si>
    <t>BGA.V</t>
  </si>
  <si>
    <t>BioNeutra Global Corp</t>
  </si>
  <si>
    <t>ULUUN.IS</t>
  </si>
  <si>
    <t>Ulusoy Un Sanayi ve Ticaret AS</t>
  </si>
  <si>
    <t>208140.KQ</t>
  </si>
  <si>
    <t>Jungdawn Co Ltd</t>
  </si>
  <si>
    <t>MLFDV.EUA</t>
  </si>
  <si>
    <t>Fd SA</t>
  </si>
  <si>
    <t>2586.T</t>
  </si>
  <si>
    <t>Fruta Fruta Inc</t>
  </si>
  <si>
    <t>PREU.ST</t>
  </si>
  <si>
    <t>Premium Snacks Nordic AB</t>
  </si>
  <si>
    <t>603697.SS</t>
  </si>
  <si>
    <t>YouYou Foods Co Ltd</t>
  </si>
  <si>
    <t>LLP.CD</t>
  </si>
  <si>
    <t>LeanLife Health Inc</t>
  </si>
  <si>
    <t>YCRM.PK</t>
  </si>
  <si>
    <t>Yuenglings Ice Cream Corp</t>
  </si>
  <si>
    <t>NAGL.M3</t>
  </si>
  <si>
    <t>Naga Ltd</t>
  </si>
  <si>
    <t>VING.BO</t>
  </si>
  <si>
    <t>Vintage Coffee and Beverages Ltd</t>
  </si>
  <si>
    <t>URSU.BO</t>
  </si>
  <si>
    <t>UR Sugar Industries Ltd</t>
  </si>
  <si>
    <t>NATU.BO</t>
  </si>
  <si>
    <t>Naturite Agro Products Ltd</t>
  </si>
  <si>
    <t>002847.SZ</t>
  </si>
  <si>
    <t>Yankershop Food Co Ltd</t>
  </si>
  <si>
    <t>BHSC.CD</t>
  </si>
  <si>
    <t>Bioharvest Sciences Inc</t>
  </si>
  <si>
    <t>SISI.OQ</t>
  </si>
  <si>
    <t>Shineco Inc</t>
  </si>
  <si>
    <t>SIBGI.RTS</t>
  </si>
  <si>
    <t>Ice Steam Rus PAO</t>
  </si>
  <si>
    <t>GRNL.ZA</t>
  </si>
  <si>
    <t>Granolio dd</t>
  </si>
  <si>
    <t>BIP.WA</t>
  </si>
  <si>
    <t>Bio Planet SA</t>
  </si>
  <si>
    <t>PAMF.NS</t>
  </si>
  <si>
    <t>Parag Milk Foods Ltd</t>
  </si>
  <si>
    <t>002852.SZ</t>
  </si>
  <si>
    <t>Daodaoquan Grain and Oil Co Ltd</t>
  </si>
  <si>
    <t>WARI.BO</t>
  </si>
  <si>
    <t>Wardwizard Foods and Beverages Ltd</t>
  </si>
  <si>
    <t>603536.SS</t>
  </si>
  <si>
    <t>Shandong Huifa Foodstuff Co Ltd</t>
  </si>
  <si>
    <t>BGSO.BB</t>
  </si>
  <si>
    <t>Smart Organic AD Sofia</t>
  </si>
  <si>
    <t>ALSH.PSX</t>
  </si>
  <si>
    <t>Al Shaheer Corporation Ltd</t>
  </si>
  <si>
    <t>6836.HK</t>
  </si>
  <si>
    <t>Tianyun International Holdings Ltd</t>
  </si>
  <si>
    <t>Kraft Heinz Co</t>
  </si>
  <si>
    <t>086220.KN</t>
  </si>
  <si>
    <t>BL Healthcare Corp</t>
  </si>
  <si>
    <t>BR.BK</t>
  </si>
  <si>
    <t>Bangkok Ranch PCL</t>
  </si>
  <si>
    <t>003380.KQ</t>
  </si>
  <si>
    <t>Harim Holdings Co Ltd</t>
  </si>
  <si>
    <t>FIFG.PK</t>
  </si>
  <si>
    <t>First Foods Group Inc</t>
  </si>
  <si>
    <t>831726.BJE</t>
  </si>
  <si>
    <t>Changchun Zhu Lao Liu Food Co Ltd</t>
  </si>
  <si>
    <t>BFC.AX</t>
  </si>
  <si>
    <t>Beston Global Food Company Ltd</t>
  </si>
  <si>
    <t>AGX.HNO</t>
  </si>
  <si>
    <t>Sai Gon Export Foodstuffs And Agricultural Products JSC</t>
  </si>
  <si>
    <t>TACCm.BK</t>
  </si>
  <si>
    <t>TAC Consumer PCL</t>
  </si>
  <si>
    <t>300673.SZ</t>
  </si>
  <si>
    <t>Petpal Pet Nutrition Technology Co Ltd</t>
  </si>
  <si>
    <t>TWPC.BK</t>
  </si>
  <si>
    <t>Thai Wah PCL</t>
  </si>
  <si>
    <t>002910.SZ</t>
  </si>
  <si>
    <t>Lanzhou Zhuangyuan Pasture Co Ltd</t>
  </si>
  <si>
    <t>DAT.HM</t>
  </si>
  <si>
    <t>Travel Investment and Seafood Development Corp</t>
  </si>
  <si>
    <t>832023.BJE</t>
  </si>
  <si>
    <t>Tianye Innovation Corp</t>
  </si>
  <si>
    <t>HNF.HNO</t>
  </si>
  <si>
    <t>Huunghi Food JSC</t>
  </si>
  <si>
    <t>HORDS.GH</t>
  </si>
  <si>
    <t>Hords Ltd</t>
  </si>
  <si>
    <t>SAMBA.GH</t>
  </si>
  <si>
    <t>Samba Foods Ltd</t>
  </si>
  <si>
    <t>222040.KQ</t>
  </si>
  <si>
    <t>Cosmax NBT Inc</t>
  </si>
  <si>
    <t>222980.KQ</t>
  </si>
  <si>
    <t>Mcnulty Korea Co Ltd</t>
  </si>
  <si>
    <t>603079.SS</t>
  </si>
  <si>
    <t>Zhejiang Shengda Bio-Pharm Co Ltd</t>
  </si>
  <si>
    <t>603711.SS</t>
  </si>
  <si>
    <t>Xiangpiaopiao Food Co Ltd</t>
  </si>
  <si>
    <t>TFC.HN</t>
  </si>
  <si>
    <t>Trang Corp</t>
  </si>
  <si>
    <t>AMBR.BO</t>
  </si>
  <si>
    <t>Ambar Protein Industries Ltd</t>
  </si>
  <si>
    <t>ACBM.PK</t>
  </si>
  <si>
    <t>ACRO Biomedical Co Ltd</t>
  </si>
  <si>
    <t>EYP.GQ</t>
  </si>
  <si>
    <t>Energy &amp; Palma SA</t>
  </si>
  <si>
    <t>TON.GQ</t>
  </si>
  <si>
    <t>Holding Tonicorp SA</t>
  </si>
  <si>
    <t>Ecuador</t>
  </si>
  <si>
    <t>IND.GQ</t>
  </si>
  <si>
    <t>Industrias Ales CA</t>
  </si>
  <si>
    <t>SCD.GQ</t>
  </si>
  <si>
    <t>Sociedad Agricola e Industrial San Carlos SA</t>
  </si>
  <si>
    <t>832419.BJE</t>
  </si>
  <si>
    <t>Shandong Luscious Pet Food Inc</t>
  </si>
  <si>
    <t>UFMI.BO</t>
  </si>
  <si>
    <t>U F M Industries Ltd</t>
  </si>
  <si>
    <t>ODD.V</t>
  </si>
  <si>
    <t>Odd Burger Corp</t>
  </si>
  <si>
    <t>MIST.BO</t>
  </si>
  <si>
    <t>Mishtann Foods Ltd</t>
  </si>
  <si>
    <t>300908.SZ</t>
  </si>
  <si>
    <t>Zhongjing Food Co Ltd</t>
  </si>
  <si>
    <t>2884.T</t>
  </si>
  <si>
    <t>Yoshimura Food Holdings KK</t>
  </si>
  <si>
    <t>2296.T</t>
  </si>
  <si>
    <t>Itoham Yonekyu Holdings Inc</t>
  </si>
  <si>
    <t>GOKG.NS</t>
  </si>
  <si>
    <t>Gokul Agro Resources Ltd</t>
  </si>
  <si>
    <t>300791.SZ</t>
  </si>
  <si>
    <t>Sirio Pharma Co Ltd</t>
  </si>
  <si>
    <t>COCOCO.BK</t>
  </si>
  <si>
    <t>Thai Coconut PCL</t>
  </si>
  <si>
    <t>1579.HK</t>
  </si>
  <si>
    <t>Yihai International Holding Ltd</t>
  </si>
  <si>
    <t>PRAT.NS</t>
  </si>
  <si>
    <t>Prataap Snacks Ltd</t>
  </si>
  <si>
    <t>MODE.BO</t>
  </si>
  <si>
    <t>Modern Engineering and Projects Ltd</t>
  </si>
  <si>
    <t>SIMRISb.ST</t>
  </si>
  <si>
    <t>Simris Group AB</t>
  </si>
  <si>
    <t>832786.BJE</t>
  </si>
  <si>
    <t>Inner Mongolia CHEVALESE Dairy Group Co Ltd</t>
  </si>
  <si>
    <t>1676.HK</t>
  </si>
  <si>
    <t>Gaodi Holdings Ltd</t>
  </si>
  <si>
    <t>002891.SZ</t>
  </si>
  <si>
    <t>Yantai China Pet Foods Co Ltd</t>
  </si>
  <si>
    <t>101530.KS</t>
  </si>
  <si>
    <t>Haitai Confectionery and Foods Co Ltd</t>
  </si>
  <si>
    <t>SDSYA.PK</t>
  </si>
  <si>
    <t>South Dakota Soybean Processors LLC</t>
  </si>
  <si>
    <t>A2H.NH</t>
  </si>
  <si>
    <t>Anti-Aging House Holding Ltd</t>
  </si>
  <si>
    <t>USBFU.PK</t>
  </si>
  <si>
    <t>US Premium Beef LLC</t>
  </si>
  <si>
    <t>KGM.HNO</t>
  </si>
  <si>
    <t>Kien Giang Import &amp; Export JSC</t>
  </si>
  <si>
    <t>2820.T</t>
  </si>
  <si>
    <t>Yamami Co</t>
  </si>
  <si>
    <t>1458.HK</t>
  </si>
  <si>
    <t>Zhou Hei Ya International Holdings Company Ltd</t>
  </si>
  <si>
    <t>1583.HK</t>
  </si>
  <si>
    <t>Qinqin Foodstuffs Group (Cayman) Company Ltd</t>
  </si>
  <si>
    <t>1610.HK</t>
  </si>
  <si>
    <t>COFCO Joycome Foods Ltd</t>
  </si>
  <si>
    <t>300886.SZ</t>
  </si>
  <si>
    <t>Anhui Hyea Aromas Co Ltd</t>
  </si>
  <si>
    <t>6578.TWO</t>
  </si>
  <si>
    <t>Dabomb Protein Biotech Corp</t>
  </si>
  <si>
    <t>THEG.NS</t>
  </si>
  <si>
    <t>Grob Tea Co Ltd</t>
  </si>
  <si>
    <t>688089.SS</t>
  </si>
  <si>
    <t>Cabio Biotech Wuhan Co Ltd</t>
  </si>
  <si>
    <t>CTP.HN</t>
  </si>
  <si>
    <t>Minh Khang Capital Trading Public JSC</t>
  </si>
  <si>
    <t>SCRC.CI</t>
  </si>
  <si>
    <t>Sucrivoire SA</t>
  </si>
  <si>
    <t>248170.KS</t>
  </si>
  <si>
    <t>Sempio Foods Co</t>
  </si>
  <si>
    <t>CFF.JS</t>
  </si>
  <si>
    <t>Caribbean Flavours and Fragrances Ltd</t>
  </si>
  <si>
    <t>OCEI.BO</t>
  </si>
  <si>
    <t>Oceanic Foods Ltd</t>
  </si>
  <si>
    <t>239610.KQ</t>
  </si>
  <si>
    <t>HL Science Co Ltd</t>
  </si>
  <si>
    <t>FF.MI</t>
  </si>
  <si>
    <t>Fine Foods &amp; Pharmaceuticals NTM SpA</t>
  </si>
  <si>
    <t>OLFI.CA</t>
  </si>
  <si>
    <t>Obour Land for Food Industries</t>
  </si>
  <si>
    <t>BMV.HNO</t>
  </si>
  <si>
    <t>Vinafood 1 Flour JSC</t>
  </si>
  <si>
    <t>TANV.BO</t>
  </si>
  <si>
    <t>Tanvi Foods (India) Ltd</t>
  </si>
  <si>
    <t>VSN.HNO</t>
  </si>
  <si>
    <t>Vissan JSC</t>
  </si>
  <si>
    <t>GOBI.M3</t>
  </si>
  <si>
    <t>Gobind Sugar Mills Ltd</t>
  </si>
  <si>
    <t>LW.N</t>
  </si>
  <si>
    <t>Lamb Weston Holdings Inc</t>
  </si>
  <si>
    <t>301206.SZ</t>
  </si>
  <si>
    <t>Shandong Sanyuan Biotechnology Co Ltd</t>
  </si>
  <si>
    <t>EURN.NS</t>
  </si>
  <si>
    <t>Euro India Fresh Foods Ltd</t>
  </si>
  <si>
    <t>CMF.HNO</t>
  </si>
  <si>
    <t>Cholimex Food JSC</t>
  </si>
  <si>
    <t>QNS.HNO</t>
  </si>
  <si>
    <t>Quang Ngai Sugar JSC</t>
  </si>
  <si>
    <t>SEA.HNO</t>
  </si>
  <si>
    <t>Viet Nam Seaproducts Joint Stock Corp</t>
  </si>
  <si>
    <t>PPMT.SJ</t>
  </si>
  <si>
    <t>PPM dd Tuzla</t>
  </si>
  <si>
    <t>260970.KQ</t>
  </si>
  <si>
    <t>S&amp;D Co Ltd</t>
  </si>
  <si>
    <t>HKT.HN</t>
  </si>
  <si>
    <t>Ego Viet Nam Investment JSC</t>
  </si>
  <si>
    <t>SEP.HNO</t>
  </si>
  <si>
    <t>Quangtri General Trading JSC</t>
  </si>
  <si>
    <t>066360.KQ</t>
  </si>
  <si>
    <t>Cherrybro Co Ltd</t>
  </si>
  <si>
    <t>SIPL.KL</t>
  </si>
  <si>
    <t>Sime Darby Plantation Bhd</t>
  </si>
  <si>
    <t>SPV.HNO</t>
  </si>
  <si>
    <t>Special Aquatic Products JSC</t>
  </si>
  <si>
    <t>8362.HK</t>
  </si>
  <si>
    <t>Winning Tower Group Holdings Ltd</t>
  </si>
  <si>
    <t>MKPR.NS</t>
  </si>
  <si>
    <t>M K Proteins Ltd</t>
  </si>
  <si>
    <t>1695.HK</t>
  </si>
  <si>
    <t>S&amp;P International Holding Ltd</t>
  </si>
  <si>
    <t>264900.KS</t>
  </si>
  <si>
    <t>Crown Confectionery Co Ltd</t>
  </si>
  <si>
    <t>300765.SZ</t>
  </si>
  <si>
    <t>CSPC Innovation Pharmaceutical Co Ltd</t>
  </si>
  <si>
    <t>1475.HK</t>
  </si>
  <si>
    <t>Nissin Foods Co Ltd</t>
  </si>
  <si>
    <t>267980.KQ</t>
  </si>
  <si>
    <t>Maeil Dairies Co Ltd</t>
  </si>
  <si>
    <t>APF.HNO</t>
  </si>
  <si>
    <t>Quang Ngai Agricultural Products and Foodstuff JSC</t>
  </si>
  <si>
    <t>KOYT.CY</t>
  </si>
  <si>
    <t>Athanasios D Koukoutaris SA</t>
  </si>
  <si>
    <t>JWEL.TO</t>
  </si>
  <si>
    <t>Jamieson Wellness Inc</t>
  </si>
  <si>
    <t>CBS.HNO</t>
  </si>
  <si>
    <t>Cao Bang Sugar JSC</t>
  </si>
  <si>
    <t>300741.SZ</t>
  </si>
  <si>
    <t>Huabao Flavours &amp; Fragrances Co Ltd</t>
  </si>
  <si>
    <t>MIRG.LJ</t>
  </si>
  <si>
    <t>Panvita MIR dd</t>
  </si>
  <si>
    <t>271560.KS</t>
  </si>
  <si>
    <t>Orion Corp</t>
  </si>
  <si>
    <t>603755.SS</t>
  </si>
  <si>
    <t>Qingdao Richen Food Co Ltd</t>
  </si>
  <si>
    <t>SMPL.OQ</t>
  </si>
  <si>
    <t>Simply Good Foods Co</t>
  </si>
  <si>
    <t>JOS.HNO</t>
  </si>
  <si>
    <t>Minh Hai Export Frozen Seafood Processing JSC</t>
  </si>
  <si>
    <t>MGAD.NS</t>
  </si>
  <si>
    <t>Magadh Sugar &amp; Energy Ltd</t>
  </si>
  <si>
    <t>AVAD.NS</t>
  </si>
  <si>
    <t>Avadh Sugar &amp; Energy Ltd</t>
  </si>
  <si>
    <t>COTH.BO</t>
  </si>
  <si>
    <t>Chothani Foods Ltd</t>
  </si>
  <si>
    <t>ICM.GQ</t>
  </si>
  <si>
    <t>Ingenio Azucarero del Norte Compania de Economia Mixta Iancem</t>
  </si>
  <si>
    <t>SNTI.NS</t>
  </si>
  <si>
    <t>Shanti Overseas (India) Ltd</t>
  </si>
  <si>
    <t>300915.SZ</t>
  </si>
  <si>
    <t>Shanghai Hi-Road Food Technology Co Ltd</t>
  </si>
  <si>
    <t>PETZ.OQ</t>
  </si>
  <si>
    <t>TDH Holdings Inc</t>
  </si>
  <si>
    <t>KREMI.JS</t>
  </si>
  <si>
    <t>Caribbean Cream Ltd</t>
  </si>
  <si>
    <t>836826.BJE</t>
  </si>
  <si>
    <t>Dalian Gaishi Food Co Ltd</t>
  </si>
  <si>
    <t>277410.KQ</t>
  </si>
  <si>
    <t>Insan Inc</t>
  </si>
  <si>
    <t>MATC.PSX</t>
  </si>
  <si>
    <t>Matco Foods Ltd</t>
  </si>
  <si>
    <t>CAML3.SA</t>
  </si>
  <si>
    <t>Camil Alimentos SA</t>
  </si>
  <si>
    <t>SHEA.NS</t>
  </si>
  <si>
    <t>Sheetal Cool Products Ltd</t>
  </si>
  <si>
    <t>SAYJ.BO</t>
  </si>
  <si>
    <t>Sayaji Industries Ltd</t>
  </si>
  <si>
    <t>839371.BJE</t>
  </si>
  <si>
    <t>Suzhou Ovodan Foods Co Ltd</t>
  </si>
  <si>
    <t>TFMAMA.BK</t>
  </si>
  <si>
    <t>Thai President Foods PCL</t>
  </si>
  <si>
    <t>280360.KS</t>
  </si>
  <si>
    <t>Lotte WellFood Co Ltd</t>
  </si>
  <si>
    <t>NAKD.NS</t>
  </si>
  <si>
    <t>Nakoda Group of Industries Ltd</t>
  </si>
  <si>
    <t>BAKK.L</t>
  </si>
  <si>
    <t>Bakkavor Group Plc</t>
  </si>
  <si>
    <t>MOLC.BA</t>
  </si>
  <si>
    <t>Molino Canuelas SAC Industrial Financiera Inmobiliaria y Agropecuaria</t>
  </si>
  <si>
    <t>TCJ.HNO</t>
  </si>
  <si>
    <t>Tochau JSC</t>
  </si>
  <si>
    <t>1587.HK</t>
  </si>
  <si>
    <t>Shineroad International Holdings Ltd</t>
  </si>
  <si>
    <t>CAMP.JK</t>
  </si>
  <si>
    <t>Campina Ice Cream Industry Tbk PT</t>
  </si>
  <si>
    <t>SHRR.NS</t>
  </si>
  <si>
    <t>Shreeram Proteins Ltd</t>
  </si>
  <si>
    <t>JHAD.BO</t>
  </si>
  <si>
    <t>Jhandewalas Foods Ltd</t>
  </si>
  <si>
    <t>SOSO.NS</t>
  </si>
  <si>
    <t>Soni Soya Products Ltd</t>
  </si>
  <si>
    <t>236030.KN</t>
  </si>
  <si>
    <t>Ssial Food Inc</t>
  </si>
  <si>
    <t>DODm.BK</t>
  </si>
  <si>
    <t>DOD Biotech PCL</t>
  </si>
  <si>
    <t>NOVW.KL</t>
  </si>
  <si>
    <t>Nova Wellness Group Bhd</t>
  </si>
  <si>
    <t>002956.SZ</t>
  </si>
  <si>
    <t>Guilin Seamild Foods Co Ltd</t>
  </si>
  <si>
    <t>PCAR.JK</t>
  </si>
  <si>
    <t>Prima Cakrawala Abadi Tbk PT</t>
  </si>
  <si>
    <t>DODL.NS</t>
  </si>
  <si>
    <t>Dodla Dairy Ltd</t>
  </si>
  <si>
    <t>TAST.BO</t>
  </si>
  <si>
    <t>Tasty Dairy Specialities Ltd</t>
  </si>
  <si>
    <t>PPNG.LJ</t>
  </si>
  <si>
    <t>Pivka dd</t>
  </si>
  <si>
    <t>836422.BJE</t>
  </si>
  <si>
    <t>Jiangsu Mupro Ift Corp</t>
  </si>
  <si>
    <t>DMPI.PS</t>
  </si>
  <si>
    <t>Del Monte Philippines Inc</t>
  </si>
  <si>
    <t>605339.SS</t>
  </si>
  <si>
    <t>Namchow Food Group Shanghai Co Ltd</t>
  </si>
  <si>
    <t>600929.SS</t>
  </si>
  <si>
    <t>Snowsky Salt Industry Group Co Ltd</t>
  </si>
  <si>
    <t>ATTA.PSX</t>
  </si>
  <si>
    <t>At-Tahur Ltd</t>
  </si>
  <si>
    <t>SRVE.NS</t>
  </si>
  <si>
    <t>Sarveshwar Foods Ltd</t>
  </si>
  <si>
    <t>VSF.HNO</t>
  </si>
  <si>
    <t>Vietnam Southern Food Corporation JSC</t>
  </si>
  <si>
    <t>ULTA.CD</t>
  </si>
  <si>
    <t>Ultra Brands Ltd</t>
  </si>
  <si>
    <t>LBRJ.J</t>
  </si>
  <si>
    <t>Libstar Holdings Ltd</t>
  </si>
  <si>
    <t>MEGS.NS</t>
  </si>
  <si>
    <t>Megastar Foods Ltd</t>
  </si>
  <si>
    <t>2119.HK</t>
  </si>
  <si>
    <t>Tsit Wing International Holdings Ltd</t>
  </si>
  <si>
    <t>HSL.HM</t>
  </si>
  <si>
    <t>Hong Ha Food Investment Development JSC</t>
  </si>
  <si>
    <t>52FINNU.VB</t>
  </si>
  <si>
    <t>Industrias de Aceite SA</t>
  </si>
  <si>
    <t>C22.HNO</t>
  </si>
  <si>
    <t>22 JSC</t>
  </si>
  <si>
    <t>Bolivia</t>
  </si>
  <si>
    <t>PRVA.BO</t>
  </si>
  <si>
    <t>Parvati Sweetners and Power Ltd</t>
  </si>
  <si>
    <t>MNOR.NS</t>
  </si>
  <si>
    <t>Manorama Industries Ltd</t>
  </si>
  <si>
    <t>1837.HK</t>
  </si>
  <si>
    <t>Natural Food International Holding Ltd</t>
  </si>
  <si>
    <t>CBOX.L</t>
  </si>
  <si>
    <t>Cake Box Holdings PLC</t>
  </si>
  <si>
    <t>HBFG.CD</t>
  </si>
  <si>
    <t>Happy Belly Food Group Inc</t>
  </si>
  <si>
    <t>MGRO.JK</t>
  </si>
  <si>
    <t>Mahkota Group Tbk PT</t>
  </si>
  <si>
    <t>CREM.M3</t>
  </si>
  <si>
    <t>Cremica Agro Foods Ltd</t>
  </si>
  <si>
    <t>HLF.AX</t>
  </si>
  <si>
    <t>Halo Food Co Ltd</t>
  </si>
  <si>
    <t>1767.HK</t>
  </si>
  <si>
    <t>TS Wonders Holding Ltd</t>
  </si>
  <si>
    <t>MRSB.NS</t>
  </si>
  <si>
    <t>Mrs. Bectors Food Specialities Ltd</t>
  </si>
  <si>
    <t>ANDI.JK</t>
  </si>
  <si>
    <t>Andira Agro Tbk PT</t>
  </si>
  <si>
    <t>TEOF.PK</t>
  </si>
  <si>
    <t>Teo Foods Inc</t>
  </si>
  <si>
    <t>DANG.NS</t>
  </si>
  <si>
    <t>Dangee Dums Ltd</t>
  </si>
  <si>
    <t>TTCFQ.PK</t>
  </si>
  <si>
    <t>Tattooed Chef Inc</t>
  </si>
  <si>
    <t>UTZ.N</t>
  </si>
  <si>
    <t>UTZ Brands Inc</t>
  </si>
  <si>
    <t>290720.KQ</t>
  </si>
  <si>
    <t>FoodNamoo Inc</t>
  </si>
  <si>
    <t>EPC.HNO</t>
  </si>
  <si>
    <t>Eapok Coffee JSC</t>
  </si>
  <si>
    <t>SNRT.BO</t>
  </si>
  <si>
    <t>Sun Retail Ltd</t>
  </si>
  <si>
    <t>300858.SZ</t>
  </si>
  <si>
    <t>Beijing Scitop Bio-tech Co Ltd</t>
  </si>
  <si>
    <t>194700.KQ</t>
  </si>
  <si>
    <t>Novarex Co Ltd</t>
  </si>
  <si>
    <t>900340.KQ</t>
  </si>
  <si>
    <t>Wing Yip Food Holdings Group Ltd</t>
  </si>
  <si>
    <t>BYND.OQ</t>
  </si>
  <si>
    <t>Beyond Meat Inc</t>
  </si>
  <si>
    <t>300898.SZ</t>
  </si>
  <si>
    <t>Panda Dairy Corp</t>
  </si>
  <si>
    <t>270870.KQ</t>
  </si>
  <si>
    <t>NewTree Co Ltd</t>
  </si>
  <si>
    <t>238200.KQ</t>
  </si>
  <si>
    <t>Bifido Co Ltd</t>
  </si>
  <si>
    <t>CLB.AX</t>
  </si>
  <si>
    <t>Candy Club Holdings Ltd</t>
  </si>
  <si>
    <t>FOOD.JK</t>
  </si>
  <si>
    <t>Sentra Food Indonesia Tbk PT</t>
  </si>
  <si>
    <t>002946.SZ</t>
  </si>
  <si>
    <t>New Hope Dairy Co Ltd</t>
  </si>
  <si>
    <t>VHE.HN</t>
  </si>
  <si>
    <t>Viet Nam Herbs and Foods JSC</t>
  </si>
  <si>
    <t>PTFY.V</t>
  </si>
  <si>
    <t>Plantify Foods Inc</t>
  </si>
  <si>
    <t>EOF.AX</t>
  </si>
  <si>
    <t>Ecofibre Ltd</t>
  </si>
  <si>
    <t>SNAX.OQ</t>
  </si>
  <si>
    <t>Stryve Foods Inc</t>
  </si>
  <si>
    <t>COCO.JK</t>
  </si>
  <si>
    <t>PT Wahana Interfood Nusantara Tbk</t>
  </si>
  <si>
    <t>PAVS.OQ</t>
  </si>
  <si>
    <t>Paranovus Entertainment Technology Ltd</t>
  </si>
  <si>
    <t>SGLLV.AX</t>
  </si>
  <si>
    <t>Ricegrowers Ltd</t>
  </si>
  <si>
    <t>YUM.CD</t>
  </si>
  <si>
    <t>Komo Plant Based Foods Inc</t>
  </si>
  <si>
    <t>1927.HK</t>
  </si>
  <si>
    <t>Jiujiuwang Food International Ltd</t>
  </si>
  <si>
    <t>FREE.OQ</t>
  </si>
  <si>
    <t>Whole Earth Brands Inc</t>
  </si>
  <si>
    <t>MFC.MNE</t>
  </si>
  <si>
    <t>Monos Foods JSC</t>
  </si>
  <si>
    <t>HULKh.V</t>
  </si>
  <si>
    <t>Pontus Protein Ltd</t>
  </si>
  <si>
    <t>RBF.BK</t>
  </si>
  <si>
    <t>R&amp;B Food Supply PCL</t>
  </si>
  <si>
    <t>603102.SS</t>
  </si>
  <si>
    <t>Weihai Baihe Biology Technological Co Ltd</t>
  </si>
  <si>
    <t>301220.SZ</t>
  </si>
  <si>
    <t>Kunshan Asia Aroma Corp Ltd</t>
  </si>
  <si>
    <t>605179.SS</t>
  </si>
  <si>
    <t>Zhejiang Yiming Food Co Ltd</t>
  </si>
  <si>
    <t>605077.SS</t>
  </si>
  <si>
    <t>Zhejiang Huakang Pharmaceutical Co Ltd</t>
  </si>
  <si>
    <t>003000.SZ</t>
  </si>
  <si>
    <t>Jinzai Food Group Co Ltd</t>
  </si>
  <si>
    <t>AXLM.PS</t>
  </si>
  <si>
    <t>Axelum Resources Corp</t>
  </si>
  <si>
    <t>195500.KQ</t>
  </si>
  <si>
    <t>Maniker F&amp;G Co Ltd</t>
  </si>
  <si>
    <t>300999.SZ</t>
  </si>
  <si>
    <t>Yihai Kerry Arawana Holdings Co Ltd</t>
  </si>
  <si>
    <t>311390.KQ</t>
  </si>
  <si>
    <t>Neo Cremar Co Ltd</t>
  </si>
  <si>
    <t>839273.BJE</t>
  </si>
  <si>
    <t>Hubei Yizhi Konjac Biotechnology Co Ltd</t>
  </si>
  <si>
    <t>SDSG.KL</t>
  </si>
  <si>
    <t>SDS Group Bhd</t>
  </si>
  <si>
    <t>318010.KQ</t>
  </si>
  <si>
    <t>Pharmsville Co Ltd</t>
  </si>
  <si>
    <t>BRBR.N</t>
  </si>
  <si>
    <t>Bellring Brands Inc</t>
  </si>
  <si>
    <t>1084.HK</t>
  </si>
  <si>
    <t>Green Future Food Hydrocolloid Marine Science Co Ltd</t>
  </si>
  <si>
    <t>SELVA.IS</t>
  </si>
  <si>
    <t>Selva Gida Sanayi AS</t>
  </si>
  <si>
    <t>9977.HK</t>
  </si>
  <si>
    <t>Shandong Fengxiang Co Ltd</t>
  </si>
  <si>
    <t>SNNP.BK</t>
  </si>
  <si>
    <t>Srinanaporn Marketing PCL</t>
  </si>
  <si>
    <t>MANP.NS</t>
  </si>
  <si>
    <t>Mangalam Global Enterprise Ltd</t>
  </si>
  <si>
    <t>NWLF.MI</t>
  </si>
  <si>
    <t>Newlat Food SpA</t>
  </si>
  <si>
    <t>6186.HK</t>
  </si>
  <si>
    <t>China Feihe Ltd</t>
  </si>
  <si>
    <t>002991.SZ</t>
  </si>
  <si>
    <t>Gan Yuan Foods Co Ltd</t>
  </si>
  <si>
    <t>FODELIA.HE</t>
  </si>
  <si>
    <t>Fodelia Oyj</t>
  </si>
  <si>
    <t>8496.HK</t>
  </si>
  <si>
    <t>Global Uin Intelligence Holdings Ltd</t>
  </si>
  <si>
    <t>KEJU.JK</t>
  </si>
  <si>
    <t>Mulia Boga Raya PT</t>
  </si>
  <si>
    <t>103840.KQ</t>
  </si>
  <si>
    <t>Wooyang Co Ltd</t>
  </si>
  <si>
    <t>THP.HNO</t>
  </si>
  <si>
    <t>Thuan Phuoc Seafoods and Trading Corp</t>
  </si>
  <si>
    <t>ASTA.KL</t>
  </si>
  <si>
    <t>Astramina Group Berhad</t>
  </si>
  <si>
    <t>NUC.AX</t>
  </si>
  <si>
    <t>Nuchev Ltd</t>
  </si>
  <si>
    <t>BLDN.QA</t>
  </si>
  <si>
    <t>Baladna QPSC</t>
  </si>
  <si>
    <t>CCA.HNO</t>
  </si>
  <si>
    <t>Can Tho Import Export Seafood JSC</t>
  </si>
  <si>
    <t>605338.SS</t>
  </si>
  <si>
    <t>Zhongyin Babi Food Co Ltd</t>
  </si>
  <si>
    <t>BALJ.M3</t>
  </si>
  <si>
    <t>Balaji Agro Oils Ltd</t>
  </si>
  <si>
    <t>NBND.PK</t>
  </si>
  <si>
    <t>Netbrands Corp</t>
  </si>
  <si>
    <t>605089.SS</t>
  </si>
  <si>
    <t>Suzhou Weizhixiang Food Co Ltd</t>
  </si>
  <si>
    <t>301116.SZ</t>
  </si>
  <si>
    <t>JiangSu YiKe Food Group Co Ltd</t>
  </si>
  <si>
    <t>DMND.JK</t>
  </si>
  <si>
    <t>DIAMOND FOOD INDONESIA Tbk PT</t>
  </si>
  <si>
    <t>ORGA.PSX</t>
  </si>
  <si>
    <t>Organic Meat Company Ltd</t>
  </si>
  <si>
    <t>ALPAU.PA</t>
  </si>
  <si>
    <t>Paulic Meunerie SA</t>
  </si>
  <si>
    <t>VOLAB.ST</t>
  </si>
  <si>
    <t>Veg of Lund AB (publ)</t>
  </si>
  <si>
    <t>NRF.BK</t>
  </si>
  <si>
    <t>NR Instant Produce PCL</t>
  </si>
  <si>
    <t>BSFC.OQ</t>
  </si>
  <si>
    <t>Blue Star Foods Corp</t>
  </si>
  <si>
    <t>SHMY.PK</t>
  </si>
  <si>
    <t>Synergy Empire Ltd</t>
  </si>
  <si>
    <t>TAUF.DH</t>
  </si>
  <si>
    <t>Taufika Foods and Lovello Ice-Cream Plc</t>
  </si>
  <si>
    <t>OCTS.BO</t>
  </si>
  <si>
    <t>Octavius Plantations Ltd</t>
  </si>
  <si>
    <t>BCF.HN</t>
  </si>
  <si>
    <t>Bich Chi Food Co</t>
  </si>
  <si>
    <t>JSEG.LJ</t>
  </si>
  <si>
    <t>Tanin Sevnica dd</t>
  </si>
  <si>
    <t>PECP.LJ</t>
  </si>
  <si>
    <t>Pecivo dd Nova Gorica</t>
  </si>
  <si>
    <t>PMMG.LJ</t>
  </si>
  <si>
    <t>Mlinopek dd Murska Sobota</t>
  </si>
  <si>
    <t>300973.SZ</t>
  </si>
  <si>
    <t>Ligao Foods Co Ltd</t>
  </si>
  <si>
    <t>353190.KQ</t>
  </si>
  <si>
    <t>Hurum Co Ltd</t>
  </si>
  <si>
    <t>JDEP.AS</t>
  </si>
  <si>
    <t>JDE Peets NV</t>
  </si>
  <si>
    <t>VGFCQ.PK</t>
  </si>
  <si>
    <t>Very Good Food Company Inc</t>
  </si>
  <si>
    <t>7561.TWO</t>
  </si>
  <si>
    <t>Bioray Biotech Co Ltd</t>
  </si>
  <si>
    <t>003030.SZ</t>
  </si>
  <si>
    <t>Zuming Bean Products Corp</t>
  </si>
  <si>
    <t>FFF.AX</t>
  </si>
  <si>
    <t>Forbidden Foods Ltd</t>
  </si>
  <si>
    <t>605016.SS</t>
  </si>
  <si>
    <t>Shandong Bailong Chuangyuan Bio-Tech Co Ltd</t>
  </si>
  <si>
    <t>605388.SS</t>
  </si>
  <si>
    <t>Juneyao Grand Healthy Drinks Co Ltd</t>
  </si>
  <si>
    <t>FADE.IS</t>
  </si>
  <si>
    <t>Fade Gida Yatirim Sanayi Ticaret AS</t>
  </si>
  <si>
    <t>PNGO.JK</t>
  </si>
  <si>
    <t>Pinago Utama TBK PT</t>
  </si>
  <si>
    <t>2932.T</t>
  </si>
  <si>
    <t>STI Foods Holdings Inc</t>
  </si>
  <si>
    <t>LSF.A</t>
  </si>
  <si>
    <t>Laird Superfood Inc</t>
  </si>
  <si>
    <t>NSL.BK</t>
  </si>
  <si>
    <t>NSL Foods PCL</t>
  </si>
  <si>
    <t>348150.KQ</t>
  </si>
  <si>
    <t>KoBioLabs Inc</t>
  </si>
  <si>
    <t>BBXIA.PK</t>
  </si>
  <si>
    <t>BBX Capital Inc</t>
  </si>
  <si>
    <t>BNA.HN</t>
  </si>
  <si>
    <t>Bao Ngoc Investment Production Corp</t>
  </si>
  <si>
    <t>605300.SS</t>
  </si>
  <si>
    <t>Jiahe Foods Industry Co Ltd</t>
  </si>
  <si>
    <t>LOHILO.ST</t>
  </si>
  <si>
    <t>Lohilo Foods AB (publ)</t>
  </si>
  <si>
    <t>EATS.CD</t>
  </si>
  <si>
    <t>Eat &amp; Beyond Global Holdings Inc</t>
  </si>
  <si>
    <t>KRVGD.IS</t>
  </si>
  <si>
    <t>Kervan Gida Sanayi ve Ticaret AS</t>
  </si>
  <si>
    <t>001219.SZ</t>
  </si>
  <si>
    <t>Qingdao Foods Co Ltd</t>
  </si>
  <si>
    <t>INDE.DH</t>
  </si>
  <si>
    <t>Index Agro Industries Ltd</t>
  </si>
  <si>
    <t>9858.HK</t>
  </si>
  <si>
    <t>China Youran Dairy Group Ltd</t>
  </si>
  <si>
    <t>COOT.OQ</t>
  </si>
  <si>
    <t>Australian Oilseeds Holdings Ltd</t>
  </si>
  <si>
    <t>LV1.AX</t>
  </si>
  <si>
    <t>Live Verdure Ltd</t>
  </si>
  <si>
    <t>BCO.BRB</t>
  </si>
  <si>
    <t>BiCo Ltd</t>
  </si>
  <si>
    <t>WIB.BRB</t>
  </si>
  <si>
    <t>West India Biscuit Co Ltd</t>
  </si>
  <si>
    <t>PMMP.JK</t>
  </si>
  <si>
    <t>Panca Mitra Multiperdana Tbk PT</t>
  </si>
  <si>
    <t>605567.SS</t>
  </si>
  <si>
    <t>Springsnow Food Group Co Ltd</t>
  </si>
  <si>
    <t>ARTO.CD</t>
  </si>
  <si>
    <t>Aretto Wellness Inc</t>
  </si>
  <si>
    <t>IDP.HNO</t>
  </si>
  <si>
    <t>International Dairy Products JSC</t>
  </si>
  <si>
    <t>1271.TWO</t>
  </si>
  <si>
    <t>SunWay Biotech Co Ltd</t>
  </si>
  <si>
    <t>JALL3.SA</t>
  </si>
  <si>
    <t>Jalles Machado SA</t>
  </si>
  <si>
    <t>NXFR.TA</t>
  </si>
  <si>
    <t>Nextferm Technologies Ltd</t>
  </si>
  <si>
    <t>TTEN3.SA</t>
  </si>
  <si>
    <t>Tres Tentos Agroindustrial SA</t>
  </si>
  <si>
    <t>MFB.NZ</t>
  </si>
  <si>
    <t>My Food Bag Group Ltd</t>
  </si>
  <si>
    <t>THCH.OQ</t>
  </si>
  <si>
    <t>TH International Limited</t>
  </si>
  <si>
    <t>FLYS.TA</t>
  </si>
  <si>
    <t>Flying Spark Ltd</t>
  </si>
  <si>
    <t>2933.T</t>
  </si>
  <si>
    <t>Kibun Foods Inc</t>
  </si>
  <si>
    <t>357230.KQ</t>
  </si>
  <si>
    <t>H Pio Co Ltd</t>
  </si>
  <si>
    <t>DAVA.BO</t>
  </si>
  <si>
    <t>Davangere Sugar Company Ltd</t>
  </si>
  <si>
    <t>TAPG.JK</t>
  </si>
  <si>
    <t>Triputra Agro Persada Tbk PT</t>
  </si>
  <si>
    <t>CHEF.ST</t>
  </si>
  <si>
    <t>Cheffelo AB (publ)</t>
  </si>
  <si>
    <t>JETM.BO</t>
  </si>
  <si>
    <t>Jetmall Spices and Masala Ltd</t>
  </si>
  <si>
    <t>CHSN.OQ</t>
  </si>
  <si>
    <t>Chanson International Holding</t>
  </si>
  <si>
    <t>ORGA.KL</t>
  </si>
  <si>
    <t>Orgabio Holdings Bhd</t>
  </si>
  <si>
    <t>BRCC.N</t>
  </si>
  <si>
    <t>BRC Inc</t>
  </si>
  <si>
    <t>OTLY.OQ</t>
  </si>
  <si>
    <t>Oatly Group AB (publ)</t>
  </si>
  <si>
    <t>9515.SE</t>
  </si>
  <si>
    <t>Fesh Fash Snack Food Production Co</t>
  </si>
  <si>
    <t>MONDE.PS</t>
  </si>
  <si>
    <t>Monde Nissin Corp</t>
  </si>
  <si>
    <t>9985.HK</t>
  </si>
  <si>
    <t>Weilong Delicious Global Holdings Ltd</t>
  </si>
  <si>
    <t>OTSH.SI</t>
  </si>
  <si>
    <t>OTS Holdings Ltd</t>
  </si>
  <si>
    <t>VEGI.CD</t>
  </si>
  <si>
    <t>Boosh Plant Based Brands Inc</t>
  </si>
  <si>
    <t>TRPZ.TA</t>
  </si>
  <si>
    <t>Turpaz Industries Ltd</t>
  </si>
  <si>
    <t>MUSL.CD</t>
  </si>
  <si>
    <t>Promino Nutritional Sciences Inc</t>
  </si>
  <si>
    <t>603182.SS</t>
  </si>
  <si>
    <t>Shandong Sinoglory Health Food Co Ltd</t>
  </si>
  <si>
    <t>KAYSE.IS</t>
  </si>
  <si>
    <t>Kayseri Seker Fabrikasi AS</t>
  </si>
  <si>
    <t>603237.SS</t>
  </si>
  <si>
    <t>Zhejiang Wufangzhai Industry Co Ltd</t>
  </si>
  <si>
    <t>ADAW.NS</t>
  </si>
  <si>
    <t>Adani Wilmar Ltd</t>
  </si>
  <si>
    <t>2281.SE</t>
  </si>
  <si>
    <t>Tanmiah Food Company SJSC</t>
  </si>
  <si>
    <t>MILK.CD</t>
  </si>
  <si>
    <t>Plant Veda Foods Ltd</t>
  </si>
  <si>
    <t>EEVIA.TE</t>
  </si>
  <si>
    <t>Eevia Health Abp</t>
  </si>
  <si>
    <t>ROBONA.BX</t>
  </si>
  <si>
    <t>Bonas Import Export SA</t>
  </si>
  <si>
    <t>KTSKR.IS</t>
  </si>
  <si>
    <t>Kutahya Seker Fabrikasi AS</t>
  </si>
  <si>
    <t>001318.SZ</t>
  </si>
  <si>
    <t>Jiangxi Sunshine Dairy Co Ltd</t>
  </si>
  <si>
    <t>603170.SS</t>
  </si>
  <si>
    <t>Shanghai Bolex Food Technology Co Ltd</t>
  </si>
  <si>
    <t>603057.SS</t>
  </si>
  <si>
    <t>Shanghai Ziyan Foods Co Ltd</t>
  </si>
  <si>
    <t>NGRB.NLB</t>
  </si>
  <si>
    <t>Nextgen Food Robotics Corp</t>
  </si>
  <si>
    <t>ELITE.IS</t>
  </si>
  <si>
    <t>Elite Naturel Organik Gida Sanayi ve Ticaret AS</t>
  </si>
  <si>
    <t>LVT.CD</t>
  </si>
  <si>
    <t>Levitee Labs Inc</t>
  </si>
  <si>
    <t>ZOG.CD</t>
  </si>
  <si>
    <t>Zoglo's Food Corp</t>
  </si>
  <si>
    <t>ORCAY.IS</t>
  </si>
  <si>
    <t>Orcay Ortakoy Cay Sanayi ve Ticaret AS</t>
  </si>
  <si>
    <t>CBO.AX</t>
  </si>
  <si>
    <t>Cobram Estate Olives Ltd</t>
  </si>
  <si>
    <t>TPGM.TA</t>
  </si>
  <si>
    <t>Top Gum Industries Ltd</t>
  </si>
  <si>
    <t>001215.SZ</t>
  </si>
  <si>
    <t>Zhengzhou Qianweiyangchu Food Co Ltd</t>
  </si>
  <si>
    <t>377220.KQ</t>
  </si>
  <si>
    <t>From Bio Co Ltd</t>
  </si>
  <si>
    <t>SRIT.BO</t>
  </si>
  <si>
    <t>Shri Venkatesh Refineries Ltd</t>
  </si>
  <si>
    <t>OILS.JK</t>
  </si>
  <si>
    <t>Indo Oil Perkasa Tbk PT</t>
  </si>
  <si>
    <t>NPRA.CD</t>
  </si>
  <si>
    <t>Nepra Foods Inc</t>
  </si>
  <si>
    <t>WEST.OQ</t>
  </si>
  <si>
    <t>Westrock Coffee Co</t>
  </si>
  <si>
    <t>MEAL.CD</t>
  </si>
  <si>
    <t>Nabati Foods Global Inc</t>
  </si>
  <si>
    <t>BRLS.OQ</t>
  </si>
  <si>
    <t>Borealis Foods Inc</t>
  </si>
  <si>
    <t>FARM.KL</t>
  </si>
  <si>
    <t>Farm Fresh Bhd</t>
  </si>
  <si>
    <t>MYLK.V</t>
  </si>
  <si>
    <t>Planting Hope Co Inc</t>
  </si>
  <si>
    <t>VEZ.DE</t>
  </si>
  <si>
    <t>Veganz Group AG</t>
  </si>
  <si>
    <t>AAI.BK</t>
  </si>
  <si>
    <t>Asian Alliance International PCL</t>
  </si>
  <si>
    <t>RGF.OQ</t>
  </si>
  <si>
    <t>Real Good Food Company Inc</t>
  </si>
  <si>
    <t>WLCOh.V</t>
  </si>
  <si>
    <t>Well Told Company Inc</t>
  </si>
  <si>
    <t>1293.TWO</t>
  </si>
  <si>
    <t>Lytone Enterprise Inc</t>
  </si>
  <si>
    <t>BOBA.JK</t>
  </si>
  <si>
    <t>Formosa Ingredient Factory Tbk PT</t>
  </si>
  <si>
    <t>JDF.BK</t>
  </si>
  <si>
    <t>JD Food PCL</t>
  </si>
  <si>
    <t>CMRY.JK</t>
  </si>
  <si>
    <t>Cisarua Mountain Dairy Tbk PT</t>
  </si>
  <si>
    <t>TAYS.JK</t>
  </si>
  <si>
    <t>Jaya Swarasa Agung Tbk PT</t>
  </si>
  <si>
    <t>MBX.AX</t>
  </si>
  <si>
    <t>My Foodie Box Ltd</t>
  </si>
  <si>
    <t>IPPE.JK</t>
  </si>
  <si>
    <t>Indo Pureco Pratama Tbk PT</t>
  </si>
  <si>
    <t>SURE.CD</t>
  </si>
  <si>
    <t>SureNano Science Ltd</t>
  </si>
  <si>
    <t>1497.HK</t>
  </si>
  <si>
    <t>Xiamen Yan Palace Bird's Nest Industry Co Ltd</t>
  </si>
  <si>
    <t>HEMP.V</t>
  </si>
  <si>
    <t>Hempalta Corp</t>
  </si>
  <si>
    <t>301498.SZ</t>
  </si>
  <si>
    <t>Gambol Pet Group Co Ltd</t>
  </si>
  <si>
    <t>BALAI.PS</t>
  </si>
  <si>
    <t>Balai Ni Fruitas Inc</t>
  </si>
  <si>
    <t>BDTH.DH</t>
  </si>
  <si>
    <t>Bd Thai Food &amp; Beverage Ltd</t>
  </si>
  <si>
    <t>BUAFOODS.LG</t>
  </si>
  <si>
    <t>BUA Foods PLC</t>
  </si>
  <si>
    <t>PBF.CD</t>
  </si>
  <si>
    <t>Planet Based Foods Global Inc</t>
  </si>
  <si>
    <t>CULT.CD</t>
  </si>
  <si>
    <t>CULT Food Science Corp</t>
  </si>
  <si>
    <t>KNAG.NS</t>
  </si>
  <si>
    <t>KN Agri Resources Ltd</t>
  </si>
  <si>
    <t>TANG.ZI</t>
  </si>
  <si>
    <t>Tanganda Tea Company Ltd</t>
  </si>
  <si>
    <t>OILT.SI</t>
  </si>
  <si>
    <t>Oiltek International Ltd</t>
  </si>
  <si>
    <t>KRIO.NS</t>
  </si>
  <si>
    <t>Krishival Foods Ltd</t>
  </si>
  <si>
    <t>VAGN.CD</t>
  </si>
  <si>
    <t>Vegano Foods Inc</t>
  </si>
  <si>
    <t>BIKA.NS</t>
  </si>
  <si>
    <t>Bikaji Foods International Ltd</t>
  </si>
  <si>
    <t>PLCN.CD</t>
  </si>
  <si>
    <t>Cannibble Foodtech Ltd</t>
  </si>
  <si>
    <t>OLAG.SI</t>
  </si>
  <si>
    <t>Olam Group Ltd</t>
  </si>
  <si>
    <t>TLDN.JK</t>
  </si>
  <si>
    <t>Teladan Prima Agro PT Tbk</t>
  </si>
  <si>
    <t>CH.BK</t>
  </si>
  <si>
    <t>Chin Huay PCL</t>
  </si>
  <si>
    <t>GOKNR.IS</t>
  </si>
  <si>
    <t>Goknur Gida Maddeleri Enerji Imalat Ithalat Ihracat Ticaret ve Sanayi AS</t>
  </si>
  <si>
    <t>YYLGD.IS</t>
  </si>
  <si>
    <t>Yayla Agro Gida Sanayi ve Ticaret AS</t>
  </si>
  <si>
    <t>9536.SE</t>
  </si>
  <si>
    <t>Arabian Food &amp; Dairy Factories Company</t>
  </si>
  <si>
    <t>BTG.BK</t>
  </si>
  <si>
    <t>Betagro PCL</t>
  </si>
  <si>
    <t>IDON.BO</t>
  </si>
  <si>
    <t>Indong Tea Company Ltd</t>
  </si>
  <si>
    <t>DHAO.NS</t>
  </si>
  <si>
    <t>Dhampur Bio Organics Ltd</t>
  </si>
  <si>
    <t>ALVIN.PA</t>
  </si>
  <si>
    <t>Vinpai SA</t>
  </si>
  <si>
    <t>PNGA.CD</t>
  </si>
  <si>
    <t>Pangea Natural Foods Inc</t>
  </si>
  <si>
    <t>TRGU.JK</t>
  </si>
  <si>
    <t>Cerestar Indonesia Tbk PT</t>
  </si>
  <si>
    <t>ANNP.NS</t>
  </si>
  <si>
    <t>Annapurna Swadisht Ltd</t>
  </si>
  <si>
    <t>ITC.BK</t>
  </si>
  <si>
    <t>i-Tail Corporation PCL</t>
  </si>
  <si>
    <t>603231.SS</t>
  </si>
  <si>
    <t>Solbar Ningbo Protein Technology Co Ltd</t>
  </si>
  <si>
    <t>JARR.JK</t>
  </si>
  <si>
    <t>Jhonlin Agro Raya PT Tbk</t>
  </si>
  <si>
    <t>YGFGF.PK</t>
  </si>
  <si>
    <t>YanGuFang International Group Co Ltd</t>
  </si>
  <si>
    <t>TAPI.NS</t>
  </si>
  <si>
    <t>Tapi Fruit Processing Ltd</t>
  </si>
  <si>
    <t>368970.KQ</t>
  </si>
  <si>
    <t>OSP Co Ltd</t>
  </si>
  <si>
    <t>1294.TWO</t>
  </si>
  <si>
    <t>Hantech Bio-Technology Co Ltd</t>
  </si>
  <si>
    <t>DOLE.NS</t>
  </si>
  <si>
    <t>Dollex Agrotech Ltd</t>
  </si>
  <si>
    <t>AMBO.BO</t>
  </si>
  <si>
    <t>Ambo Agritec Ltd</t>
  </si>
  <si>
    <t>PQS.BK</t>
  </si>
  <si>
    <t>Premier Quality Starch PCL</t>
  </si>
  <si>
    <t>2936.T</t>
  </si>
  <si>
    <t>BASE FOOD Inc</t>
  </si>
  <si>
    <t>CBUT.JK</t>
  </si>
  <si>
    <t>Citra Borneo Utama Tbk PT</t>
  </si>
  <si>
    <t>9549.SE</t>
  </si>
  <si>
    <t>Abdulaziz &amp; Mansour Ibrahim Albabtin Co PJSC</t>
  </si>
  <si>
    <t>9556.SE</t>
  </si>
  <si>
    <t>Nofoth Food Products Co</t>
  </si>
  <si>
    <t>CMM.HNO</t>
  </si>
  <si>
    <t>Camimex JSC</t>
  </si>
  <si>
    <t>9562.SE</t>
  </si>
  <si>
    <t>Food Gate Trading Company CJSC</t>
  </si>
  <si>
    <t>NTSCm.BK</t>
  </si>
  <si>
    <t>Nutrition SC PCL</t>
  </si>
  <si>
    <t>2937.T</t>
  </si>
  <si>
    <t>St.Cousair Co Ltd</t>
  </si>
  <si>
    <t>MIWA.MZ</t>
  </si>
  <si>
    <t>Miwa Sugar Ltd</t>
  </si>
  <si>
    <t>833429.BJE</t>
  </si>
  <si>
    <t>Beijing Competitor Sports Science Technology Joint Stock Co Ltd</t>
  </si>
  <si>
    <t>2147.HK</t>
  </si>
  <si>
    <t>Zhengwei Group Holdings Co Ltd</t>
  </si>
  <si>
    <t>KCG.BK</t>
  </si>
  <si>
    <t>KCG Corporation PCL</t>
  </si>
  <si>
    <t>NTFD.VF</t>
  </si>
  <si>
    <t>National Foods Holdings Ltd</t>
  </si>
  <si>
    <t>AVEE.BO</t>
  </si>
  <si>
    <t>Aveer Foods Ltd</t>
  </si>
  <si>
    <t>AGPL.CM</t>
  </si>
  <si>
    <t>Agarapatana Plantations Ltd</t>
  </si>
  <si>
    <t>NAYZ.JK</t>
  </si>
  <si>
    <t>Hassana Boga Sejahtera PT Tbk</t>
  </si>
  <si>
    <t>ADPT.CD</t>
  </si>
  <si>
    <t>Adaptogenics Health Corp</t>
  </si>
  <si>
    <t>SOKE.IS</t>
  </si>
  <si>
    <t>Soke Degirmencilik Sanayi ve Ticaret AS</t>
  </si>
  <si>
    <t>BGMELI.BB</t>
  </si>
  <si>
    <t>Mellifera AD</t>
  </si>
  <si>
    <t>JAYK.BO</t>
  </si>
  <si>
    <t>Jay Kailash Namkeen Ltd</t>
  </si>
  <si>
    <t>INN.VF</t>
  </si>
  <si>
    <t>Innscor Africa Ltd</t>
  </si>
  <si>
    <t>6911.HK</t>
  </si>
  <si>
    <t>Puer Lancang Ancient Tea Co Ltd</t>
  </si>
  <si>
    <t>6935.TWO</t>
  </si>
  <si>
    <t>Prince Pharmaceutical Co Ltd</t>
  </si>
  <si>
    <t>EKSUN.IS</t>
  </si>
  <si>
    <t>Eksun Gida Tarim Sanayi ve Ticaret AS</t>
  </si>
  <si>
    <t>PMRJ.J</t>
  </si>
  <si>
    <t>Premier Group Ltd</t>
  </si>
  <si>
    <t>GAZR.MNE</t>
  </si>
  <si>
    <t>Gazar Shime Uildver JSC</t>
  </si>
  <si>
    <t>BOF.OQ</t>
  </si>
  <si>
    <t>BranchOut Food Inc</t>
  </si>
  <si>
    <t>2283.SE</t>
  </si>
  <si>
    <t>First Milling Company SJSC</t>
  </si>
  <si>
    <t>SPURTREE.JS</t>
  </si>
  <si>
    <t>Spur Tree Spices Jamaica Ltd</t>
  </si>
  <si>
    <t>MAXI.JK</t>
  </si>
  <si>
    <t>Maxindo Karya Anugerah Tbk PT</t>
  </si>
  <si>
    <t>6963.TWO</t>
  </si>
  <si>
    <t>Texture Maker Enterprise Co Ltd</t>
  </si>
  <si>
    <t>APOm.BK</t>
  </si>
  <si>
    <t>Asian Palm Oil PCL</t>
  </si>
  <si>
    <t>ATAKP.IS</t>
  </si>
  <si>
    <t>Atakey Patates Gida Sanayi ve Ticaret AS</t>
  </si>
  <si>
    <t>RAGO.NS</t>
  </si>
  <si>
    <t>Rajgor Castor Derivatives Ltd</t>
  </si>
  <si>
    <t>SRIO.NS</t>
  </si>
  <si>
    <t>Srivari Spices and Foods Ltd</t>
  </si>
  <si>
    <t>DDC.A</t>
  </si>
  <si>
    <t>DDC Enterprise Ltd</t>
  </si>
  <si>
    <t>2938.T</t>
  </si>
  <si>
    <t>Okamura Foods Co Ltd</t>
  </si>
  <si>
    <t>9676.HK</t>
  </si>
  <si>
    <t>Shiyue Daotian Group Co Ltd</t>
  </si>
  <si>
    <t>MADD.NS</t>
  </si>
  <si>
    <t>Madhusudan Masala Ltd</t>
  </si>
  <si>
    <t>BABF.NS</t>
  </si>
  <si>
    <t>Baba Food Processing (India) Ltd</t>
  </si>
  <si>
    <t>KLG.N</t>
  </si>
  <si>
    <t>WK Kellogg Co</t>
  </si>
  <si>
    <t>MLBIO.EUA</t>
  </si>
  <si>
    <t>Nortem Chem SA</t>
  </si>
  <si>
    <t>DMRGD.IS</t>
  </si>
  <si>
    <t>Dmr Unlu Mamuller Uretim Gida Toptan Perakende Ihracat AS</t>
  </si>
  <si>
    <t>MAYA.BO</t>
  </si>
  <si>
    <t>Mayank Cattle Food Ltd</t>
  </si>
  <si>
    <t>ITAI.NS</t>
  </si>
  <si>
    <t>Italian Edibles Ltd</t>
  </si>
  <si>
    <t>CHAH.BO</t>
  </si>
  <si>
    <t>Chatha Foods Ltd</t>
  </si>
  <si>
    <t>SUG.V</t>
  </si>
  <si>
    <t>Sucro Ltd</t>
  </si>
  <si>
    <t>SONC.NS</t>
  </si>
  <si>
    <t>Sona Machinery Ltd</t>
  </si>
  <si>
    <t>ISFEL.IC</t>
  </si>
  <si>
    <t>Isfelag hf</t>
  </si>
  <si>
    <t>1295.TWO</t>
  </si>
  <si>
    <t>Synbio Tech Inc</t>
  </si>
  <si>
    <t>MVKA.NS</t>
  </si>
  <si>
    <t>M V K Agro Food Product Ltd</t>
  </si>
  <si>
    <t>SBHM.KL</t>
  </si>
  <si>
    <t>SBH Marine Holdings Bhd</t>
  </si>
  <si>
    <t>SALT.L</t>
  </si>
  <si>
    <t>MicroSalt PLC</t>
  </si>
  <si>
    <t>BORSK.IS</t>
  </si>
  <si>
    <t>Bor Seker AS</t>
  </si>
  <si>
    <t>2284.SE</t>
  </si>
  <si>
    <t>Modern Mills Company SJSC</t>
  </si>
  <si>
    <t>OBAMS.IS</t>
  </si>
  <si>
    <t>Oba Makarnacilik Sanayi ve Ticaret AS</t>
  </si>
  <si>
    <t>USIC.PK</t>
  </si>
  <si>
    <t>Uncle's Ice Cream</t>
  </si>
  <si>
    <t>MUKK.NS</t>
  </si>
  <si>
    <t>Mukka Proteins Ltd</t>
  </si>
  <si>
    <t>Company GICS Sector:</t>
  </si>
  <si>
    <t>Consumer Staples</t>
  </si>
  <si>
    <t>&lt;- Select Industry</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</si>
  <si>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</si>
  <si>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</si>
  <si>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</si>
  <si>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</si>
  <si>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</si>
  <si>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</si>
  <si>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</si>
  <si>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</si>
  <si>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</si>
  <si>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</si>
  <si>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</si>
  <si>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</si>
  <si>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</si>
  <si>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</si>
  <si>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Medium High</t>
  </si>
  <si>
    <t>Decrease of more than 100,000 Metric Tones CO2e of GHG scope 1 emissions between 2020 and 2022</t>
  </si>
  <si>
    <t>Achieve net zero carbon emissions by 2050, 
halving same by 2030</t>
  </si>
  <si>
    <t xml:space="preserve"> 
Heinz began a partnership with external climate experts to help them define their pathway to net zero emissions. They are exploring investments in critical technologies including carbon removals 
 </t>
  </si>
  <si>
    <t>CO2 Emissions/$M Sales</t>
  </si>
  <si>
    <t>Total Water Consumption</t>
  </si>
  <si>
    <t>Medium</t>
  </si>
  <si>
    <t>Decrease of almost 10,000 Thousand Cubic Meters of water withdrawls between 2020 and 2022</t>
  </si>
  <si>
    <t xml:space="preserve">Reduce water use intensity by 15% across their 
manufacturing facilities and by 20% in high-risk 
watershed areas by 2025  </t>
  </si>
  <si>
    <t>Heinz water reduction strategy consists of a variety of aspects, including partnerships with water efficiency experts, water recycling programs, and best practice sharing among their global facilities.</t>
  </si>
  <si>
    <t>Water Consumption/$M Sales</t>
  </si>
  <si>
    <t>Total Energy Consumption</t>
  </si>
  <si>
    <t>Decrease of more than 700,000 MWh on total energy used between 2020 and 2022</t>
  </si>
  <si>
    <t>Procure majority of electricity from renewable sources 
by 2025</t>
  </si>
  <si>
    <t>Heinz signed a virtual power purchase agreement (vPPA) with BHE Renewables for their U.S. 
operations, which make up a significant portion of their 
global energy usage. In June 2022 Heinz announced a 12-year vPPA 
with Repsol. The 
vPPA is expected to generate enough renewable electricity to power 
approximately 25,000 average EU households per year at its peak.</t>
  </si>
  <si>
    <t>Energy Consumption/$M Sales</t>
  </si>
  <si>
    <t>Waste Management</t>
  </si>
  <si>
    <t>"Best in class"</t>
  </si>
  <si>
    <t>Reduced the waste to landfill by almost 3,000 Metric Tons</t>
  </si>
  <si>
    <t xml:space="preserve">Reduce waste to landfill intensityby 20% across their manufacturing facilities 
by 2025 </t>
  </si>
  <si>
    <t xml:space="preserve"> Heinz facilities have been steadfast in their waste minimization through the identification and reallocation of waste streams for beneficial use, primarily for food and packaging waste. In North America, they work with their partner Northstar Recycling in order to reduce waste to 
landfill across their manufacturing facilities. </t>
  </si>
  <si>
    <t>Waste Production/$M Sales</t>
  </si>
  <si>
    <t>Land Degradation/Deforestation/Biodiversity loss/Animal sufering/…</t>
  </si>
  <si>
    <t>Purchase 100% sustainable palm oil by 2022. Source 100% of eggs in Europe from free-range 
hens.</t>
  </si>
  <si>
    <t>Source 100% of eggs globally from cage-free
or better hens by 2025. Improve broiler chicken welfare in the U.S. by 2024 and European chicken commitment by 2026. Purchase 100% sustainably-sourced Heinz ketchup tomatoes by 2025.</t>
  </si>
  <si>
    <t xml:space="preserve"> In 2022, Heinz completed a deforestation and conversion-free analysis 
of tehir value chain and developed 10-year roadmaps for their primary deforestation-linked commodities committing to no deforestation across its primary deforestation-linked commodities, with a target date of 2025.</t>
  </si>
  <si>
    <t>Inputs</t>
  </si>
  <si>
    <t>Social</t>
  </si>
  <si>
    <t>Net Sales ($M)</t>
  </si>
  <si>
    <t>Employee Turnover %</t>
  </si>
  <si>
    <t xml:space="preserve">None </t>
  </si>
  <si>
    <t>None</t>
  </si>
  <si>
    <t>Could not find any values.</t>
  </si>
  <si>
    <t>CO2 Emissions Total (Tonnes)</t>
  </si>
  <si>
    <t>Salaries &amp; Compensation</t>
  </si>
  <si>
    <t>Average Annual Salarie: $119k. Difference between higherst and lowest paid: $177k. Highest paid sector: Communications ($231k). Lowest paid sector: Admin ($54k). Overall half of the employees are happy with their salaries.</t>
  </si>
  <si>
    <t>Water Consumption Total (Cubic Meters)</t>
  </si>
  <si>
    <t>Reputation</t>
  </si>
  <si>
    <t>Heinz was sued by two parents due to heavy metals on their lunchables.  Heinz ranks 58 on the world benchmarking alliance ranking of food and agriculture benchmark.</t>
  </si>
  <si>
    <t>Energy Consumption Total (Gigajoules)</t>
  </si>
  <si>
    <t>Discrimination Events</t>
  </si>
  <si>
    <t>Waste Production Total (Tonnes)</t>
  </si>
  <si>
    <t>Work Safety</t>
  </si>
  <si>
    <t>Heinz has recorded a Total Recordable Incident Rate (injuries per 200,000 hours) of 0,53</t>
  </si>
  <si>
    <t>ESG Scores</t>
  </si>
  <si>
    <t>Damage to consumer health</t>
  </si>
  <si>
    <t xml:space="preserve">Heinz is a company that produces various types of sauces that can lead to obesity, heart deseases, among others. </t>
  </si>
  <si>
    <t>Refinitiv</t>
  </si>
  <si>
    <t>PXP?</t>
  </si>
  <si>
    <t>Sustainalytics</t>
  </si>
  <si>
    <t>34,1 (High Risk)</t>
  </si>
  <si>
    <t>27,2 (Medium risk)</t>
  </si>
  <si>
    <t>21.9 (Medium Risk)</t>
  </si>
  <si>
    <t>26.8 (Medium Risk)</t>
  </si>
  <si>
    <t>27.9 (Medium Risk)</t>
  </si>
  <si>
    <t>24.6 (Medium Risk)</t>
  </si>
  <si>
    <t>Supply chain</t>
  </si>
  <si>
    <t>Heinz announced a deal with Microsoft to help secure its supply chain by, among other things, using automation to speed up operations and replicate the company’s facilities online.</t>
  </si>
  <si>
    <t>ISS</t>
  </si>
  <si>
    <t>C-</t>
  </si>
  <si>
    <t>C+</t>
  </si>
  <si>
    <t>C</t>
  </si>
  <si>
    <t>Community involvement</t>
  </si>
  <si>
    <t>CDP</t>
  </si>
  <si>
    <t>B/ C/ B</t>
  </si>
  <si>
    <t>A-/ B/ B</t>
  </si>
  <si>
    <t>B/ B/ B-</t>
  </si>
  <si>
    <t>C/ C/ D</t>
  </si>
  <si>
    <t>Not scored (B/ B/ B in 2022)</t>
  </si>
  <si>
    <t>Public Sector</t>
  </si>
  <si>
    <t>Kraft Heinz and the Kraft Heinz PAC do not support Presidential campaigns, judicial candidates, super PACs or make contributions to independent expenditure committees.</t>
  </si>
  <si>
    <t>Litigation</t>
  </si>
  <si>
    <t>Corporate Governance</t>
  </si>
  <si>
    <t>PARAMETERS</t>
  </si>
  <si>
    <t>Diversity (Gender, Age, Industry, Region)</t>
  </si>
  <si>
    <t>45% of the employees are people of color and 27% are women.</t>
  </si>
  <si>
    <t>IMPACT</t>
  </si>
  <si>
    <t>RANKING</t>
  </si>
  <si>
    <t>MITIGATION PLAN</t>
  </si>
  <si>
    <t>% Independence</t>
  </si>
  <si>
    <t>All are independent except the CEO and the chairman.</t>
  </si>
  <si>
    <t>Low</t>
  </si>
  <si>
    <t>Is there evidence of a plan/program ?</t>
  </si>
  <si>
    <t>average time as independent directors</t>
  </si>
  <si>
    <t>Out of 11 directors, 2 have been on the company since 2015, 2 since 2020, 2 since 2021, 3 since 2022 and 2 since 2023 (average time 3,45 years).</t>
  </si>
  <si>
    <t>Recent departures of directors / C-level executives?</t>
  </si>
  <si>
    <t>Alexandre Behring was the ex chairman but retired from the board in 2022 with Miguel Patrício, the CEO at the time, assuming the chairman position.</t>
  </si>
  <si>
    <t>High</t>
  </si>
  <si>
    <t>CEO/Chairman duality</t>
  </si>
  <si>
    <t>The CEO is Carlos Rivera and the chairman is Miguel Patricio. Both CEO and chairman positions have been  performed by differente people for at least 9 years.</t>
  </si>
  <si>
    <t>Very high</t>
  </si>
  <si>
    <t>"Villain"</t>
  </si>
  <si>
    <t>Transparency (ESG, segments, acquisitions, other)</t>
  </si>
  <si>
    <t>It was relatively easy to find all the information needed except for the social part.</t>
  </si>
  <si>
    <t>Time taken to report after the end of the quarter / year</t>
  </si>
  <si>
    <t>The 2023 fical year ended in 30 December 2023 and the 10-k was published in 15 February 2024.</t>
  </si>
  <si>
    <t>Additional participation of the CEO in other boards or excessive participation of Ch.</t>
  </si>
  <si>
    <t>Both the CEO and the Chairman do not have other Current Public Company Boards</t>
  </si>
  <si>
    <t>Audit / Consulting</t>
  </si>
  <si>
    <t>Pwc is Heinz independent auditor. Heinz was billed $2,745k by Pwc for Tax-Fees and $2k for other fees.</t>
  </si>
  <si>
    <t>ESG-compensation related</t>
  </si>
  <si>
    <t>The CEO and key leadership, along with various other team 
members, hold ESG key performance metrics linked to compensation associated with all ESG initiatives.</t>
  </si>
  <si>
    <t>Management compensation schemes</t>
  </si>
  <si>
    <t>For the CEO, 78% of their compensation is performance-based or at risk. For other NEOs, 71% of their compensation is performance-based or at risk.</t>
  </si>
  <si>
    <t>VALUATION MODEL</t>
  </si>
  <si>
    <t>Short Term</t>
  </si>
  <si>
    <t>Long Term</t>
  </si>
  <si>
    <t>Section</t>
  </si>
  <si>
    <t>Line #</t>
  </si>
  <si>
    <t>ITEM</t>
  </si>
  <si>
    <t>2021 (Real)</t>
  </si>
  <si>
    <t>2022 (Real)</t>
  </si>
  <si>
    <t>2023 (Real)</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</si>
  <si>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</si>
  <si>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</si>
  <si>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</si>
  <si>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</si>
  <si>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</si>
  <si>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</si>
  <si>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</si>
  <si>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</si>
  <si>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</si>
  <si>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</si>
  <si>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</si>
  <si>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</si>
  <si>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</si>
  <si>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</si>
  <si>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</si>
  <si>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</si>
  <si>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</si>
  <si>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</si>
  <si>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</si>
  <si>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</si>
  <si>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</si>
  <si>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</si>
  <si>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</si>
  <si>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</si>
  <si>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</si>
  <si>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</si>
  <si>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</si>
  <si>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</si>
  <si>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</si>
  <si>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</si>
  <si>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</si>
  <si>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</si>
  <si>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</si>
  <si>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</si>
  <si>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</si>
  <si>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</si>
  <si>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</si>
  <si>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</si>
  <si>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</si>
  <si>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</si>
  <si>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</si>
  <si>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</si>
  <si>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</si>
  <si>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</si>
  <si>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</si>
  <si>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</si>
  <si>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</si>
  <si>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</si>
  <si>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</si>
  <si>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</si>
  <si>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</si>
  <si>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</si>
  <si>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</si>
  <si>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</si>
  <si>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</si>
  <si>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Amortization factor</t>
  </si>
  <si>
    <t>Stock-based comp</t>
  </si>
  <si>
    <t>Tax Rate</t>
  </si>
  <si>
    <t>Interest Rate on debt</t>
  </si>
  <si>
    <t>Interest Rate on cash</t>
  </si>
  <si>
    <t>PPE+ROA</t>
  </si>
  <si>
    <t>Working capital flows</t>
  </si>
  <si>
    <t>Intangible Assets</t>
  </si>
  <si>
    <t>Capex</t>
  </si>
  <si>
    <t>Acquisition factor</t>
  </si>
  <si>
    <t>Repurchases</t>
  </si>
  <si>
    <t>Leases</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</si>
  <si>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</si>
  <si>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</si>
  <si>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</si>
  <si>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</si>
  <si>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</si>
  <si>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</si>
  <si>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</si>
  <si>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</si>
  <si>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</si>
  <si>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</si>
  <si>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</si>
  <si>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</si>
  <si>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Assumptions</t>
  </si>
  <si>
    <t>Prospects:</t>
  </si>
  <si>
    <t>Links:</t>
  </si>
  <si>
    <t xml:space="preserve">10Y Average </t>
  </si>
  <si>
    <t xml:space="preserve">5Y Average </t>
  </si>
  <si>
    <t xml:space="preserve">3Y Average </t>
  </si>
  <si>
    <t>Revenue growth</t>
  </si>
  <si>
    <t>Modelling Factors</t>
  </si>
  <si>
    <t>Short Term Forecast</t>
  </si>
  <si>
    <t>Long Term Forecast</t>
  </si>
  <si>
    <t>Reference</t>
  </si>
  <si>
    <t>% PPE</t>
  </si>
  <si>
    <t>% IA</t>
  </si>
  <si>
    <t>% Revenue</t>
  </si>
  <si>
    <t>% EBT</t>
  </si>
  <si>
    <t>% Debt</t>
  </si>
  <si>
    <t xml:space="preserve">% Cash </t>
  </si>
  <si>
    <t>- -</t>
  </si>
  <si>
    <t>Growing with CAPEX</t>
  </si>
  <si>
    <t xml:space="preserve">% Change in Revenues </t>
  </si>
  <si>
    <t>Growing with Amortization</t>
  </si>
  <si>
    <t xml:space="preserve">CAPEX </t>
  </si>
  <si>
    <t>% Net Income</t>
  </si>
  <si>
    <t>% EBITDA</t>
  </si>
  <si>
    <t>Forecasts</t>
  </si>
  <si>
    <t>ABOUT KRAFT HEINZ</t>
  </si>
  <si>
    <t>accelarate</t>
  </si>
  <si>
    <t>protect</t>
  </si>
  <si>
    <t>balance</t>
  </si>
  <si>
    <t>total rev</t>
  </si>
  <si>
    <t>total gowth</t>
  </si>
  <si>
    <t>regions</t>
  </si>
  <si>
    <t>2023 revenues</t>
  </si>
  <si>
    <t>weight in total revenues</t>
  </si>
  <si>
    <t>weighted erp</t>
  </si>
  <si>
    <t>usa</t>
  </si>
  <si>
    <t xml:space="preserve">uk </t>
  </si>
  <si>
    <t>canada</t>
  </si>
  <si>
    <t>other</t>
  </si>
  <si>
    <t>obs</t>
  </si>
  <si>
    <t xml:space="preserve">min </t>
  </si>
  <si>
    <t>max</t>
  </si>
  <si>
    <t xml:space="preserve">average </t>
  </si>
  <si>
    <t>mt target (2038)</t>
  </si>
  <si>
    <t>cogs</t>
  </si>
  <si>
    <t>stable</t>
  </si>
  <si>
    <t>sga</t>
  </si>
  <si>
    <t>goodwill impairment losses</t>
  </si>
  <si>
    <t>trend towards 0</t>
  </si>
  <si>
    <t>intangible assets impairment losses</t>
  </si>
  <si>
    <t>operating income</t>
  </si>
  <si>
    <t>slight increase since 2020</t>
  </si>
  <si>
    <t>operating margin</t>
  </si>
  <si>
    <t>operting income</t>
  </si>
  <si>
    <t>TARGETS</t>
  </si>
  <si>
    <t>st multiple</t>
  </si>
  <si>
    <t>lt multiple</t>
  </si>
  <si>
    <t>ineterest income</t>
  </si>
  <si>
    <t>credit ranking</t>
  </si>
  <si>
    <t>BBB/Baa2</t>
  </si>
  <si>
    <t>interest expense</t>
  </si>
  <si>
    <t>defult spread (damodaran)</t>
  </si>
  <si>
    <t>interest income/cash</t>
  </si>
  <si>
    <t>5y bond yield</t>
  </si>
  <si>
    <t>interest expense/debt</t>
  </si>
  <si>
    <t>10y bond yield</t>
  </si>
  <si>
    <t>depreciation</t>
  </si>
  <si>
    <t>gross ppe</t>
  </si>
  <si>
    <t>depreciation/gross ppe</t>
  </si>
  <si>
    <t>amortization</t>
  </si>
  <si>
    <t>intangibles+goodwill</t>
  </si>
  <si>
    <t>amort/intangibles+goodwill</t>
  </si>
  <si>
    <t>capex</t>
  </si>
  <si>
    <t>capex/revenue</t>
  </si>
  <si>
    <t>repurchases</t>
  </si>
  <si>
    <t>repurchases/net income (t-1)</t>
  </si>
  <si>
    <t>acquisitions</t>
  </si>
  <si>
    <t>acq/revenue</t>
  </si>
  <si>
    <t>total debt</t>
  </si>
  <si>
    <t>total debt/ebitda</t>
  </si>
  <si>
    <t>stock-based compensation</t>
  </si>
  <si>
    <t>sbc/revenues</t>
  </si>
  <si>
    <t>payout ratio</t>
  </si>
  <si>
    <t>working capital flows</t>
  </si>
  <si>
    <t>revenue change</t>
  </si>
  <si>
    <t>wk/rev</t>
  </si>
  <si>
    <t>DOH</t>
  </si>
  <si>
    <t>DSO</t>
  </si>
  <si>
    <t>DPO</t>
  </si>
  <si>
    <t>CCC</t>
  </si>
  <si>
    <t>net debt</t>
  </si>
  <si>
    <t>ebitda</t>
  </si>
  <si>
    <t>net leverage ratio</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</si>
  <si>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</si>
  <si>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</si>
  <si>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</si>
  <si>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</si>
  <si>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</si>
  <si>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</si>
  <si>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</si>
  <si>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</si>
  <si>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</si>
  <si>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</si>
  <si>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</si>
  <si>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</si>
  <si>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</si>
  <si>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</si>
  <si>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</si>
  <si>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</si>
  <si>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</si>
  <si>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</si>
  <si>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</si>
  <si>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</si>
  <si>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</si>
  <si>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</si>
  <si>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</si>
  <si>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</si>
  <si>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</si>
  <si>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</si>
  <si>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</si>
  <si>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</si>
  <si>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</si>
  <si>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</si>
  <si>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</si>
  <si>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</si>
  <si>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</si>
  <si>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</si>
  <si>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</si>
  <si>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</si>
  <si>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</si>
  <si>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</si>
  <si>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</si>
  <si>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</si>
  <si>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</si>
  <si>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</si>
  <si>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</si>
  <si>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</si>
  <si>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</si>
  <si>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</si>
  <si>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</si>
  <si>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</si>
  <si>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</si>
  <si>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</si>
  <si>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</si>
  <si>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</si>
  <si>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</si>
  <si>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</si>
  <si>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</si>
  <si>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</si>
  <si>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</si>
  <si>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</si>
  <si>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</si>
  <si>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</si>
  <si>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</si>
  <si>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</si>
  <si>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</si>
  <si>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</si>
  <si>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</si>
  <si>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</si>
  <si>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</si>
  <si>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</si>
  <si>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</si>
  <si>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</si>
  <si>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</si>
  <si>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</si>
  <si>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</si>
  <si>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</si>
  <si>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</si>
  <si>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</si>
  <si>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</si>
  <si>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</si>
  <si>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</si>
  <si>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</si>
  <si>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</si>
  <si>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</si>
  <si>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</si>
  <si>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</si>
  <si>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</si>
  <si>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</si>
  <si>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</si>
  <si>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</si>
  <si>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</si>
  <si>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</si>
  <si>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</si>
  <si>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</si>
  <si>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</si>
  <si>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</si>
  <si>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</si>
  <si>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</si>
  <si>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</si>
  <si>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</si>
  <si>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</si>
  <si>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</si>
  <si>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</si>
  <si>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</si>
  <si>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</si>
  <si>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</si>
  <si>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</si>
  <si>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</si>
  <si>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</si>
  <si>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</si>
  <si>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</si>
  <si>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</si>
  <si>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</si>
  <si>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</si>
  <si>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</si>
  <si>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</si>
  <si>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</si>
  <si>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</si>
  <si>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</si>
  <si>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</si>
  <si>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</si>
  <si>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</si>
  <si>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</si>
  <si>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</si>
  <si>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</si>
  <si>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</si>
  <si>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</si>
  <si>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</si>
  <si>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</si>
  <si>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</si>
  <si>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</si>
  <si>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</si>
  <si>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</si>
  <si>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</si>
  <si>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</si>
  <si>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</si>
  <si>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</si>
  <si>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</si>
  <si>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</si>
  <si>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</si>
  <si>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</si>
  <si>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</si>
  <si>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</si>
  <si>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</si>
  <si>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</si>
  <si>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</si>
  <si>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</si>
  <si>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</si>
  <si>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</si>
  <si>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</si>
  <si>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</si>
  <si>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</si>
  <si>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</si>
  <si>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</si>
  <si>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</si>
  <si>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</si>
  <si>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</si>
  <si>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</si>
  <si>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</si>
  <si>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</si>
  <si>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</si>
  <si>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</si>
  <si>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</si>
  <si>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</si>
  <si>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</si>
  <si>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</si>
  <si>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</si>
  <si>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</si>
  <si>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</si>
  <si>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</si>
  <si>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</si>
  <si>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</si>
  <si>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</si>
  <si>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</si>
  <si>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</si>
  <si>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</si>
  <si>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</si>
  <si>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</si>
  <si>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</si>
  <si>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</si>
  <si>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</si>
  <si>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</si>
  <si>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</si>
  <si>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</si>
  <si>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</si>
  <si>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</si>
  <si>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</si>
  <si>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</si>
  <si>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</si>
  <si>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</si>
  <si>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</si>
  <si>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</si>
  <si>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</si>
  <si>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</si>
  <si>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</si>
  <si>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</si>
  <si>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</si>
  <si>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</si>
  <si>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</si>
  <si>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</si>
  <si>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</si>
  <si>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</si>
  <si>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</si>
  <si>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</si>
  <si>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</si>
  <si>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</si>
  <si>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</si>
  <si>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</si>
  <si>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</si>
  <si>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</si>
  <si>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</si>
  <si>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</si>
  <si>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</si>
  <si>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</si>
  <si>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</si>
  <si>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</si>
  <si>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</si>
  <si>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</si>
  <si>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</si>
  <si>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</si>
  <si>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</si>
  <si>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</si>
  <si>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</si>
  <si>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</si>
  <si>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</si>
  <si>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</si>
  <si>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</si>
  <si>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</si>
  <si>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</si>
  <si>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</si>
  <si>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</si>
  <si>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 xml:space="preserve">1 227 </t>
  </si>
  <si>
    <t xml:space="preserve">1 226 </t>
  </si>
  <si>
    <t xml:space="preserve">1 224 </t>
  </si>
  <si>
    <t xml:space="preserve">1 223 </t>
  </si>
  <si>
    <t xml:space="preserve">1 221 </t>
  </si>
  <si>
    <t xml:space="preserve">1 219 </t>
  </si>
  <si>
    <t xml:space="preserve">1 218 </t>
  </si>
  <si>
    <t xml:space="preserve">1 217 </t>
  </si>
  <si>
    <t xml:space="preserve">1 202 </t>
  </si>
  <si>
    <t xml:space="preserve">1 191 </t>
  </si>
  <si>
    <t>Weighted Average Shares (Diluted NI)</t>
  </si>
  <si>
    <t xml:space="preserve">1 235 </t>
  </si>
  <si>
    <t xml:space="preserve">1 236 </t>
  </si>
  <si>
    <t xml:space="preserve">1 228 </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</si>
  <si>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</si>
  <si>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</si>
  <si>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</si>
  <si>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</si>
  <si>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</si>
  <si>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</si>
  <si>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</si>
  <si>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</si>
  <si>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</si>
  <si>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</si>
  <si>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</si>
  <si>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</si>
  <si>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 xml:space="preserve">5 444 </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</si>
  <si>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</si>
  <si>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</si>
  <si>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</si>
  <si>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</si>
  <si>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</si>
  <si>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</si>
  <si>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</si>
  <si>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</si>
  <si>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</si>
  <si>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</si>
  <si>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</si>
  <si>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</si>
  <si>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</si>
  <si>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</si>
  <si>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</si>
  <si>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</si>
  <si>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</si>
  <si>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</si>
  <si>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</si>
  <si>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</si>
  <si>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</si>
  <si>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</si>
  <si>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</si>
  <si>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</si>
  <si>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</si>
  <si>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</si>
  <si>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</si>
  <si>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</si>
  <si>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</si>
  <si>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</si>
  <si>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</si>
  <si>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</si>
  <si>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</si>
  <si>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</si>
  <si>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</si>
  <si>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</si>
  <si>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</si>
  <si>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</si>
  <si>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</si>
  <si>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</si>
  <si>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</si>
  <si>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</si>
  <si>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</si>
  <si>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</si>
  <si>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</si>
  <si>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wk</t>
  </si>
  <si>
    <t>changes in wk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</si>
</sst>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4" formatCode="_(&quot;$&quot;* #,##0.00_);_(&quot;$&quot;* \(#,##0.00\);_(&quot;$&quot;* &quot;-&quot;??_);_(@_)"/>
    <numFmt numFmtId="164" formatCode="_-&quot;$&quot;* #,##0.00_-;\-&quot;$&quot;* #,##0.00_-;_-&quot;$&quot;* &quot;-&quot;??_-;_-@_-"/>
    <numFmt numFmtId="165" formatCode="&quot;$&quot;#,##0.00"/>
    <numFmt numFmtId="166" formatCode="&quot;$&quot;#,##0"/>
    <numFmt numFmtId="167" formatCode="0.0%"/>
    <numFmt numFmtId="168" formatCode="0.0"/>
    <numFmt numFmtId="169" formatCode="#,##0.0"/>
    <numFmt numFmtId="170" formatCode="[$$-409]#,##0.00_ ;\-[$$-409]#,##0.00\ "/>
    <numFmt numFmtId="171" formatCode="[$$-409]#,##0.00"/>
    <numFmt numFmtId="172" formatCode="[$$-409]#,##0"/>
    <numFmt numFmtId="173" formatCode="_-[$$-409]* #,##0.00_ ;_-[$$-409]* \-#,##0.00\ ;_-[$$-409]* &quot;-&quot;??_ ;_-@_ "/>
    <numFmt numFmtId="174" formatCode="0.000000"/>
    <numFmt numFmtId="175" formatCode="_([$$-409]* #,##0.00_);_([$$-409]* \(#,##0.00\);_([$$-409]* &quot;-&quot;??_);_(@_)"/>
    <numFmt numFmtId="176" formatCode="0.000%"/>
    <numFmt numFmtId="177" formatCode="_-* #,##0\ [$€-816]_-;\-* #,##0\ [$€-816]_-;_-* &quot;-&quot;??\ [$€-816]_-;_-@_-"/>
    <numFmt numFmtId="178" formatCode="_-* #,##0.00\ [$€-816]_-;\-* #,##0.00\ [$€-816]_-;_-* &quot;-&quot;??\ [$€-816]_-;_-@_-"/>
    <numFmt numFmtId="179" formatCode="0.000"/>
  </numFmts>
  <fonts count="9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11"/>
      <color theme="0"/>
      <name val="Calibri"/>
      <family val="2"/>
      <scheme val="minor"/>
    </font>
    <font>
      <b/>
      <sz val="14"/>
      <color theme="0"/>
      <name val="Calibri"/>
      <family val="2"/>
      <scheme val="minor"/>
    </font>
    <font>
      <sz val="11"/>
      <color rgb="FF444444"/>
      <name val="Calibri"/>
      <family val="2"/>
      <charset val="1"/>
    </font>
    <font>
      <sz val="9"/>
      <color indexed="81"/>
      <name val="Tahoma"/>
      <family val="2"/>
    </font>
    <font>
      <b/>
      <sz val="9"/>
      <color indexed="81"/>
      <name val="Tahoma"/>
      <family val="2"/>
    </font>
    <font>
      <sz val="11"/>
      <color rgb="FF374151"/>
      <name val="Arial"/>
      <family val="2"/>
    </font>
    <font>
      <sz val="10"/>
      <color rgb="FF1A1A1A"/>
      <name val="Arial"/>
      <family val="2"/>
    </font>
    <font>
      <sz val="10"/>
      <color rgb="FF212529"/>
      <name val="Arial"/>
      <family val="2"/>
    </font>
    <font>
      <sz val="10"/>
      <name val="Arial"/>
      <family val="2"/>
    </font>
    <font>
      <b/>
      <sz val="10"/>
      <color rgb="FF000000"/>
      <name val="Arial"/>
    </font>
    <font>
      <sz val="12"/>
      <color rgb="FF000000"/>
      <name val="Times New Roman"/>
    </font>
  </fonts>
  <fills count="49">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theme="8"/>
        <bgColor indexed="64"/>
      </patternFill>
    </fill>
    <fill>
      <patternFill patternType="solid">
        <fgColor theme="9"/>
        <bgColor indexed="64"/>
      </patternFill>
    </fill>
  </fills>
  <borders count="273">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medium">
        <color rgb="FF000000"/>
      </bottom>
      <diagonal/>
    </border>
    <border>
      <left style="medium">
        <color rgb="FF404040"/>
      </left>
      <right style="medium">
        <color rgb="FF404040"/>
      </right>
      <top style="medium">
        <color rgb="FF404040"/>
      </top>
      <bottom style="medium">
        <color rgb="FF404040"/>
      </bottom>
      <diagonal/>
    </border>
    <border>
      <left style="thin">
        <color rgb="FF000000"/>
      </left>
      <right style="thin">
        <color rgb="FF000000"/>
      </right>
      <top style="thin">
        <color rgb="FF000000"/>
      </top>
      <bottom style="thin">
        <color indexed="64"/>
      </bottom>
      <diagonal/>
    </border>
    <border>
      <left style="thin">
        <color indexed="64"/>
      </left>
      <right style="thin">
        <color rgb="FF000000"/>
      </right>
      <top/>
      <bottom/>
      <diagonal/>
    </border>
    <border>
      <left/>
      <right style="thin">
        <color indexed="64"/>
      </right>
      <top style="thin">
        <color theme="0" tint="-0.24994659260841701"/>
      </top>
      <bottom/>
      <diagonal/>
    </border>
    <border>
      <left/>
      <right style="thin">
        <color indexed="64"/>
      </right>
      <top/>
      <bottom style="medium">
        <color rgb="FF1F497D"/>
      </bottom>
      <diagonal/>
    </border>
    <border>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style="thin">
        <color indexed="64"/>
      </top>
      <bottom/>
      <diagonal/>
    </border>
  </borders>
  <cellStyleXfs count="35">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69"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64" fontId="22" fillId="0" borderId="0" applyFont="0" applyFill="0" applyBorder="0" applyAlignment="0" applyProtection="0"/>
    <xf numFmtId="164"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44" fontId="87" fillId="0" borderId="0" applyFont="0" applyFill="0" applyBorder="0" applyAlignment="0" applyProtection="0"/>
  </cellStyleXfs>
  <cellXfs count="1254">
    <xf numFmtId="0" fontId="0" fillId="0" borderId="0" xfId="0"/>
    <xf numFmtId="9" fontId="0" fillId="0" borderId="0" xfId="16" applyFont="1" applyAlignment="1">
      <alignment horizontal="center"/>
    </xf>
    <xf numFmtId="0" fontId="0" fillId="0" borderId="0" xfId="0" applyAlignment="1">
      <alignment horizontal="center"/>
    </xf>
    <xf numFmtId="166" fontId="0" fillId="0" borderId="0" xfId="0" applyNumberFormat="1"/>
    <xf numFmtId="10" fontId="0" fillId="0" borderId="0" xfId="0" applyNumberFormat="1" applyAlignment="1">
      <alignment horizontal="center"/>
    </xf>
    <xf numFmtId="167"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66" fontId="13" fillId="0" borderId="0" xfId="0" applyNumberFormat="1" applyFont="1" applyAlignment="1">
      <alignment horizontal="center"/>
    </xf>
    <xf numFmtId="9" fontId="13" fillId="0" borderId="0" xfId="16" applyFont="1"/>
    <xf numFmtId="9" fontId="8" fillId="8" borderId="19" xfId="16" applyFont="1" applyFill="1" applyBorder="1" applyAlignment="1">
      <alignment horizontal="center"/>
    </xf>
    <xf numFmtId="10" fontId="8" fillId="8" borderId="19" xfId="0" applyNumberFormat="1" applyFont="1" applyFill="1" applyBorder="1" applyAlignment="1">
      <alignment horizont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69" fontId="35" fillId="0" borderId="0" xfId="0" applyNumberFormat="1" applyFont="1" applyAlignment="1">
      <alignment horizontal="center"/>
    </xf>
    <xf numFmtId="9" fontId="0" fillId="8" borderId="19" xfId="16" applyFont="1" applyFill="1" applyBorder="1" applyAlignment="1">
      <alignment horizontal="center"/>
    </xf>
    <xf numFmtId="0" fontId="38" fillId="0" borderId="0" xfId="0" applyFont="1"/>
    <xf numFmtId="0" fontId="39" fillId="0" borderId="0" xfId="0" applyFont="1"/>
    <xf numFmtId="0" fontId="40" fillId="0" borderId="0" xfId="0" applyFont="1" applyAlignment="1">
      <alignment horizontal="center"/>
    </xf>
    <xf numFmtId="168" fontId="39" fillId="0" borderId="0" xfId="0" applyNumberFormat="1" applyFont="1" applyAlignment="1">
      <alignment horizontal="center"/>
    </xf>
    <xf numFmtId="0" fontId="41" fillId="0" borderId="0" xfId="0" applyFont="1"/>
    <xf numFmtId="0" fontId="42" fillId="0" borderId="0" xfId="0" applyFont="1"/>
    <xf numFmtId="0" fontId="23" fillId="0" borderId="0" xfId="0" applyFont="1" applyAlignment="1">
      <alignment horizontal="center"/>
    </xf>
    <xf numFmtId="0" fontId="39" fillId="0" borderId="0" xfId="0" applyFont="1" applyAlignment="1">
      <alignment horizontal="center"/>
    </xf>
    <xf numFmtId="166" fontId="8" fillId="24" borderId="19"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5" xfId="0" applyNumberFormat="1" applyFill="1" applyBorder="1" applyAlignment="1">
      <alignment horizontal="center"/>
    </xf>
    <xf numFmtId="167" fontId="13" fillId="26" borderId="1" xfId="16" applyNumberFormat="1" applyFont="1" applyFill="1" applyBorder="1" applyAlignment="1">
      <alignment horizontal="center"/>
    </xf>
    <xf numFmtId="167" fontId="13" fillId="26" borderId="45"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45"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68" fontId="0" fillId="0" borderId="0" xfId="0" applyNumberFormat="1" applyAlignment="1">
      <alignment horizontal="center"/>
    </xf>
    <xf numFmtId="169" fontId="35" fillId="19" borderId="0" xfId="0" applyNumberFormat="1" applyFont="1" applyFill="1" applyAlignment="1">
      <alignment horizontal="center"/>
    </xf>
    <xf numFmtId="0" fontId="35" fillId="19" borderId="0" xfId="0" applyFont="1" applyFill="1" applyAlignment="1">
      <alignment horizontal="center"/>
    </xf>
    <xf numFmtId="167" fontId="35" fillId="19" borderId="0" xfId="0" applyNumberFormat="1" applyFont="1" applyFill="1" applyAlignment="1">
      <alignment horizontal="center"/>
    </xf>
    <xf numFmtId="9" fontId="35" fillId="0" borderId="0" xfId="16" applyFont="1" applyFill="1" applyAlignment="1">
      <alignment horizontal="center"/>
    </xf>
    <xf numFmtId="167" fontId="35" fillId="0" borderId="0" xfId="16" applyNumberFormat="1" applyFont="1" applyFill="1" applyAlignment="1">
      <alignment horizontal="center"/>
    </xf>
    <xf numFmtId="9" fontId="35" fillId="0" borderId="0" xfId="22" applyFont="1" applyFill="1" applyAlignment="1">
      <alignment horizontal="center"/>
    </xf>
    <xf numFmtId="171" fontId="8" fillId="24" borderId="19" xfId="0" applyNumberFormat="1" applyFont="1" applyFill="1" applyBorder="1" applyAlignment="1">
      <alignment horizontal="center"/>
    </xf>
    <xf numFmtId="167" fontId="33" fillId="24" borderId="19" xfId="16" applyNumberFormat="1" applyFont="1" applyFill="1" applyBorder="1" applyAlignment="1">
      <alignment horizontal="center"/>
    </xf>
    <xf numFmtId="0" fontId="13" fillId="0" borderId="37"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4" xfId="0" applyFont="1" applyBorder="1"/>
    <xf numFmtId="0" fontId="13" fillId="0" borderId="1" xfId="0" applyFont="1" applyBorder="1"/>
    <xf numFmtId="0" fontId="13" fillId="0" borderId="45" xfId="0" applyFont="1" applyBorder="1"/>
    <xf numFmtId="0" fontId="0" fillId="8" borderId="0" xfId="0" applyFill="1"/>
    <xf numFmtId="0" fontId="35" fillId="19" borderId="0" xfId="0" applyFont="1" applyFill="1" applyAlignment="1">
      <alignment horizontal="left" indent="1"/>
    </xf>
    <xf numFmtId="169"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2" xfId="16" applyFont="1" applyFill="1" applyBorder="1" applyAlignment="1">
      <alignment horizontal="center"/>
    </xf>
    <xf numFmtId="9" fontId="8" fillId="8" borderId="52" xfId="16" applyFont="1" applyFill="1" applyBorder="1" applyAlignment="1">
      <alignment horizontal="center"/>
    </xf>
    <xf numFmtId="0" fontId="13" fillId="0" borderId="52" xfId="0" applyFont="1" applyBorder="1" applyAlignment="1">
      <alignment horizontal="center"/>
    </xf>
    <xf numFmtId="167" fontId="33" fillId="24" borderId="52" xfId="16" applyNumberFormat="1" applyFont="1" applyFill="1" applyBorder="1" applyAlignment="1">
      <alignment horizontal="center"/>
    </xf>
    <xf numFmtId="0" fontId="27" fillId="32" borderId="19" xfId="0" applyFont="1" applyFill="1" applyBorder="1" applyAlignment="1">
      <alignment horizontal="center" vertical="center" wrapText="1"/>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0" fontId="27" fillId="32" borderId="52" xfId="0" applyFont="1" applyFill="1" applyBorder="1" applyAlignment="1">
      <alignment horizontal="center"/>
    </xf>
    <xf numFmtId="3" fontId="8" fillId="0" borderId="0" xfId="0" applyNumberFormat="1" applyFont="1"/>
    <xf numFmtId="0" fontId="8" fillId="17" borderId="44" xfId="0" applyFont="1" applyFill="1" applyBorder="1"/>
    <xf numFmtId="0" fontId="8" fillId="0" borderId="44" xfId="0" applyFont="1" applyBorder="1" applyAlignment="1">
      <alignment horizontal="left" indent="1"/>
    </xf>
    <xf numFmtId="0" fontId="8" fillId="0" borderId="44" xfId="0" applyFont="1" applyBorder="1" applyAlignment="1">
      <alignment horizontal="left"/>
    </xf>
    <xf numFmtId="0" fontId="8" fillId="17" borderId="44" xfId="0" applyFont="1" applyFill="1" applyBorder="1" applyAlignment="1">
      <alignment horizontal="left" indent="1"/>
    </xf>
    <xf numFmtId="0" fontId="13" fillId="0" borderId="44" xfId="0" applyFont="1" applyBorder="1" applyAlignment="1">
      <alignment horizontal="left"/>
    </xf>
    <xf numFmtId="0" fontId="13" fillId="17" borderId="44" xfId="0" applyFont="1" applyFill="1" applyBorder="1"/>
    <xf numFmtId="0" fontId="8" fillId="0" borderId="44" xfId="0" applyFont="1" applyBorder="1"/>
    <xf numFmtId="172" fontId="8" fillId="24" borderId="19" xfId="0" applyNumberFormat="1" applyFont="1" applyFill="1" applyBorder="1" applyAlignment="1">
      <alignment horizontal="center"/>
    </xf>
    <xf numFmtId="9" fontId="8" fillId="24" borderId="19" xfId="16" applyFont="1" applyFill="1" applyBorder="1" applyAlignment="1">
      <alignment horizontal="center"/>
    </xf>
    <xf numFmtId="171" fontId="8" fillId="0" borderId="19" xfId="0" applyNumberFormat="1" applyFont="1" applyBorder="1" applyAlignment="1">
      <alignment horizontal="center"/>
    </xf>
    <xf numFmtId="166"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2" xfId="16" applyFont="1" applyFill="1" applyBorder="1" applyAlignment="1">
      <alignment horizontal="center"/>
    </xf>
    <xf numFmtId="0" fontId="8" fillId="7" borderId="19" xfId="0" applyFont="1" applyFill="1" applyBorder="1"/>
    <xf numFmtId="9" fontId="8" fillId="7" borderId="19" xfId="16" applyFont="1" applyFill="1" applyBorder="1" applyAlignment="1">
      <alignment horizontal="center"/>
    </xf>
    <xf numFmtId="167" fontId="8" fillId="7" borderId="19" xfId="16" applyNumberFormat="1" applyFont="1" applyFill="1" applyBorder="1" applyAlignment="1">
      <alignment horizontal="center"/>
    </xf>
    <xf numFmtId="9" fontId="8" fillId="7" borderId="19" xfId="16" applyFont="1" applyFill="1" applyBorder="1"/>
    <xf numFmtId="172" fontId="33" fillId="8" borderId="52" xfId="16" applyNumberFormat="1" applyFont="1" applyFill="1" applyBorder="1" applyAlignment="1">
      <alignment horizontal="center"/>
    </xf>
    <xf numFmtId="172" fontId="8" fillId="8" borderId="52" xfId="0" applyNumberFormat="1" applyFont="1" applyFill="1" applyBorder="1" applyAlignment="1">
      <alignment horizontal="center"/>
    </xf>
    <xf numFmtId="0" fontId="48" fillId="32" borderId="52" xfId="0" applyFont="1" applyFill="1" applyBorder="1" applyAlignment="1">
      <alignment horizontal="center"/>
    </xf>
    <xf numFmtId="0" fontId="49" fillId="32" borderId="52" xfId="0" applyFont="1" applyFill="1" applyBorder="1" applyAlignment="1">
      <alignment horizontal="center"/>
    </xf>
    <xf numFmtId="166" fontId="13" fillId="24" borderId="19" xfId="0" applyNumberFormat="1" applyFont="1" applyFill="1" applyBorder="1" applyAlignment="1">
      <alignment horizontal="center"/>
    </xf>
    <xf numFmtId="0" fontId="13" fillId="14" borderId="12" xfId="0" applyFont="1" applyFill="1" applyBorder="1" applyAlignment="1">
      <alignment horizontal="center"/>
    </xf>
    <xf numFmtId="0" fontId="0" fillId="0" borderId="50" xfId="0" applyBorder="1"/>
    <xf numFmtId="0" fontId="0" fillId="0" borderId="70" xfId="0" applyBorder="1"/>
    <xf numFmtId="0" fontId="13" fillId="0" borderId="86" xfId="0" applyFont="1" applyBorder="1" applyAlignment="1">
      <alignment horizontal="left"/>
    </xf>
    <xf numFmtId="0" fontId="13" fillId="0" borderId="87" xfId="0" applyFont="1" applyBorder="1" applyAlignment="1">
      <alignment horizontal="left"/>
    </xf>
    <xf numFmtId="9" fontId="0" fillId="0" borderId="87" xfId="16" applyFont="1" applyBorder="1"/>
    <xf numFmtId="9" fontId="0" fillId="0" borderId="88" xfId="16" applyFont="1" applyBorder="1"/>
    <xf numFmtId="9" fontId="0" fillId="0" borderId="66" xfId="0" applyNumberFormat="1" applyBorder="1"/>
    <xf numFmtId="166" fontId="0" fillId="0" borderId="82" xfId="0" applyNumberFormat="1" applyBorder="1" applyAlignment="1">
      <alignment horizontal="center"/>
    </xf>
    <xf numFmtId="166" fontId="0" fillId="0" borderId="84" xfId="0" applyNumberFormat="1" applyBorder="1" applyAlignment="1">
      <alignment horizontal="center"/>
    </xf>
    <xf numFmtId="0" fontId="0" fillId="33" borderId="89" xfId="0" applyFill="1" applyBorder="1"/>
    <xf numFmtId="0" fontId="0" fillId="33" borderId="90" xfId="0" applyFill="1" applyBorder="1"/>
    <xf numFmtId="10" fontId="0" fillId="33" borderId="90" xfId="0" applyNumberFormat="1" applyFill="1" applyBorder="1"/>
    <xf numFmtId="0" fontId="13" fillId="8" borderId="39" xfId="0" applyFont="1" applyFill="1" applyBorder="1" applyAlignment="1">
      <alignment horizontal="center"/>
    </xf>
    <xf numFmtId="9" fontId="0" fillId="0" borderId="92" xfId="16" applyFont="1" applyBorder="1"/>
    <xf numFmtId="0" fontId="13" fillId="0" borderId="92" xfId="0" applyFont="1" applyBorder="1"/>
    <xf numFmtId="0" fontId="13" fillId="14" borderId="65" xfId="0" applyFont="1" applyFill="1" applyBorder="1" applyAlignment="1">
      <alignment horizontal="center"/>
    </xf>
    <xf numFmtId="9" fontId="13" fillId="14" borderId="65" xfId="16" applyFont="1" applyFill="1" applyBorder="1" applyAlignment="1">
      <alignment horizontal="center"/>
    </xf>
    <xf numFmtId="0" fontId="13" fillId="0" borderId="65" xfId="0" applyFont="1" applyBorder="1" applyAlignment="1">
      <alignment horizontal="center"/>
    </xf>
    <xf numFmtId="166" fontId="0" fillId="0" borderId="93" xfId="0" applyNumberFormat="1" applyBorder="1" applyAlignment="1">
      <alignment horizontal="center"/>
    </xf>
    <xf numFmtId="0" fontId="13" fillId="0" borderId="94" xfId="0" applyFont="1" applyBorder="1"/>
    <xf numFmtId="0" fontId="0" fillId="0" borderId="67" xfId="0" applyBorder="1"/>
    <xf numFmtId="0" fontId="0" fillId="0" borderId="68" xfId="0" applyBorder="1"/>
    <xf numFmtId="0" fontId="0" fillId="0" borderId="69" xfId="0" applyBorder="1"/>
    <xf numFmtId="0" fontId="0" fillId="0" borderId="51" xfId="0" applyBorder="1"/>
    <xf numFmtId="0" fontId="0" fillId="0" borderId="74" xfId="0" applyBorder="1"/>
    <xf numFmtId="0" fontId="0" fillId="0" borderId="75" xfId="0" applyBorder="1"/>
    <xf numFmtId="9" fontId="0" fillId="0" borderId="0" xfId="0" applyNumberFormat="1"/>
    <xf numFmtId="0" fontId="13" fillId="14" borderId="91" xfId="0" applyFont="1" applyFill="1" applyBorder="1" applyAlignment="1">
      <alignment horizontal="center"/>
    </xf>
    <xf numFmtId="0" fontId="0" fillId="33" borderId="71" xfId="0" applyFill="1" applyBorder="1"/>
    <xf numFmtId="0" fontId="0" fillId="33" borderId="73" xfId="0" applyFill="1" applyBorder="1"/>
    <xf numFmtId="0" fontId="13" fillId="0" borderId="71" xfId="0" applyFont="1" applyBorder="1" applyAlignment="1">
      <alignment horizontal="center"/>
    </xf>
    <xf numFmtId="166" fontId="0" fillId="0" borderId="83" xfId="0" applyNumberFormat="1" applyBorder="1" applyAlignment="1">
      <alignment horizontal="center"/>
    </xf>
    <xf numFmtId="166" fontId="0" fillId="0" borderId="85" xfId="0" applyNumberFormat="1" applyBorder="1" applyAlignment="1">
      <alignment horizontal="center"/>
    </xf>
    <xf numFmtId="0" fontId="13" fillId="8" borderId="9" xfId="0" applyFont="1" applyFill="1" applyBorder="1" applyAlignment="1">
      <alignment horizontal="center"/>
    </xf>
    <xf numFmtId="172" fontId="0" fillId="0" borderId="96" xfId="0" applyNumberFormat="1" applyBorder="1" applyAlignment="1">
      <alignment horizontal="center"/>
    </xf>
    <xf numFmtId="172" fontId="0" fillId="0" borderId="98" xfId="0" applyNumberFormat="1" applyBorder="1" applyAlignment="1">
      <alignment horizontal="center"/>
    </xf>
    <xf numFmtId="0" fontId="0" fillId="31" borderId="72" xfId="0" applyFill="1" applyBorder="1"/>
    <xf numFmtId="0" fontId="27" fillId="31" borderId="72" xfId="0" applyFont="1" applyFill="1" applyBorder="1" applyAlignment="1">
      <alignment horizontal="left"/>
    </xf>
    <xf numFmtId="9" fontId="0" fillId="31" borderId="72" xfId="16" applyFont="1" applyFill="1" applyBorder="1" applyAlignment="1">
      <alignment horizontal="center" vertical="center"/>
    </xf>
    <xf numFmtId="170" fontId="27" fillId="31" borderId="73" xfId="0" applyNumberFormat="1" applyFont="1" applyFill="1" applyBorder="1" applyAlignment="1">
      <alignment horizontal="center" vertical="center"/>
    </xf>
    <xf numFmtId="0" fontId="13" fillId="17" borderId="102" xfId="0" applyFont="1" applyFill="1" applyBorder="1"/>
    <xf numFmtId="0" fontId="13" fillId="17" borderId="104" xfId="0" applyFont="1" applyFill="1" applyBorder="1"/>
    <xf numFmtId="172" fontId="0" fillId="0" borderId="105" xfId="0" applyNumberFormat="1" applyBorder="1" applyAlignment="1">
      <alignment horizontal="center"/>
    </xf>
    <xf numFmtId="172" fontId="0" fillId="0" borderId="103" xfId="0" applyNumberFormat="1" applyBorder="1" applyAlignment="1">
      <alignment horizontal="center"/>
    </xf>
    <xf numFmtId="172" fontId="0" fillId="0" borderId="106" xfId="0" applyNumberFormat="1" applyBorder="1" applyAlignment="1">
      <alignment horizontal="center"/>
    </xf>
    <xf numFmtId="0" fontId="27" fillId="32" borderId="107" xfId="0" applyFont="1" applyFill="1" applyBorder="1" applyAlignment="1">
      <alignment horizontal="center"/>
    </xf>
    <xf numFmtId="0" fontId="0" fillId="32" borderId="108" xfId="0" applyFill="1" applyBorder="1"/>
    <xf numFmtId="0" fontId="0" fillId="32" borderId="109" xfId="0" applyFill="1" applyBorder="1"/>
    <xf numFmtId="0" fontId="27" fillId="32" borderId="102" xfId="0" applyFont="1" applyFill="1" applyBorder="1" applyAlignment="1">
      <alignment horizontal="center"/>
    </xf>
    <xf numFmtId="0" fontId="0" fillId="32" borderId="98" xfId="0" applyFill="1" applyBorder="1"/>
    <xf numFmtId="0" fontId="0" fillId="32" borderId="103" xfId="0" applyFill="1" applyBorder="1"/>
    <xf numFmtId="0" fontId="13" fillId="0" borderId="100" xfId="0" applyFont="1" applyBorder="1" applyAlignment="1">
      <alignment horizontal="left" vertical="center"/>
    </xf>
    <xf numFmtId="0" fontId="47" fillId="5" borderId="71" xfId="0" applyFont="1" applyFill="1" applyBorder="1" applyAlignment="1">
      <alignment horizontal="left" vertical="center"/>
    </xf>
    <xf numFmtId="0" fontId="47" fillId="31" borderId="71" xfId="0" applyFont="1" applyFill="1" applyBorder="1" applyAlignment="1">
      <alignment horizontal="left" vertical="center"/>
    </xf>
    <xf numFmtId="0" fontId="47" fillId="13" borderId="73" xfId="0" applyFont="1" applyFill="1" applyBorder="1" applyAlignment="1">
      <alignment horizontal="center"/>
    </xf>
    <xf numFmtId="0" fontId="13" fillId="8" borderId="100" xfId="0" applyFont="1" applyFill="1" applyBorder="1" applyAlignment="1">
      <alignment horizontal="left" vertical="center"/>
    </xf>
    <xf numFmtId="0" fontId="13" fillId="8" borderId="102" xfId="0" applyFont="1" applyFill="1" applyBorder="1" applyAlignment="1">
      <alignment horizontal="left" vertical="center"/>
    </xf>
    <xf numFmtId="0" fontId="0" fillId="31" borderId="72" xfId="0" applyFill="1" applyBorder="1" applyAlignment="1">
      <alignment horizontal="center"/>
    </xf>
    <xf numFmtId="0" fontId="8" fillId="0" borderId="67" xfId="0" applyFont="1" applyBorder="1"/>
    <xf numFmtId="0" fontId="50" fillId="5" borderId="64" xfId="0" applyFont="1" applyFill="1" applyBorder="1" applyAlignment="1">
      <alignment horizontal="center"/>
    </xf>
    <xf numFmtId="0" fontId="50" fillId="5" borderId="64" xfId="0" applyFont="1" applyFill="1" applyBorder="1"/>
    <xf numFmtId="172" fontId="0" fillId="24" borderId="98" xfId="0" applyNumberFormat="1" applyFill="1" applyBorder="1" applyAlignment="1">
      <alignment horizontal="center"/>
    </xf>
    <xf numFmtId="172" fontId="0" fillId="24" borderId="105" xfId="0" applyNumberFormat="1" applyFill="1" applyBorder="1" applyAlignment="1">
      <alignment horizontal="center"/>
    </xf>
    <xf numFmtId="0" fontId="29" fillId="0" borderId="10" xfId="26" applyFont="1" applyBorder="1" applyAlignment="1">
      <alignment horizontal="center"/>
    </xf>
    <xf numFmtId="0" fontId="29" fillId="0" borderId="16" xfId="26" applyFont="1" applyBorder="1" applyAlignment="1">
      <alignment horizontal="center"/>
    </xf>
    <xf numFmtId="0" fontId="29" fillId="0" borderId="10" xfId="26" applyFont="1" applyBorder="1" applyAlignment="1">
      <alignment horizontal="center" vertical="center"/>
    </xf>
    <xf numFmtId="0" fontId="29" fillId="0" borderId="16" xfId="26" applyFont="1" applyBorder="1" applyAlignment="1">
      <alignment horizontal="center" vertical="center"/>
    </xf>
    <xf numFmtId="0" fontId="29" fillId="0" borderId="14" xfId="26" applyFont="1" applyBorder="1" applyAlignment="1">
      <alignment horizontal="center"/>
    </xf>
    <xf numFmtId="0" fontId="29" fillId="0" borderId="17" xfId="26" applyFont="1" applyBorder="1" applyAlignment="1">
      <alignment horizontal="center"/>
    </xf>
    <xf numFmtId="0" fontId="51" fillId="5" borderId="113" xfId="4" applyFont="1" applyFill="1" applyBorder="1" applyAlignment="1">
      <alignment horizontal="center" vertical="center"/>
    </xf>
    <xf numFmtId="0" fontId="51" fillId="5" borderId="113" xfId="3" applyFont="1" applyFill="1" applyBorder="1" applyAlignment="1">
      <alignment horizontal="center" vertical="center" wrapText="1"/>
    </xf>
    <xf numFmtId="0" fontId="51" fillId="5" borderId="113" xfId="3" applyFont="1" applyFill="1" applyBorder="1" applyAlignment="1">
      <alignment horizontal="center" vertical="center"/>
    </xf>
    <xf numFmtId="0" fontId="8" fillId="3" borderId="113" xfId="10" applyFont="1" applyBorder="1" applyAlignment="1">
      <alignment horizontal="center" vertical="center"/>
    </xf>
    <xf numFmtId="0" fontId="29" fillId="3" borderId="113" xfId="10" applyFont="1" applyBorder="1" applyAlignment="1">
      <alignment vertical="center"/>
    </xf>
    <xf numFmtId="169" fontId="8" fillId="3" borderId="113" xfId="6" applyFont="1" applyBorder="1" applyAlignment="1">
      <alignment horizontal="right" vertical="center" wrapText="1"/>
    </xf>
    <xf numFmtId="0" fontId="29" fillId="3" borderId="113" xfId="10" applyFont="1" applyBorder="1" applyAlignment="1">
      <alignment horizontal="center" vertical="center"/>
    </xf>
    <xf numFmtId="3" fontId="13" fillId="34" borderId="115"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13" xfId="9" applyFont="1" applyFill="1" applyBorder="1" applyAlignment="1">
      <alignment horizontal="center" vertical="center"/>
    </xf>
    <xf numFmtId="3" fontId="52" fillId="34" borderId="114" xfId="5" applyFont="1" applyFill="1" applyBorder="1" applyAlignment="1">
      <alignment horizontal="right" vertical="center"/>
    </xf>
    <xf numFmtId="3" fontId="52" fillId="34" borderId="115" xfId="5" applyFont="1" applyFill="1" applyBorder="1" applyAlignment="1">
      <alignment horizontal="right" vertical="center"/>
    </xf>
    <xf numFmtId="3" fontId="52" fillId="34" borderId="116" xfId="5" applyFont="1" applyFill="1" applyBorder="1" applyAlignment="1">
      <alignment horizontal="right" vertical="center"/>
    </xf>
    <xf numFmtId="169" fontId="8" fillId="3" borderId="113" xfId="6" applyFont="1" applyBorder="1" applyAlignment="1">
      <alignment horizontal="center" vertical="center"/>
    </xf>
    <xf numFmtId="4" fontId="32" fillId="0" borderId="113" xfId="7" applyFont="1" applyFill="1" applyBorder="1" applyAlignment="1">
      <alignment horizontal="right" vertical="center"/>
    </xf>
    <xf numFmtId="0" fontId="0" fillId="34" borderId="115" xfId="0" applyFill="1" applyBorder="1" applyAlignment="1">
      <alignment horizontal="center" vertical="center"/>
    </xf>
    <xf numFmtId="4" fontId="8" fillId="34" borderId="115" xfId="7" applyFont="1" applyFill="1" applyBorder="1" applyAlignment="1">
      <alignment horizontal="right" vertical="center"/>
    </xf>
    <xf numFmtId="3" fontId="13" fillId="34" borderId="116" xfId="5" applyFont="1" applyFill="1" applyBorder="1" applyAlignment="1">
      <alignment horizontal="right" vertical="center" wrapText="1"/>
    </xf>
    <xf numFmtId="4" fontId="8" fillId="3" borderId="113" xfId="7" applyFont="1" applyBorder="1" applyAlignment="1">
      <alignment horizontal="center" vertical="center"/>
    </xf>
    <xf numFmtId="4" fontId="8" fillId="3" borderId="113" xfId="7" applyFont="1" applyBorder="1" applyAlignment="1">
      <alignment horizontal="right" vertical="center" wrapText="1"/>
    </xf>
    <xf numFmtId="0" fontId="29" fillId="0" borderId="113" xfId="10" applyFont="1" applyFill="1" applyBorder="1" applyAlignment="1">
      <alignment vertical="center"/>
    </xf>
    <xf numFmtId="0" fontId="8" fillId="0" borderId="113" xfId="10" applyFont="1" applyFill="1" applyBorder="1" applyAlignment="1">
      <alignment horizontal="center" vertical="center"/>
    </xf>
    <xf numFmtId="0" fontId="8" fillId="0" borderId="113" xfId="27" applyFont="1" applyBorder="1" applyAlignment="1">
      <alignment horizontal="right" vertical="center" wrapText="1"/>
    </xf>
    <xf numFmtId="3" fontId="13" fillId="34" borderId="114" xfId="5" applyFont="1" applyFill="1" applyBorder="1" applyAlignment="1">
      <alignment horizontal="right" vertical="center"/>
    </xf>
    <xf numFmtId="4" fontId="8" fillId="6" borderId="113" xfId="7" applyFont="1" applyFill="1" applyBorder="1" applyAlignment="1">
      <alignment horizontal="right" vertical="center"/>
    </xf>
    <xf numFmtId="4" fontId="8" fillId="6" borderId="113" xfId="7" applyFont="1" applyFill="1" applyBorder="1" applyAlignment="1">
      <alignment horizontal="center" vertical="center"/>
    </xf>
    <xf numFmtId="0" fontId="29" fillId="3" borderId="113" xfId="10" applyFont="1" applyBorder="1" applyAlignment="1">
      <alignment vertical="center" wrapText="1"/>
    </xf>
    <xf numFmtId="4" fontId="8" fillId="0" borderId="113" xfId="7" applyFont="1" applyFill="1" applyBorder="1" applyAlignment="1">
      <alignment horizontal="center" vertical="center"/>
    </xf>
    <xf numFmtId="0" fontId="51" fillId="32" borderId="113" xfId="3" applyFont="1" applyFill="1" applyBorder="1" applyAlignment="1">
      <alignment horizontal="center" vertical="center" wrapText="1"/>
    </xf>
    <xf numFmtId="0" fontId="8" fillId="0" borderId="113" xfId="26" applyBorder="1"/>
    <xf numFmtId="0" fontId="8" fillId="0" borderId="113" xfId="26" applyBorder="1" applyAlignment="1">
      <alignment vertical="center"/>
    </xf>
    <xf numFmtId="0" fontId="35" fillId="12" borderId="113" xfId="26" applyFont="1" applyFill="1" applyBorder="1" applyAlignment="1">
      <alignment horizontal="center" vertical="center"/>
    </xf>
    <xf numFmtId="0" fontId="54" fillId="0" borderId="0" xfId="0" applyFont="1"/>
    <xf numFmtId="0" fontId="56"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6" fillId="0" borderId="38" xfId="0" applyFont="1" applyBorder="1" applyAlignment="1">
      <alignment horizontal="center"/>
    </xf>
    <xf numFmtId="0" fontId="56" fillId="0" borderId="36" xfId="0" applyFont="1" applyBorder="1" applyAlignment="1">
      <alignment horizontal="center"/>
    </xf>
    <xf numFmtId="0" fontId="56" fillId="0" borderId="32" xfId="0" applyFont="1" applyBorder="1"/>
    <xf numFmtId="0" fontId="56" fillId="0" borderId="118" xfId="0" applyFont="1" applyBorder="1" applyAlignment="1">
      <alignment horizontal="center" vertical="center"/>
    </xf>
    <xf numFmtId="0" fontId="56" fillId="0" borderId="122" xfId="0" applyFont="1" applyBorder="1" applyAlignment="1">
      <alignment horizontal="center" vertical="center"/>
    </xf>
    <xf numFmtId="0" fontId="13" fillId="12" borderId="125" xfId="0" applyFont="1" applyFill="1" applyBorder="1" applyAlignment="1">
      <alignment horizontal="center"/>
    </xf>
    <xf numFmtId="0" fontId="56" fillId="12" borderId="125" xfId="0" applyFont="1" applyFill="1" applyBorder="1"/>
    <xf numFmtId="0" fontId="56" fillId="12" borderId="131" xfId="0" applyFont="1" applyFill="1" applyBorder="1"/>
    <xf numFmtId="0" fontId="54" fillId="12" borderId="131" xfId="0" applyFont="1" applyFill="1" applyBorder="1"/>
    <xf numFmtId="10" fontId="0" fillId="0" borderId="128" xfId="0" applyNumberFormat="1" applyBorder="1" applyAlignment="1">
      <alignment horizontal="center" vertical="center"/>
    </xf>
    <xf numFmtId="10" fontId="0" fillId="0" borderId="132" xfId="0" applyNumberFormat="1" applyBorder="1" applyAlignment="1">
      <alignment horizontal="center" vertical="center"/>
    </xf>
    <xf numFmtId="10" fontId="0" fillId="0" borderId="133" xfId="0" applyNumberFormat="1" applyBorder="1" applyAlignment="1">
      <alignment horizontal="center" vertical="center"/>
    </xf>
    <xf numFmtId="10" fontId="0" fillId="0" borderId="134" xfId="0" applyNumberFormat="1" applyBorder="1" applyAlignment="1">
      <alignment horizontal="center" vertical="center"/>
    </xf>
    <xf numFmtId="0" fontId="56" fillId="0" borderId="135" xfId="0" applyFont="1" applyBorder="1" applyAlignment="1">
      <alignment horizontal="center" vertical="center"/>
    </xf>
    <xf numFmtId="0" fontId="56" fillId="0" borderId="136" xfId="0" applyFont="1" applyBorder="1" applyAlignment="1">
      <alignment horizontal="center" vertical="center"/>
    </xf>
    <xf numFmtId="0" fontId="27" fillId="5" borderId="8" xfId="26" applyFont="1" applyFill="1" applyBorder="1" applyAlignment="1">
      <alignment horizontal="center"/>
    </xf>
    <xf numFmtId="0" fontId="54" fillId="8" borderId="0" xfId="0" applyFont="1" applyFill="1"/>
    <xf numFmtId="0" fontId="58" fillId="42" borderId="0" xfId="0" applyFont="1" applyFill="1"/>
    <xf numFmtId="0" fontId="8" fillId="37" borderId="32" xfId="0" applyFont="1" applyFill="1" applyBorder="1"/>
    <xf numFmtId="0" fontId="56" fillId="0" borderId="141" xfId="0" applyFont="1" applyBorder="1" applyAlignment="1">
      <alignment horizontal="center"/>
    </xf>
    <xf numFmtId="0" fontId="54" fillId="12" borderId="142" xfId="0" applyFont="1" applyFill="1" applyBorder="1" applyAlignment="1">
      <alignment horizontal="center"/>
    </xf>
    <xf numFmtId="0" fontId="8" fillId="39" borderId="142" xfId="0" applyFont="1" applyFill="1" applyBorder="1"/>
    <xf numFmtId="0" fontId="8" fillId="39" borderId="0" xfId="0" applyFont="1" applyFill="1"/>
    <xf numFmtId="0" fontId="13" fillId="41" borderId="32" xfId="0" quotePrefix="1" applyFont="1" applyFill="1" applyBorder="1"/>
    <xf numFmtId="0" fontId="13" fillId="41" borderId="0" xfId="0" quotePrefix="1" applyFont="1" applyFill="1"/>
    <xf numFmtId="0" fontId="54" fillId="39" borderId="0" xfId="0" applyFont="1" applyFill="1"/>
    <xf numFmtId="0" fontId="13" fillId="0" borderId="157" xfId="0" applyFont="1" applyBorder="1" applyAlignment="1">
      <alignment horizontal="center"/>
    </xf>
    <xf numFmtId="0" fontId="13" fillId="0" borderId="41" xfId="0" applyFont="1" applyBorder="1" applyAlignment="1">
      <alignment horizontal="center"/>
    </xf>
    <xf numFmtId="0" fontId="13" fillId="0" borderId="158" xfId="0" applyFont="1" applyBorder="1" applyAlignment="1">
      <alignment horizontal="center"/>
    </xf>
    <xf numFmtId="0" fontId="13" fillId="0" borderId="149" xfId="0" applyFont="1" applyBorder="1" applyAlignment="1">
      <alignment horizontal="center"/>
    </xf>
    <xf numFmtId="0" fontId="8" fillId="39" borderId="126" xfId="0" applyFont="1" applyFill="1" applyBorder="1"/>
    <xf numFmtId="14" fontId="13" fillId="0" borderId="21" xfId="0" applyNumberFormat="1" applyFont="1" applyBorder="1" applyAlignment="1">
      <alignment horizontal="center" vertical="center"/>
    </xf>
    <xf numFmtId="0" fontId="8" fillId="0" borderId="57" xfId="0" applyFont="1" applyBorder="1" applyAlignment="1">
      <alignment horizontal="center" vertical="center"/>
    </xf>
    <xf numFmtId="0" fontId="39" fillId="8" borderId="23" xfId="0" applyFont="1" applyFill="1" applyBorder="1" applyAlignment="1">
      <alignment horizontal="left" vertical="center" wrapText="1"/>
    </xf>
    <xf numFmtId="10" fontId="0" fillId="0" borderId="0" xfId="16" applyNumberFormat="1" applyFont="1"/>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67" fontId="33" fillId="43" borderId="152" xfId="30" applyNumberFormat="1" applyFont="1" applyFill="1" applyBorder="1" applyAlignment="1">
      <alignment horizontal="center" vertical="center"/>
    </xf>
    <xf numFmtId="0" fontId="59" fillId="0" borderId="154" xfId="0" applyFont="1" applyBorder="1" applyAlignment="1">
      <alignment horizontal="center" vertical="center"/>
    </xf>
    <xf numFmtId="0" fontId="59" fillId="0" borderId="46" xfId="0" applyFont="1" applyBorder="1" applyAlignment="1">
      <alignment horizontal="center" vertical="center"/>
    </xf>
    <xf numFmtId="0" fontId="59" fillId="41" borderId="154" xfId="0" applyFont="1" applyFill="1" applyBorder="1" applyAlignment="1">
      <alignment horizontal="center" vertical="center"/>
    </xf>
    <xf numFmtId="0" fontId="59" fillId="41" borderId="46" xfId="0" applyFont="1" applyFill="1" applyBorder="1" applyAlignment="1">
      <alignment horizontal="center" vertical="center"/>
    </xf>
    <xf numFmtId="3" fontId="59" fillId="40" borderId="46" xfId="0" applyNumberFormat="1" applyFont="1" applyFill="1" applyBorder="1" applyAlignment="1">
      <alignment horizontal="center" vertical="center"/>
    </xf>
    <xf numFmtId="3" fontId="59" fillId="40" borderId="154" xfId="0" applyNumberFormat="1" applyFont="1" applyFill="1" applyBorder="1" applyAlignment="1">
      <alignment horizontal="center" vertical="center"/>
    </xf>
    <xf numFmtId="0" fontId="62" fillId="0" borderId="46" xfId="0" applyFont="1" applyBorder="1" applyAlignment="1">
      <alignment horizontal="center" vertical="center"/>
    </xf>
    <xf numFmtId="0" fontId="8" fillId="0" borderId="46" xfId="0" quotePrefix="1" applyFont="1" applyBorder="1" applyAlignment="1">
      <alignment horizontal="center" vertical="center"/>
    </xf>
    <xf numFmtId="9" fontId="38" fillId="0" borderId="0" xfId="16" applyFont="1"/>
    <xf numFmtId="9" fontId="0" fillId="0" borderId="93" xfId="0" applyNumberFormat="1" applyBorder="1" applyAlignment="1">
      <alignment horizontal="center"/>
    </xf>
    <xf numFmtId="9" fontId="13" fillId="0" borderId="71" xfId="0" applyNumberFormat="1" applyFont="1" applyBorder="1" applyAlignment="1">
      <alignment horizontal="center"/>
    </xf>
    <xf numFmtId="9" fontId="13" fillId="0" borderId="72" xfId="0" applyNumberFormat="1" applyFont="1" applyBorder="1" applyAlignment="1">
      <alignment horizontal="center"/>
    </xf>
    <xf numFmtId="9" fontId="8" fillId="0" borderId="76" xfId="0" applyNumberFormat="1" applyFont="1" applyBorder="1" applyAlignment="1">
      <alignment horizontal="center"/>
    </xf>
    <xf numFmtId="9" fontId="8" fillId="0" borderId="81" xfId="0" applyNumberFormat="1" applyFont="1" applyBorder="1" applyAlignment="1">
      <alignment horizontal="center"/>
    </xf>
    <xf numFmtId="3" fontId="0" fillId="0" borderId="0" xfId="0" applyNumberFormat="1"/>
    <xf numFmtId="10" fontId="0" fillId="0" borderId="0" xfId="0" applyNumberFormat="1"/>
    <xf numFmtId="4" fontId="32" fillId="12" borderId="113"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28" borderId="113" xfId="7" applyFont="1" applyFill="1" applyBorder="1" applyAlignment="1">
      <alignment horizontal="right" vertical="center"/>
    </xf>
    <xf numFmtId="4" fontId="25" fillId="12" borderId="113" xfId="7" applyFont="1" applyFill="1" applyBorder="1" applyAlignment="1">
      <alignment horizontal="right" vertical="center"/>
    </xf>
    <xf numFmtId="4" fontId="25" fillId="28" borderId="113" xfId="7" applyFont="1" applyFill="1" applyBorder="1" applyAlignment="1">
      <alignment horizontal="right" vertical="center"/>
    </xf>
    <xf numFmtId="3" fontId="59" fillId="40" borderId="46" xfId="0" quotePrefix="1" applyNumberFormat="1" applyFont="1" applyFill="1" applyBorder="1" applyAlignment="1">
      <alignment horizontal="center" vertical="center"/>
    </xf>
    <xf numFmtId="3" fontId="59" fillId="40" borderId="154" xfId="0" quotePrefix="1" applyNumberFormat="1" applyFont="1" applyFill="1" applyBorder="1" applyAlignment="1">
      <alignment horizontal="center" vertical="center"/>
    </xf>
    <xf numFmtId="1" fontId="54" fillId="40" borderId="38" xfId="0" applyNumberFormat="1" applyFont="1" applyFill="1" applyBorder="1" applyAlignment="1">
      <alignment horizontal="center" vertical="center"/>
    </xf>
    <xf numFmtId="4" fontId="5" fillId="0" borderId="46" xfId="29" applyNumberFormat="1" applyBorder="1" applyAlignment="1">
      <alignment horizontal="center"/>
    </xf>
    <xf numFmtId="0" fontId="26" fillId="0" borderId="0" xfId="0" applyFont="1" applyAlignment="1">
      <alignment horizontal="center"/>
    </xf>
    <xf numFmtId="0" fontId="66" fillId="0" borderId="0" xfId="0" applyFont="1"/>
    <xf numFmtId="0" fontId="0" fillId="0" borderId="46" xfId="0" applyBorder="1"/>
    <xf numFmtId="0" fontId="65" fillId="0" borderId="0" xfId="0" applyFont="1"/>
    <xf numFmtId="3" fontId="54" fillId="0" borderId="38" xfId="0" applyNumberFormat="1" applyFont="1" applyBorder="1" applyAlignment="1">
      <alignment horizontal="center" vertical="center"/>
    </xf>
    <xf numFmtId="0" fontId="54" fillId="0" borderId="38" xfId="0" applyFont="1" applyBorder="1" applyAlignment="1">
      <alignment horizontal="center" vertical="center"/>
    </xf>
    <xf numFmtId="3" fontId="8" fillId="8" borderId="15" xfId="0" applyNumberFormat="1" applyFont="1" applyFill="1" applyBorder="1" applyAlignment="1">
      <alignment horizontal="center"/>
    </xf>
    <xf numFmtId="167" fontId="33" fillId="38" borderId="46" xfId="16" applyNumberFormat="1" applyFont="1" applyFill="1" applyBorder="1" applyAlignment="1">
      <alignment horizontal="center" vertical="center"/>
    </xf>
    <xf numFmtId="3" fontId="62" fillId="0" borderId="46" xfId="0" applyNumberFormat="1" applyFont="1" applyBorder="1" applyAlignment="1">
      <alignment horizontal="center" vertical="center"/>
    </xf>
    <xf numFmtId="3" fontId="62" fillId="38" borderId="46" xfId="0" applyNumberFormat="1" applyFont="1" applyFill="1" applyBorder="1" applyAlignment="1">
      <alignment horizontal="center" vertical="center"/>
    </xf>
    <xf numFmtId="167" fontId="33" fillId="43" borderId="170" xfId="30" applyNumberFormat="1" applyFont="1" applyFill="1" applyBorder="1" applyAlignment="1">
      <alignment horizontal="center" vertical="center"/>
    </xf>
    <xf numFmtId="3" fontId="4" fillId="43" borderId="44" xfId="30" applyNumberFormat="1" applyFill="1" applyBorder="1" applyAlignment="1">
      <alignment horizontal="center" vertical="center"/>
    </xf>
    <xf numFmtId="167" fontId="33" fillId="38" borderId="44" xfId="16" applyNumberFormat="1" applyFont="1" applyFill="1" applyBorder="1" applyAlignment="1">
      <alignment horizontal="center" vertical="center"/>
    </xf>
    <xf numFmtId="3" fontId="62" fillId="0" borderId="44" xfId="0" applyNumberFormat="1" applyFont="1" applyBorder="1" applyAlignment="1">
      <alignment horizontal="center" vertical="center"/>
    </xf>
    <xf numFmtId="0" fontId="62" fillId="0" borderId="44" xfId="0" applyFont="1" applyBorder="1" applyAlignment="1">
      <alignment horizontal="center" vertical="center"/>
    </xf>
    <xf numFmtId="3" fontId="62" fillId="38" borderId="44" xfId="0" applyNumberFormat="1" applyFont="1" applyFill="1" applyBorder="1" applyAlignment="1">
      <alignment horizontal="center" vertical="center"/>
    </xf>
    <xf numFmtId="0" fontId="62" fillId="38" borderId="171" xfId="0" applyFont="1" applyFill="1" applyBorder="1" applyAlignment="1">
      <alignment horizontal="center" vertical="center"/>
    </xf>
    <xf numFmtId="1" fontId="54" fillId="0" borderId="46" xfId="0" applyNumberFormat="1" applyFont="1" applyBorder="1" applyAlignment="1">
      <alignment horizontal="center" vertical="center"/>
    </xf>
    <xf numFmtId="1" fontId="59" fillId="0" borderId="46" xfId="0" applyNumberFormat="1" applyFont="1" applyBorder="1" applyAlignment="1">
      <alignment horizontal="center" vertical="center"/>
    </xf>
    <xf numFmtId="1" fontId="54" fillId="0" borderId="154" xfId="0" applyNumberFormat="1" applyFont="1" applyBorder="1" applyAlignment="1">
      <alignment horizontal="center" vertical="center"/>
    </xf>
    <xf numFmtId="1" fontId="54" fillId="0" borderId="145" xfId="0" applyNumberFormat="1" applyFont="1" applyBorder="1" applyAlignment="1">
      <alignment horizontal="center" vertical="center"/>
    </xf>
    <xf numFmtId="1" fontId="59" fillId="0" borderId="154" xfId="0" applyNumberFormat="1" applyFont="1" applyBorder="1" applyAlignment="1">
      <alignment horizontal="center" vertical="center"/>
    </xf>
    <xf numFmtId="1" fontId="62" fillId="38" borderId="155" xfId="0" applyNumberFormat="1" applyFont="1" applyFill="1" applyBorder="1" applyAlignment="1">
      <alignment horizontal="center" vertical="center"/>
    </xf>
    <xf numFmtId="1" fontId="62" fillId="38" borderId="168" xfId="0" applyNumberFormat="1" applyFont="1" applyFill="1" applyBorder="1" applyAlignment="1">
      <alignment horizontal="center" vertical="center"/>
    </xf>
    <xf numFmtId="1" fontId="62" fillId="38" borderId="169" xfId="0" applyNumberFormat="1" applyFont="1" applyFill="1" applyBorder="1" applyAlignment="1">
      <alignment horizontal="center" vertical="center"/>
    </xf>
    <xf numFmtId="167" fontId="8" fillId="0" borderId="151" xfId="16" applyNumberFormat="1" applyFont="1" applyFill="1" applyBorder="1" applyAlignment="1">
      <alignment horizontal="center" vertical="center"/>
    </xf>
    <xf numFmtId="167" fontId="8" fillId="0" borderId="152" xfId="16" applyNumberFormat="1" applyFont="1" applyFill="1" applyBorder="1" applyAlignment="1">
      <alignment horizontal="center" vertical="center"/>
    </xf>
    <xf numFmtId="167" fontId="0" fillId="0" borderId="153" xfId="16" applyNumberFormat="1" applyFont="1" applyFill="1" applyBorder="1" applyAlignment="1">
      <alignment horizontal="center" vertical="center"/>
    </xf>
    <xf numFmtId="167" fontId="33" fillId="0" borderId="154" xfId="16" applyNumberFormat="1" applyFont="1" applyFill="1" applyBorder="1" applyAlignment="1">
      <alignment horizontal="center" vertical="center"/>
    </xf>
    <xf numFmtId="167" fontId="33" fillId="0" borderId="46" xfId="16" applyNumberFormat="1" applyFont="1" applyFill="1" applyBorder="1" applyAlignment="1">
      <alignment horizontal="center" vertical="center"/>
    </xf>
    <xf numFmtId="167" fontId="33" fillId="0" borderId="145" xfId="16" applyNumberFormat="1" applyFont="1" applyFill="1" applyBorder="1" applyAlignment="1">
      <alignment horizontal="center" vertical="center"/>
    </xf>
    <xf numFmtId="1" fontId="62" fillId="0" borderId="154" xfId="0" applyNumberFormat="1" applyFont="1" applyBorder="1" applyAlignment="1">
      <alignment horizontal="center" vertical="center"/>
    </xf>
    <xf numFmtId="1" fontId="62" fillId="0" borderId="46" xfId="0" applyNumberFormat="1" applyFont="1" applyBorder="1" applyAlignment="1">
      <alignment horizontal="center" vertical="center"/>
    </xf>
    <xf numFmtId="1" fontId="62" fillId="0" borderId="145" xfId="0" applyNumberFormat="1" applyFont="1" applyBorder="1" applyAlignment="1">
      <alignment horizontal="center" vertical="center"/>
    </xf>
    <xf numFmtId="1" fontId="59" fillId="41" borderId="46" xfId="0" applyNumberFormat="1" applyFont="1" applyFill="1" applyBorder="1" applyAlignment="1">
      <alignment horizontal="center" vertical="center"/>
    </xf>
    <xf numFmtId="1" fontId="59" fillId="41" borderId="154" xfId="0" applyNumberFormat="1" applyFont="1" applyFill="1" applyBorder="1" applyAlignment="1">
      <alignment horizontal="center" vertical="center"/>
    </xf>
    <xf numFmtId="1" fontId="54" fillId="40" borderId="46" xfId="0" applyNumberFormat="1" applyFont="1" applyFill="1" applyBorder="1" applyAlignment="1">
      <alignment horizontal="center" vertical="center"/>
    </xf>
    <xf numFmtId="1" fontId="54" fillId="40" borderId="151" xfId="0" applyNumberFormat="1" applyFont="1" applyFill="1" applyBorder="1" applyAlignment="1">
      <alignment horizontal="center" vertical="center"/>
    </xf>
    <xf numFmtId="1" fontId="54" fillId="40" borderId="152" xfId="0" applyNumberFormat="1" applyFont="1" applyFill="1" applyBorder="1" applyAlignment="1">
      <alignment horizontal="center" vertical="center"/>
    </xf>
    <xf numFmtId="1" fontId="54" fillId="40" borderId="154" xfId="0" applyNumberFormat="1" applyFont="1" applyFill="1" applyBorder="1" applyAlignment="1">
      <alignment horizontal="center" vertical="center"/>
    </xf>
    <xf numFmtId="1" fontId="54" fillId="40" borderId="170" xfId="0" applyNumberFormat="1" applyFont="1" applyFill="1" applyBorder="1" applyAlignment="1">
      <alignment horizontal="center" vertical="center"/>
    </xf>
    <xf numFmtId="1" fontId="54" fillId="40" borderId="44" xfId="0" applyNumberFormat="1" applyFont="1" applyFill="1" applyBorder="1" applyAlignment="1">
      <alignment horizontal="center" vertical="center"/>
    </xf>
    <xf numFmtId="1" fontId="54" fillId="40" borderId="171" xfId="0" applyNumberFormat="1" applyFont="1" applyFill="1" applyBorder="1" applyAlignment="1">
      <alignment horizontal="center" vertical="center"/>
    </xf>
    <xf numFmtId="1" fontId="0" fillId="0" borderId="46" xfId="0" applyNumberFormat="1" applyBorder="1" applyAlignment="1">
      <alignment horizontal="center" vertical="center"/>
    </xf>
    <xf numFmtId="1" fontId="0" fillId="0" borderId="151" xfId="0" applyNumberFormat="1" applyBorder="1" applyAlignment="1">
      <alignment horizontal="center" vertical="center"/>
    </xf>
    <xf numFmtId="1" fontId="0" fillId="0" borderId="152" xfId="0" applyNumberFormat="1" applyBorder="1" applyAlignment="1">
      <alignment horizontal="center" vertical="center"/>
    </xf>
    <xf numFmtId="1" fontId="0" fillId="0" borderId="153" xfId="0" applyNumberFormat="1" applyBorder="1" applyAlignment="1">
      <alignment horizontal="center" vertical="center"/>
    </xf>
    <xf numFmtId="1" fontId="0" fillId="0" borderId="154" xfId="0" applyNumberFormat="1" applyBorder="1" applyAlignment="1">
      <alignment horizontal="center" vertical="center"/>
    </xf>
    <xf numFmtId="1" fontId="0" fillId="0" borderId="145" xfId="0" applyNumberFormat="1" applyBorder="1" applyAlignment="1">
      <alignment horizontal="center" vertical="center"/>
    </xf>
    <xf numFmtId="1" fontId="54" fillId="40" borderId="143" xfId="0" applyNumberFormat="1" applyFont="1" applyFill="1" applyBorder="1" applyAlignment="1">
      <alignment horizontal="center" vertical="center"/>
    </xf>
    <xf numFmtId="1" fontId="54" fillId="40" borderId="144" xfId="0" applyNumberFormat="1" applyFont="1" applyFill="1" applyBorder="1" applyAlignment="1">
      <alignment horizontal="center" vertical="center"/>
    </xf>
    <xf numFmtId="1" fontId="54" fillId="40" borderId="146" xfId="0" applyNumberFormat="1" applyFont="1" applyFill="1" applyBorder="1" applyAlignment="1">
      <alignment horizontal="center" vertical="center"/>
    </xf>
    <xf numFmtId="1" fontId="54" fillId="40" borderId="147" xfId="0" applyNumberFormat="1" applyFont="1" applyFill="1" applyBorder="1" applyAlignment="1">
      <alignment horizontal="center" vertical="center"/>
    </xf>
    <xf numFmtId="1" fontId="54" fillId="40" borderId="148" xfId="0" applyNumberFormat="1" applyFont="1" applyFill="1" applyBorder="1" applyAlignment="1">
      <alignment horizontal="center" vertical="center"/>
    </xf>
    <xf numFmtId="4" fontId="5" fillId="0" borderId="154" xfId="29" applyNumberFormat="1" applyBorder="1" applyAlignment="1">
      <alignment horizontal="center"/>
    </xf>
    <xf numFmtId="4" fontId="5" fillId="0" borderId="145" xfId="29" applyNumberFormat="1" applyBorder="1" applyAlignment="1">
      <alignment horizontal="center"/>
    </xf>
    <xf numFmtId="9" fontId="0" fillId="0" borderId="0" xfId="16" applyFont="1" applyBorder="1" applyAlignment="1">
      <alignment horizontal="left"/>
    </xf>
    <xf numFmtId="3" fontId="59" fillId="0" borderId="46" xfId="0" applyNumberFormat="1" applyFont="1" applyBorder="1" applyAlignment="1">
      <alignment horizontal="center" vertical="center"/>
    </xf>
    <xf numFmtId="3" fontId="59" fillId="0" borderId="154" xfId="0" applyNumberFormat="1" applyFont="1" applyBorder="1" applyAlignment="1">
      <alignment horizontal="center" vertical="center"/>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6" fillId="19" borderId="0" xfId="21"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69"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4" fontId="35" fillId="19" borderId="0" xfId="21"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172" fontId="0" fillId="0" borderId="98" xfId="0" applyNumberFormat="1" applyBorder="1" applyAlignment="1">
      <alignment horizontal="center" wrapText="1"/>
    </xf>
    <xf numFmtId="0" fontId="47" fillId="9" borderId="71" xfId="0" applyFont="1" applyFill="1" applyBorder="1" applyAlignment="1">
      <alignment horizontal="center" vertical="center" wrapText="1"/>
    </xf>
    <xf numFmtId="0" fontId="47" fillId="10" borderId="72" xfId="0" applyFont="1" applyFill="1" applyBorder="1" applyAlignment="1">
      <alignment horizontal="center" vertical="center" wrapText="1"/>
    </xf>
    <xf numFmtId="0" fontId="47" fillId="11" borderId="72" xfId="0" applyFont="1" applyFill="1" applyBorder="1" applyAlignment="1">
      <alignment horizontal="center" vertical="center" wrapText="1"/>
    </xf>
    <xf numFmtId="0" fontId="47" fillId="15" borderId="72" xfId="0" applyFont="1" applyFill="1" applyBorder="1" applyAlignment="1">
      <alignment horizontal="center" vertical="center" wrapText="1"/>
    </xf>
    <xf numFmtId="0" fontId="47" fillId="23" borderId="99" xfId="0" applyFont="1" applyFill="1" applyBorder="1" applyAlignment="1">
      <alignment horizontal="center" vertical="center" wrapText="1"/>
    </xf>
    <xf numFmtId="0" fontId="47" fillId="16" borderId="72" xfId="0" applyFont="1" applyFill="1" applyBorder="1" applyAlignment="1">
      <alignment horizontal="center" vertical="center" wrapText="1"/>
    </xf>
    <xf numFmtId="0" fontId="47" fillId="10" borderId="64" xfId="0" applyFont="1" applyFill="1" applyBorder="1" applyAlignment="1">
      <alignment horizontal="center" vertical="center" wrapText="1"/>
    </xf>
    <xf numFmtId="0" fontId="47" fillId="11" borderId="64" xfId="0" applyFont="1" applyFill="1" applyBorder="1" applyAlignment="1">
      <alignment horizontal="center" vertical="center" wrapText="1"/>
    </xf>
    <xf numFmtId="0" fontId="47" fillId="15" borderId="64" xfId="0" applyFont="1" applyFill="1" applyBorder="1" applyAlignment="1">
      <alignment horizontal="center" vertical="center" wrapText="1"/>
    </xf>
    <xf numFmtId="0" fontId="47" fillId="23" borderId="64" xfId="0" applyFont="1" applyFill="1" applyBorder="1" applyAlignment="1">
      <alignment horizontal="center" vertical="center" wrapText="1"/>
    </xf>
    <xf numFmtId="0" fontId="47" fillId="16" borderId="64" xfId="0" applyFont="1" applyFill="1" applyBorder="1" applyAlignment="1">
      <alignment horizontal="center" vertical="center" wrapText="1"/>
    </xf>
    <xf numFmtId="0" fontId="56"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4" xfId="0" applyNumberFormat="1" applyFont="1" applyBorder="1" applyAlignment="1">
      <alignment horizontal="center" vertical="center"/>
    </xf>
    <xf numFmtId="0" fontId="0" fillId="0" borderId="0" xfId="0" applyAlignment="1">
      <alignment horizontal="left"/>
    </xf>
    <xf numFmtId="2" fontId="8" fillId="24" borderId="52" xfId="0" applyNumberFormat="1" applyFont="1" applyFill="1" applyBorder="1" applyAlignment="1">
      <alignment horizontal="center"/>
    </xf>
    <xf numFmtId="2" fontId="33" fillId="24" borderId="52" xfId="16" applyNumberFormat="1" applyFont="1" applyFill="1" applyBorder="1" applyAlignment="1">
      <alignment horizontal="center"/>
    </xf>
    <xf numFmtId="0" fontId="8" fillId="7" borderId="172" xfId="0" applyFont="1" applyFill="1" applyBorder="1"/>
    <xf numFmtId="0" fontId="27" fillId="32" borderId="61" xfId="0" applyFont="1" applyFill="1" applyBorder="1" applyAlignment="1">
      <alignment horizontal="center"/>
    </xf>
    <xf numFmtId="0" fontId="13" fillId="0" borderId="61" xfId="0" applyFont="1" applyBorder="1" applyAlignment="1">
      <alignment horizontal="center"/>
    </xf>
    <xf numFmtId="166" fontId="13" fillId="24" borderId="23" xfId="0" applyNumberFormat="1" applyFont="1" applyFill="1" applyBorder="1" applyAlignment="1">
      <alignment horizontal="center"/>
    </xf>
    <xf numFmtId="2" fontId="33" fillId="24" borderId="61" xfId="16" applyNumberFormat="1" applyFont="1" applyFill="1" applyBorder="1" applyAlignment="1">
      <alignment horizontal="center"/>
    </xf>
    <xf numFmtId="10" fontId="64" fillId="8" borderId="61" xfId="0" applyNumberFormat="1" applyFont="1" applyFill="1" applyBorder="1" applyAlignment="1">
      <alignment horizontal="center"/>
    </xf>
    <xf numFmtId="0" fontId="8" fillId="0" borderId="0" xfId="0" applyFont="1" applyAlignment="1">
      <alignment horizontal="center"/>
    </xf>
    <xf numFmtId="10" fontId="8" fillId="0" borderId="124"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9" fillId="40" borderId="155" xfId="0" applyNumberFormat="1" applyFont="1" applyFill="1" applyBorder="1" applyAlignment="1">
      <alignment horizontal="center" vertical="center"/>
    </xf>
    <xf numFmtId="1" fontId="59" fillId="40" borderId="168" xfId="0" applyNumberFormat="1" applyFont="1" applyFill="1" applyBorder="1" applyAlignment="1">
      <alignment horizontal="center" vertical="center"/>
    </xf>
    <xf numFmtId="0" fontId="0" fillId="0" borderId="46" xfId="0" applyBorder="1" applyAlignment="1">
      <alignment horizontal="center"/>
    </xf>
    <xf numFmtId="166" fontId="0" fillId="0" borderId="46" xfId="0" applyNumberFormat="1" applyBorder="1" applyAlignment="1">
      <alignment horizontal="center"/>
    </xf>
    <xf numFmtId="167" fontId="65" fillId="0" borderId="46" xfId="16" applyNumberFormat="1" applyFont="1" applyBorder="1" applyAlignment="1">
      <alignment horizontal="center"/>
    </xf>
    <xf numFmtId="0" fontId="65" fillId="0" borderId="46" xfId="0" applyFont="1" applyBorder="1"/>
    <xf numFmtId="165" fontId="65" fillId="0" borderId="46" xfId="0" applyNumberFormat="1" applyFont="1" applyBorder="1" applyAlignment="1">
      <alignment horizontal="center"/>
    </xf>
    <xf numFmtId="9" fontId="0" fillId="0" borderId="0" xfId="16" applyFont="1" applyAlignment="1">
      <alignment horizontal="left"/>
    </xf>
    <xf numFmtId="0" fontId="54" fillId="0" borderId="173" xfId="0" applyFont="1" applyBorder="1"/>
    <xf numFmtId="0" fontId="54" fillId="0" borderId="35" xfId="0" applyFont="1" applyBorder="1"/>
    <xf numFmtId="3" fontId="59" fillId="0" borderId="151" xfId="0" applyNumberFormat="1" applyFont="1" applyBorder="1" applyAlignment="1">
      <alignment horizontal="center" vertical="center"/>
    </xf>
    <xf numFmtId="3" fontId="68" fillId="0" borderId="154" xfId="0" quotePrefix="1" applyNumberFormat="1" applyFont="1" applyBorder="1" applyAlignment="1">
      <alignment horizontal="center" vertical="center"/>
    </xf>
    <xf numFmtId="3" fontId="68" fillId="0" borderId="46" xfId="0" quotePrefix="1" applyNumberFormat="1" applyFont="1" applyBorder="1" applyAlignment="1">
      <alignment horizontal="center" vertical="center"/>
    </xf>
    <xf numFmtId="3" fontId="68" fillId="0" borderId="145" xfId="0" quotePrefix="1" applyNumberFormat="1" applyFont="1" applyBorder="1" applyAlignment="1">
      <alignment horizontal="center" vertical="center"/>
    </xf>
    <xf numFmtId="0" fontId="54" fillId="40" borderId="143" xfId="0" applyFont="1" applyFill="1" applyBorder="1" applyAlignment="1">
      <alignment horizontal="center" vertical="center"/>
    </xf>
    <xf numFmtId="0" fontId="54" fillId="40" borderId="2" xfId="0" applyFont="1" applyFill="1" applyBorder="1" applyAlignment="1">
      <alignment horizontal="center" vertical="center"/>
    </xf>
    <xf numFmtId="1" fontId="54" fillId="40" borderId="122" xfId="0" applyNumberFormat="1" applyFont="1" applyFill="1" applyBorder="1" applyAlignment="1">
      <alignment horizontal="center" vertical="center"/>
    </xf>
    <xf numFmtId="1" fontId="54" fillId="40" borderId="175" xfId="0" applyNumberFormat="1" applyFont="1" applyFill="1" applyBorder="1" applyAlignment="1">
      <alignment horizontal="center" vertical="center"/>
    </xf>
    <xf numFmtId="3" fontId="59" fillId="41" borderId="176" xfId="0" applyNumberFormat="1" applyFont="1" applyFill="1" applyBorder="1" applyAlignment="1">
      <alignment horizontal="center" vertical="center"/>
    </xf>
    <xf numFmtId="3" fontId="59" fillId="41" borderId="3" xfId="0" applyNumberFormat="1" applyFont="1" applyFill="1" applyBorder="1" applyAlignment="1">
      <alignment horizontal="center" vertical="center"/>
    </xf>
    <xf numFmtId="3" fontId="59" fillId="41" borderId="34"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77" xfId="0" applyNumberFormat="1" applyFont="1" applyFill="1" applyBorder="1" applyAlignment="1">
      <alignment horizontal="center" vertical="center"/>
    </xf>
    <xf numFmtId="1" fontId="59" fillId="41" borderId="44" xfId="0" applyNumberFormat="1" applyFont="1" applyFill="1" applyBorder="1" applyAlignment="1">
      <alignment horizontal="center" vertical="center"/>
    </xf>
    <xf numFmtId="1" fontId="59" fillId="0" borderId="44" xfId="0" applyNumberFormat="1" applyFont="1" applyBorder="1" applyAlignment="1">
      <alignment horizontal="center" vertical="center"/>
    </xf>
    <xf numFmtId="0" fontId="0" fillId="37" borderId="32" xfId="0" applyFill="1" applyBorder="1"/>
    <xf numFmtId="0" fontId="65" fillId="0" borderId="0" xfId="29" applyFont="1" applyAlignment="1">
      <alignment horizontal="center" vertical="center"/>
    </xf>
    <xf numFmtId="0" fontId="5" fillId="0" borderId="0" xfId="29"/>
    <xf numFmtId="0" fontId="5" fillId="0" borderId="36" xfId="29" applyBorder="1"/>
    <xf numFmtId="0" fontId="54" fillId="0" borderId="178" xfId="0" applyFont="1" applyBorder="1"/>
    <xf numFmtId="0" fontId="56" fillId="0" borderId="120" xfId="0" applyFont="1" applyBorder="1" applyAlignment="1">
      <alignment horizontal="center" vertical="center"/>
    </xf>
    <xf numFmtId="0" fontId="56" fillId="0" borderId="121" xfId="0" applyFont="1" applyBorder="1" applyAlignment="1">
      <alignment horizontal="center" vertical="center"/>
    </xf>
    <xf numFmtId="0" fontId="54" fillId="0" borderId="179" xfId="0" applyFont="1" applyBorder="1"/>
    <xf numFmtId="0" fontId="54" fillId="0" borderId="119" xfId="0" applyFont="1" applyBorder="1" applyAlignment="1">
      <alignment horizontal="center" vertical="center"/>
    </xf>
    <xf numFmtId="0" fontId="54" fillId="0" borderId="180" xfId="0" applyFont="1" applyBorder="1"/>
    <xf numFmtId="10" fontId="0" fillId="0" borderId="0" xfId="0" applyNumberFormat="1" applyAlignment="1">
      <alignment horizontal="center" vertical="center"/>
    </xf>
    <xf numFmtId="0" fontId="54" fillId="0" borderId="119" xfId="0" applyFont="1" applyBorder="1"/>
    <xf numFmtId="9" fontId="23" fillId="0" borderId="0" xfId="16" applyFont="1" applyAlignment="1">
      <alignment horizontal="center" vertical="center"/>
    </xf>
    <xf numFmtId="1" fontId="59" fillId="41" borderId="143" xfId="0" applyNumberFormat="1" applyFont="1" applyFill="1" applyBorder="1" applyAlignment="1">
      <alignment horizontal="center" vertical="center"/>
    </xf>
    <xf numFmtId="1" fontId="59" fillId="41" borderId="2" xfId="0" applyNumberFormat="1" applyFont="1" applyFill="1" applyBorder="1" applyAlignment="1">
      <alignment horizontal="center" vertical="center"/>
    </xf>
    <xf numFmtId="1" fontId="59" fillId="41" borderId="37" xfId="0" applyNumberFormat="1" applyFont="1" applyFill="1" applyBorder="1" applyAlignment="1">
      <alignment horizontal="center" vertical="center"/>
    </xf>
    <xf numFmtId="3" fontId="0" fillId="0" borderId="46" xfId="0" applyNumberFormat="1" applyBorder="1" applyAlignment="1">
      <alignment horizontal="center" vertical="center"/>
    </xf>
    <xf numFmtId="3" fontId="0" fillId="0" borderId="145" xfId="0" applyNumberFormat="1" applyBorder="1" applyAlignment="1">
      <alignment horizontal="center" vertical="center"/>
    </xf>
    <xf numFmtId="167" fontId="38" fillId="0" borderId="0" xfId="0" applyNumberFormat="1" applyFont="1"/>
    <xf numFmtId="1" fontId="54" fillId="40" borderId="182" xfId="0" applyNumberFormat="1" applyFont="1" applyFill="1" applyBorder="1" applyAlignment="1">
      <alignment horizontal="center" vertical="center"/>
    </xf>
    <xf numFmtId="0" fontId="54" fillId="40" borderId="37" xfId="0" applyFont="1" applyFill="1" applyBorder="1" applyAlignment="1">
      <alignment horizontal="center" vertical="center"/>
    </xf>
    <xf numFmtId="1" fontId="0" fillId="0" borderId="183" xfId="0" applyNumberFormat="1" applyBorder="1" applyAlignment="1">
      <alignment horizontal="center" vertical="center"/>
    </xf>
    <xf numFmtId="1" fontId="0" fillId="0" borderId="45" xfId="0" applyNumberFormat="1" applyBorder="1" applyAlignment="1">
      <alignment horizontal="center" vertical="center"/>
    </xf>
    <xf numFmtId="3" fontId="68" fillId="0" borderId="154" xfId="0" applyNumberFormat="1" applyFont="1" applyBorder="1" applyAlignment="1">
      <alignment horizontal="center" vertical="center"/>
    </xf>
    <xf numFmtId="2" fontId="0" fillId="24" borderId="61" xfId="0" applyNumberFormat="1" applyFill="1" applyBorder="1" applyAlignment="1">
      <alignment horizontal="center"/>
    </xf>
    <xf numFmtId="166" fontId="0" fillId="24" borderId="23" xfId="0" applyNumberFormat="1" applyFill="1" applyBorder="1" applyAlignment="1">
      <alignment horizontal="center"/>
    </xf>
    <xf numFmtId="10" fontId="0" fillId="8" borderId="23" xfId="25" applyNumberFormat="1" applyFont="1" applyFill="1" applyBorder="1" applyAlignment="1">
      <alignment horizontal="center"/>
    </xf>
    <xf numFmtId="167" fontId="0" fillId="8" borderId="23" xfId="25" applyNumberFormat="1" applyFont="1" applyFill="1" applyBorder="1" applyAlignment="1">
      <alignment horizontal="center"/>
    </xf>
    <xf numFmtId="167" fontId="0" fillId="8" borderId="23" xfId="16" quotePrefix="1" applyNumberFormat="1" applyFont="1" applyFill="1" applyBorder="1" applyAlignment="1">
      <alignment horizontal="center"/>
    </xf>
    <xf numFmtId="168" fontId="0" fillId="24" borderId="23" xfId="0" applyNumberFormat="1" applyFill="1" applyBorder="1" applyAlignment="1">
      <alignment horizontal="center"/>
    </xf>
    <xf numFmtId="168" fontId="0" fillId="24" borderId="23" xfId="16" applyNumberFormat="1" applyFont="1" applyFill="1" applyBorder="1" applyAlignment="1">
      <alignment horizontal="center"/>
    </xf>
    <xf numFmtId="167"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67"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8" borderId="23" xfId="0" applyFill="1" applyBorder="1" applyAlignment="1">
      <alignment horizontal="left" vertical="center" wrapText="1"/>
    </xf>
    <xf numFmtId="0" fontId="0" fillId="0" borderId="58" xfId="0" applyBorder="1" applyAlignment="1">
      <alignment horizontal="center" vertical="center"/>
    </xf>
    <xf numFmtId="174" fontId="0" fillId="0" borderId="0" xfId="0" applyNumberFormat="1" applyAlignment="1">
      <alignment horizontal="center"/>
    </xf>
    <xf numFmtId="1" fontId="59" fillId="0" borderId="143"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8" fillId="0" borderId="176" xfId="0" applyNumberFormat="1" applyFont="1" applyBorder="1" applyAlignment="1">
      <alignment horizontal="center" vertical="center"/>
    </xf>
    <xf numFmtId="10" fontId="70" fillId="35" borderId="113" xfId="26" applyNumberFormat="1" applyFont="1" applyFill="1" applyBorder="1"/>
    <xf numFmtId="173" fontId="8" fillId="0" borderId="113" xfId="26" applyNumberFormat="1" applyBorder="1"/>
    <xf numFmtId="167" fontId="54" fillId="0" borderId="0" xfId="16" applyNumberFormat="1" applyFont="1"/>
    <xf numFmtId="3" fontId="68" fillId="38" borderId="46" xfId="0" quotePrefix="1" applyNumberFormat="1" applyFont="1" applyFill="1" applyBorder="1" applyAlignment="1">
      <alignment horizontal="center" vertical="center"/>
    </xf>
    <xf numFmtId="3" fontId="68" fillId="38" borderId="44" xfId="0" quotePrefix="1" applyNumberFormat="1" applyFont="1" applyFill="1" applyBorder="1" applyAlignment="1">
      <alignment horizontal="center" vertical="center"/>
    </xf>
    <xf numFmtId="3" fontId="25" fillId="38" borderId="46" xfId="0" applyNumberFormat="1" applyFont="1" applyFill="1" applyBorder="1" applyAlignment="1">
      <alignment horizontal="center" vertical="center"/>
    </xf>
    <xf numFmtId="3" fontId="25" fillId="38" borderId="44" xfId="0" applyNumberFormat="1" applyFont="1" applyFill="1" applyBorder="1" applyAlignment="1">
      <alignment horizontal="center" vertical="center"/>
    </xf>
    <xf numFmtId="0" fontId="68" fillId="38" borderId="46" xfId="0" applyFont="1" applyFill="1" applyBorder="1" applyAlignment="1">
      <alignment horizontal="center" vertical="center"/>
    </xf>
    <xf numFmtId="0" fontId="68" fillId="38" borderId="44" xfId="0" applyFont="1" applyFill="1" applyBorder="1" applyAlignment="1">
      <alignment horizontal="center" vertical="center"/>
    </xf>
    <xf numFmtId="1" fontId="68" fillId="0" borderId="154" xfId="0" applyNumberFormat="1" applyFont="1" applyBorder="1" applyAlignment="1">
      <alignment horizontal="center" vertical="center"/>
    </xf>
    <xf numFmtId="1" fontId="68" fillId="0" borderId="46" xfId="0" quotePrefix="1" applyNumberFormat="1" applyFont="1" applyBorder="1" applyAlignment="1">
      <alignment horizontal="center" vertical="center"/>
    </xf>
    <xf numFmtId="1" fontId="68" fillId="0" borderId="145" xfId="0" quotePrefix="1" applyNumberFormat="1" applyFont="1" applyBorder="1" applyAlignment="1">
      <alignment horizontal="center" vertical="center"/>
    </xf>
    <xf numFmtId="1" fontId="25" fillId="0" borderId="154" xfId="0" applyNumberFormat="1" applyFont="1" applyBorder="1" applyAlignment="1">
      <alignment horizontal="center" vertical="center"/>
    </xf>
    <xf numFmtId="1" fontId="25" fillId="0" borderId="46" xfId="0" applyNumberFormat="1" applyFont="1" applyBorder="1" applyAlignment="1">
      <alignment horizontal="center" vertical="center"/>
    </xf>
    <xf numFmtId="1" fontId="25" fillId="0" borderId="145" xfId="0" applyNumberFormat="1" applyFont="1" applyBorder="1" applyAlignment="1">
      <alignment horizontal="center" vertical="center"/>
    </xf>
    <xf numFmtId="1" fontId="68" fillId="0" borderId="46" xfId="0" applyNumberFormat="1" applyFont="1" applyBorder="1" applyAlignment="1">
      <alignment horizontal="center" vertical="center"/>
    </xf>
    <xf numFmtId="1" fontId="68" fillId="0" borderId="145"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34"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1" fillId="0" borderId="0" xfId="0" applyNumberFormat="1" applyFont="1" applyAlignment="1">
      <alignment horizontal="left"/>
    </xf>
    <xf numFmtId="0" fontId="8" fillId="0" borderId="0" xfId="26" applyAlignment="1">
      <alignment vertical="center" wrapText="1"/>
    </xf>
    <xf numFmtId="3" fontId="52" fillId="34" borderId="115" xfId="5" applyFont="1" applyFill="1" applyBorder="1" applyAlignment="1">
      <alignment horizontal="right" vertical="center" wrapText="1"/>
    </xf>
    <xf numFmtId="4" fontId="8" fillId="34" borderId="115" xfId="7" applyFont="1" applyFill="1" applyBorder="1" applyAlignment="1">
      <alignment horizontal="right" vertical="center" wrapText="1"/>
    </xf>
    <xf numFmtId="4" fontId="32" fillId="0" borderId="113" xfId="7"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9" fontId="0" fillId="8" borderId="23" xfId="16" applyFont="1" applyFill="1" applyBorder="1" applyAlignment="1">
      <alignment horizontal="center"/>
    </xf>
    <xf numFmtId="0" fontId="0" fillId="0" borderId="0" xfId="26" applyFont="1"/>
    <xf numFmtId="2" fontId="8" fillId="0" borderId="0" xfId="26" applyNumberFormat="1"/>
    <xf numFmtId="2" fontId="0" fillId="0" borderId="0" xfId="26" applyNumberFormat="1" applyFont="1"/>
    <xf numFmtId="0" fontId="59" fillId="0" borderId="0" xfId="0" applyFont="1"/>
    <xf numFmtId="0" fontId="59" fillId="0" borderId="0" xfId="0" applyFont="1" applyAlignment="1">
      <alignment horizontal="center"/>
    </xf>
    <xf numFmtId="166" fontId="8" fillId="0" borderId="0" xfId="0" applyNumberFormat="1" applyFont="1"/>
    <xf numFmtId="165" fontId="8" fillId="0" borderId="0" xfId="0" applyNumberFormat="1" applyFont="1"/>
    <xf numFmtId="166" fontId="26" fillId="0" borderId="0" xfId="0" applyNumberFormat="1" applyFont="1"/>
    <xf numFmtId="167" fontId="8" fillId="24" borderId="19" xfId="16" applyNumberFormat="1" applyFont="1" applyFill="1" applyBorder="1" applyAlignment="1">
      <alignment horizontal="center"/>
    </xf>
    <xf numFmtId="172" fontId="34" fillId="24" borderId="98" xfId="0" applyNumberFormat="1" applyFont="1" applyFill="1" applyBorder="1" applyAlignment="1">
      <alignment horizontal="center"/>
    </xf>
    <xf numFmtId="0" fontId="47" fillId="9" borderId="71" xfId="0" applyFont="1" applyFill="1" applyBorder="1" applyAlignment="1">
      <alignment horizontal="center" vertical="center"/>
    </xf>
    <xf numFmtId="0" fontId="47" fillId="31" borderId="71" xfId="0" applyFont="1" applyFill="1" applyBorder="1" applyAlignment="1">
      <alignment horizontal="center" vertical="center"/>
    </xf>
    <xf numFmtId="4" fontId="25" fillId="9" borderId="113" xfId="7" applyFont="1" applyFill="1" applyBorder="1" applyAlignment="1">
      <alignment horizontal="right" vertical="center"/>
    </xf>
    <xf numFmtId="0" fontId="47" fillId="5" borderId="141" xfId="0" applyFont="1" applyFill="1" applyBorder="1" applyAlignment="1">
      <alignment horizontal="center"/>
    </xf>
    <xf numFmtId="0" fontId="27" fillId="32" borderId="10" xfId="0" applyFont="1" applyFill="1" applyBorder="1" applyAlignment="1">
      <alignment horizontal="center"/>
    </xf>
    <xf numFmtId="0" fontId="0" fillId="8" borderId="187" xfId="0" applyFill="1" applyBorder="1" applyAlignment="1">
      <alignment vertical="center" wrapText="1"/>
    </xf>
    <xf numFmtId="0" fontId="0" fillId="8" borderId="184" xfId="0" applyFill="1" applyBorder="1" applyAlignment="1">
      <alignment vertical="center" wrapText="1"/>
    </xf>
    <xf numFmtId="0" fontId="47" fillId="5" borderId="126" xfId="0" applyFont="1" applyFill="1" applyBorder="1" applyAlignment="1">
      <alignment horizontal="center"/>
    </xf>
    <xf numFmtId="0" fontId="27" fillId="32" borderId="187" xfId="0" applyFont="1" applyFill="1" applyBorder="1" applyAlignment="1">
      <alignment horizontal="center"/>
    </xf>
    <xf numFmtId="0" fontId="0" fillId="8" borderId="187" xfId="0" applyFill="1" applyBorder="1" applyAlignment="1">
      <alignment horizontal="left"/>
    </xf>
    <xf numFmtId="0" fontId="13" fillId="17" borderId="101" xfId="0" applyFont="1" applyFill="1" applyBorder="1" applyAlignment="1">
      <alignment horizontal="left" vertical="center"/>
    </xf>
    <xf numFmtId="172" fontId="0" fillId="17" borderId="97" xfId="0" applyNumberFormat="1" applyFill="1" applyBorder="1" applyAlignment="1">
      <alignment horizontal="center"/>
    </xf>
    <xf numFmtId="0" fontId="13" fillId="17" borderId="102" xfId="0" applyFont="1" applyFill="1" applyBorder="1" applyAlignment="1">
      <alignment horizontal="left" vertical="center"/>
    </xf>
    <xf numFmtId="9" fontId="0" fillId="17" borderId="98" xfId="16" applyFont="1" applyFill="1" applyBorder="1" applyAlignment="1">
      <alignment horizontal="center"/>
    </xf>
    <xf numFmtId="9" fontId="8" fillId="17" borderId="97" xfId="16" applyFont="1" applyFill="1" applyBorder="1" applyAlignment="1">
      <alignment horizontal="center"/>
    </xf>
    <xf numFmtId="2" fontId="8" fillId="17" borderId="98" xfId="0" applyNumberFormat="1" applyFont="1" applyFill="1" applyBorder="1" applyAlignment="1">
      <alignment horizontal="center" vertical="center"/>
    </xf>
    <xf numFmtId="2" fontId="0" fillId="17" borderId="98" xfId="0" applyNumberFormat="1" applyFill="1" applyBorder="1" applyAlignment="1">
      <alignment horizontal="center"/>
    </xf>
    <xf numFmtId="0" fontId="13" fillId="17" borderId="100" xfId="0" applyFont="1" applyFill="1" applyBorder="1" applyAlignment="1">
      <alignment horizontal="left" vertical="center"/>
    </xf>
    <xf numFmtId="2" fontId="0" fillId="17" borderId="96" xfId="0" applyNumberFormat="1" applyFill="1" applyBorder="1" applyAlignment="1">
      <alignment horizontal="center"/>
    </xf>
    <xf numFmtId="2" fontId="8" fillId="17" borderId="98" xfId="0" applyNumberFormat="1" applyFont="1" applyFill="1" applyBorder="1" applyAlignment="1">
      <alignment horizontal="center"/>
    </xf>
    <xf numFmtId="168" fontId="0" fillId="17" borderId="98" xfId="0" applyNumberFormat="1" applyFill="1" applyBorder="1" applyAlignment="1">
      <alignment horizontal="center"/>
    </xf>
    <xf numFmtId="9" fontId="0" fillId="0" borderId="96" xfId="16" applyFont="1" applyFill="1" applyBorder="1" applyAlignment="1">
      <alignment horizontal="center"/>
    </xf>
    <xf numFmtId="0" fontId="13" fillId="0" borderId="102" xfId="0" applyFont="1" applyBorder="1" applyAlignment="1">
      <alignment horizontal="left" vertical="center"/>
    </xf>
    <xf numFmtId="9" fontId="0" fillId="0" borderId="98" xfId="16" applyFont="1" applyFill="1" applyBorder="1" applyAlignment="1">
      <alignment horizontal="center"/>
    </xf>
    <xf numFmtId="2" fontId="0" fillId="0" borderId="96" xfId="0" applyNumberFormat="1" applyBorder="1" applyAlignment="1">
      <alignment horizontal="center"/>
    </xf>
    <xf numFmtId="0" fontId="13" fillId="0" borderId="101" xfId="0" applyFont="1" applyBorder="1" applyAlignment="1">
      <alignment horizontal="left" vertical="center"/>
    </xf>
    <xf numFmtId="2" fontId="0" fillId="0" borderId="98" xfId="0" applyNumberFormat="1" applyBorder="1" applyAlignment="1">
      <alignment horizontal="center"/>
    </xf>
    <xf numFmtId="2" fontId="8" fillId="17" borderId="96" xfId="0" applyNumberFormat="1" applyFont="1" applyFill="1" applyBorder="1" applyAlignment="1">
      <alignment horizontal="center"/>
    </xf>
    <xf numFmtId="2" fontId="0" fillId="17" borderId="97" xfId="0" applyNumberFormat="1" applyFill="1" applyBorder="1" applyAlignment="1">
      <alignment horizontal="center"/>
    </xf>
    <xf numFmtId="0" fontId="14" fillId="17" borderId="102" xfId="0" applyFont="1" applyFill="1" applyBorder="1" applyAlignment="1">
      <alignment horizontal="left" vertical="center"/>
    </xf>
    <xf numFmtId="2" fontId="0" fillId="17" borderId="98" xfId="16" applyNumberFormat="1" applyFont="1" applyFill="1" applyBorder="1" applyAlignment="1">
      <alignment horizontal="center"/>
    </xf>
    <xf numFmtId="0" fontId="13" fillId="0" borderId="104" xfId="0" applyFont="1" applyBorder="1" applyAlignment="1">
      <alignment horizontal="left" vertical="center"/>
    </xf>
    <xf numFmtId="9" fontId="0" fillId="0" borderId="105" xfId="16" applyFont="1" applyFill="1" applyBorder="1" applyAlignment="1">
      <alignment horizontal="center"/>
    </xf>
    <xf numFmtId="10" fontId="8" fillId="0" borderId="97" xfId="16" applyNumberFormat="1" applyFont="1" applyFill="1" applyBorder="1" applyAlignment="1">
      <alignment horizontal="center"/>
    </xf>
    <xf numFmtId="10" fontId="0" fillId="0" borderId="97" xfId="16" applyNumberFormat="1" applyFont="1" applyFill="1" applyBorder="1" applyAlignment="1">
      <alignment horizontal="center"/>
    </xf>
    <xf numFmtId="168" fontId="0" fillId="0" borderId="97" xfId="0" applyNumberFormat="1" applyBorder="1" applyAlignment="1">
      <alignment horizontal="center"/>
    </xf>
    <xf numFmtId="168" fontId="0" fillId="0" borderId="96" xfId="0" applyNumberFormat="1" applyBorder="1" applyAlignment="1">
      <alignment horizontal="center"/>
    </xf>
    <xf numFmtId="2" fontId="0" fillId="0" borderId="97" xfId="0" applyNumberFormat="1" applyBorder="1" applyAlignment="1">
      <alignment horizontal="center"/>
    </xf>
    <xf numFmtId="168" fontId="0" fillId="0" borderId="98" xfId="0" applyNumberFormat="1" applyBorder="1" applyAlignment="1">
      <alignment horizontal="center"/>
    </xf>
    <xf numFmtId="167" fontId="0" fillId="0" borderId="96" xfId="16" applyNumberFormat="1" applyFont="1" applyFill="1" applyBorder="1" applyAlignment="1">
      <alignment horizontal="center"/>
    </xf>
    <xf numFmtId="172" fontId="26" fillId="18" borderId="204" xfId="0" applyNumberFormat="1" applyFont="1" applyFill="1" applyBorder="1" applyAlignment="1">
      <alignment horizontal="center"/>
    </xf>
    <xf numFmtId="172" fontId="26" fillId="18" borderId="205" xfId="0" applyNumberFormat="1" applyFont="1" applyFill="1" applyBorder="1" applyAlignment="1">
      <alignment horizontal="center"/>
    </xf>
    <xf numFmtId="9" fontId="26" fillId="31" borderId="73" xfId="16" applyFont="1" applyFill="1" applyBorder="1" applyAlignment="1">
      <alignment horizontal="center" vertical="center"/>
    </xf>
    <xf numFmtId="9" fontId="26" fillId="18" borderId="204" xfId="16" applyFont="1" applyFill="1" applyBorder="1" applyAlignment="1">
      <alignment horizontal="center"/>
    </xf>
    <xf numFmtId="9" fontId="26" fillId="18" borderId="103" xfId="16" applyFont="1" applyFill="1" applyBorder="1" applyAlignment="1">
      <alignment horizontal="center"/>
    </xf>
    <xf numFmtId="9" fontId="26" fillId="18" borderId="205" xfId="16" applyFont="1" applyFill="1" applyBorder="1" applyAlignment="1">
      <alignment horizontal="center"/>
    </xf>
    <xf numFmtId="0" fontId="26" fillId="31" borderId="73" xfId="0" applyFont="1" applyFill="1" applyBorder="1" applyAlignment="1">
      <alignment horizontal="center" vertical="center"/>
    </xf>
    <xf numFmtId="2" fontId="26" fillId="18" borderId="103" xfId="0" applyNumberFormat="1" applyFont="1" applyFill="1" applyBorder="1" applyAlignment="1">
      <alignment horizontal="center"/>
    </xf>
    <xf numFmtId="2" fontId="26" fillId="18" borderId="205" xfId="0" applyNumberFormat="1" applyFont="1" applyFill="1" applyBorder="1" applyAlignment="1">
      <alignment horizontal="center"/>
    </xf>
    <xf numFmtId="2" fontId="26" fillId="31" borderId="73" xfId="16" applyNumberFormat="1" applyFont="1" applyFill="1" applyBorder="1" applyAlignment="1">
      <alignment horizontal="center" vertical="center"/>
    </xf>
    <xf numFmtId="2" fontId="26" fillId="18" borderId="204" xfId="0" applyNumberFormat="1" applyFont="1" applyFill="1" applyBorder="1" applyAlignment="1">
      <alignment horizontal="center"/>
    </xf>
    <xf numFmtId="10" fontId="26" fillId="31" borderId="73" xfId="0" applyNumberFormat="1" applyFont="1" applyFill="1" applyBorder="1" applyAlignment="1">
      <alignment horizontal="center" vertical="center"/>
    </xf>
    <xf numFmtId="170" fontId="26" fillId="31" borderId="73" xfId="19" applyNumberFormat="1" applyFont="1" applyFill="1" applyBorder="1" applyAlignment="1">
      <alignment horizontal="center" vertical="center"/>
    </xf>
    <xf numFmtId="2" fontId="26" fillId="18" borderId="103" xfId="16" applyNumberFormat="1" applyFont="1" applyFill="1" applyBorder="1" applyAlignment="1">
      <alignment horizontal="center"/>
    </xf>
    <xf numFmtId="0" fontId="26" fillId="31" borderId="73" xfId="0" applyFont="1" applyFill="1" applyBorder="1" applyAlignment="1">
      <alignment horizontal="center"/>
    </xf>
    <xf numFmtId="9" fontId="26" fillId="18" borderId="75" xfId="16" applyFont="1" applyFill="1" applyBorder="1" applyAlignment="1">
      <alignment horizontal="center"/>
    </xf>
    <xf numFmtId="0" fontId="13" fillId="0" borderId="92" xfId="0" applyFont="1" applyBorder="1" applyAlignment="1">
      <alignment horizontal="left"/>
    </xf>
    <xf numFmtId="9" fontId="8" fillId="0" borderId="206" xfId="0" applyNumberFormat="1" applyFont="1" applyBorder="1" applyAlignment="1">
      <alignment horizontal="center"/>
    </xf>
    <xf numFmtId="3" fontId="54" fillId="0" borderId="143" xfId="0" applyNumberFormat="1" applyFont="1" applyBorder="1" applyAlignment="1">
      <alignment horizontal="center" vertical="center"/>
    </xf>
    <xf numFmtId="3" fontId="54" fillId="8" borderId="144" xfId="0" applyNumberFormat="1" applyFont="1" applyFill="1" applyBorder="1" applyAlignment="1">
      <alignment horizontal="center" vertical="center"/>
    </xf>
    <xf numFmtId="0" fontId="54" fillId="0" borderId="207" xfId="0" applyFont="1" applyBorder="1"/>
    <xf numFmtId="4" fontId="5" fillId="0" borderId="208" xfId="29" applyNumberFormat="1" applyBorder="1" applyAlignment="1">
      <alignment horizontal="center"/>
    </xf>
    <xf numFmtId="0" fontId="54" fillId="0" borderId="43" xfId="0" applyFont="1" applyBorder="1"/>
    <xf numFmtId="10" fontId="5" fillId="0" borderId="0" xfId="29" quotePrefix="1" applyNumberFormat="1" applyAlignment="1">
      <alignment horizontal="right"/>
    </xf>
    <xf numFmtId="1" fontId="54" fillId="40" borderId="209" xfId="0" applyNumberFormat="1" applyFont="1" applyFill="1" applyBorder="1" applyAlignment="1">
      <alignment horizontal="center" vertical="center"/>
    </xf>
    <xf numFmtId="1" fontId="54" fillId="40" borderId="176" xfId="0" applyNumberFormat="1" applyFont="1" applyFill="1" applyBorder="1" applyAlignment="1">
      <alignment horizontal="center" vertical="center"/>
    </xf>
    <xf numFmtId="1" fontId="54" fillId="40" borderId="3" xfId="0" applyNumberFormat="1" applyFont="1" applyFill="1" applyBorder="1" applyAlignment="1">
      <alignment horizontal="center" vertical="center"/>
    </xf>
    <xf numFmtId="1" fontId="54" fillId="40" borderId="34" xfId="0" applyNumberFormat="1" applyFont="1" applyFill="1" applyBorder="1" applyAlignment="1">
      <alignment horizontal="center" vertical="center"/>
    </xf>
    <xf numFmtId="1" fontId="0" fillId="0" borderId="176" xfId="0" applyNumberFormat="1" applyBorder="1" applyAlignment="1">
      <alignment horizontal="center" vertical="center"/>
    </xf>
    <xf numFmtId="1" fontId="0" fillId="0" borderId="3" xfId="0" applyNumberFormat="1" applyBorder="1" applyAlignment="1">
      <alignment horizontal="center" vertical="center"/>
    </xf>
    <xf numFmtId="1" fontId="0" fillId="0" borderId="181" xfId="0" applyNumberFormat="1" applyBorder="1" applyAlignment="1">
      <alignment horizontal="center" vertical="center"/>
    </xf>
    <xf numFmtId="1" fontId="0" fillId="0" borderId="35" xfId="0" applyNumberFormat="1" applyBorder="1" applyAlignment="1">
      <alignment horizontal="center" vertical="center"/>
    </xf>
    <xf numFmtId="0" fontId="54" fillId="0" borderId="144" xfId="0" applyFont="1" applyBorder="1" applyAlignment="1">
      <alignment horizontal="center" vertical="center"/>
    </xf>
    <xf numFmtId="1" fontId="54" fillId="0" borderId="143" xfId="0" applyNumberFormat="1" applyFont="1" applyBorder="1" applyAlignment="1">
      <alignment horizontal="center" vertical="center"/>
    </xf>
    <xf numFmtId="1" fontId="54" fillId="0" borderId="2" xfId="0" applyNumberFormat="1" applyFont="1" applyBorder="1" applyAlignment="1">
      <alignment horizontal="center" vertical="center"/>
    </xf>
    <xf numFmtId="1" fontId="54" fillId="0" borderId="174" xfId="0" applyNumberFormat="1" applyFont="1" applyBorder="1" applyAlignment="1">
      <alignment horizontal="center" vertical="center"/>
    </xf>
    <xf numFmtId="4" fontId="5" fillId="0" borderId="181" xfId="29" applyNumberFormat="1" applyBorder="1" applyAlignment="1">
      <alignment horizontal="center"/>
    </xf>
    <xf numFmtId="4" fontId="5" fillId="0" borderId="176" xfId="29" applyNumberFormat="1" applyBorder="1" applyAlignment="1">
      <alignment horizontal="center"/>
    </xf>
    <xf numFmtId="4" fontId="5" fillId="0" borderId="3" xfId="29" applyNumberFormat="1" applyBorder="1" applyAlignment="1">
      <alignment horizontal="center"/>
    </xf>
    <xf numFmtId="0" fontId="27" fillId="0" borderId="0" xfId="26" applyFont="1" applyAlignment="1">
      <alignment horizontal="center" vertical="center"/>
    </xf>
    <xf numFmtId="4" fontId="25" fillId="0" borderId="0" xfId="7" applyFont="1" applyFill="1" applyBorder="1">
      <alignment horizontal="right"/>
    </xf>
    <xf numFmtId="0" fontId="47" fillId="31" borderId="65" xfId="0" applyFont="1" applyFill="1" applyBorder="1" applyAlignment="1">
      <alignment horizontal="left" vertical="center"/>
    </xf>
    <xf numFmtId="10" fontId="0" fillId="0" borderId="51" xfId="0" applyNumberFormat="1" applyBorder="1" applyAlignment="1">
      <alignment horizontal="center" vertical="center"/>
    </xf>
    <xf numFmtId="0" fontId="13" fillId="8" borderId="104" xfId="0" applyFont="1" applyFill="1" applyBorder="1" applyAlignment="1">
      <alignment horizontal="left" vertical="center"/>
    </xf>
    <xf numFmtId="10" fontId="0" fillId="8" borderId="105" xfId="16" applyNumberFormat="1" applyFont="1" applyFill="1" applyBorder="1" applyAlignment="1">
      <alignment horizontal="center" vertical="center"/>
    </xf>
    <xf numFmtId="10" fontId="0" fillId="8" borderId="106" xfId="16" applyNumberFormat="1" applyFont="1" applyFill="1" applyBorder="1" applyAlignment="1">
      <alignment horizontal="center" vertical="center"/>
    </xf>
    <xf numFmtId="0" fontId="47" fillId="0" borderId="0" xfId="0" applyFont="1" applyAlignment="1">
      <alignment horizontal="left" vertical="center"/>
    </xf>
    <xf numFmtId="10" fontId="0" fillId="0" borderId="0" xfId="16" applyNumberFormat="1" applyFont="1" applyFill="1" applyBorder="1" applyAlignment="1">
      <alignment horizontal="center" vertical="center"/>
    </xf>
    <xf numFmtId="0" fontId="58" fillId="36" borderId="75" xfId="0" applyFont="1" applyFill="1" applyBorder="1" applyAlignment="1">
      <alignment horizontal="center" vertical="center"/>
    </xf>
    <xf numFmtId="172" fontId="0" fillId="0" borderId="204" xfId="0" applyNumberFormat="1" applyBorder="1" applyAlignment="1">
      <alignment horizontal="center"/>
    </xf>
    <xf numFmtId="172" fontId="0" fillId="17" borderId="205" xfId="0" applyNumberFormat="1" applyFill="1" applyBorder="1" applyAlignment="1">
      <alignment horizontal="center"/>
    </xf>
    <xf numFmtId="0" fontId="0" fillId="31" borderId="73" xfId="0" applyFill="1" applyBorder="1" applyAlignment="1">
      <alignment horizontal="center"/>
    </xf>
    <xf numFmtId="9" fontId="0" fillId="0" borderId="204" xfId="16" applyFont="1" applyFill="1" applyBorder="1" applyAlignment="1">
      <alignment horizontal="center"/>
    </xf>
    <xf numFmtId="9" fontId="0" fillId="17" borderId="103" xfId="16" applyFont="1" applyFill="1" applyBorder="1" applyAlignment="1">
      <alignment horizontal="center"/>
    </xf>
    <xf numFmtId="9" fontId="0" fillId="0" borderId="103" xfId="16" applyFont="1" applyFill="1" applyBorder="1" applyAlignment="1">
      <alignment horizontal="center"/>
    </xf>
    <xf numFmtId="9" fontId="0" fillId="17" borderId="205" xfId="16" applyFont="1" applyFill="1" applyBorder="1" applyAlignment="1">
      <alignment horizontal="center"/>
    </xf>
    <xf numFmtId="2" fontId="0" fillId="0" borderId="204" xfId="0" applyNumberFormat="1" applyBorder="1" applyAlignment="1">
      <alignment horizontal="center"/>
    </xf>
    <xf numFmtId="2" fontId="0" fillId="17" borderId="103" xfId="0" applyNumberFormat="1" applyFill="1" applyBorder="1" applyAlignment="1">
      <alignment horizontal="center"/>
    </xf>
    <xf numFmtId="2" fontId="0" fillId="0" borderId="205" xfId="0" applyNumberFormat="1" applyBorder="1" applyAlignment="1">
      <alignment horizontal="center"/>
    </xf>
    <xf numFmtId="2" fontId="0" fillId="17" borderId="204" xfId="0" applyNumberFormat="1" applyFill="1" applyBorder="1" applyAlignment="1">
      <alignment horizontal="center"/>
    </xf>
    <xf numFmtId="2" fontId="0" fillId="0" borderId="103" xfId="0" applyNumberFormat="1" applyBorder="1" applyAlignment="1">
      <alignment horizontal="center"/>
    </xf>
    <xf numFmtId="2" fontId="0" fillId="17" borderId="205" xfId="0" applyNumberFormat="1" applyFill="1" applyBorder="1" applyAlignment="1">
      <alignment horizontal="center"/>
    </xf>
    <xf numFmtId="168" fontId="0" fillId="0" borderId="204" xfId="0" applyNumberFormat="1" applyBorder="1" applyAlignment="1">
      <alignment horizontal="center"/>
    </xf>
    <xf numFmtId="168" fontId="0" fillId="17" borderId="103" xfId="0" applyNumberFormat="1" applyFill="1" applyBorder="1" applyAlignment="1">
      <alignment horizontal="center"/>
    </xf>
    <xf numFmtId="168" fontId="0" fillId="0" borderId="103" xfId="0" applyNumberFormat="1" applyBorder="1" applyAlignment="1">
      <alignment horizontal="center"/>
    </xf>
    <xf numFmtId="168" fontId="0" fillId="0" borderId="205" xfId="0" applyNumberFormat="1" applyBorder="1" applyAlignment="1">
      <alignment horizontal="center"/>
    </xf>
    <xf numFmtId="167" fontId="0" fillId="0" borderId="204" xfId="16" applyNumberFormat="1" applyFont="1" applyFill="1" applyBorder="1" applyAlignment="1">
      <alignment horizontal="center"/>
    </xf>
    <xf numFmtId="2" fontId="0" fillId="17" borderId="103" xfId="16" applyNumberFormat="1" applyFont="1" applyFill="1" applyBorder="1" applyAlignment="1">
      <alignment horizontal="center"/>
    </xf>
    <xf numFmtId="10" fontId="0" fillId="0" borderId="205" xfId="16" applyNumberFormat="1" applyFont="1" applyFill="1" applyBorder="1" applyAlignment="1">
      <alignment horizontal="center"/>
    </xf>
    <xf numFmtId="10" fontId="0" fillId="17" borderId="103" xfId="16" applyNumberFormat="1" applyFont="1" applyFill="1" applyBorder="1" applyAlignment="1">
      <alignment horizontal="center" vertical="center"/>
    </xf>
    <xf numFmtId="175" fontId="0" fillId="8" borderId="103" xfId="0" applyNumberFormat="1" applyFill="1" applyBorder="1" applyAlignment="1">
      <alignment horizontal="right" vertical="center"/>
    </xf>
    <xf numFmtId="175" fontId="0" fillId="17" borderId="103" xfId="0" applyNumberFormat="1" applyFill="1" applyBorder="1" applyAlignment="1">
      <alignment horizontal="center"/>
    </xf>
    <xf numFmtId="9" fontId="0" fillId="0" borderId="106" xfId="16" applyFont="1" applyFill="1" applyBorder="1" applyAlignment="1">
      <alignment horizontal="center"/>
    </xf>
    <xf numFmtId="0" fontId="73" fillId="36" borderId="73" xfId="0" applyFont="1" applyFill="1" applyBorder="1" applyAlignment="1">
      <alignment horizontal="center" vertical="center" wrapText="1"/>
    </xf>
    <xf numFmtId="0" fontId="27" fillId="5" borderId="213" xfId="26" applyFont="1" applyFill="1" applyBorder="1" applyAlignment="1">
      <alignment horizontal="center" vertical="center"/>
    </xf>
    <xf numFmtId="4" fontId="25" fillId="28" borderId="214" xfId="7" applyFont="1" applyFill="1" applyBorder="1">
      <alignment horizontal="right"/>
    </xf>
    <xf numFmtId="4" fontId="8" fillId="12" borderId="214" xfId="7" applyFont="1" applyFill="1" applyBorder="1">
      <alignment horizontal="right"/>
    </xf>
    <xf numFmtId="4" fontId="32" fillId="9" borderId="215" xfId="7" applyFont="1" applyFill="1" applyBorder="1">
      <alignment horizontal="right"/>
    </xf>
    <xf numFmtId="0" fontId="58" fillId="36" borderId="0" xfId="24" applyFont="1" applyFill="1"/>
    <xf numFmtId="0" fontId="74" fillId="36" borderId="0" xfId="24" applyFont="1" applyFill="1" applyAlignment="1">
      <alignment horizontal="left" vertical="center"/>
    </xf>
    <xf numFmtId="0" fontId="74"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10" fontId="8" fillId="0" borderId="0" xfId="24" applyNumberFormat="1"/>
    <xf numFmtId="167" fontId="0" fillId="0" borderId="0" xfId="16" applyNumberFormat="1" applyFont="1"/>
    <xf numFmtId="0" fontId="50" fillId="31" borderId="0" xfId="24" applyFont="1" applyFill="1"/>
    <xf numFmtId="0" fontId="0" fillId="7" borderId="0" xfId="0" applyFill="1"/>
    <xf numFmtId="0" fontId="27" fillId="32" borderId="224" xfId="0" applyFont="1" applyFill="1" applyBorder="1" applyAlignment="1">
      <alignment horizontal="center"/>
    </xf>
    <xf numFmtId="0" fontId="13" fillId="0" borderId="224" xfId="0" applyFont="1" applyBorder="1" applyAlignment="1">
      <alignment horizontal="center"/>
    </xf>
    <xf numFmtId="0" fontId="0" fillId="0" borderId="224" xfId="0" applyBorder="1" applyAlignment="1">
      <alignment horizontal="center"/>
    </xf>
    <xf numFmtId="0" fontId="27" fillId="10" borderId="65" xfId="0" applyFont="1" applyFill="1" applyBorder="1" applyAlignment="1">
      <alignment horizontal="center" vertical="center" wrapText="1"/>
    </xf>
    <xf numFmtId="0" fontId="27" fillId="11" borderId="65" xfId="0" applyFont="1" applyFill="1" applyBorder="1" applyAlignment="1">
      <alignment horizontal="center" vertical="center" wrapText="1"/>
    </xf>
    <xf numFmtId="0" fontId="48" fillId="15" borderId="65" xfId="0" applyFont="1" applyFill="1" applyBorder="1" applyAlignment="1">
      <alignment horizontal="center" vertical="center" wrapText="1"/>
    </xf>
    <xf numFmtId="0" fontId="27" fillId="23" borderId="65" xfId="0" applyFont="1" applyFill="1" applyBorder="1" applyAlignment="1">
      <alignment horizontal="center" vertical="center" wrapText="1"/>
    </xf>
    <xf numFmtId="0" fontId="27" fillId="16" borderId="65" xfId="0" applyFont="1" applyFill="1" applyBorder="1" applyAlignment="1">
      <alignment horizontal="center" vertical="center" wrapText="1"/>
    </xf>
    <xf numFmtId="0" fontId="8" fillId="24" borderId="0" xfId="0" applyFont="1" applyFill="1" applyAlignment="1">
      <alignment horizontal="center" vertical="center"/>
    </xf>
    <xf numFmtId="176" fontId="76" fillId="46" borderId="0" xfId="16" applyNumberFormat="1" applyFont="1" applyFill="1" applyBorder="1" applyAlignment="1">
      <alignment horizontal="center"/>
    </xf>
    <xf numFmtId="0" fontId="58" fillId="0" borderId="0" xfId="24" applyFont="1"/>
    <xf numFmtId="0" fontId="74" fillId="0" borderId="0" xfId="24" applyFont="1" applyAlignment="1">
      <alignment horizontal="center" vertical="center"/>
    </xf>
    <xf numFmtId="0" fontId="75" fillId="0" borderId="0" xfId="0" applyFont="1" applyAlignment="1">
      <alignment horizontal="center"/>
    </xf>
    <xf numFmtId="0" fontId="13" fillId="8" borderId="0" xfId="24" applyFont="1" applyFill="1" applyAlignment="1">
      <alignment horizontal="center" vertical="center"/>
    </xf>
    <xf numFmtId="0" fontId="78" fillId="5" borderId="113" xfId="4" applyFont="1" applyFill="1" applyBorder="1" applyAlignment="1">
      <alignment horizontal="center" vertical="center"/>
    </xf>
    <xf numFmtId="0" fontId="47" fillId="23" borderId="72" xfId="0" applyFont="1" applyFill="1" applyBorder="1" applyAlignment="1">
      <alignment horizontal="center" vertical="center" wrapText="1"/>
    </xf>
    <xf numFmtId="0" fontId="47" fillId="16" borderId="73" xfId="0" applyFont="1" applyFill="1" applyBorder="1" applyAlignment="1">
      <alignment horizontal="center" vertical="center" wrapText="1"/>
    </xf>
    <xf numFmtId="0" fontId="0" fillId="0" borderId="120" xfId="0" applyBorder="1" applyAlignment="1">
      <alignment horizontal="center"/>
    </xf>
    <xf numFmtId="9" fontId="65" fillId="35" borderId="119" xfId="16" applyFont="1" applyFill="1" applyBorder="1" applyAlignment="1">
      <alignment horizontal="center" vertical="center" wrapText="1"/>
    </xf>
    <xf numFmtId="0" fontId="65" fillId="35" borderId="119" xfId="0" applyFont="1" applyFill="1" applyBorder="1" applyAlignment="1">
      <alignment horizontal="center" vertical="center" wrapText="1"/>
    </xf>
    <xf numFmtId="0" fontId="0" fillId="8" borderId="0" xfId="0" applyFill="1" applyAlignment="1">
      <alignment horizontal="center" vertical="center"/>
    </xf>
    <xf numFmtId="178" fontId="0" fillId="0" borderId="0" xfId="0" applyNumberFormat="1" applyAlignment="1">
      <alignment vertical="center"/>
    </xf>
    <xf numFmtId="0" fontId="0" fillId="0" borderId="0" xfId="0" applyAlignment="1">
      <alignment vertical="center"/>
    </xf>
    <xf numFmtId="2" fontId="0" fillId="0" borderId="46" xfId="0" applyNumberFormat="1" applyBorder="1" applyAlignment="1">
      <alignment horizontal="center" vertical="center"/>
    </xf>
    <xf numFmtId="2" fontId="65" fillId="0" borderId="46" xfId="0" applyNumberFormat="1" applyFont="1" applyBorder="1" applyAlignment="1">
      <alignment horizontal="center" vertical="center"/>
    </xf>
    <xf numFmtId="2" fontId="0" fillId="8" borderId="46" xfId="0" applyNumberFormat="1" applyFill="1" applyBorder="1" applyAlignment="1">
      <alignment horizontal="center" vertical="center"/>
    </xf>
    <xf numFmtId="0" fontId="0" fillId="0" borderId="123" xfId="0" applyBorder="1" applyAlignment="1">
      <alignment horizontal="center"/>
    </xf>
    <xf numFmtId="0" fontId="81" fillId="0" borderId="46" xfId="0" applyFont="1" applyBorder="1" applyAlignment="1">
      <alignment horizontal="center" vertical="center"/>
    </xf>
    <xf numFmtId="9" fontId="77" fillId="35" borderId="46" xfId="16" applyFont="1" applyFill="1" applyBorder="1" applyAlignment="1">
      <alignment horizontal="center" vertical="center" wrapText="1"/>
    </xf>
    <xf numFmtId="9" fontId="77" fillId="35" borderId="46" xfId="16" applyFont="1" applyFill="1" applyBorder="1" applyAlignment="1">
      <alignment horizontal="center" vertical="center"/>
    </xf>
    <xf numFmtId="0" fontId="13" fillId="0" borderId="0" xfId="0" applyFont="1" applyAlignment="1">
      <alignment horizontal="left" vertical="center"/>
    </xf>
    <xf numFmtId="0" fontId="26" fillId="8" borderId="0" xfId="0" applyFont="1" applyFill="1" applyAlignment="1">
      <alignment horizontal="center" vertical="center"/>
    </xf>
    <xf numFmtId="0" fontId="0" fillId="0" borderId="120" xfId="0" applyBorder="1" applyAlignment="1">
      <alignment horizontal="center" vertical="center"/>
    </xf>
    <xf numFmtId="0" fontId="0" fillId="0" borderId="119" xfId="0" applyBorder="1" applyAlignment="1">
      <alignment horizontal="center" vertical="center"/>
    </xf>
    <xf numFmtId="0" fontId="27" fillId="32" borderId="0" xfId="0" applyFont="1" applyFill="1" applyAlignment="1">
      <alignment vertical="center"/>
    </xf>
    <xf numFmtId="0" fontId="0" fillId="0" borderId="123" xfId="0" applyBorder="1" applyAlignment="1">
      <alignment horizontal="center" vertical="center"/>
    </xf>
    <xf numFmtId="0" fontId="0" fillId="8" borderId="233" xfId="0" applyFill="1" applyBorder="1" applyAlignment="1">
      <alignment horizontal="center" vertical="center"/>
    </xf>
    <xf numFmtId="0" fontId="79" fillId="32" borderId="0" xfId="0" applyFont="1" applyFill="1" applyAlignment="1">
      <alignment horizontal="left" vertical="center"/>
    </xf>
    <xf numFmtId="0" fontId="0" fillId="0" borderId="233" xfId="0" applyBorder="1" applyAlignment="1">
      <alignment horizontal="center" vertical="center"/>
    </xf>
    <xf numFmtId="0" fontId="0" fillId="8" borderId="0" xfId="0" applyFill="1" applyAlignment="1">
      <alignment vertical="center"/>
    </xf>
    <xf numFmtId="179" fontId="0" fillId="0" borderId="46" xfId="0" applyNumberFormat="1" applyBorder="1" applyAlignment="1">
      <alignment horizontal="center" vertical="center"/>
    </xf>
    <xf numFmtId="9" fontId="77" fillId="12" borderId="46" xfId="16" applyFont="1" applyFill="1" applyBorder="1" applyAlignment="1">
      <alignment horizontal="center" vertical="center" wrapText="1"/>
    </xf>
    <xf numFmtId="3" fontId="62" fillId="38" borderId="171" xfId="0" applyNumberFormat="1" applyFont="1" applyFill="1" applyBorder="1" applyAlignment="1">
      <alignment horizontal="center" vertical="center"/>
    </xf>
    <xf numFmtId="176" fontId="76" fillId="46" borderId="0" xfId="16" applyNumberFormat="1" applyFont="1" applyFill="1" applyAlignment="1">
      <alignment horizontal="center"/>
    </xf>
    <xf numFmtId="3" fontId="1" fillId="43" borderId="44" xfId="30" applyNumberFormat="1" applyFont="1" applyFill="1" applyBorder="1" applyAlignment="1">
      <alignment horizontal="center" vertical="center"/>
    </xf>
    <xf numFmtId="9" fontId="8" fillId="0" borderId="108" xfId="16" applyFont="1" applyBorder="1" applyAlignment="1">
      <alignment horizontal="center" vertical="center"/>
    </xf>
    <xf numFmtId="9" fontId="8" fillId="17" borderId="98" xfId="16" applyFont="1" applyFill="1" applyBorder="1" applyAlignment="1">
      <alignment horizontal="center" vertical="center"/>
    </xf>
    <xf numFmtId="10" fontId="35" fillId="19" borderId="0" xfId="16" applyNumberFormat="1" applyFont="1" applyFill="1" applyAlignment="1">
      <alignment horizontal="center"/>
    </xf>
    <xf numFmtId="167" fontId="35" fillId="19" borderId="0" xfId="16" applyNumberFormat="1" applyFont="1" applyFill="1" applyAlignment="1">
      <alignment horizontal="center"/>
    </xf>
    <xf numFmtId="10" fontId="35" fillId="19" borderId="0" xfId="0" applyNumberFormat="1" applyFont="1" applyFill="1" applyAlignment="1">
      <alignment horizontal="center"/>
    </xf>
    <xf numFmtId="0" fontId="1" fillId="0" borderId="46" xfId="0" applyFont="1" applyBorder="1"/>
    <xf numFmtId="165" fontId="1" fillId="0" borderId="46" xfId="0" applyNumberFormat="1" applyFont="1" applyBorder="1" applyAlignment="1">
      <alignment horizontal="center"/>
    </xf>
    <xf numFmtId="165" fontId="1" fillId="0" borderId="0" xfId="0" applyNumberFormat="1" applyFont="1" applyAlignment="1">
      <alignment horizontal="center"/>
    </xf>
    <xf numFmtId="4" fontId="5" fillId="0" borderId="174" xfId="29" applyNumberFormat="1" applyBorder="1" applyAlignment="1">
      <alignment horizontal="center"/>
    </xf>
    <xf numFmtId="172" fontId="8" fillId="24" borderId="19" xfId="0" applyNumberFormat="1" applyFont="1" applyFill="1" applyBorder="1" applyAlignment="1">
      <alignment horizontal="center" vertical="center"/>
    </xf>
    <xf numFmtId="3" fontId="5" fillId="0" borderId="154" xfId="29" applyNumberFormat="1" applyBorder="1" applyAlignment="1">
      <alignment horizontal="center"/>
    </xf>
    <xf numFmtId="3" fontId="5" fillId="0" borderId="46" xfId="29" applyNumberFormat="1" applyBorder="1" applyAlignment="1">
      <alignment horizontal="center"/>
    </xf>
    <xf numFmtId="3" fontId="5" fillId="0" borderId="145" xfId="29" applyNumberFormat="1" applyBorder="1" applyAlignment="1">
      <alignment horizontal="center"/>
    </xf>
    <xf numFmtId="1" fontId="54" fillId="0" borderId="151" xfId="0" applyNumberFormat="1" applyFont="1" applyBorder="1" applyAlignment="1">
      <alignment horizontal="center" vertical="center"/>
    </xf>
    <xf numFmtId="1" fontId="54" fillId="0" borderId="152" xfId="0" applyNumberFormat="1" applyFont="1" applyBorder="1" applyAlignment="1">
      <alignment horizontal="center" vertical="center"/>
    </xf>
    <xf numFmtId="1" fontId="54" fillId="0" borderId="153" xfId="0" applyNumberFormat="1" applyFont="1" applyBorder="1" applyAlignment="1">
      <alignment horizontal="center" vertical="center"/>
    </xf>
    <xf numFmtId="4" fontId="5" fillId="0" borderId="155" xfId="29" applyNumberFormat="1" applyBorder="1" applyAlignment="1">
      <alignment horizontal="center"/>
    </xf>
    <xf numFmtId="4" fontId="5" fillId="0" borderId="168" xfId="29" applyNumberFormat="1" applyBorder="1" applyAlignment="1">
      <alignment horizontal="center"/>
    </xf>
    <xf numFmtId="4" fontId="5" fillId="0" borderId="169" xfId="29" applyNumberFormat="1" applyBorder="1" applyAlignment="1">
      <alignment horizontal="center"/>
    </xf>
    <xf numFmtId="0" fontId="8" fillId="0" borderId="237" xfId="0" quotePrefix="1" applyFont="1" applyBorder="1" applyAlignment="1">
      <alignment horizontal="center" vertical="center"/>
    </xf>
    <xf numFmtId="0" fontId="8" fillId="0" borderId="45" xfId="0" quotePrefix="1" applyFont="1" applyBorder="1" applyAlignment="1">
      <alignment horizontal="center" vertical="center"/>
    </xf>
    <xf numFmtId="0" fontId="54" fillId="0" borderId="0" xfId="0" applyFont="1" applyAlignment="1">
      <alignment horizontal="center" vertical="center"/>
    </xf>
    <xf numFmtId="0" fontId="8" fillId="0" borderId="0" xfId="24" applyAlignment="1">
      <alignment horizontal="center"/>
    </xf>
    <xf numFmtId="0" fontId="54" fillId="0" borderId="232" xfId="0" applyFont="1" applyBorder="1" applyAlignment="1">
      <alignment horizontal="center" vertical="center"/>
    </xf>
    <xf numFmtId="10" fontId="8" fillId="0" borderId="46" xfId="0" applyNumberFormat="1" applyFont="1" applyBorder="1" applyAlignment="1">
      <alignment horizontal="center" vertical="center"/>
    </xf>
    <xf numFmtId="0" fontId="65" fillId="0" borderId="46" xfId="29" applyFont="1" applyBorder="1"/>
    <xf numFmtId="166" fontId="13" fillId="0" borderId="238" xfId="0" applyNumberFormat="1" applyFont="1" applyBorder="1" applyAlignment="1">
      <alignment horizontal="center"/>
    </xf>
    <xf numFmtId="166" fontId="13" fillId="0" borderId="40" xfId="0" applyNumberFormat="1" applyFont="1" applyBorder="1" applyAlignment="1">
      <alignment horizontal="center"/>
    </xf>
    <xf numFmtId="166" fontId="13" fillId="0" borderId="239" xfId="0" applyNumberFormat="1" applyFont="1" applyBorder="1" applyAlignment="1">
      <alignment horizontal="center"/>
    </xf>
    <xf numFmtId="0" fontId="13" fillId="0" borderId="238" xfId="0" applyFont="1" applyBorder="1" applyAlignment="1">
      <alignment horizontal="center"/>
    </xf>
    <xf numFmtId="10" fontId="0" fillId="33" borderId="75" xfId="0" applyNumberFormat="1" applyFill="1" applyBorder="1"/>
    <xf numFmtId="166" fontId="0" fillId="0" borderId="241" xfId="0" applyNumberFormat="1" applyBorder="1" applyAlignment="1">
      <alignment horizontal="center"/>
    </xf>
    <xf numFmtId="165" fontId="8" fillId="0" borderId="98" xfId="0" applyNumberFormat="1" applyFont="1" applyBorder="1" applyAlignment="1">
      <alignment horizontal="center"/>
    </xf>
    <xf numFmtId="1" fontId="8" fillId="0" borderId="242" xfId="0" applyNumberFormat="1" applyFont="1" applyBorder="1" applyAlignment="1">
      <alignment horizontal="center" vertical="center"/>
    </xf>
    <xf numFmtId="1" fontId="8" fillId="0" borderId="243" xfId="0" applyNumberFormat="1" applyFont="1" applyBorder="1" applyAlignment="1">
      <alignment horizontal="center" vertical="center"/>
    </xf>
    <xf numFmtId="1" fontId="8" fillId="0" borderId="244" xfId="0" applyNumberFormat="1" applyFont="1" applyBorder="1" applyAlignment="1">
      <alignment horizontal="center" vertical="center"/>
    </xf>
    <xf numFmtId="1" fontId="8" fillId="0" borderId="245" xfId="0" applyNumberFormat="1" applyFont="1" applyBorder="1" applyAlignment="1">
      <alignment horizontal="center" vertical="center"/>
    </xf>
    <xf numFmtId="1" fontId="8" fillId="0" borderId="246" xfId="0" applyNumberFormat="1" applyFont="1" applyBorder="1" applyAlignment="1">
      <alignment horizontal="center" vertical="center"/>
    </xf>
    <xf numFmtId="1" fontId="8" fillId="0" borderId="247" xfId="0" applyNumberFormat="1" applyFont="1" applyBorder="1" applyAlignment="1">
      <alignment horizontal="center" vertical="center"/>
    </xf>
    <xf numFmtId="1" fontId="8" fillId="0" borderId="248" xfId="0" applyNumberFormat="1" applyFont="1" applyBorder="1" applyAlignment="1">
      <alignment horizontal="center" vertical="center"/>
    </xf>
    <xf numFmtId="3" fontId="8" fillId="0" borderId="249" xfId="0" applyNumberFormat="1" applyFont="1" applyBorder="1" applyAlignment="1">
      <alignment horizontal="center" vertical="center"/>
    </xf>
    <xf numFmtId="1" fontId="59" fillId="0" borderId="250" xfId="0" applyNumberFormat="1" applyFont="1" applyBorder="1" applyAlignment="1">
      <alignment horizontal="center" vertical="center"/>
    </xf>
    <xf numFmtId="1" fontId="59" fillId="41" borderId="251" xfId="0" applyNumberFormat="1" applyFont="1" applyFill="1" applyBorder="1" applyAlignment="1">
      <alignment horizontal="center" vertical="center"/>
    </xf>
    <xf numFmtId="1" fontId="59" fillId="41" borderId="252" xfId="0" applyNumberFormat="1" applyFont="1" applyFill="1" applyBorder="1" applyAlignment="1">
      <alignment horizontal="center" vertical="center"/>
    </xf>
    <xf numFmtId="1" fontId="59" fillId="0" borderId="249" xfId="0" applyNumberFormat="1" applyFont="1" applyBorder="1" applyAlignment="1">
      <alignment horizontal="center" vertical="center"/>
    </xf>
    <xf numFmtId="1" fontId="59" fillId="41" borderId="249" xfId="0" applyNumberFormat="1" applyFont="1" applyFill="1" applyBorder="1" applyAlignment="1">
      <alignment horizontal="center" vertical="center"/>
    </xf>
    <xf numFmtId="1" fontId="59" fillId="41" borderId="250" xfId="0" applyNumberFormat="1" applyFont="1" applyFill="1" applyBorder="1" applyAlignment="1">
      <alignment horizontal="center" vertical="center"/>
    </xf>
    <xf numFmtId="0" fontId="8" fillId="0" borderId="253" xfId="0" quotePrefix="1" applyFont="1" applyBorder="1" applyAlignment="1">
      <alignment horizontal="center" vertical="center"/>
    </xf>
    <xf numFmtId="0" fontId="8" fillId="0" borderId="250" xfId="0" quotePrefix="1" applyFont="1" applyBorder="1" applyAlignment="1">
      <alignment horizontal="center" vertical="center"/>
    </xf>
    <xf numFmtId="1" fontId="59" fillId="0" borderId="252" xfId="0" applyNumberFormat="1" applyFont="1" applyBorder="1" applyAlignment="1">
      <alignment horizontal="center" vertical="center"/>
    </xf>
    <xf numFmtId="3" fontId="59" fillId="41" borderId="254" xfId="0" applyNumberFormat="1" applyFont="1" applyFill="1" applyBorder="1" applyAlignment="1">
      <alignment horizontal="center" vertical="center"/>
    </xf>
    <xf numFmtId="3" fontId="59" fillId="41" borderId="255" xfId="0" applyNumberFormat="1" applyFont="1" applyFill="1" applyBorder="1" applyAlignment="1">
      <alignment horizontal="center" vertical="center"/>
    </xf>
    <xf numFmtId="3" fontId="59" fillId="41" borderId="256" xfId="0" applyNumberFormat="1" applyFont="1" applyFill="1" applyBorder="1" applyAlignment="1">
      <alignment horizontal="center" vertical="center"/>
    </xf>
    <xf numFmtId="3" fontId="59" fillId="41" borderId="257" xfId="0" applyNumberFormat="1" applyFont="1" applyFill="1" applyBorder="1" applyAlignment="1">
      <alignment horizontal="center" vertical="center"/>
    </xf>
    <xf numFmtId="3" fontId="59" fillId="41" borderId="258" xfId="0" applyNumberFormat="1" applyFont="1" applyFill="1" applyBorder="1" applyAlignment="1">
      <alignment horizontal="center" vertical="center"/>
    </xf>
    <xf numFmtId="0" fontId="59" fillId="0" borderId="44" xfId="0" applyFont="1" applyBorder="1" applyAlignment="1">
      <alignment horizontal="center" vertical="center"/>
    </xf>
    <xf numFmtId="3" fontId="59" fillId="40" borderId="44" xfId="0" applyNumberFormat="1" applyFont="1" applyFill="1" applyBorder="1" applyAlignment="1">
      <alignment horizontal="center" vertical="center"/>
    </xf>
    <xf numFmtId="0" fontId="59" fillId="41" borderId="44" xfId="0" applyFont="1" applyFill="1" applyBorder="1" applyAlignment="1">
      <alignment horizontal="center" vertical="center"/>
    </xf>
    <xf numFmtId="3" fontId="59" fillId="40" borderId="44" xfId="0" quotePrefix="1" applyNumberFormat="1" applyFont="1" applyFill="1" applyBorder="1" applyAlignment="1">
      <alignment horizontal="center" vertical="center"/>
    </xf>
    <xf numFmtId="3" fontId="59" fillId="0" borderId="44" xfId="0" applyNumberFormat="1" applyFont="1" applyBorder="1" applyAlignment="1">
      <alignment horizontal="center" vertical="center"/>
    </xf>
    <xf numFmtId="0" fontId="56" fillId="0" borderId="119" xfId="0" applyFont="1" applyBorder="1" applyAlignment="1">
      <alignment horizontal="center"/>
    </xf>
    <xf numFmtId="0" fontId="13" fillId="0" borderId="251" xfId="0" applyFont="1" applyBorder="1" applyAlignment="1">
      <alignment horizontal="center"/>
    </xf>
    <xf numFmtId="0" fontId="8" fillId="37" borderId="259" xfId="0" applyFont="1" applyFill="1" applyBorder="1"/>
    <xf numFmtId="0" fontId="13" fillId="0" borderId="259" xfId="0" applyFont="1" applyBorder="1"/>
    <xf numFmtId="0" fontId="8" fillId="0" borderId="259" xfId="0" applyFont="1" applyBorder="1"/>
    <xf numFmtId="0" fontId="13" fillId="0" borderId="260" xfId="0" applyFont="1" applyBorder="1" applyAlignment="1">
      <alignment horizontal="center"/>
    </xf>
    <xf numFmtId="0" fontId="8" fillId="0" borderId="150" xfId="0" applyFont="1" applyBorder="1"/>
    <xf numFmtId="9" fontId="33" fillId="38" borderId="183" xfId="16" applyFont="1" applyFill="1" applyBorder="1" applyAlignment="1">
      <alignment horizontal="center" vertical="center"/>
    </xf>
    <xf numFmtId="3" fontId="1" fillId="43" borderId="1" xfId="30" applyNumberFormat="1" applyFont="1" applyFill="1" applyBorder="1" applyAlignment="1">
      <alignment horizontal="center" vertical="center"/>
    </xf>
    <xf numFmtId="167" fontId="33" fillId="38" borderId="45" xfId="16" applyNumberFormat="1" applyFont="1" applyFill="1" applyBorder="1" applyAlignment="1">
      <alignment horizontal="center" vertical="center"/>
    </xf>
    <xf numFmtId="3" fontId="62" fillId="0" borderId="45" xfId="0" applyNumberFormat="1" applyFont="1" applyBorder="1" applyAlignment="1">
      <alignment horizontal="center" vertical="center"/>
    </xf>
    <xf numFmtId="0" fontId="68" fillId="38" borderId="45" xfId="0" applyFont="1" applyFill="1" applyBorder="1" applyAlignment="1">
      <alignment horizontal="center" vertical="center"/>
    </xf>
    <xf numFmtId="3" fontId="25" fillId="38" borderId="45" xfId="0" applyNumberFormat="1" applyFont="1" applyFill="1" applyBorder="1" applyAlignment="1">
      <alignment horizontal="center" vertical="center"/>
    </xf>
    <xf numFmtId="3" fontId="62" fillId="38" borderId="45" xfId="0" applyNumberFormat="1" applyFont="1" applyFill="1" applyBorder="1" applyAlignment="1">
      <alignment horizontal="center" vertical="center"/>
    </xf>
    <xf numFmtId="0" fontId="62" fillId="0" borderId="45" xfId="0" applyFont="1" applyBorder="1" applyAlignment="1">
      <alignment horizontal="center" vertical="center"/>
    </xf>
    <xf numFmtId="3" fontId="68" fillId="38" borderId="45" xfId="0" quotePrefix="1" applyNumberFormat="1" applyFont="1" applyFill="1" applyBorder="1" applyAlignment="1">
      <alignment horizontal="center" vertical="center"/>
    </xf>
    <xf numFmtId="0" fontId="62" fillId="38" borderId="261" xfId="0" applyFont="1" applyFill="1" applyBorder="1" applyAlignment="1">
      <alignment horizontal="center" vertical="center"/>
    </xf>
    <xf numFmtId="0" fontId="56" fillId="0" borderId="262" xfId="0" applyFont="1" applyBorder="1" applyAlignment="1">
      <alignment horizontal="center"/>
    </xf>
    <xf numFmtId="0" fontId="57" fillId="0" borderId="192" xfId="0" applyFont="1" applyBorder="1" applyAlignment="1">
      <alignment horizontal="center"/>
    </xf>
    <xf numFmtId="0" fontId="13" fillId="37" borderId="259" xfId="0" applyFont="1" applyFill="1" applyBorder="1"/>
    <xf numFmtId="3" fontId="8" fillId="0" borderId="113" xfId="26" applyNumberFormat="1" applyBorder="1" applyAlignment="1">
      <alignment vertical="center"/>
    </xf>
    <xf numFmtId="4" fontId="8" fillId="0" borderId="113" xfId="26" applyNumberFormat="1" applyBorder="1" applyAlignment="1">
      <alignment vertical="center"/>
    </xf>
    <xf numFmtId="169" fontId="8" fillId="8" borderId="113" xfId="6" applyFont="1" applyFill="1" applyBorder="1" applyAlignment="1">
      <alignment horizontal="left" vertical="center" wrapText="1"/>
    </xf>
    <xf numFmtId="0" fontId="0" fillId="0" borderId="0" xfId="0" applyAlignment="1">
      <alignment horizontal="left" vertical="center" wrapText="1"/>
    </xf>
    <xf numFmtId="4" fontId="8" fillId="3" borderId="113" xfId="7" applyFont="1" applyBorder="1" applyAlignment="1">
      <alignment horizontal="left" vertical="center" wrapText="1"/>
    </xf>
    <xf numFmtId="0" fontId="8" fillId="0" borderId="113" xfId="26" applyBorder="1" applyAlignment="1">
      <alignment horizontal="right"/>
    </xf>
    <xf numFmtId="0" fontId="8" fillId="0" borderId="263" xfId="0" applyFont="1" applyBorder="1" applyAlignment="1">
      <alignment horizontal="right"/>
    </xf>
    <xf numFmtId="0" fontId="8" fillId="0" borderId="113" xfId="26" applyBorder="1" applyAlignment="1">
      <alignment horizontal="right" vertical="center"/>
    </xf>
    <xf numFmtId="169" fontId="8" fillId="3" borderId="113" xfId="6" applyFont="1" applyBorder="1" applyAlignment="1">
      <alignment horizontal="left" vertical="center" wrapText="1"/>
    </xf>
    <xf numFmtId="169" fontId="8" fillId="8" borderId="113" xfId="6" applyFont="1" applyFill="1" applyBorder="1" applyAlignment="1">
      <alignment horizontal="center" vertical="center" wrapText="1"/>
    </xf>
    <xf numFmtId="0" fontId="8" fillId="0" borderId="113" xfId="10" applyFont="1" applyFill="1" applyBorder="1" applyAlignment="1">
      <alignment horizontal="center" vertical="center" wrapText="1"/>
    </xf>
    <xf numFmtId="4" fontId="8" fillId="8" borderId="113" xfId="7" applyFont="1" applyFill="1" applyBorder="1" applyAlignment="1">
      <alignment horizontal="left" vertical="center" wrapText="1"/>
    </xf>
    <xf numFmtId="4" fontId="8" fillId="0" borderId="113" xfId="7" applyFont="1" applyFill="1" applyBorder="1" applyAlignment="1">
      <alignment horizontal="left" vertical="center" wrapText="1"/>
    </xf>
    <xf numFmtId="172" fontId="8" fillId="0" borderId="98" xfId="0" applyNumberFormat="1" applyFont="1" applyBorder="1" applyAlignment="1">
      <alignment horizontal="center"/>
    </xf>
    <xf numFmtId="0" fontId="85" fillId="3" borderId="0" xfId="0" applyFont="1" applyFill="1" applyAlignment="1">
      <alignment wrapText="1"/>
    </xf>
    <xf numFmtId="0" fontId="8" fillId="0" borderId="113" xfId="26" applyBorder="1" applyAlignment="1">
      <alignment wrapText="1"/>
    </xf>
    <xf numFmtId="0" fontId="8" fillId="0" borderId="113" xfId="26" applyBorder="1" applyAlignment="1">
      <alignment horizontal="right" wrapText="1"/>
    </xf>
    <xf numFmtId="4" fontId="86" fillId="0" borderId="0" xfId="0" applyNumberFormat="1" applyFont="1"/>
    <xf numFmtId="3" fontId="8" fillId="0" borderId="113" xfId="26" applyNumberFormat="1" applyBorder="1" applyAlignment="1">
      <alignment horizontal="right" vertical="center"/>
    </xf>
    <xf numFmtId="0" fontId="80" fillId="31" borderId="46" xfId="0" applyFont="1" applyFill="1" applyBorder="1" applyAlignment="1">
      <alignment horizontal="center" vertical="center"/>
    </xf>
    <xf numFmtId="0" fontId="0" fillId="0" borderId="45" xfId="0" applyBorder="1" applyAlignment="1">
      <alignment horizontal="center" vertical="center"/>
    </xf>
    <xf numFmtId="9" fontId="65" fillId="35" borderId="120" xfId="16" applyFont="1" applyFill="1" applyBorder="1" applyAlignment="1">
      <alignment horizontal="center" vertical="center" wrapText="1"/>
    </xf>
    <xf numFmtId="0" fontId="0" fillId="0" borderId="64" xfId="0" applyBorder="1" applyAlignment="1">
      <alignment horizontal="center"/>
    </xf>
    <xf numFmtId="179" fontId="0" fillId="0" borderId="96" xfId="0" applyNumberFormat="1" applyBorder="1" applyAlignment="1">
      <alignment horizontal="center"/>
    </xf>
    <xf numFmtId="179" fontId="0" fillId="17" borderId="98" xfId="0" applyNumberFormat="1" applyFill="1" applyBorder="1" applyAlignment="1">
      <alignment horizontal="center"/>
    </xf>
    <xf numFmtId="179" fontId="0" fillId="0" borderId="98" xfId="0" applyNumberFormat="1" applyBorder="1" applyAlignment="1">
      <alignment horizontal="center"/>
    </xf>
    <xf numFmtId="179" fontId="0" fillId="0" borderId="97" xfId="0" applyNumberFormat="1" applyBorder="1" applyAlignment="1">
      <alignment horizontal="center"/>
    </xf>
    <xf numFmtId="172" fontId="0" fillId="0" borderId="0" xfId="0" applyNumberFormat="1"/>
    <xf numFmtId="44" fontId="26" fillId="18" borderId="204" xfId="34" applyFont="1" applyFill="1" applyBorder="1" applyAlignment="1">
      <alignment horizontal="center"/>
    </xf>
    <xf numFmtId="172" fontId="0" fillId="12" borderId="96" xfId="0" applyNumberFormat="1" applyFill="1" applyBorder="1" applyAlignment="1">
      <alignment horizontal="center"/>
    </xf>
    <xf numFmtId="172" fontId="0" fillId="12" borderId="97" xfId="0" applyNumberFormat="1" applyFill="1" applyBorder="1" applyAlignment="1">
      <alignment horizontal="center"/>
    </xf>
    <xf numFmtId="9" fontId="0" fillId="12" borderId="98" xfId="16" applyFont="1" applyFill="1" applyBorder="1" applyAlignment="1">
      <alignment horizontal="center"/>
    </xf>
    <xf numFmtId="2" fontId="0" fillId="12" borderId="97" xfId="0" applyNumberFormat="1" applyFill="1" applyBorder="1" applyAlignment="1">
      <alignment horizontal="center"/>
    </xf>
    <xf numFmtId="2" fontId="0" fillId="9" borderId="97" xfId="0" applyNumberFormat="1" applyFill="1" applyBorder="1" applyAlignment="1">
      <alignment horizontal="center"/>
    </xf>
    <xf numFmtId="2" fontId="0" fillId="28" borderId="96" xfId="0" applyNumberFormat="1" applyFill="1" applyBorder="1" applyAlignment="1">
      <alignment horizontal="center"/>
    </xf>
    <xf numFmtId="168" fontId="8" fillId="12" borderId="96" xfId="0" applyNumberFormat="1" applyFont="1" applyFill="1" applyBorder="1" applyAlignment="1">
      <alignment horizontal="center"/>
    </xf>
    <xf numFmtId="168" fontId="0" fillId="12" borderId="98" xfId="0" applyNumberFormat="1" applyFill="1" applyBorder="1" applyAlignment="1">
      <alignment horizontal="center"/>
    </xf>
    <xf numFmtId="168" fontId="0" fillId="12" borderId="97" xfId="0" applyNumberFormat="1" applyFill="1" applyBorder="1" applyAlignment="1">
      <alignment horizontal="center"/>
    </xf>
    <xf numFmtId="9" fontId="8" fillId="12" borderId="108" xfId="16" applyFont="1" applyFill="1" applyBorder="1" applyAlignment="1">
      <alignment horizontal="center" vertical="center"/>
    </xf>
    <xf numFmtId="9" fontId="0" fillId="12" borderId="0" xfId="16" applyFont="1" applyFill="1" applyBorder="1" applyAlignment="1">
      <alignment horizontal="center" vertical="center"/>
    </xf>
    <xf numFmtId="0" fontId="79" fillId="32" borderId="180" xfId="0" applyFont="1" applyFill="1" applyBorder="1" applyAlignment="1">
      <alignment horizontal="left" vertical="center"/>
    </xf>
    <xf numFmtId="0" fontId="27" fillId="32" borderId="231" xfId="0" applyFont="1" applyFill="1" applyBorder="1" applyAlignment="1">
      <alignment vertical="center"/>
    </xf>
    <xf numFmtId="0" fontId="0" fillId="0" borderId="36" xfId="0" applyBorder="1" applyAlignment="1">
      <alignment horizontal="center" vertical="center"/>
    </xf>
    <xf numFmtId="0" fontId="0" fillId="0" borderId="4" xfId="0" applyBorder="1" applyAlignment="1">
      <alignment horizontal="center" vertical="center"/>
    </xf>
    <xf numFmtId="9" fontId="0" fillId="0" borderId="4" xfId="16" applyFont="1" applyBorder="1" applyAlignment="1">
      <alignment horizontal="center" vertical="center"/>
    </xf>
    <xf numFmtId="2" fontId="0" fillId="0" borderId="4" xfId="0" applyNumberFormat="1" applyBorder="1" applyAlignment="1">
      <alignment horizontal="center" vertical="center"/>
    </xf>
    <xf numFmtId="177" fontId="0" fillId="0" borderId="4" xfId="0" applyNumberFormat="1" applyBorder="1" applyAlignment="1">
      <alignment horizontal="center" vertical="center"/>
    </xf>
    <xf numFmtId="0" fontId="0" fillId="0" borderId="32" xfId="0" applyBorder="1" applyAlignment="1">
      <alignment horizontal="center" vertical="center"/>
    </xf>
    <xf numFmtId="0" fontId="65" fillId="35" borderId="264" xfId="0" applyFont="1" applyFill="1" applyBorder="1" applyAlignment="1">
      <alignment horizontal="center" vertical="center"/>
    </xf>
    <xf numFmtId="9" fontId="65" fillId="35" borderId="264" xfId="16" applyFont="1" applyFill="1" applyBorder="1" applyAlignment="1">
      <alignment horizontal="center" vertical="center" wrapText="1"/>
    </xf>
    <xf numFmtId="0" fontId="65" fillId="35" borderId="264" xfId="16" applyNumberFormat="1" applyFont="1" applyFill="1" applyBorder="1" applyAlignment="1">
      <alignment horizontal="center" vertical="center" wrapText="1"/>
    </xf>
    <xf numFmtId="177" fontId="65" fillId="35" borderId="264" xfId="16" applyNumberFormat="1" applyFont="1" applyFill="1" applyBorder="1" applyAlignment="1">
      <alignment horizontal="center" vertical="center" wrapText="1"/>
    </xf>
    <xf numFmtId="9" fontId="65" fillId="12" borderId="264" xfId="16" applyFont="1" applyFill="1" applyBorder="1" applyAlignment="1">
      <alignment horizontal="center" vertical="center" wrapText="1"/>
    </xf>
    <xf numFmtId="0" fontId="65" fillId="12" borderId="264" xfId="16" applyNumberFormat="1" applyFont="1" applyFill="1" applyBorder="1" applyAlignment="1">
      <alignment horizontal="center" vertical="center" wrapText="1"/>
    </xf>
    <xf numFmtId="0" fontId="0" fillId="0" borderId="46" xfId="0" applyBorder="1" applyAlignment="1">
      <alignment horizontal="center" vertical="center"/>
    </xf>
    <xf numFmtId="0" fontId="0" fillId="0" borderId="1" xfId="0" applyBorder="1" applyAlignment="1">
      <alignment horizontal="center" vertical="center"/>
    </xf>
    <xf numFmtId="9" fontId="0" fillId="0" borderId="46" xfId="16" applyFont="1" applyBorder="1"/>
    <xf numFmtId="177" fontId="0" fillId="0" borderId="46" xfId="0" applyNumberFormat="1" applyBorder="1" applyAlignment="1">
      <alignment horizontal="center" vertical="center"/>
    </xf>
    <xf numFmtId="9" fontId="0" fillId="0" borderId="46" xfId="16" applyFont="1" applyBorder="1" applyAlignment="1">
      <alignment horizontal="center" vertical="center"/>
    </xf>
    <xf numFmtId="0" fontId="0" fillId="0" borderId="2" xfId="0" applyBorder="1" applyAlignment="1">
      <alignment horizontal="center" vertical="center"/>
    </xf>
    <xf numFmtId="0" fontId="0" fillId="0" borderId="265" xfId="0" applyBorder="1" applyAlignment="1">
      <alignment horizontal="center" vertical="center"/>
    </xf>
    <xf numFmtId="0" fontId="0" fillId="0" borderId="6" xfId="0" applyBorder="1" applyAlignment="1">
      <alignment vertical="center"/>
    </xf>
    <xf numFmtId="0" fontId="0" fillId="0" borderId="36" xfId="0" applyBorder="1" applyAlignment="1">
      <alignment vertical="center"/>
    </xf>
    <xf numFmtId="0" fontId="0" fillId="0" borderId="4" xfId="0" applyBorder="1" applyAlignment="1">
      <alignment vertical="center"/>
    </xf>
    <xf numFmtId="0" fontId="80" fillId="8" borderId="4" xfId="0" applyFont="1" applyFill="1" applyBorder="1" applyAlignment="1">
      <alignment horizontal="center" vertical="center"/>
    </xf>
    <xf numFmtId="0" fontId="0" fillId="8" borderId="4" xfId="0" applyFill="1" applyBorder="1" applyAlignment="1">
      <alignment vertical="center"/>
    </xf>
    <xf numFmtId="0" fontId="0" fillId="0" borderId="180" xfId="0" applyBorder="1" applyAlignment="1">
      <alignment horizontal="center" vertical="center"/>
    </xf>
    <xf numFmtId="0" fontId="0" fillId="8" borderId="46" xfId="0" applyFill="1" applyBorder="1" applyAlignment="1">
      <alignment horizontal="center" vertical="center"/>
    </xf>
    <xf numFmtId="0" fontId="0" fillId="0" borderId="37" xfId="0" applyBorder="1" applyAlignment="1">
      <alignment vertical="center"/>
    </xf>
    <xf numFmtId="0" fontId="0" fillId="0" borderId="2" xfId="0" applyBorder="1" applyAlignment="1">
      <alignment vertical="center"/>
    </xf>
    <xf numFmtId="0" fontId="0" fillId="0" borderId="38" xfId="0" applyBorder="1" applyAlignment="1">
      <alignment vertical="center"/>
    </xf>
    <xf numFmtId="3" fontId="8" fillId="0" borderId="0" xfId="24" applyNumberFormat="1"/>
    <xf numFmtId="1" fontId="0" fillId="0" borderId="0" xfId="0" applyNumberFormat="1" applyAlignment="1">
      <alignment horizontal="center"/>
    </xf>
    <xf numFmtId="1" fontId="54" fillId="0" borderId="0" xfId="0" applyNumberFormat="1" applyFont="1"/>
    <xf numFmtId="3" fontId="68" fillId="38" borderId="44" xfId="0" applyNumberFormat="1" applyFont="1" applyFill="1" applyBorder="1" applyAlignment="1">
      <alignment horizontal="center" vertical="center"/>
    </xf>
    <xf numFmtId="3" fontId="68" fillId="38" borderId="46" xfId="0" applyNumberFormat="1" applyFont="1" applyFill="1" applyBorder="1" applyAlignment="1">
      <alignment horizontal="center" vertical="center"/>
    </xf>
    <xf numFmtId="3" fontId="68" fillId="38" borderId="45" xfId="0" applyNumberFormat="1" applyFont="1" applyFill="1" applyBorder="1" applyAlignment="1">
      <alignment horizontal="center" vertical="center"/>
    </xf>
    <xf numFmtId="3" fontId="59" fillId="0" borderId="170" xfId="0" applyNumberFormat="1" applyFont="1" applyBorder="1" applyAlignment="1">
      <alignment horizontal="center" vertical="center"/>
    </xf>
    <xf numFmtId="3" fontId="59" fillId="0" borderId="152" xfId="0" applyNumberFormat="1" applyFont="1" applyBorder="1" applyAlignment="1">
      <alignment horizontal="center" vertical="center"/>
    </xf>
    <xf numFmtId="10" fontId="35" fillId="0" borderId="0" xfId="0" applyNumberFormat="1" applyFont="1"/>
    <xf numFmtId="2" fontId="8" fillId="0" borderId="0" xfId="24" applyNumberFormat="1"/>
    <xf numFmtId="9" fontId="54" fillId="0" borderId="0" xfId="0" applyNumberFormat="1" applyFont="1"/>
    <xf numFmtId="0" fontId="57" fillId="8" borderId="0" xfId="24" applyFont="1" applyFill="1" applyAlignment="1">
      <alignment horizontal="center"/>
    </xf>
    <xf numFmtId="10" fontId="75" fillId="8" borderId="0" xfId="24" applyNumberFormat="1" applyFont="1" applyFill="1" applyAlignment="1">
      <alignment horizontal="center"/>
    </xf>
    <xf numFmtId="0" fontId="75" fillId="8" borderId="0" xfId="24" applyFont="1" applyFill="1"/>
    <xf numFmtId="2" fontId="8" fillId="8" borderId="0" xfId="24" applyNumberFormat="1" applyFill="1" applyAlignment="1">
      <alignment horizontal="center" vertical="center"/>
    </xf>
    <xf numFmtId="0" fontId="77" fillId="8" borderId="0" xfId="0" applyFont="1" applyFill="1" applyAlignment="1">
      <alignment horizontal="center"/>
    </xf>
    <xf numFmtId="3" fontId="8" fillId="0" borderId="0" xfId="24" applyNumberFormat="1" applyAlignment="1">
      <alignment horizontal="center"/>
    </xf>
    <xf numFmtId="10" fontId="8" fillId="0" borderId="0" xfId="24" applyNumberFormat="1" applyAlignment="1">
      <alignment horizontal="center"/>
    </xf>
    <xf numFmtId="0" fontId="8" fillId="0" borderId="119" xfId="24" applyBorder="1" applyAlignment="1">
      <alignment horizontal="center"/>
    </xf>
    <xf numFmtId="3" fontId="8" fillId="0" borderId="119" xfId="24" applyNumberFormat="1" applyBorder="1" applyAlignment="1">
      <alignment horizontal="center"/>
    </xf>
    <xf numFmtId="10" fontId="8" fillId="0" borderId="119" xfId="24" applyNumberFormat="1" applyBorder="1" applyAlignment="1">
      <alignment horizontal="center"/>
    </xf>
    <xf numFmtId="0" fontId="8" fillId="0" borderId="119" xfId="24" applyBorder="1"/>
    <xf numFmtId="0" fontId="8" fillId="0" borderId="122" xfId="24" applyBorder="1" applyAlignment="1">
      <alignment horizontal="center"/>
    </xf>
    <xf numFmtId="0" fontId="8" fillId="17" borderId="122" xfId="24" applyFill="1" applyBorder="1" applyAlignment="1">
      <alignment horizontal="center"/>
    </xf>
    <xf numFmtId="0" fontId="8" fillId="17" borderId="119" xfId="24" applyFill="1" applyBorder="1" applyAlignment="1">
      <alignment horizontal="center"/>
    </xf>
    <xf numFmtId="0" fontId="8" fillId="47" borderId="119" xfId="24" applyFill="1" applyBorder="1" applyAlignment="1">
      <alignment horizontal="center"/>
    </xf>
    <xf numFmtId="0" fontId="8" fillId="47" borderId="119" xfId="24" applyFill="1" applyBorder="1"/>
    <xf numFmtId="0" fontId="13" fillId="0" borderId="119" xfId="24" applyFont="1" applyBorder="1" applyAlignment="1">
      <alignment horizontal="center"/>
    </xf>
    <xf numFmtId="0" fontId="13" fillId="12" borderId="119" xfId="24" applyFont="1" applyFill="1" applyBorder="1" applyAlignment="1">
      <alignment horizontal="center"/>
    </xf>
    <xf numFmtId="10" fontId="8" fillId="0" borderId="119" xfId="24" applyNumberFormat="1" applyBorder="1"/>
    <xf numFmtId="0" fontId="8" fillId="0" borderId="120" xfId="24" applyBorder="1"/>
    <xf numFmtId="0" fontId="13" fillId="0" borderId="119" xfId="24" applyFont="1" applyBorder="1"/>
    <xf numFmtId="0" fontId="13" fillId="12" borderId="119" xfId="24" applyFont="1" applyFill="1" applyBorder="1"/>
    <xf numFmtId="0" fontId="8" fillId="0" borderId="122" xfId="24" applyBorder="1"/>
    <xf numFmtId="0" fontId="13" fillId="0" borderId="122" xfId="24" applyFont="1" applyBorder="1"/>
    <xf numFmtId="10" fontId="13" fillId="12" borderId="119" xfId="24" applyNumberFormat="1" applyFont="1" applyFill="1" applyBorder="1"/>
    <xf numFmtId="2" fontId="8" fillId="0" borderId="119" xfId="24" applyNumberFormat="1" applyBorder="1"/>
    <xf numFmtId="2" fontId="8" fillId="0" borderId="122" xfId="24" applyNumberFormat="1" applyBorder="1"/>
    <xf numFmtId="10" fontId="13" fillId="48" borderId="119" xfId="24" applyNumberFormat="1" applyFont="1" applyFill="1" applyBorder="1"/>
    <xf numFmtId="0" fontId="13" fillId="48" borderId="122" xfId="24" applyFont="1" applyFill="1" applyBorder="1"/>
    <xf numFmtId="0" fontId="8" fillId="17" borderId="122" xfId="24" applyFill="1" applyBorder="1"/>
    <xf numFmtId="0" fontId="88" fillId="48" borderId="0" xfId="24" applyFont="1" applyFill="1"/>
    <xf numFmtId="10" fontId="13" fillId="12" borderId="120" xfId="24" applyNumberFormat="1" applyFont="1" applyFill="1" applyBorder="1"/>
    <xf numFmtId="0" fontId="9" fillId="47" borderId="119" xfId="24" applyFont="1" applyFill="1" applyBorder="1"/>
    <xf numFmtId="10" fontId="13" fillId="0" borderId="119" xfId="24" applyNumberFormat="1" applyFont="1" applyBorder="1" applyAlignment="1">
      <alignment horizontal="center"/>
    </xf>
    <xf numFmtId="10" fontId="13" fillId="12" borderId="119" xfId="24" applyNumberFormat="1" applyFont="1" applyFill="1" applyBorder="1" applyAlignment="1">
      <alignment horizontal="center"/>
    </xf>
    <xf numFmtId="3" fontId="8" fillId="17" borderId="119" xfId="24" applyNumberFormat="1" applyFill="1" applyBorder="1" applyAlignment="1">
      <alignment horizontal="center"/>
    </xf>
    <xf numFmtId="9" fontId="13" fillId="12" borderId="119" xfId="24" applyNumberFormat="1" applyFont="1" applyFill="1" applyBorder="1" applyAlignment="1">
      <alignment horizontal="center"/>
    </xf>
    <xf numFmtId="0" fontId="8" fillId="47" borderId="119" xfId="24" applyFill="1" applyBorder="1" applyAlignment="1">
      <alignment horizontal="left"/>
    </xf>
    <xf numFmtId="0" fontId="9" fillId="47" borderId="119" xfId="24" applyFont="1" applyFill="1" applyBorder="1" applyAlignment="1">
      <alignment horizontal="center"/>
    </xf>
    <xf numFmtId="1" fontId="8" fillId="0" borderId="119" xfId="24" applyNumberFormat="1" applyBorder="1"/>
    <xf numFmtId="3" fontId="8" fillId="0" borderId="122" xfId="24" applyNumberFormat="1" applyBorder="1"/>
    <xf numFmtId="0" fontId="8" fillId="8" borderId="0" xfId="0" applyFont="1" applyFill="1" applyAlignment="1">
      <alignment horizontal="center" vertical="center"/>
    </xf>
    <xf numFmtId="176" fontId="76" fillId="8" borderId="0" xfId="16" applyNumberFormat="1" applyFont="1" applyFill="1" applyBorder="1" applyAlignment="1">
      <alignment horizontal="center"/>
    </xf>
    <xf numFmtId="0" fontId="8" fillId="12" borderId="0" xfId="24" applyFill="1"/>
    <xf numFmtId="0" fontId="13" fillId="12" borderId="0" xfId="24" applyFont="1" applyFill="1"/>
    <xf numFmtId="0" fontId="8" fillId="12" borderId="19" xfId="0" applyFont="1" applyFill="1" applyBorder="1" applyAlignment="1">
      <alignment horizontal="center"/>
    </xf>
    <xf numFmtId="0" fontId="25" fillId="28" borderId="19" xfId="0" applyFont="1" applyFill="1" applyBorder="1" applyAlignment="1">
      <alignment horizontal="center"/>
    </xf>
    <xf numFmtId="0" fontId="8" fillId="7" borderId="26" xfId="0" applyFont="1" applyFill="1" applyBorder="1" applyAlignment="1">
      <alignment horizontal="center" vertical="center"/>
    </xf>
    <xf numFmtId="175" fontId="0" fillId="17" borderId="98" xfId="0" applyNumberFormat="1" applyFill="1" applyBorder="1" applyAlignment="1">
      <alignment horizontal="left"/>
    </xf>
    <xf numFmtId="0" fontId="0" fillId="7" borderId="184" xfId="0" applyFill="1" applyBorder="1" applyAlignment="1">
      <alignment horizontal="left"/>
    </xf>
    <xf numFmtId="0" fontId="8" fillId="7" borderId="19" xfId="0" applyFont="1" applyFill="1" applyBorder="1" applyAlignment="1">
      <alignment vertical="center" wrapText="1"/>
    </xf>
    <xf numFmtId="0" fontId="34" fillId="7" borderId="19" xfId="0" applyFont="1" applyFill="1" applyBorder="1" applyAlignment="1">
      <alignment horizontal="center" vertical="center" wrapText="1"/>
    </xf>
    <xf numFmtId="0" fontId="8" fillId="7" borderId="19" xfId="0" applyFont="1" applyFill="1" applyBorder="1" applyAlignment="1">
      <alignment horizontal="center" vertical="center" wrapText="1"/>
    </xf>
    <xf numFmtId="0" fontId="39" fillId="7" borderId="23" xfId="0" applyFont="1" applyFill="1" applyBorder="1" applyAlignment="1">
      <alignment horizontal="left" vertical="center" wrapText="1"/>
    </xf>
    <xf numFmtId="0" fontId="0" fillId="7" borderId="23" xfId="0" applyFill="1" applyBorder="1" applyAlignment="1">
      <alignment horizontal="left" vertical="center" wrapText="1"/>
    </xf>
    <xf numFmtId="9" fontId="77" fillId="35" borderId="271" xfId="16" applyFont="1" applyFill="1" applyBorder="1" applyAlignment="1">
      <alignment horizontal="center" vertical="center" wrapText="1"/>
    </xf>
    <xf numFmtId="0" fontId="0" fillId="0" borderId="271" xfId="0" applyBorder="1" applyAlignment="1">
      <alignment horizontal="center" vertical="center" wrapText="1"/>
    </xf>
    <xf numFmtId="0" fontId="47" fillId="31" borderId="224" xfId="0" applyFont="1" applyFill="1" applyBorder="1" applyAlignment="1">
      <alignment horizontal="center"/>
    </xf>
    <xf numFmtId="0" fontId="47" fillId="31" borderId="52" xfId="0" applyFont="1" applyFill="1" applyBorder="1" applyAlignment="1">
      <alignment horizontal="center"/>
    </xf>
    <xf numFmtId="0" fontId="13" fillId="0" borderId="131" xfId="0" applyFont="1" applyBorder="1" applyAlignment="1">
      <alignment horizontal="center" vertical="center" wrapText="1"/>
    </xf>
    <xf numFmtId="0" fontId="13" fillId="0" borderId="185" xfId="0" applyFont="1" applyBorder="1" applyAlignment="1">
      <alignment horizontal="center" vertical="center" wrapText="1"/>
    </xf>
    <xf numFmtId="0" fontId="13" fillId="0" borderId="186" xfId="0" applyFont="1" applyBorder="1" applyAlignment="1">
      <alignment horizontal="center" vertical="center" wrapText="1"/>
    </xf>
    <xf numFmtId="0" fontId="13" fillId="0" borderId="129"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28" xfId="0" applyFont="1" applyBorder="1" applyAlignment="1">
      <alignment horizontal="center" vertical="center" wrapText="1"/>
    </xf>
    <xf numFmtId="0" fontId="13" fillId="0" borderId="142" xfId="0" applyFont="1" applyBorder="1" applyAlignment="1">
      <alignment horizontal="center" vertical="center" wrapText="1"/>
    </xf>
    <xf numFmtId="0" fontId="13" fillId="0" borderId="191" xfId="0" applyFont="1" applyBorder="1" applyAlignment="1">
      <alignment horizontal="center" vertical="center" wrapText="1"/>
    </xf>
    <xf numFmtId="0" fontId="47" fillId="5" borderId="142" xfId="0" applyFont="1" applyFill="1" applyBorder="1" applyAlignment="1">
      <alignment horizontal="center"/>
    </xf>
    <xf numFmtId="0" fontId="47" fillId="5" borderId="191" xfId="0" applyFont="1" applyFill="1" applyBorder="1" applyAlignment="1">
      <alignment horizontal="center"/>
    </xf>
    <xf numFmtId="0" fontId="8" fillId="0" borderId="62" xfId="0" applyFont="1" applyBorder="1" applyAlignment="1">
      <alignment horizontal="left"/>
    </xf>
    <xf numFmtId="0" fontId="8" fillId="0" borderId="63" xfId="0" applyFont="1" applyBorder="1" applyAlignment="1">
      <alignment horizontal="left"/>
    </xf>
    <xf numFmtId="0" fontId="8" fillId="0" borderId="62" xfId="0" applyFont="1" applyBorder="1" applyAlignment="1">
      <alignment horizontal="left" indent="1"/>
    </xf>
    <xf numFmtId="0" fontId="8" fillId="0" borderId="63" xfId="0" applyFont="1" applyBorder="1" applyAlignment="1">
      <alignment horizontal="left" indent="1"/>
    </xf>
    <xf numFmtId="0" fontId="13" fillId="0" borderId="62" xfId="0" applyFont="1" applyBorder="1" applyAlignment="1">
      <alignment horizontal="left"/>
    </xf>
    <xf numFmtId="0" fontId="13" fillId="0" borderId="63" xfId="0" applyFont="1" applyBorder="1" applyAlignment="1">
      <alignment horizontal="left"/>
    </xf>
    <xf numFmtId="0" fontId="0" fillId="0" borderId="62" xfId="0" applyBorder="1" applyAlignment="1">
      <alignment horizontal="left"/>
    </xf>
    <xf numFmtId="0" fontId="0" fillId="0" borderId="63" xfId="0" applyBorder="1" applyAlignment="1">
      <alignment horizontal="left"/>
    </xf>
    <xf numFmtId="0" fontId="8" fillId="16" borderId="62" xfId="0" applyFont="1" applyFill="1" applyBorder="1" applyAlignment="1">
      <alignment horizontal="left"/>
    </xf>
    <xf numFmtId="0" fontId="8" fillId="16" borderId="63" xfId="0" applyFont="1" applyFill="1" applyBorder="1" applyAlignment="1">
      <alignment horizontal="left"/>
    </xf>
    <xf numFmtId="0" fontId="63" fillId="8" borderId="62" xfId="0" applyFont="1" applyFill="1" applyBorder="1" applyAlignment="1">
      <alignment horizontal="center"/>
    </xf>
    <xf numFmtId="0" fontId="27" fillId="8" borderId="83" xfId="0" applyFont="1" applyFill="1" applyBorder="1" applyAlignment="1">
      <alignment horizontal="center"/>
    </xf>
    <xf numFmtId="0" fontId="27" fillId="8" borderId="63" xfId="0" applyFont="1" applyFill="1" applyBorder="1" applyAlignment="1">
      <alignment horizontal="center"/>
    </xf>
    <xf numFmtId="0" fontId="27" fillId="32" borderId="224" xfId="0" applyFont="1" applyFill="1" applyBorder="1" applyAlignment="1">
      <alignment horizontal="center"/>
    </xf>
    <xf numFmtId="0" fontId="27" fillId="32" borderId="52" xfId="0" applyFont="1" applyFill="1" applyBorder="1" applyAlignment="1">
      <alignment horizontal="center"/>
    </xf>
    <xf numFmtId="0" fontId="89" fillId="0" borderId="225" xfId="0" applyFont="1" applyBorder="1" applyAlignment="1">
      <alignment horizontal="left" vertical="center" wrapText="1"/>
    </xf>
    <xf numFmtId="0" fontId="8" fillId="0" borderId="159" xfId="0" applyFont="1" applyBorder="1" applyAlignment="1">
      <alignment horizontal="left" vertical="center" wrapText="1"/>
    </xf>
    <xf numFmtId="0" fontId="8" fillId="0" borderId="160" xfId="0" applyFont="1" applyBorder="1" applyAlignment="1">
      <alignment horizontal="left" vertical="center" wrapText="1"/>
    </xf>
    <xf numFmtId="0" fontId="0" fillId="0" borderId="10" xfId="0" applyBorder="1" applyAlignment="1">
      <alignment horizontal="left" vertical="center" wrapText="1"/>
    </xf>
    <xf numFmtId="0" fontId="0" fillId="0" borderId="0" xfId="0" applyAlignment="1">
      <alignment horizontal="left" vertical="center" wrapText="1"/>
    </xf>
    <xf numFmtId="0" fontId="8" fillId="0" borderId="161" xfId="0" applyFont="1" applyBorder="1" applyAlignment="1">
      <alignment horizontal="left" vertical="center" wrapText="1"/>
    </xf>
    <xf numFmtId="0" fontId="0" fillId="0" borderId="226" xfId="0" applyBorder="1" applyAlignment="1">
      <alignment horizontal="left" vertical="center" wrapText="1"/>
    </xf>
    <xf numFmtId="0" fontId="8" fillId="0" borderId="162" xfId="0" applyFont="1" applyBorder="1" applyAlignment="1">
      <alignment horizontal="left" vertical="center" wrapText="1"/>
    </xf>
    <xf numFmtId="0" fontId="8" fillId="0" borderId="163" xfId="0" applyFont="1" applyBorder="1" applyAlignment="1">
      <alignment horizontal="left" vertical="center" wrapText="1"/>
    </xf>
    <xf numFmtId="0" fontId="47" fillId="5" borderId="52" xfId="0" applyFont="1" applyFill="1" applyBorder="1" applyAlignment="1">
      <alignment horizontal="center"/>
    </xf>
    <xf numFmtId="0" fontId="47" fillId="5" borderId="61" xfId="0" applyFont="1" applyFill="1" applyBorder="1" applyAlignment="1">
      <alignment horizontal="center"/>
    </xf>
    <xf numFmtId="0" fontId="9" fillId="0" borderId="55" xfId="0" applyFont="1" applyBorder="1" applyAlignment="1">
      <alignment horizontal="center" vertical="center"/>
    </xf>
    <xf numFmtId="0" fontId="9" fillId="0" borderId="18" xfId="0" applyFont="1" applyBorder="1" applyAlignment="1">
      <alignment horizontal="center" vertical="center"/>
    </xf>
    <xf numFmtId="0" fontId="9" fillId="0" borderId="56"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9" fontId="13" fillId="8" borderId="26" xfId="16" applyFont="1" applyFill="1" applyBorder="1" applyAlignment="1">
      <alignment horizontal="left"/>
    </xf>
    <xf numFmtId="9" fontId="13" fillId="8" borderId="25" xfId="16" applyFont="1" applyFill="1" applyBorder="1" applyAlignment="1">
      <alignment horizontal="left"/>
    </xf>
    <xf numFmtId="0" fontId="27" fillId="32" borderId="26" xfId="0" applyFont="1" applyFill="1" applyBorder="1" applyAlignment="1">
      <alignment horizontal="center"/>
    </xf>
    <xf numFmtId="0" fontId="27" fillId="32" borderId="24" xfId="0" applyFont="1" applyFill="1" applyBorder="1" applyAlignment="1">
      <alignment horizontal="center"/>
    </xf>
    <xf numFmtId="14" fontId="13" fillId="0" borderId="26" xfId="0" applyNumberFormat="1" applyFont="1" applyBorder="1" applyAlignment="1">
      <alignment horizontal="center"/>
    </xf>
    <xf numFmtId="14" fontId="13" fillId="0" borderId="25" xfId="0" applyNumberFormat="1" applyFont="1" applyBorder="1" applyAlignment="1">
      <alignment horizontal="center"/>
    </xf>
    <xf numFmtId="0" fontId="8" fillId="0" borderId="19" xfId="0" applyFont="1" applyBorder="1" applyAlignment="1">
      <alignment horizontal="left"/>
    </xf>
    <xf numFmtId="0" fontId="8" fillId="0" borderId="19" xfId="0" quotePrefix="1" applyFont="1" applyBorder="1" applyAlignment="1">
      <alignment horizontal="left"/>
    </xf>
    <xf numFmtId="0" fontId="67" fillId="8" borderId="19" xfId="0" applyFont="1" applyFill="1" applyBorder="1" applyAlignment="1">
      <alignment horizontal="center" vertical="center" wrapText="1"/>
    </xf>
    <xf numFmtId="0" fontId="47" fillId="31" borderId="29" xfId="0" applyFont="1" applyFill="1" applyBorder="1" applyAlignment="1">
      <alignment horizontal="center" vertical="center" wrapText="1"/>
    </xf>
    <xf numFmtId="0" fontId="47" fillId="31" borderId="53" xfId="0" applyFont="1" applyFill="1" applyBorder="1" applyAlignment="1">
      <alignment horizontal="center" vertical="center" wrapText="1"/>
    </xf>
    <xf numFmtId="0" fontId="47" fillId="5" borderId="47" xfId="0" applyFont="1" applyFill="1" applyBorder="1" applyAlignment="1">
      <alignment horizontal="center"/>
    </xf>
    <xf numFmtId="0" fontId="47" fillId="5" borderId="48" xfId="0" applyFont="1" applyFill="1" applyBorder="1" applyAlignment="1">
      <alignment horizontal="center"/>
    </xf>
    <xf numFmtId="0" fontId="47" fillId="5" borderId="49" xfId="0" applyFont="1" applyFill="1" applyBorder="1" applyAlignment="1">
      <alignment horizontal="center"/>
    </xf>
    <xf numFmtId="9" fontId="45" fillId="12" borderId="235" xfId="16" applyFont="1" applyFill="1" applyBorder="1" applyAlignment="1">
      <alignment horizontal="center" vertical="center"/>
    </xf>
    <xf numFmtId="9" fontId="45" fillId="12" borderId="203" xfId="16" applyFont="1" applyFill="1" applyBorder="1" applyAlignment="1">
      <alignment horizontal="center" vertical="center"/>
    </xf>
    <xf numFmtId="9" fontId="45" fillId="12" borderId="193" xfId="16" applyFont="1" applyFill="1" applyBorder="1" applyAlignment="1">
      <alignment horizontal="center" vertical="center"/>
    </xf>
    <xf numFmtId="0" fontId="21" fillId="0" borderId="22" xfId="0" applyFont="1" applyBorder="1" applyAlignment="1">
      <alignment horizontal="center" wrapText="1"/>
    </xf>
    <xf numFmtId="0" fontId="21" fillId="0" borderId="26" xfId="0" applyFont="1" applyBorder="1" applyAlignment="1">
      <alignment horizontal="center" wrapText="1"/>
    </xf>
    <xf numFmtId="0" fontId="47" fillId="5" borderId="33" xfId="0" applyFont="1" applyFill="1" applyBorder="1" applyAlignment="1">
      <alignment horizontal="center"/>
    </xf>
    <xf numFmtId="0" fontId="47" fillId="5" borderId="42" xfId="0" applyFont="1" applyFill="1" applyBorder="1" applyAlignment="1">
      <alignment horizontal="center"/>
    </xf>
    <xf numFmtId="0" fontId="47" fillId="5" borderId="22" xfId="0" applyFont="1" applyFill="1" applyBorder="1" applyAlignment="1">
      <alignment horizontal="center"/>
    </xf>
    <xf numFmtId="0" fontId="47" fillId="5" borderId="19" xfId="0" applyFont="1" applyFill="1" applyBorder="1" applyAlignment="1">
      <alignment horizontal="center"/>
    </xf>
    <xf numFmtId="0" fontId="47" fillId="5" borderId="28" xfId="0" applyFont="1" applyFill="1" applyBorder="1" applyAlignment="1">
      <alignment horizontal="center"/>
    </xf>
    <xf numFmtId="0" fontId="46" fillId="18" borderId="10" xfId="0" applyFont="1" applyFill="1" applyBorder="1" applyAlignment="1">
      <alignment horizontal="center"/>
    </xf>
    <xf numFmtId="0" fontId="46" fillId="18" borderId="0" xfId="0" applyFont="1" applyFill="1" applyAlignment="1">
      <alignment horizontal="center"/>
    </xf>
    <xf numFmtId="0" fontId="46" fillId="18" borderId="12" xfId="0" applyFont="1" applyFill="1" applyBorder="1" applyAlignment="1">
      <alignment horizontal="center"/>
    </xf>
    <xf numFmtId="166" fontId="9" fillId="12" borderId="149" xfId="0" applyNumberFormat="1" applyFont="1" applyFill="1" applyBorder="1" applyAlignment="1">
      <alignment horizontal="center" vertical="center"/>
    </xf>
    <xf numFmtId="166" fontId="9" fillId="12" borderId="126" xfId="0" applyNumberFormat="1" applyFont="1" applyFill="1" applyBorder="1" applyAlignment="1">
      <alignment horizontal="center" vertical="center"/>
    </xf>
    <xf numFmtId="166" fontId="9" fillId="12" borderId="150" xfId="0" applyNumberFormat="1" applyFont="1" applyFill="1" applyBorder="1" applyAlignment="1">
      <alignment horizontal="center" vertical="center"/>
    </xf>
    <xf numFmtId="0" fontId="13" fillId="0" borderId="24" xfId="0" applyFont="1" applyBorder="1" applyAlignment="1">
      <alignment horizontal="center"/>
    </xf>
    <xf numFmtId="0" fontId="13" fillId="0" borderId="25" xfId="0" applyFont="1" applyBorder="1" applyAlignment="1">
      <alignment horizontal="center"/>
    </xf>
    <xf numFmtId="0" fontId="8" fillId="7" borderId="26" xfId="0" applyFont="1" applyFill="1" applyBorder="1" applyAlignment="1">
      <alignment horizontal="left" vertical="center"/>
    </xf>
    <xf numFmtId="0" fontId="8" fillId="7" borderId="25" xfId="0" applyFont="1" applyFill="1" applyBorder="1" applyAlignment="1">
      <alignment horizontal="left" vertical="center"/>
    </xf>
    <xf numFmtId="0" fontId="9" fillId="12" borderId="0" xfId="0" applyFont="1" applyFill="1" applyAlignment="1">
      <alignment horizontal="center" vertical="center" wrapText="1"/>
    </xf>
    <xf numFmtId="0" fontId="9" fillId="12" borderId="142" xfId="0" applyFont="1" applyFill="1" applyBorder="1" applyAlignment="1">
      <alignment horizontal="center" vertical="center" wrapText="1"/>
    </xf>
    <xf numFmtId="0" fontId="34" fillId="8" borderId="188" xfId="0" applyFont="1" applyFill="1" applyBorder="1" applyAlignment="1">
      <alignment horizontal="center" vertical="center" wrapText="1"/>
    </xf>
    <xf numFmtId="0" fontId="0" fillId="8" borderId="189" xfId="0" applyFill="1" applyBorder="1" applyAlignment="1">
      <alignment horizontal="center" vertical="center" wrapText="1"/>
    </xf>
    <xf numFmtId="0" fontId="0" fillId="8" borderId="190" xfId="0" applyFill="1" applyBorder="1" applyAlignment="1">
      <alignment horizontal="center" vertical="center" wrapText="1"/>
    </xf>
    <xf numFmtId="0" fontId="34" fillId="8" borderId="128" xfId="0" applyFont="1" applyFill="1" applyBorder="1" applyAlignment="1">
      <alignment horizontal="center" vertical="center" wrapText="1"/>
    </xf>
    <xf numFmtId="0" fontId="34" fillId="8" borderId="142" xfId="0" applyFont="1" applyFill="1" applyBorder="1" applyAlignment="1">
      <alignment horizontal="center" vertical="center" wrapText="1"/>
    </xf>
    <xf numFmtId="0" fontId="34" fillId="8" borderId="150" xfId="0" applyFont="1" applyFill="1" applyBorder="1" applyAlignment="1">
      <alignment horizontal="center" vertical="center" wrapText="1"/>
    </xf>
    <xf numFmtId="0" fontId="0" fillId="8" borderId="194" xfId="0" applyFill="1" applyBorder="1" applyAlignment="1">
      <alignment horizontal="center" vertical="center" wrapText="1"/>
    </xf>
    <xf numFmtId="0" fontId="0" fillId="8" borderId="195" xfId="0" applyFill="1" applyBorder="1" applyAlignment="1">
      <alignment horizontal="center" vertical="center" wrapText="1"/>
    </xf>
    <xf numFmtId="0" fontId="0" fillId="8" borderId="196" xfId="0" applyFill="1" applyBorder="1" applyAlignment="1">
      <alignment horizontal="center" vertical="center" wrapText="1"/>
    </xf>
    <xf numFmtId="0" fontId="8" fillId="7" borderId="2" xfId="0" applyFont="1" applyFill="1" applyBorder="1" applyAlignment="1">
      <alignment horizontal="left" vertical="top" wrapText="1"/>
    </xf>
    <xf numFmtId="0" fontId="8" fillId="7" borderId="60" xfId="0" applyFont="1" applyFill="1" applyBorder="1" applyAlignment="1">
      <alignment horizontal="left" vertical="top" wrapText="1"/>
    </xf>
    <xf numFmtId="0" fontId="0" fillId="7" borderId="227" xfId="0" applyFill="1" applyBorder="1" applyAlignment="1">
      <alignment horizontal="left" vertical="top" wrapText="1"/>
    </xf>
    <xf numFmtId="0" fontId="8" fillId="7" borderId="46" xfId="0" applyFont="1" applyFill="1" applyBorder="1" applyAlignment="1">
      <alignment horizontal="left" vertical="top" wrapText="1"/>
    </xf>
    <xf numFmtId="0" fontId="8" fillId="7" borderId="59" xfId="0" applyFont="1" applyFill="1" applyBorder="1" applyAlignment="1">
      <alignment horizontal="left" vertical="top" wrapText="1"/>
    </xf>
    <xf numFmtId="0" fontId="0" fillId="7" borderId="228" xfId="0" applyFill="1" applyBorder="1" applyAlignment="1">
      <alignment horizontal="left" vertical="top" wrapText="1"/>
    </xf>
    <xf numFmtId="0" fontId="0" fillId="7" borderId="229" xfId="0" applyFill="1" applyBorder="1" applyAlignment="1">
      <alignment horizontal="left" vertical="top" wrapText="1"/>
    </xf>
    <xf numFmtId="0" fontId="0" fillId="7" borderId="230" xfId="0" applyFill="1" applyBorder="1" applyAlignment="1">
      <alignment horizontal="left" vertical="top" wrapText="1"/>
    </xf>
    <xf numFmtId="0" fontId="47" fillId="5" borderId="224" xfId="0" applyFont="1" applyFill="1" applyBorder="1" applyAlignment="1">
      <alignment horizontal="center"/>
    </xf>
    <xf numFmtId="0" fontId="47" fillId="5" borderId="184" xfId="0" applyFont="1" applyFill="1" applyBorder="1" applyAlignment="1">
      <alignment horizontal="center"/>
    </xf>
    <xf numFmtId="0" fontId="47" fillId="5" borderId="125" xfId="0" applyFont="1" applyFill="1" applyBorder="1" applyAlignment="1">
      <alignment horizontal="center"/>
    </xf>
    <xf numFmtId="0" fontId="47" fillId="5" borderId="27" xfId="0" applyFont="1" applyFill="1" applyBorder="1" applyAlignment="1">
      <alignment horizontal="center"/>
    </xf>
    <xf numFmtId="0" fontId="0" fillId="7" borderId="200" xfId="0" applyFill="1" applyBorder="1" applyAlignment="1">
      <alignment horizontal="center"/>
    </xf>
    <xf numFmtId="0" fontId="0" fillId="7" borderId="201" xfId="0" applyFill="1" applyBorder="1" applyAlignment="1">
      <alignment horizontal="center"/>
    </xf>
    <xf numFmtId="0" fontId="0" fillId="7" borderId="202" xfId="0" applyFill="1" applyBorder="1" applyAlignment="1">
      <alignment horizontal="center"/>
    </xf>
    <xf numFmtId="0" fontId="0" fillId="8" borderId="197" xfId="0" applyFill="1" applyBorder="1" applyAlignment="1">
      <alignment horizontal="center"/>
    </xf>
    <xf numFmtId="0" fontId="0" fillId="8" borderId="198" xfId="0" applyFill="1" applyBorder="1" applyAlignment="1">
      <alignment horizontal="center"/>
    </xf>
    <xf numFmtId="0" fontId="0" fillId="8" borderId="199" xfId="0" applyFill="1" applyBorder="1" applyAlignment="1">
      <alignment horizontal="center"/>
    </xf>
    <xf numFmtId="0" fontId="8" fillId="0" borderId="19" xfId="0" applyFont="1" applyBorder="1" applyAlignment="1">
      <alignment horizontal="left" vertical="center"/>
    </xf>
    <xf numFmtId="0" fontId="47" fillId="5" borderId="131" xfId="0" applyFont="1" applyFill="1" applyBorder="1" applyAlignment="1">
      <alignment horizontal="center"/>
    </xf>
    <xf numFmtId="0" fontId="47" fillId="5" borderId="185" xfId="0" applyFont="1" applyFill="1" applyBorder="1" applyAlignment="1">
      <alignment horizontal="center"/>
    </xf>
    <xf numFmtId="0" fontId="47" fillId="5" borderId="186" xfId="0" applyFont="1" applyFill="1" applyBorder="1" applyAlignment="1">
      <alignment horizontal="center"/>
    </xf>
    <xf numFmtId="0" fontId="47" fillId="5" borderId="10" xfId="0" applyFont="1" applyFill="1" applyBorder="1" applyAlignment="1">
      <alignment horizontal="center"/>
    </xf>
    <xf numFmtId="0" fontId="47" fillId="5" borderId="0" xfId="0" applyFont="1" applyFill="1" applyAlignment="1">
      <alignment horizontal="center"/>
    </xf>
    <xf numFmtId="0" fontId="47" fillId="5" borderId="126" xfId="0" applyFont="1" applyFill="1" applyBorder="1" applyAlignment="1">
      <alignment horizontal="center"/>
    </xf>
    <xf numFmtId="0" fontId="27" fillId="32" borderId="141" xfId="0" applyFont="1" applyFill="1" applyBorder="1" applyAlignment="1">
      <alignment horizontal="center"/>
    </xf>
    <xf numFmtId="0" fontId="27" fillId="32" borderId="125" xfId="0" applyFont="1" applyFill="1" applyBorder="1" applyAlignment="1">
      <alignment horizontal="center"/>
    </xf>
    <xf numFmtId="0" fontId="27" fillId="32" borderId="192" xfId="0" applyFont="1" applyFill="1" applyBorder="1" applyAlignment="1">
      <alignment horizontal="center"/>
    </xf>
    <xf numFmtId="0" fontId="27" fillId="32" borderId="128" xfId="0" applyFont="1" applyFill="1" applyBorder="1" applyAlignment="1">
      <alignment horizontal="center"/>
    </xf>
    <xf numFmtId="0" fontId="27" fillId="32" borderId="142" xfId="0" applyFont="1" applyFill="1" applyBorder="1" applyAlignment="1">
      <alignment horizontal="center"/>
    </xf>
    <xf numFmtId="0" fontId="27" fillId="32" borderId="150" xfId="0" applyFont="1" applyFill="1" applyBorder="1" applyAlignment="1">
      <alignment horizontal="center"/>
    </xf>
    <xf numFmtId="0" fontId="27" fillId="32" borderId="61" xfId="0" applyFont="1" applyFill="1" applyBorder="1" applyAlignment="1">
      <alignment horizontal="center"/>
    </xf>
    <xf numFmtId="0" fontId="9" fillId="8" borderId="130" xfId="0" applyFont="1" applyFill="1" applyBorder="1" applyAlignment="1">
      <alignment horizontal="center" vertical="center" wrapText="1"/>
    </xf>
    <xf numFmtId="0" fontId="9" fillId="8" borderId="127" xfId="0" applyFont="1" applyFill="1" applyBorder="1" applyAlignment="1">
      <alignment horizontal="center" vertical="center" wrapText="1"/>
    </xf>
    <xf numFmtId="167" fontId="45" fillId="12" borderId="131" xfId="16" applyNumberFormat="1" applyFont="1" applyFill="1" applyBorder="1" applyAlignment="1">
      <alignment horizontal="center" vertical="center"/>
    </xf>
    <xf numFmtId="167" fontId="45" fillId="12" borderId="149" xfId="16" applyNumberFormat="1" applyFont="1" applyFill="1" applyBorder="1" applyAlignment="1">
      <alignment horizontal="center" vertical="center"/>
    </xf>
    <xf numFmtId="167" fontId="45" fillId="12" borderId="128" xfId="16" applyNumberFormat="1" applyFont="1" applyFill="1" applyBorder="1" applyAlignment="1">
      <alignment horizontal="center" vertical="center"/>
    </xf>
    <xf numFmtId="167" fontId="45" fillId="12" borderId="150" xfId="16" applyNumberFormat="1" applyFont="1" applyFill="1" applyBorder="1" applyAlignment="1">
      <alignment horizontal="center" vertical="center"/>
    </xf>
    <xf numFmtId="167" fontId="45" fillId="12" borderId="129" xfId="16" applyNumberFormat="1" applyFont="1" applyFill="1" applyBorder="1" applyAlignment="1">
      <alignment horizontal="center" vertical="center"/>
    </xf>
    <xf numFmtId="167" fontId="45" fillId="12" borderId="126" xfId="16" applyNumberFormat="1" applyFont="1" applyFill="1" applyBorder="1" applyAlignment="1">
      <alignment horizontal="center" vertical="center"/>
    </xf>
    <xf numFmtId="167" fontId="9" fillId="0" borderId="130" xfId="16" applyNumberFormat="1" applyFont="1" applyBorder="1" applyAlignment="1">
      <alignment horizontal="center" vertical="center" wrapText="1"/>
    </xf>
    <xf numFmtId="167" fontId="9" fillId="0" borderId="236" xfId="16" applyNumberFormat="1" applyFont="1" applyBorder="1" applyAlignment="1">
      <alignment horizontal="center" vertical="center" wrapText="1"/>
    </xf>
    <xf numFmtId="167" fontId="9" fillId="0" borderId="127" xfId="16" applyNumberFormat="1" applyFont="1" applyBorder="1" applyAlignment="1">
      <alignment horizontal="center" vertical="center" wrapText="1"/>
    </xf>
    <xf numFmtId="167" fontId="9" fillId="0" borderId="234" xfId="16" applyNumberFormat="1" applyFont="1" applyBorder="1" applyAlignment="1">
      <alignment horizontal="center" vertical="center" wrapText="1"/>
    </xf>
    <xf numFmtId="0" fontId="0" fillId="0" borderId="240" xfId="0" applyBorder="1" applyAlignment="1">
      <alignment horizontal="center"/>
    </xf>
    <xf numFmtId="0" fontId="0" fillId="0" borderId="159" xfId="0" applyBorder="1" applyAlignment="1">
      <alignment horizontal="center"/>
    </xf>
    <xf numFmtId="0" fontId="0" fillId="0" borderId="266" xfId="0" applyBorder="1" applyAlignment="1">
      <alignment horizontal="center"/>
    </xf>
    <xf numFmtId="0" fontId="0" fillId="0" borderId="50"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70" xfId="0" applyBorder="1" applyAlignment="1">
      <alignment horizontal="center"/>
    </xf>
    <xf numFmtId="0" fontId="0" fillId="0" borderId="74" xfId="0" applyBorder="1" applyAlignment="1">
      <alignment horizontal="center"/>
    </xf>
    <xf numFmtId="0" fontId="0" fillId="0" borderId="267" xfId="0" applyBorder="1" applyAlignment="1">
      <alignment horizontal="center"/>
    </xf>
    <xf numFmtId="0" fontId="21" fillId="0" borderId="268" xfId="0" applyFont="1" applyBorder="1" applyAlignment="1">
      <alignment horizontal="center" vertical="center"/>
    </xf>
    <xf numFmtId="0" fontId="21" fillId="0" borderId="269" xfId="0" applyFont="1" applyBorder="1" applyAlignment="1">
      <alignment horizontal="center" vertical="center"/>
    </xf>
    <xf numFmtId="0" fontId="21" fillId="0" borderId="0" xfId="0" applyFont="1" applyAlignment="1">
      <alignment horizontal="center" vertical="center"/>
    </xf>
    <xf numFmtId="0" fontId="21" fillId="0" borderId="270" xfId="0" applyFont="1" applyBorder="1" applyAlignment="1">
      <alignment horizontal="center" vertical="center"/>
    </xf>
    <xf numFmtId="0" fontId="21" fillId="0" borderId="27" xfId="0" applyFont="1" applyBorder="1" applyAlignment="1">
      <alignment horizontal="center" vertical="center"/>
    </xf>
    <xf numFmtId="0" fontId="21" fillId="0" borderId="28" xfId="0" applyFont="1" applyBorder="1" applyAlignment="1">
      <alignment horizontal="center" vertical="center"/>
    </xf>
    <xf numFmtId="0" fontId="27" fillId="9" borderId="65" xfId="0" applyFont="1" applyFill="1" applyBorder="1" applyAlignment="1">
      <alignment horizontal="center" vertical="center"/>
    </xf>
    <xf numFmtId="0" fontId="8" fillId="0" borderId="164" xfId="0" applyFont="1" applyBorder="1" applyAlignment="1">
      <alignment horizontal="left" vertical="center" wrapText="1"/>
    </xf>
    <xf numFmtId="0" fontId="69" fillId="0" borderId="159" xfId="0" applyFont="1" applyBorder="1" applyAlignment="1">
      <alignment horizontal="left" vertical="center"/>
    </xf>
    <xf numFmtId="0" fontId="69" fillId="0" borderId="160" xfId="0" applyFont="1" applyBorder="1" applyAlignment="1">
      <alignment horizontal="left" vertical="center"/>
    </xf>
    <xf numFmtId="0" fontId="69" fillId="0" borderId="165" xfId="0" applyFont="1" applyBorder="1" applyAlignment="1">
      <alignment horizontal="left" vertical="center"/>
    </xf>
    <xf numFmtId="0" fontId="69" fillId="0" borderId="0" xfId="0" applyFont="1" applyAlignment="1">
      <alignment horizontal="left" vertical="center"/>
    </xf>
    <xf numFmtId="0" fontId="69" fillId="0" borderId="161" xfId="0" applyFont="1" applyBorder="1" applyAlignment="1">
      <alignment horizontal="left" vertical="center"/>
    </xf>
    <xf numFmtId="0" fontId="69" fillId="0" borderId="166" xfId="0" applyFont="1" applyBorder="1" applyAlignment="1">
      <alignment horizontal="left" vertical="center"/>
    </xf>
    <xf numFmtId="0" fontId="69" fillId="0" borderId="162" xfId="0" applyFont="1" applyBorder="1" applyAlignment="1">
      <alignment horizontal="left" vertical="center"/>
    </xf>
    <xf numFmtId="0" fontId="69" fillId="0" borderId="163" xfId="0" applyFont="1" applyBorder="1" applyAlignment="1">
      <alignment horizontal="left" vertical="center"/>
    </xf>
    <xf numFmtId="0" fontId="8" fillId="0" borderId="159" xfId="0" applyFont="1" applyBorder="1" applyAlignment="1">
      <alignment horizontal="left" vertical="center"/>
    </xf>
    <xf numFmtId="0" fontId="8" fillId="0" borderId="160" xfId="0" applyFont="1" applyBorder="1" applyAlignment="1">
      <alignment horizontal="left" vertical="center"/>
    </xf>
    <xf numFmtId="0" fontId="8" fillId="0" borderId="165" xfId="0" applyFont="1" applyBorder="1" applyAlignment="1">
      <alignment horizontal="left" vertical="center"/>
    </xf>
    <xf numFmtId="0" fontId="0" fillId="0" borderId="0" xfId="0" applyAlignment="1">
      <alignment horizontal="left" vertical="center"/>
    </xf>
    <xf numFmtId="0" fontId="8" fillId="0" borderId="161" xfId="0" applyFont="1" applyBorder="1" applyAlignment="1">
      <alignment horizontal="left" vertical="center"/>
    </xf>
    <xf numFmtId="0" fontId="8" fillId="0" borderId="166" xfId="0" applyFont="1" applyBorder="1" applyAlignment="1">
      <alignment horizontal="left" vertical="center"/>
    </xf>
    <xf numFmtId="0" fontId="8" fillId="0" borderId="162" xfId="0" applyFont="1" applyBorder="1" applyAlignment="1">
      <alignment horizontal="left" vertical="center"/>
    </xf>
    <xf numFmtId="0" fontId="8" fillId="0" borderId="163" xfId="0" applyFont="1" applyBorder="1" applyAlignment="1">
      <alignment horizontal="left" vertical="center"/>
    </xf>
    <xf numFmtId="0" fontId="0" fillId="0" borderId="225" xfId="0" applyBorder="1" applyAlignment="1">
      <alignment horizontal="left" vertical="center" wrapText="1"/>
    </xf>
    <xf numFmtId="0" fontId="69" fillId="0" borderId="10" xfId="0" applyFont="1" applyBorder="1" applyAlignment="1">
      <alignment horizontal="left" vertical="center"/>
    </xf>
    <xf numFmtId="0" fontId="69" fillId="0" borderId="226" xfId="0" applyFont="1" applyBorder="1" applyAlignment="1">
      <alignment horizontal="left" vertical="center"/>
    </xf>
    <xf numFmtId="0" fontId="34" fillId="0" borderId="67" xfId="11" applyFont="1" applyBorder="1" applyAlignment="1" applyProtection="1">
      <alignment wrapText="1"/>
    </xf>
    <xf numFmtId="0" fontId="34" fillId="0" borderId="68" xfId="11" applyFont="1" applyBorder="1" applyAlignment="1" applyProtection="1">
      <alignment wrapText="1"/>
    </xf>
    <xf numFmtId="0" fontId="34" fillId="0" borderId="69" xfId="11" applyFont="1" applyBorder="1" applyAlignment="1" applyProtection="1">
      <alignment wrapText="1"/>
    </xf>
    <xf numFmtId="0" fontId="34" fillId="0" borderId="50" xfId="11" applyFont="1" applyBorder="1" applyAlignment="1" applyProtection="1">
      <alignment wrapText="1"/>
    </xf>
    <xf numFmtId="0" fontId="34" fillId="0" borderId="0" xfId="11" applyFont="1" applyBorder="1" applyAlignment="1" applyProtection="1">
      <alignment wrapText="1"/>
    </xf>
    <xf numFmtId="0" fontId="34" fillId="0" borderId="51" xfId="11" applyFont="1" applyBorder="1" applyAlignment="1" applyProtection="1">
      <alignment wrapText="1"/>
    </xf>
    <xf numFmtId="0" fontId="34" fillId="0" borderId="70" xfId="11" applyFont="1" applyBorder="1" applyAlignment="1" applyProtection="1">
      <alignment wrapText="1"/>
    </xf>
    <xf numFmtId="0" fontId="34" fillId="0" borderId="74" xfId="11" applyFont="1" applyBorder="1" applyAlignment="1" applyProtection="1">
      <alignment wrapText="1"/>
    </xf>
    <xf numFmtId="0" fontId="34" fillId="0" borderId="75" xfId="11" applyFont="1" applyBorder="1" applyAlignment="1" applyProtection="1">
      <alignment wrapText="1"/>
    </xf>
    <xf numFmtId="0" fontId="31" fillId="5" borderId="50" xfId="0" applyFont="1" applyFill="1" applyBorder="1" applyAlignment="1">
      <alignment horizontal="center"/>
    </xf>
    <xf numFmtId="0" fontId="31" fillId="5" borderId="0" xfId="0" applyFont="1" applyFill="1" applyAlignment="1">
      <alignment horizontal="center"/>
    </xf>
    <xf numFmtId="0" fontId="31" fillId="5" borderId="51" xfId="0" applyFont="1" applyFill="1" applyBorder="1" applyAlignment="1">
      <alignment horizontal="center"/>
    </xf>
    <xf numFmtId="0" fontId="46" fillId="5" borderId="0" xfId="0" applyFont="1" applyFill="1" applyAlignment="1">
      <alignment horizontal="center"/>
    </xf>
    <xf numFmtId="0" fontId="31" fillId="18" borderId="50" xfId="0" applyFont="1" applyFill="1" applyBorder="1" applyAlignment="1">
      <alignment horizontal="center"/>
    </xf>
    <xf numFmtId="0" fontId="31" fillId="18" borderId="0" xfId="0" applyFont="1" applyFill="1" applyAlignment="1">
      <alignment horizontal="center"/>
    </xf>
    <xf numFmtId="0" fontId="46" fillId="5" borderId="67" xfId="0" applyFont="1" applyFill="1" applyBorder="1" applyAlignment="1">
      <alignment horizontal="center"/>
    </xf>
    <xf numFmtId="0" fontId="46" fillId="5" borderId="68" xfId="0" applyFont="1" applyFill="1" applyBorder="1" applyAlignment="1">
      <alignment horizontal="center"/>
    </xf>
    <xf numFmtId="0" fontId="9" fillId="0" borderId="70" xfId="0" applyFont="1" applyBorder="1" applyAlignment="1">
      <alignment horizontal="center" vertical="center"/>
    </xf>
    <xf numFmtId="0" fontId="9" fillId="0" borderId="75" xfId="0" applyFont="1" applyBorder="1" applyAlignment="1">
      <alignment horizontal="center" vertical="center"/>
    </xf>
    <xf numFmtId="0" fontId="31" fillId="5" borderId="71" xfId="0" applyFont="1" applyFill="1" applyBorder="1" applyAlignment="1">
      <alignment horizontal="center"/>
    </xf>
    <xf numFmtId="0" fontId="31" fillId="5" borderId="72" xfId="0" applyFont="1" applyFill="1" applyBorder="1" applyAlignment="1">
      <alignment horizontal="center"/>
    </xf>
    <xf numFmtId="0" fontId="31" fillId="5" borderId="73" xfId="0" applyFont="1" applyFill="1" applyBorder="1" applyAlignment="1">
      <alignment horizontal="center"/>
    </xf>
    <xf numFmtId="0" fontId="34" fillId="0" borderId="95" xfId="0" applyFont="1" applyBorder="1" applyAlignment="1">
      <alignment horizontal="center" vertical="center" wrapText="1"/>
    </xf>
    <xf numFmtId="0" fontId="0" fillId="0" borderId="40" xfId="0" applyBorder="1" applyAlignment="1">
      <alignment horizontal="center" vertical="center" wrapText="1"/>
    </xf>
    <xf numFmtId="0" fontId="0" fillId="0" borderId="95" xfId="0" applyBorder="1" applyAlignment="1">
      <alignment horizontal="center" vertical="center" wrapText="1"/>
    </xf>
    <xf numFmtId="0" fontId="34" fillId="0" borderId="0" xfId="0" applyFont="1" applyAlignment="1">
      <alignment horizontal="center" vertical="center" wrapText="1"/>
    </xf>
    <xf numFmtId="0" fontId="0" fillId="0" borderId="0" xfId="0" applyAlignment="1">
      <alignment horizontal="center" vertical="center" wrapText="1"/>
    </xf>
    <xf numFmtId="0" fontId="0" fillId="0" borderId="70" xfId="0" applyBorder="1" applyAlignment="1">
      <alignment horizontal="center" vertical="center" wrapText="1"/>
    </xf>
    <xf numFmtId="0" fontId="0" fillId="0" borderId="74" xfId="0" applyBorder="1" applyAlignment="1">
      <alignment horizontal="center" vertical="center" wrapText="1"/>
    </xf>
    <xf numFmtId="0" fontId="31" fillId="5" borderId="67" xfId="0" applyFont="1" applyFill="1" applyBorder="1" applyAlignment="1">
      <alignment horizontal="center"/>
    </xf>
    <xf numFmtId="0" fontId="31" fillId="5" borderId="68" xfId="0" applyFont="1" applyFill="1" applyBorder="1" applyAlignment="1">
      <alignment horizontal="center"/>
    </xf>
    <xf numFmtId="0" fontId="46" fillId="5" borderId="72" xfId="0" applyFont="1" applyFill="1" applyBorder="1" applyAlignment="1">
      <alignment horizontal="center"/>
    </xf>
    <xf numFmtId="0" fontId="46" fillId="5" borderId="73" xfId="0" applyFont="1" applyFill="1" applyBorder="1" applyAlignment="1">
      <alignment horizontal="center"/>
    </xf>
    <xf numFmtId="0" fontId="9" fillId="0" borderId="71" xfId="0" applyFont="1" applyBorder="1" applyAlignment="1">
      <alignment horizontal="center" vertical="center"/>
    </xf>
    <xf numFmtId="0" fontId="9" fillId="0" borderId="73" xfId="0" applyFont="1" applyBorder="1" applyAlignment="1">
      <alignment horizontal="center" vertical="center"/>
    </xf>
    <xf numFmtId="0" fontId="9" fillId="0" borderId="0" xfId="0" applyFont="1" applyAlignment="1">
      <alignment horizontal="center" vertical="center"/>
    </xf>
    <xf numFmtId="0" fontId="44" fillId="0" borderId="238" xfId="0" applyFont="1" applyBorder="1" applyAlignment="1">
      <alignment horizontal="center"/>
    </xf>
    <xf numFmtId="0" fontId="44" fillId="0" borderId="239" xfId="0" applyFont="1" applyBorder="1" applyAlignment="1">
      <alignment horizontal="center"/>
    </xf>
    <xf numFmtId="0" fontId="8" fillId="0" borderId="81" xfId="0" applyFont="1" applyBorder="1" applyAlignment="1">
      <alignment horizontal="center" wrapText="1"/>
    </xf>
    <xf numFmtId="0" fontId="8" fillId="0" borderId="83" xfId="0" applyFont="1" applyBorder="1" applyAlignment="1">
      <alignment horizontal="center" wrapText="1"/>
    </xf>
    <xf numFmtId="0" fontId="8" fillId="0" borderId="82" xfId="0" applyFont="1" applyBorder="1" applyAlignment="1">
      <alignment horizontal="center" wrapText="1"/>
    </xf>
    <xf numFmtId="10" fontId="13" fillId="0" borderId="40" xfId="16" applyNumberFormat="1" applyFont="1" applyBorder="1" applyAlignment="1">
      <alignment horizontal="center"/>
    </xf>
    <xf numFmtId="10" fontId="13" fillId="0" borderId="239" xfId="16" applyNumberFormat="1" applyFont="1" applyBorder="1" applyAlignment="1">
      <alignment horizontal="center"/>
    </xf>
    <xf numFmtId="0" fontId="13" fillId="24" borderId="78" xfId="0" applyFont="1" applyFill="1" applyBorder="1" applyAlignment="1">
      <alignment horizontal="center"/>
    </xf>
    <xf numFmtId="0" fontId="13" fillId="24" borderId="79" xfId="0" applyFont="1" applyFill="1" applyBorder="1" applyAlignment="1">
      <alignment horizontal="center"/>
    </xf>
    <xf numFmtId="0" fontId="13" fillId="24" borderId="80" xfId="0" applyFont="1" applyFill="1" applyBorder="1" applyAlignment="1">
      <alignment horizontal="center"/>
    </xf>
    <xf numFmtId="0" fontId="44" fillId="0" borderId="81" xfId="0" applyFont="1" applyBorder="1" applyAlignment="1">
      <alignment horizontal="center"/>
    </xf>
    <xf numFmtId="0" fontId="44" fillId="0" borderId="82" xfId="0" applyFont="1" applyBorder="1" applyAlignment="1">
      <alignment horizontal="center"/>
    </xf>
    <xf numFmtId="0" fontId="0" fillId="0" borderId="81" xfId="0" applyBorder="1" applyAlignment="1">
      <alignment horizontal="center"/>
    </xf>
    <xf numFmtId="0" fontId="0" fillId="0" borderId="82" xfId="0" applyBorder="1" applyAlignment="1">
      <alignment horizontal="center"/>
    </xf>
    <xf numFmtId="10" fontId="13" fillId="0" borderId="81" xfId="16" applyNumberFormat="1" applyFont="1" applyBorder="1" applyAlignment="1">
      <alignment horizontal="center"/>
    </xf>
    <xf numFmtId="10" fontId="13" fillId="0" borderId="83" xfId="16" applyNumberFormat="1" applyFont="1" applyBorder="1" applyAlignment="1">
      <alignment horizontal="center"/>
    </xf>
    <xf numFmtId="10" fontId="13" fillId="0" borderId="82" xfId="16" applyNumberFormat="1" applyFont="1" applyBorder="1" applyAlignment="1">
      <alignment horizontal="center"/>
    </xf>
    <xf numFmtId="0" fontId="31" fillId="5" borderId="70" xfId="0" applyFont="1" applyFill="1" applyBorder="1" applyAlignment="1">
      <alignment horizontal="center"/>
    </xf>
    <xf numFmtId="0" fontId="31" fillId="5" borderId="74" xfId="0" applyFont="1" applyFill="1" applyBorder="1" applyAlignment="1">
      <alignment horizontal="center"/>
    </xf>
    <xf numFmtId="0" fontId="31" fillId="5" borderId="75" xfId="0" applyFont="1" applyFill="1" applyBorder="1" applyAlignment="1">
      <alignment horizontal="center"/>
    </xf>
    <xf numFmtId="0" fontId="13" fillId="14" borderId="71" xfId="0" applyFont="1" applyFill="1" applyBorder="1" applyAlignment="1">
      <alignment horizontal="center"/>
    </xf>
    <xf numFmtId="0" fontId="13" fillId="14" borderId="73" xfId="0" applyFont="1" applyFill="1" applyBorder="1" applyAlignment="1">
      <alignment horizontal="center"/>
    </xf>
    <xf numFmtId="0" fontId="13" fillId="14" borderId="72" xfId="0" applyFont="1" applyFill="1" applyBorder="1" applyAlignment="1">
      <alignment horizontal="center"/>
    </xf>
    <xf numFmtId="0" fontId="31" fillId="5" borderId="71" xfId="0" applyFont="1" applyFill="1" applyBorder="1" applyAlignment="1">
      <alignment horizontal="center" vertical="center"/>
    </xf>
    <xf numFmtId="0" fontId="31" fillId="5" borderId="72" xfId="0" applyFont="1" applyFill="1" applyBorder="1" applyAlignment="1">
      <alignment horizontal="center" vertical="center"/>
    </xf>
    <xf numFmtId="0" fontId="31" fillId="5" borderId="75" xfId="0" applyFont="1" applyFill="1" applyBorder="1" applyAlignment="1">
      <alignment horizontal="center" vertical="center"/>
    </xf>
    <xf numFmtId="0" fontId="13" fillId="0" borderId="81" xfId="0" applyFont="1" applyBorder="1" applyAlignment="1">
      <alignment horizontal="center"/>
    </xf>
    <xf numFmtId="0" fontId="13" fillId="0" borderId="83" xfId="0" applyFont="1" applyBorder="1" applyAlignment="1">
      <alignment horizontal="center"/>
    </xf>
    <xf numFmtId="0" fontId="13" fillId="0" borderId="82" xfId="0" applyFont="1" applyBorder="1" applyAlignment="1">
      <alignment horizontal="center"/>
    </xf>
    <xf numFmtId="0" fontId="13" fillId="0" borderId="240" xfId="0" applyFont="1" applyBorder="1" applyAlignment="1">
      <alignment horizontal="center"/>
    </xf>
    <xf numFmtId="0" fontId="13" fillId="0" borderId="159" xfId="0" applyFont="1" applyBorder="1" applyAlignment="1">
      <alignment horizontal="center"/>
    </xf>
    <xf numFmtId="0" fontId="13" fillId="0" borderId="241" xfId="0" applyFont="1" applyBorder="1" applyAlignment="1">
      <alignment horizontal="center"/>
    </xf>
    <xf numFmtId="10" fontId="13" fillId="0" borderId="240" xfId="16" applyNumberFormat="1" applyFont="1" applyBorder="1" applyAlignment="1">
      <alignment horizontal="center"/>
    </xf>
    <xf numFmtId="10" fontId="13" fillId="0" borderId="159" xfId="16" applyNumberFormat="1" applyFont="1" applyBorder="1" applyAlignment="1">
      <alignment horizontal="center"/>
    </xf>
    <xf numFmtId="10" fontId="13" fillId="0" borderId="241" xfId="16" applyNumberFormat="1" applyFont="1" applyBorder="1" applyAlignment="1">
      <alignment horizontal="center"/>
    </xf>
    <xf numFmtId="0" fontId="13" fillId="24" borderId="76" xfId="0" applyFont="1" applyFill="1" applyBorder="1" applyAlignment="1">
      <alignment horizontal="center"/>
    </xf>
    <xf numFmtId="0" fontId="13" fillId="24" borderId="77" xfId="0" applyFont="1" applyFill="1" applyBorder="1" applyAlignment="1">
      <alignment horizontal="center"/>
    </xf>
    <xf numFmtId="0" fontId="84" fillId="0" borderId="110" xfId="0" applyFont="1" applyBorder="1" applyAlignment="1">
      <alignment horizontal="center" vertical="center" wrapText="1"/>
    </xf>
    <xf numFmtId="0" fontId="35" fillId="0" borderId="111" xfId="0" applyFont="1" applyBorder="1" applyAlignment="1">
      <alignment horizontal="center" vertical="center" wrapText="1"/>
    </xf>
    <xf numFmtId="0" fontId="35" fillId="0" borderId="112" xfId="0" applyFont="1" applyBorder="1" applyAlignment="1">
      <alignment horizontal="center" vertical="center" wrapText="1"/>
    </xf>
    <xf numFmtId="0" fontId="50" fillId="5" borderId="64" xfId="0" applyFont="1" applyFill="1" applyBorder="1" applyAlignment="1">
      <alignment horizontal="center"/>
    </xf>
    <xf numFmtId="0" fontId="8" fillId="39" borderId="219" xfId="0" applyFont="1" applyFill="1" applyBorder="1" applyAlignment="1">
      <alignment horizontal="center" vertical="center" wrapText="1"/>
    </xf>
    <xf numFmtId="0" fontId="72" fillId="0" borderId="64" xfId="0" applyFont="1" applyBorder="1" applyAlignment="1">
      <alignment horizontal="center" vertical="center" wrapText="1"/>
    </xf>
    <xf numFmtId="0" fontId="72" fillId="0" borderId="220" xfId="0" applyFont="1" applyBorder="1" applyAlignment="1">
      <alignment horizontal="center" vertical="center" wrapText="1"/>
    </xf>
    <xf numFmtId="0" fontId="27" fillId="5" borderId="216" xfId="26" applyFont="1" applyFill="1" applyBorder="1" applyAlignment="1">
      <alignment horizontal="center" vertical="center"/>
    </xf>
    <xf numFmtId="0" fontId="27" fillId="5" borderId="217" xfId="26" applyFont="1" applyFill="1" applyBorder="1" applyAlignment="1">
      <alignment horizontal="center" vertical="center"/>
    </xf>
    <xf numFmtId="0" fontId="27" fillId="5" borderId="218" xfId="26" applyFont="1" applyFill="1" applyBorder="1" applyAlignment="1">
      <alignment horizontal="center" vertical="center"/>
    </xf>
    <xf numFmtId="0" fontId="8" fillId="45" borderId="219" xfId="0" applyFont="1" applyFill="1" applyBorder="1" applyAlignment="1">
      <alignment horizontal="center" vertical="center" wrapText="1"/>
    </xf>
    <xf numFmtId="0" fontId="8" fillId="44" borderId="219" xfId="0" applyFont="1" applyFill="1" applyBorder="1" applyAlignment="1">
      <alignment horizontal="center" vertical="center" wrapText="1"/>
    </xf>
    <xf numFmtId="0" fontId="8" fillId="44" borderId="221" xfId="0" applyFont="1" applyFill="1" applyBorder="1" applyAlignment="1">
      <alignment horizontal="center" vertical="center" wrapText="1"/>
    </xf>
    <xf numFmtId="0" fontId="72" fillId="0" borderId="222" xfId="0" applyFont="1" applyBorder="1" applyAlignment="1">
      <alignment horizontal="center" vertical="center" wrapText="1"/>
    </xf>
    <xf numFmtId="0" fontId="72" fillId="0" borderId="223" xfId="0" applyFont="1" applyBorder="1" applyAlignment="1">
      <alignment horizontal="center" vertical="center" wrapText="1"/>
    </xf>
    <xf numFmtId="0" fontId="80" fillId="31" borderId="46" xfId="33" applyFont="1" applyFill="1" applyBorder="1" applyAlignment="1">
      <alignment horizontal="center" vertical="center"/>
    </xf>
    <xf numFmtId="0" fontId="80" fillId="31" borderId="271" xfId="0" applyFont="1" applyFill="1" applyBorder="1" applyAlignment="1">
      <alignment horizontal="center" vertical="center"/>
    </xf>
    <xf numFmtId="0" fontId="80" fillId="31" borderId="46" xfId="0" applyFont="1" applyFill="1" applyBorder="1" applyAlignment="1">
      <alignment horizontal="center" vertical="center"/>
    </xf>
    <xf numFmtId="0" fontId="80" fillId="31" borderId="179" xfId="0" applyFont="1" applyFill="1" applyBorder="1" applyAlignment="1">
      <alignment horizontal="center" vertical="center"/>
    </xf>
    <xf numFmtId="0" fontId="80" fillId="31" borderId="5" xfId="0" applyFont="1" applyFill="1" applyBorder="1" applyAlignment="1">
      <alignment horizontal="center" vertical="center"/>
    </xf>
    <xf numFmtId="0" fontId="80" fillId="31" borderId="35" xfId="0" applyFont="1" applyFill="1" applyBorder="1" applyAlignment="1">
      <alignment horizontal="center" vertical="center"/>
    </xf>
    <xf numFmtId="9" fontId="77" fillId="12" borderId="38" xfId="16" applyFont="1" applyFill="1" applyBorder="1" applyAlignment="1">
      <alignment horizontal="center" vertical="center"/>
    </xf>
    <xf numFmtId="9" fontId="77" fillId="12" borderId="2" xfId="16" applyFont="1" applyFill="1" applyBorder="1" applyAlignment="1">
      <alignment horizontal="center" vertical="center"/>
    </xf>
    <xf numFmtId="0" fontId="80" fillId="31" borderId="272" xfId="0" applyFont="1" applyFill="1" applyBorder="1" applyAlignment="1">
      <alignment horizontal="center" vertical="center"/>
    </xf>
    <xf numFmtId="0" fontId="80" fillId="31" borderId="3" xfId="0" applyFont="1" applyFill="1" applyBorder="1" applyAlignment="1">
      <alignment horizontal="center" vertical="center"/>
    </xf>
    <xf numFmtId="0" fontId="80" fillId="31" borderId="3" xfId="0" quotePrefix="1" applyFont="1" applyFill="1" applyBorder="1" applyAlignment="1">
      <alignment horizontal="center" vertical="center"/>
    </xf>
    <xf numFmtId="2" fontId="77" fillId="12" borderId="2" xfId="0" applyNumberFormat="1" applyFont="1" applyFill="1" applyBorder="1" applyAlignment="1">
      <alignment horizontal="center" vertical="center"/>
    </xf>
    <xf numFmtId="9" fontId="77" fillId="35" borderId="44" xfId="16" quotePrefix="1" applyFont="1" applyFill="1" applyBorder="1" applyAlignment="1">
      <alignment horizontal="center" vertical="center" wrapText="1"/>
    </xf>
    <xf numFmtId="9" fontId="77" fillId="35" borderId="45" xfId="16" applyFont="1" applyFill="1" applyBorder="1" applyAlignment="1">
      <alignment horizontal="center" vertical="center" wrapText="1"/>
    </xf>
    <xf numFmtId="177" fontId="0" fillId="0" borderId="44" xfId="0" applyNumberFormat="1" applyBorder="1" applyAlignment="1">
      <alignment horizontal="center" vertical="center"/>
    </xf>
    <xf numFmtId="177" fontId="0" fillId="0" borderId="45" xfId="0" applyNumberFormat="1" applyBorder="1" applyAlignment="1">
      <alignment horizontal="center" vertical="center"/>
    </xf>
    <xf numFmtId="0" fontId="65" fillId="0" borderId="1" xfId="0" applyFont="1" applyBorder="1" applyAlignment="1">
      <alignment horizontal="center" vertical="center"/>
    </xf>
    <xf numFmtId="0" fontId="65" fillId="0" borderId="45" xfId="0" applyFont="1" applyBorder="1" applyAlignment="1">
      <alignment horizontal="center" vertical="center"/>
    </xf>
    <xf numFmtId="0" fontId="80" fillId="31" borderId="5" xfId="0" applyFont="1" applyFill="1" applyBorder="1" applyAlignment="1">
      <alignment horizontal="center" vertical="center" wrapText="1"/>
    </xf>
    <xf numFmtId="0" fontId="80" fillId="31" borderId="0" xfId="0" applyFont="1" applyFill="1" applyAlignment="1">
      <alignment horizontal="center" vertical="center" wrapText="1"/>
    </xf>
    <xf numFmtId="0" fontId="80" fillId="31" borderId="32" xfId="0" applyFont="1" applyFill="1" applyBorder="1" applyAlignment="1">
      <alignment horizontal="center" vertical="center" wrapText="1"/>
    </xf>
    <xf numFmtId="9" fontId="80" fillId="31" borderId="180" xfId="16" applyFont="1" applyFill="1" applyBorder="1" applyAlignment="1">
      <alignment horizontal="center" vertical="center"/>
    </xf>
    <xf numFmtId="9" fontId="80" fillId="31" borderId="117" xfId="16" applyFont="1" applyFill="1" applyBorder="1" applyAlignment="1">
      <alignment horizontal="center" vertical="center"/>
    </xf>
    <xf numFmtId="9" fontId="80" fillId="31" borderId="232" xfId="16" applyFont="1" applyFill="1" applyBorder="1" applyAlignment="1">
      <alignment horizontal="center" vertical="center"/>
    </xf>
    <xf numFmtId="9" fontId="80" fillId="31" borderId="118" xfId="16" applyFont="1" applyFill="1" applyBorder="1" applyAlignment="1">
      <alignment horizontal="center" vertical="center"/>
    </xf>
    <xf numFmtId="9" fontId="80" fillId="31" borderId="231" xfId="16" applyFont="1" applyFill="1" applyBorder="1" applyAlignment="1">
      <alignment horizontal="center" vertical="center"/>
    </xf>
    <xf numFmtId="9" fontId="80" fillId="31" borderId="182" xfId="16" applyFont="1" applyFill="1" applyBorder="1" applyAlignment="1">
      <alignment horizontal="center" vertical="center"/>
    </xf>
    <xf numFmtId="0" fontId="80" fillId="31" borderId="118" xfId="0" applyFont="1" applyFill="1" applyBorder="1" applyAlignment="1">
      <alignment horizontal="center" vertical="center"/>
    </xf>
    <xf numFmtId="0" fontId="80" fillId="31" borderId="231" xfId="0" applyFont="1" applyFill="1" applyBorder="1" applyAlignment="1">
      <alignment horizontal="center" vertical="center"/>
    </xf>
    <xf numFmtId="2" fontId="0" fillId="0" borderId="0" xfId="26" applyNumberFormat="1" applyFont="1" applyAlignment="1">
      <alignment horizontal="center"/>
    </xf>
    <xf numFmtId="0" fontId="16" fillId="18" borderId="113" xfId="1" applyFill="1" applyBorder="1" applyAlignment="1">
      <alignment horizontal="center" vertical="center" readingOrder="1"/>
    </xf>
    <xf numFmtId="0" fontId="53" fillId="18" borderId="113" xfId="26" applyFont="1" applyFill="1" applyBorder="1" applyAlignment="1">
      <alignment horizontal="center"/>
    </xf>
    <xf numFmtId="0" fontId="0" fillId="0" borderId="0" xfId="26" applyFont="1" applyAlignment="1">
      <alignment horizontal="center"/>
    </xf>
    <xf numFmtId="0" fontId="27" fillId="5" borderId="137" xfId="26" applyFont="1" applyFill="1" applyBorder="1" applyAlignment="1">
      <alignment horizontal="center" vertical="center"/>
    </xf>
    <xf numFmtId="0" fontId="27" fillId="5" borderId="30" xfId="26" applyFont="1" applyFill="1" applyBorder="1" applyAlignment="1">
      <alignment horizontal="center" vertical="center"/>
    </xf>
    <xf numFmtId="0" fontId="27" fillId="5" borderId="31" xfId="26" applyFont="1" applyFill="1" applyBorder="1" applyAlignment="1">
      <alignment horizontal="center" vertical="center"/>
    </xf>
    <xf numFmtId="0" fontId="29" fillId="0" borderId="138" xfId="26" applyFont="1" applyBorder="1" applyAlignment="1">
      <alignment horizontal="center" vertical="center" wrapText="1"/>
    </xf>
    <xf numFmtId="0" fontId="29" fillId="0" borderId="139" xfId="26" applyFont="1" applyBorder="1" applyAlignment="1">
      <alignment horizontal="center" vertical="center" wrapText="1"/>
    </xf>
    <xf numFmtId="0" fontId="29" fillId="0" borderId="140" xfId="26" applyFont="1" applyBorder="1" applyAlignment="1">
      <alignment horizontal="center" vertical="center" wrapText="1"/>
    </xf>
    <xf numFmtId="0" fontId="8" fillId="39" borderId="210" xfId="0" applyFont="1" applyFill="1" applyBorder="1" applyAlignment="1">
      <alignment horizontal="center"/>
    </xf>
    <xf numFmtId="0" fontId="8" fillId="39" borderId="211" xfId="0" applyFont="1" applyFill="1" applyBorder="1" applyAlignment="1">
      <alignment horizontal="center"/>
    </xf>
    <xf numFmtId="0" fontId="8" fillId="39" borderId="156" xfId="0" applyFont="1" applyFill="1" applyBorder="1" applyAlignment="1">
      <alignment horizontal="center"/>
    </xf>
    <xf numFmtId="0" fontId="8" fillId="39" borderId="148" xfId="0" applyFont="1" applyFill="1" applyBorder="1" applyAlignment="1">
      <alignment horizontal="center"/>
    </xf>
    <xf numFmtId="0" fontId="65" fillId="0" borderId="120" xfId="29" applyFont="1" applyBorder="1" applyAlignment="1">
      <alignment horizontal="center" vertical="center"/>
    </xf>
    <xf numFmtId="0" fontId="65" fillId="0" borderId="122" xfId="29" applyFont="1" applyBorder="1" applyAlignment="1">
      <alignment horizontal="center" vertical="center"/>
    </xf>
    <xf numFmtId="0" fontId="55" fillId="36" borderId="0" xfId="0" applyFont="1" applyFill="1" applyAlignment="1">
      <alignment horizontal="left" vertical="center"/>
    </xf>
    <xf numFmtId="0" fontId="55" fillId="36" borderId="142" xfId="0" applyFont="1" applyFill="1" applyBorder="1" applyAlignment="1">
      <alignment horizontal="left" vertical="center"/>
    </xf>
    <xf numFmtId="0" fontId="56" fillId="0" borderId="120" xfId="0" applyFont="1" applyBorder="1" applyAlignment="1">
      <alignment horizontal="center" vertical="center"/>
    </xf>
    <xf numFmtId="0" fontId="56" fillId="0" borderId="123" xfId="0" applyFont="1" applyBorder="1" applyAlignment="1">
      <alignment horizontal="center" vertical="center"/>
    </xf>
    <xf numFmtId="0" fontId="56" fillId="0" borderId="122" xfId="0" applyFont="1" applyBorder="1" applyAlignment="1">
      <alignment horizontal="center" vertical="center"/>
    </xf>
    <xf numFmtId="0" fontId="56" fillId="0" borderId="130" xfId="0" applyFont="1" applyBorder="1" applyAlignment="1">
      <alignment horizontal="center" vertical="center" wrapText="1"/>
    </xf>
    <xf numFmtId="0" fontId="56" fillId="0" borderId="127" xfId="0" applyFont="1" applyBorder="1" applyAlignment="1">
      <alignment horizontal="center" vertical="center" wrapText="1"/>
    </xf>
    <xf numFmtId="0" fontId="61" fillId="28" borderId="129" xfId="0" applyFont="1" applyFill="1" applyBorder="1" applyAlignment="1">
      <alignment horizontal="center"/>
    </xf>
    <xf numFmtId="0" fontId="61" fillId="28" borderId="0" xfId="0" applyFont="1" applyFill="1" applyAlignment="1">
      <alignment horizontal="center"/>
    </xf>
    <xf numFmtId="0" fontId="61" fillId="28" borderId="141" xfId="0" applyFont="1" applyFill="1" applyBorder="1" applyAlignment="1">
      <alignment horizontal="center"/>
    </xf>
    <xf numFmtId="0" fontId="61" fillId="28" borderId="125" xfId="0" applyFont="1" applyFill="1" applyBorder="1" applyAlignment="1">
      <alignment horizontal="center"/>
    </xf>
    <xf numFmtId="0" fontId="61" fillId="28" borderId="192" xfId="0" applyFont="1" applyFill="1" applyBorder="1" applyAlignment="1">
      <alignment horizontal="center"/>
    </xf>
    <xf numFmtId="0" fontId="54" fillId="12" borderId="210" xfId="0" applyFont="1" applyFill="1" applyBorder="1" applyAlignment="1">
      <alignment horizontal="center"/>
    </xf>
    <xf numFmtId="0" fontId="54" fillId="12" borderId="211" xfId="0" applyFont="1" applyFill="1" applyBorder="1" applyAlignment="1">
      <alignment horizontal="center"/>
    </xf>
    <xf numFmtId="0" fontId="54" fillId="12" borderId="177" xfId="0" applyFont="1" applyFill="1" applyBorder="1" applyAlignment="1">
      <alignment horizontal="center"/>
    </xf>
    <xf numFmtId="0" fontId="54" fillId="39" borderId="210" xfId="0" applyFont="1" applyFill="1" applyBorder="1" applyAlignment="1">
      <alignment horizontal="center"/>
    </xf>
    <xf numFmtId="0" fontId="54" fillId="39" borderId="211" xfId="0" applyFont="1" applyFill="1" applyBorder="1" applyAlignment="1">
      <alignment horizontal="center"/>
    </xf>
    <xf numFmtId="0" fontId="54" fillId="39" borderId="177" xfId="0" applyFont="1" applyFill="1" applyBorder="1" applyAlignment="1">
      <alignment horizontal="center"/>
    </xf>
    <xf numFmtId="0" fontId="56" fillId="0" borderId="127" xfId="0" applyFont="1" applyBorder="1" applyAlignment="1">
      <alignment horizontal="center" vertical="center"/>
    </xf>
    <xf numFmtId="0" fontId="56" fillId="0" borderId="130" xfId="0" applyFont="1" applyBorder="1" applyAlignment="1">
      <alignment horizontal="center" vertical="center"/>
    </xf>
    <xf numFmtId="0" fontId="56" fillId="0" borderId="212" xfId="0" applyFont="1" applyBorder="1" applyAlignment="1">
      <alignment horizontal="center" vertical="center"/>
    </xf>
    <xf numFmtId="0" fontId="56" fillId="0" borderId="167" xfId="0" applyFont="1" applyBorder="1" applyAlignment="1">
      <alignment horizontal="center" vertical="center"/>
    </xf>
    <xf numFmtId="0" fontId="56" fillId="0" borderId="119" xfId="0" applyFont="1" applyBorder="1" applyAlignment="1">
      <alignment horizontal="center" vertical="center"/>
    </xf>
    <xf numFmtId="0" fontId="8" fillId="0" borderId="119" xfId="24" applyBorder="1" applyAlignment="1">
      <alignment horizontal="center"/>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35" fillId="0" borderId="0" xfId="0" applyFont="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0" fillId="7" borderId="10" xfId="0" applyFill="1" applyBorder="1" applyAlignment="1"/>
  </cellXfs>
  <cellStyles count="35">
    <cellStyle name="blp_title_header_row_left" xfId="1" xr:uid="{00000000-0005-0000-0000-000000000000}"/>
    <cellStyle name="Currency" xfId="34" builtinId="4"/>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yperlink" xfId="11" builtinId="8"/>
    <cellStyle name="Moneda 2" xfId="12" xr:uid="{00000000-0005-0000-0000-00000B000000}"/>
    <cellStyle name="Moneda 2 2" xfId="13" xr:uid="{00000000-0005-0000-0000-00000C000000}"/>
    <cellStyle name="Normal" xfId="0" builtinId="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5" xfId="30" xr:uid="{E3BE1569-E214-4855-8BF5-B868B88B5743}"/>
    <cellStyle name="Normal 9" xfId="33" xr:uid="{CACD4D4E-2C7F-4816-9692-26D0FDD559DC}"/>
    <cellStyle name="Percent" xfId="16" builtinId="5"/>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s>
  <dxfs count="42">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22/10/relationships/richValueRel" Target="richData/richValueRel.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Segments!$C$17:$C$21</c:f>
              <c:strCache>
                <c:ptCount val="5"/>
                <c:pt idx="0">
                  <c:v>Operating Segment -North America</c:v>
                </c:pt>
                <c:pt idx="1">
                  <c:v>
Operating Segment - International</c:v>
                </c:pt>
                <c:pt idx="2">
                  <c:v>Operating Segment -Europe </c:v>
                </c:pt>
                <c:pt idx="3">
                  <c:v>Operating Segment - United States</c:v>
                </c:pt>
                <c:pt idx="4">
                  <c:v>Operating Segment - Canada</c:v>
                </c:pt>
              </c:strCache>
            </c:strRef>
          </c:cat>
          <c:val>
            <c:numRef>
              <c:f>Segments!$D$17:$D$21</c:f>
              <c:numCache>
                <c:formatCode>"$"#,##0</c:formatCode>
                <c:ptCount val="5"/>
                <c:pt idx="0">
                  <c:v>20126</c:v>
                </c:pt>
                <c:pt idx="1">
                  <c:v>6514</c:v>
                </c:pt>
                <c:pt idx="2">
                  <c:v>0</c:v>
                </c:pt>
                <c:pt idx="3">
                  <c:v>0</c:v>
                </c:pt>
                <c:pt idx="4">
                  <c:v>0</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384580052493438"/>
          <c:y val="0.38926845217012235"/>
          <c:w val="0.55284558180227472"/>
          <c:h val="0.58304988693022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Segments!$C$5:$C$9</c:f>
              <c:strCache>
                <c:ptCount val="5"/>
                <c:pt idx="0">
                  <c:v>United States</c:v>
                </c:pt>
                <c:pt idx="1">
                  <c:v>United Kingdom</c:v>
                </c:pt>
                <c:pt idx="2">
                  <c:v>Canada</c:v>
                </c:pt>
                <c:pt idx="3">
                  <c:v>EMEA</c:v>
                </c:pt>
                <c:pt idx="4">
                  <c:v>Other</c:v>
                </c:pt>
              </c:strCache>
            </c:strRef>
          </c:cat>
          <c:val>
            <c:numRef>
              <c:f>Segments!$D$5:$D$9</c:f>
              <c:numCache>
                <c:formatCode>"$"#,##0</c:formatCode>
                <c:ptCount val="5"/>
                <c:pt idx="0">
                  <c:v>18377</c:v>
                </c:pt>
                <c:pt idx="1">
                  <c:v>1271</c:v>
                </c:pt>
                <c:pt idx="2">
                  <c:v>1749</c:v>
                </c:pt>
                <c:pt idx="3">
                  <c:v>0</c:v>
                </c:pt>
                <c:pt idx="4">
                  <c:v>5243</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THE KRAFT HEINZ COMPANY (XNAS:KHC)</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3.3814882032667875</c:v>
                </c:pt>
              </c:numCache>
            </c:numRef>
          </c:xVal>
          <c:yVal>
            <c:numRef>
              <c:f>Peers!$C$37</c:f>
              <c:numCache>
                <c:formatCode>0.0</c:formatCode>
                <c:ptCount val="1"/>
                <c:pt idx="0">
                  <c:v>9.0567495462794927</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GENERAL MILLS, INC. (XNYS:GIS)</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2.7858255451713396</c:v>
                </c:pt>
              </c:numCache>
            </c:numRef>
          </c:xVal>
          <c:yVal>
            <c:numRef>
              <c:f>Peers!$D$37</c:f>
              <c:numCache>
                <c:formatCode>0.000</c:formatCode>
                <c:ptCount val="1"/>
                <c:pt idx="0">
                  <c:v>3.460569791980705</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THE HERSHEY COMPANY (XNYS:HSY)</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1.4673857819959399</c:v>
                </c:pt>
              </c:numCache>
            </c:numRef>
          </c:xVal>
          <c:yVal>
            <c:numRef>
              <c:f>Peers!$E$37</c:f>
              <c:numCache>
                <c:formatCode>0.0</c:formatCode>
                <c:ptCount val="1"/>
                <c:pt idx="0">
                  <c:v>2.8448577334969207</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THE CAMPBELL'S COMPANY (XNAS:CPB)</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2.6423957721667644</c:v>
                </c:pt>
              </c:numCache>
            </c:numRef>
          </c:xVal>
          <c:yVal>
            <c:numRef>
              <c:f>Peers!$F$37</c:f>
              <c:numCache>
                <c:formatCode>0.0</c:formatCode>
                <c:ptCount val="1"/>
                <c:pt idx="0">
                  <c:v>3.2273570170287726</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CONAGRA BRANDS, INC. (XNYS:CAG)</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5.9162318235580607</c:v>
                </c:pt>
              </c:numCache>
            </c:numRef>
          </c:xVal>
          <c:yVal>
            <c:numRef>
              <c:f>Peers!$G$37</c:f>
              <c:numCache>
                <c:formatCode>0.0</c:formatCode>
                <c:ptCount val="1"/>
                <c:pt idx="0">
                  <c:v>6.5341669101788078</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Nestle Ltd. (OTCM:NSRGY)</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2.8322287126488428</c:v>
                </c:pt>
              </c:numCache>
            </c:numRef>
          </c:xVal>
          <c:yVal>
            <c:numRef>
              <c:f>Peers!$H$37</c:f>
              <c:numCache>
                <c:formatCode>0.0</c:formatCode>
                <c:ptCount val="1"/>
                <c:pt idx="0">
                  <c:v>4.1553341945630189</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THE KRAFT HEINZ COMPANY (XNAS:KHC)</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pt idx="0">
                  <c:v>0.44738834216502643</c:v>
                </c:pt>
              </c:numCache>
            </c:numRef>
          </c:xVal>
          <c:yVal>
            <c:numRef>
              <c:f>Peers!$C$49</c:f>
              <c:numCache>
                <c:formatCode>0%</c:formatCode>
                <c:ptCount val="1"/>
                <c:pt idx="0">
                  <c:v>-0.19334550618786772</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GENERAL MILLS, INC. (XNYS:GIS)</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0.15511420059582903</c:v>
                </c:pt>
              </c:numCache>
            </c:numRef>
          </c:xVal>
          <c:yVal>
            <c:numRef>
              <c:f>Peers!$D$49</c:f>
              <c:numCache>
                <c:formatCode>0.00%</c:formatCode>
                <c:ptCount val="1"/>
                <c:pt idx="0">
                  <c:v>0.14001883559700889</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THE HERSHEY COMPANY (XNYS:HSY)</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-0.15632558628667592</c:v>
                </c:pt>
              </c:numCache>
            </c:numRef>
          </c:xVal>
          <c:yVal>
            <c:numRef>
              <c:f>Peers!$E$49</c:f>
              <c:numCache>
                <c:formatCode>0.00%</c:formatCode>
                <c:ptCount val="1"/>
                <c:pt idx="0">
                  <c:v>0.36998490377398285</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THE CAMPBELL'S COMPANY (XNAS:CPB)</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0.36224947651809747</c:v>
                </c:pt>
              </c:numCache>
            </c:numRef>
          </c:xVal>
          <c:yVal>
            <c:numRef>
              <c:f>Peers!$F$49</c:f>
              <c:numCache>
                <c:formatCode>0.00%</c:formatCode>
                <c:ptCount val="1"/>
                <c:pt idx="0">
                  <c:v>7.6630997583707394E-2</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CONAGRA BRANDS, INC. (XNYS:CAG)</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0.83009708737864085</c:v>
                </c:pt>
              </c:numCache>
            </c:numRef>
          </c:xVal>
          <c:yVal>
            <c:numRef>
              <c:f>Peers!$G$49</c:f>
              <c:numCache>
                <c:formatCode>0.00%</c:formatCode>
                <c:ptCount val="1"/>
                <c:pt idx="0">
                  <c:v>0.11059849471703576</c:v>
                </c:pt>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Nestle Ltd. (OTCM:NSRGY)</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pt idx="0">
                  <c:v>0.21944535788665998</c:v>
                </c:pt>
              </c:numCache>
            </c:numRef>
          </c:xVal>
          <c:yVal>
            <c:numRef>
              <c:f>Peers!$H$49</c:f>
              <c:numCache>
                <c:formatCode>0.00%</c:formatCode>
                <c:ptCount val="1"/>
                <c:pt idx="0">
                  <c:v>0.10261669610993196</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0.png"/><Relationship Id="rId4" Type="http://schemas.openxmlformats.org/officeDocument/2006/relationships/image" Target="../media/image9.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17</xdr:row>
      <xdr:rowOff>1773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9525</xdr:colOff>
      <xdr:row>61</xdr:row>
      <xdr:rowOff>19050</xdr:rowOff>
    </xdr:from>
    <xdr:to>
      <xdr:col>3</xdr:col>
      <xdr:colOff>2114550</xdr:colOff>
      <xdr:row>70</xdr:row>
      <xdr:rowOff>152400</xdr:rowOff>
    </xdr:to>
    <xdr:sp macro="" textlink="">
      <xdr:nvSpPr>
        <xdr:cNvPr id="2" name="CaixaDeTexto 1">
          <a:extLst>
            <a:ext uri="{FF2B5EF4-FFF2-40B4-BE49-F238E27FC236}">
              <a16:creationId xmlns:a16="http://schemas.microsoft.com/office/drawing/2014/main" id="{4182CEA9-EDEF-597F-1894-3E6FBD510197}"/>
            </a:ext>
            <a:ext uri="{147F2762-F138-4A5C-976F-8EAC2B608ADB}">
              <a16:predDERef xmlns:a16="http://schemas.microsoft.com/office/drawing/2014/main" pred="{D38869C9-D998-A047-96C8-5B849EBEA94D}"/>
            </a:ext>
          </a:extLst>
        </xdr:cNvPr>
        <xdr:cNvSpPr txBox="1"/>
      </xdr:nvSpPr>
      <xdr:spPr>
        <a:xfrm>
          <a:off x="38100" y="11201400"/>
          <a:ext cx="5076825" cy="17049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a:latin typeface="+mn-lt"/>
              <a:ea typeface="+mn-lt"/>
              <a:cs typeface="+mn-lt"/>
            </a:rPr>
            <a:t>S</a:t>
          </a:r>
          <a:r>
            <a:rPr lang="en-US" sz="1100" b="1" u="sng">
              <a:latin typeface="+mn-lt"/>
              <a:ea typeface="+mn-lt"/>
              <a:cs typeface="+mn-lt"/>
            </a:rPr>
            <a:t>trong Brand Portfolio</a:t>
          </a:r>
          <a:r>
            <a:rPr lang="en-US" sz="1100">
              <a:latin typeface="+mn-lt"/>
              <a:ea typeface="+mn-lt"/>
              <a:cs typeface="+mn-lt"/>
            </a:rPr>
            <a:t>: Kraft Heinz owns various iconic and emerging brands, allowing it to cater to multiple consumer preferences and market segments</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i="0" u="sng" strike="noStrike">
            <a:solidFill>
              <a:srgbClr val="000000"/>
            </a:solidFill>
            <a:latin typeface="Calibri" panose="020F0502020204030204" pitchFamily="34" charset="0"/>
            <a:cs typeface="Calibri" panose="020F0502020204030204" pitchFamily="34" charset="0"/>
          </a:endParaRPr>
        </a:p>
        <a:p>
          <a:pPr marL="0" indent="0" algn="l"/>
          <a:r>
            <a:rPr lang="en-US" sz="1100" b="1" i="0" u="sng" strike="noStrike">
              <a:solidFill>
                <a:srgbClr val="000000"/>
              </a:solidFill>
              <a:latin typeface="Calibri" panose="020F0502020204030204" pitchFamily="34" charset="0"/>
              <a:cs typeface="Calibri" panose="020F0502020204030204" pitchFamily="34" charset="0"/>
            </a:rPr>
            <a:t>Global Presence: </a:t>
          </a:r>
          <a:r>
            <a:rPr lang="en-US" sz="1100" b="0" i="0" u="none" strike="noStrike">
              <a:solidFill>
                <a:srgbClr val="000000"/>
              </a:solidFill>
              <a:latin typeface="Calibri" panose="020F0502020204030204" pitchFamily="34" charset="0"/>
              <a:cs typeface="Calibri" panose="020F0502020204030204" pitchFamily="34" charset="0"/>
            </a:rPr>
            <a:t>It's the third-largest food and beverage company in North America and the fifth-largest globally;</a:t>
          </a:r>
          <a:endParaRPr lang="en-US" sz="1100" b="1" i="0" u="sng" strike="noStrike">
            <a:solidFill>
              <a:srgbClr val="000000"/>
            </a:solidFill>
            <a:latin typeface="+mn-lt"/>
            <a:ea typeface="+mn-lt"/>
            <a:cs typeface="+mn-lt"/>
          </a:endParaRPr>
        </a:p>
        <a:p>
          <a:pPr marL="0" indent="0" algn="l"/>
          <a:r>
            <a:rPr lang="en-US" sz="1100" b="1" i="0" u="sng" strike="noStrike">
              <a:solidFill>
                <a:srgbClr val="000000"/>
              </a:solidFill>
              <a:latin typeface="+mn-lt"/>
              <a:ea typeface="+mn-lt"/>
              <a:cs typeface="+mn-lt"/>
            </a:rPr>
            <a:t>Innovation and Product Development: </a:t>
          </a:r>
          <a:r>
            <a:rPr lang="en-US" sz="1100" b="0" i="0" u="none" strike="noStrike">
              <a:solidFill>
                <a:srgbClr val="000000"/>
              </a:solidFill>
              <a:latin typeface="+mn-lt"/>
              <a:ea typeface="+mn-lt"/>
              <a:cs typeface="+mn-lt"/>
            </a:rPr>
            <a:t>Through initiatives like Springboard Brands, Kraft Heinz focuses on nurturing organic, natural, and super-premium food brands, demonstrating its commitment to innovation</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i="0" u="sng" strike="noStrike">
            <a:solidFill>
              <a:srgbClr val="000000"/>
            </a:solidFill>
            <a:latin typeface="Calibri" panose="020F0502020204030204" pitchFamily="34" charset="0"/>
            <a:cs typeface="Calibri" panose="020F0502020204030204" pitchFamily="34" charset="0"/>
          </a:endParaRPr>
        </a:p>
        <a:p>
          <a:pPr marL="0" indent="0" algn="l"/>
          <a:r>
            <a:rPr lang="en-US" sz="1100" b="1" i="0" u="sng" strike="noStrike">
              <a:solidFill>
                <a:srgbClr val="000000"/>
              </a:solidFill>
              <a:latin typeface="Calibri" panose="020F0502020204030204" pitchFamily="34" charset="0"/>
              <a:cs typeface="Calibri" panose="020F0502020204030204" pitchFamily="34" charset="0"/>
            </a:rPr>
            <a:t>Strategic Acquisitions and Divestitures:</a:t>
          </a:r>
          <a:r>
            <a:rPr lang="en-US" sz="1100" b="0" i="0" u="none" strike="noStrike">
              <a:solidFill>
                <a:srgbClr val="000000"/>
              </a:solidFill>
              <a:latin typeface="Calibri" panose="020F0502020204030204" pitchFamily="34" charset="0"/>
              <a:cs typeface="Calibri" panose="020F0502020204030204" pitchFamily="34" charset="0"/>
            </a:rPr>
            <a:t> Kraft Heinz has a history of strategic acquisitions to enhance its brand portfolio and divestitures to streamline its operations.</a:t>
          </a:r>
          <a:endParaRPr lang="en-US" sz="1100" b="0" i="0" u="none" strike="noStrike">
            <a:solidFill>
              <a:srgbClr val="000000"/>
            </a:solidFill>
            <a:latin typeface="+mn-lt"/>
            <a:ea typeface="+mn-lt"/>
            <a:cs typeface="+mn-lt"/>
          </a:endParaRPr>
        </a:p>
        <a:p>
          <a:pPr marL="0" indent="0" algn="l"/>
          <a:endParaRPr lang="en-US" sz="1100">
            <a:latin typeface="+mn-lt"/>
            <a:ea typeface="+mn-lt"/>
            <a:cs typeface="+mn-lt"/>
          </a:endParaRPr>
        </a:p>
      </xdr:txBody>
    </xdr:sp>
    <xdr:clientData/>
  </xdr:twoCellAnchor>
  <xdr:twoCellAnchor>
    <xdr:from>
      <xdr:col>4</xdr:col>
      <xdr:colOff>9525</xdr:colOff>
      <xdr:row>61</xdr:row>
      <xdr:rowOff>9525</xdr:rowOff>
    </xdr:from>
    <xdr:to>
      <xdr:col>8</xdr:col>
      <xdr:colOff>1114425</xdr:colOff>
      <xdr:row>70</xdr:row>
      <xdr:rowOff>142875</xdr:rowOff>
    </xdr:to>
    <xdr:sp macro="" textlink="">
      <xdr:nvSpPr>
        <xdr:cNvPr id="3" name="CaixaDeTexto 2">
          <a:extLst>
            <a:ext uri="{FF2B5EF4-FFF2-40B4-BE49-F238E27FC236}">
              <a16:creationId xmlns:a16="http://schemas.microsoft.com/office/drawing/2014/main" id="{7BBA68B7-EC0E-4097-2A1E-DC5E4F485198}"/>
            </a:ext>
            <a:ext uri="{147F2762-F138-4A5C-976F-8EAC2B608ADB}">
              <a16:predDERef xmlns:a16="http://schemas.microsoft.com/office/drawing/2014/main" pred="{4182CEA9-EDEF-597F-1894-3E6FBD510197}"/>
            </a:ext>
          </a:extLst>
        </xdr:cNvPr>
        <xdr:cNvSpPr txBox="1"/>
      </xdr:nvSpPr>
      <xdr:spPr>
        <a:xfrm>
          <a:off x="5143500" y="11191875"/>
          <a:ext cx="6153150" cy="17049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u="sng">
              <a:latin typeface="+mn-lt"/>
              <a:ea typeface="+mn-lt"/>
              <a:cs typeface="+mn-lt"/>
            </a:rPr>
            <a:t>Dependence on Mature Markets: </a:t>
          </a:r>
          <a:r>
            <a:rPr lang="en-US" sz="1100">
              <a:latin typeface="+mn-lt"/>
              <a:ea typeface="+mn-lt"/>
              <a:cs typeface="+mn-lt"/>
            </a:rPr>
            <a:t>Heavy reliance on North American and European markets which are experiencing slow growth</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i="0" u="sng" strike="noStrike">
            <a:solidFill>
              <a:srgbClr val="000000"/>
            </a:solidFill>
            <a:latin typeface="+mn-lt"/>
            <a:ea typeface="+mn-lt"/>
            <a:cs typeface="+mn-lt"/>
          </a:endParaRPr>
        </a:p>
        <a:p>
          <a:pPr marL="0" indent="0" algn="l"/>
          <a:r>
            <a:rPr lang="en-US" sz="1100" b="1" i="0" u="sng" strike="noStrike">
              <a:solidFill>
                <a:srgbClr val="000000"/>
              </a:solidFill>
              <a:latin typeface="+mn-lt"/>
              <a:ea typeface="+mn-lt"/>
              <a:cs typeface="+mn-lt"/>
            </a:rPr>
            <a:t>Integration Challenges:</a:t>
          </a:r>
          <a:r>
            <a:rPr lang="en-US" sz="1100" b="0" i="0" u="none" strike="noStrike">
              <a:solidFill>
                <a:srgbClr val="000000"/>
              </a:solidFill>
              <a:latin typeface="+mn-lt"/>
              <a:ea typeface="+mn-lt"/>
              <a:cs typeface="+mn-lt"/>
            </a:rPr>
            <a:t> Difficulties in integrating diverse business operations post-merger affect efficiency</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i="0" u="sng" strike="noStrike">
            <a:solidFill>
              <a:srgbClr val="000000"/>
            </a:solidFill>
            <a:latin typeface="+mn-lt"/>
            <a:ea typeface="+mn-lt"/>
            <a:cs typeface="+mn-lt"/>
          </a:endParaRPr>
        </a:p>
        <a:p>
          <a:pPr marL="0" indent="0" algn="l"/>
          <a:r>
            <a:rPr lang="en-US" sz="1100" b="1" i="0" u="sng" strike="noStrike">
              <a:solidFill>
                <a:srgbClr val="000000"/>
              </a:solidFill>
              <a:latin typeface="+mn-lt"/>
              <a:ea typeface="+mn-lt"/>
              <a:cs typeface="+mn-lt"/>
            </a:rPr>
            <a:t>Limited Organic Growth: </a:t>
          </a:r>
          <a:r>
            <a:rPr lang="en-US" sz="1100" b="0" i="0" u="none" strike="noStrike">
              <a:solidFill>
                <a:srgbClr val="000000"/>
              </a:solidFill>
              <a:latin typeface="+mn-lt"/>
              <a:ea typeface="+mn-lt"/>
              <a:cs typeface="+mn-lt"/>
            </a:rPr>
            <a:t>Struggles to achieve growth through new market penetration and product lines without acquisitions.</a:t>
          </a:r>
        </a:p>
      </xdr:txBody>
    </xdr:sp>
    <xdr:clientData/>
  </xdr:twoCellAnchor>
  <xdr:twoCellAnchor>
    <xdr:from>
      <xdr:col>1</xdr:col>
      <xdr:colOff>9525</xdr:colOff>
      <xdr:row>72</xdr:row>
      <xdr:rowOff>0</xdr:rowOff>
    </xdr:from>
    <xdr:to>
      <xdr:col>3</xdr:col>
      <xdr:colOff>2114550</xdr:colOff>
      <xdr:row>80</xdr:row>
      <xdr:rowOff>133350</xdr:rowOff>
    </xdr:to>
    <xdr:sp macro="" textlink="">
      <xdr:nvSpPr>
        <xdr:cNvPr id="4" name="CaixaDeTexto 3">
          <a:extLst>
            <a:ext uri="{FF2B5EF4-FFF2-40B4-BE49-F238E27FC236}">
              <a16:creationId xmlns:a16="http://schemas.microsoft.com/office/drawing/2014/main" id="{C771067C-0C76-B56A-852D-1FDB72C07A55}"/>
            </a:ext>
            <a:ext uri="{147F2762-F138-4A5C-976F-8EAC2B608ADB}">
              <a16:predDERef xmlns:a16="http://schemas.microsoft.com/office/drawing/2014/main" pred="{7BBA68B7-EC0E-4097-2A1E-DC5E4F485198}"/>
            </a:ext>
          </a:extLst>
        </xdr:cNvPr>
        <xdr:cNvSpPr txBox="1"/>
      </xdr:nvSpPr>
      <xdr:spPr>
        <a:xfrm>
          <a:off x="38100" y="13077825"/>
          <a:ext cx="5076825" cy="15430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u="sng">
              <a:latin typeface="+mn-lt"/>
              <a:ea typeface="+mn-lt"/>
              <a:cs typeface="+mn-lt"/>
            </a:rPr>
            <a:t>Emerging Markets: </a:t>
          </a:r>
          <a:r>
            <a:rPr lang="en-US" sz="1100">
              <a:latin typeface="+mn-lt"/>
              <a:ea typeface="+mn-lt"/>
              <a:cs typeface="+mn-lt"/>
            </a:rPr>
            <a:t>Expanding into emerging markets offers significant growth potential</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Health and Wellness Trends:</a:t>
          </a:r>
          <a:r>
            <a:rPr lang="en-US" sz="1100">
              <a:latin typeface="+mn-lt"/>
              <a:ea typeface="+mn-lt"/>
              <a:cs typeface="+mn-lt"/>
            </a:rPr>
            <a:t> Increasing consumer demand for healthier food options can be leveraged</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E-commerce Growth:</a:t>
          </a:r>
          <a:r>
            <a:rPr lang="en-US" sz="1100">
              <a:latin typeface="+mn-lt"/>
              <a:ea typeface="+mn-lt"/>
              <a:cs typeface="+mn-lt"/>
            </a:rPr>
            <a:t> Enhanced online sales channels to capture changing consumer buying habits</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Sustainability Initiatives:</a:t>
          </a:r>
          <a:r>
            <a:rPr lang="en-US" sz="1100">
              <a:latin typeface="+mn-lt"/>
              <a:ea typeface="+mn-lt"/>
              <a:cs typeface="+mn-lt"/>
            </a:rPr>
            <a:t> Investing in sustainability can improve brand image and attract eco-conscious consumers.</a:t>
          </a:r>
        </a:p>
      </xdr:txBody>
    </xdr:sp>
    <xdr:clientData/>
  </xdr:twoCellAnchor>
  <xdr:twoCellAnchor>
    <xdr:from>
      <xdr:col>4</xdr:col>
      <xdr:colOff>9525</xdr:colOff>
      <xdr:row>72</xdr:row>
      <xdr:rowOff>0</xdr:rowOff>
    </xdr:from>
    <xdr:to>
      <xdr:col>8</xdr:col>
      <xdr:colOff>1123950</xdr:colOff>
      <xdr:row>80</xdr:row>
      <xdr:rowOff>142875</xdr:rowOff>
    </xdr:to>
    <xdr:sp macro="" textlink="">
      <xdr:nvSpPr>
        <xdr:cNvPr id="5" name="CaixaDeTexto 4">
          <a:extLst>
            <a:ext uri="{FF2B5EF4-FFF2-40B4-BE49-F238E27FC236}">
              <a16:creationId xmlns:a16="http://schemas.microsoft.com/office/drawing/2014/main" id="{72B051E9-48AC-A9CA-4CDC-B76009860803}"/>
            </a:ext>
            <a:ext uri="{147F2762-F138-4A5C-976F-8EAC2B608ADB}">
              <a16:predDERef xmlns:a16="http://schemas.microsoft.com/office/drawing/2014/main" pred="{C771067C-0C76-B56A-852D-1FDB72C07A55}"/>
            </a:ext>
          </a:extLst>
        </xdr:cNvPr>
        <xdr:cNvSpPr txBox="1"/>
      </xdr:nvSpPr>
      <xdr:spPr>
        <a:xfrm>
          <a:off x="5143500" y="13077825"/>
          <a:ext cx="6162675" cy="1552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sng" strike="noStrike">
              <a:solidFill>
                <a:srgbClr val="000000"/>
              </a:solidFill>
              <a:latin typeface="Calibri" panose="020F0502020204030204" pitchFamily="34" charset="0"/>
              <a:cs typeface="Calibri" panose="020F0502020204030204" pitchFamily="34" charset="0"/>
            </a:rPr>
            <a:t>I</a:t>
          </a:r>
          <a:r>
            <a:rPr lang="en-US" sz="1100" b="1" u="sng">
              <a:latin typeface="+mn-lt"/>
              <a:ea typeface="+mn-lt"/>
              <a:cs typeface="+mn-lt"/>
            </a:rPr>
            <a:t>ntense Competition:</a:t>
          </a:r>
          <a:r>
            <a:rPr lang="en-US" sz="1100">
              <a:latin typeface="+mn-lt"/>
              <a:ea typeface="+mn-lt"/>
              <a:cs typeface="+mn-lt"/>
            </a:rPr>
            <a:t> Highly competitive food and beverage industry with numerous strong players</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Changing Consumer Preferences: </a:t>
          </a:r>
          <a:r>
            <a:rPr lang="en-US" sz="1100">
              <a:latin typeface="+mn-lt"/>
              <a:ea typeface="+mn-lt"/>
              <a:cs typeface="+mn-lt"/>
            </a:rPr>
            <a:t>Rapid shifts in consumer preferences can render some products less popular</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Regulatory Challenges: </a:t>
          </a:r>
          <a:r>
            <a:rPr lang="en-US" sz="1100">
              <a:latin typeface="+mn-lt"/>
              <a:ea typeface="+mn-lt"/>
              <a:cs typeface="+mn-lt"/>
            </a:rPr>
            <a:t>Stringent food safety regulations can increase compliance costs</a:t>
          </a:r>
          <a:r>
            <a:rPr lang="en-US" sz="1100" b="0" i="0" u="none" strike="noStrike">
              <a:solidFill>
                <a:srgbClr val="000000"/>
              </a:solidFill>
              <a:latin typeface="Calibri" panose="020F0502020204030204" pitchFamily="34" charset="0"/>
              <a:cs typeface="Calibri" panose="020F0502020204030204" pitchFamily="34" charset="0"/>
            </a:rPr>
            <a:t>;</a:t>
          </a:r>
          <a:endParaRPr lang="en-US" sz="1100" b="1" u="sng">
            <a:latin typeface="+mn-lt"/>
            <a:ea typeface="+mn-lt"/>
            <a:cs typeface="+mn-lt"/>
          </a:endParaRPr>
        </a:p>
        <a:p>
          <a:pPr marL="0" indent="0" algn="l"/>
          <a:r>
            <a:rPr lang="en-US" sz="1100" b="1" u="sng">
              <a:latin typeface="+mn-lt"/>
              <a:ea typeface="+mn-lt"/>
              <a:cs typeface="+mn-lt"/>
            </a:rPr>
            <a:t>Commodity Price Volatility:</a:t>
          </a:r>
          <a:r>
            <a:rPr lang="en-US" sz="1100">
              <a:latin typeface="+mn-lt"/>
              <a:ea typeface="+mn-lt"/>
              <a:cs typeface="+mn-lt"/>
            </a:rPr>
            <a:t> Fluctuations in the prices of raw materials can impact profit margins.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24</xdr:row>
      <xdr:rowOff>76200</xdr:rowOff>
    </xdr:from>
    <xdr:to>
      <xdr:col>11</xdr:col>
      <xdr:colOff>666750</xdr:colOff>
      <xdr:row>30</xdr:row>
      <xdr:rowOff>666750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24</xdr:row>
      <xdr:rowOff>66675</xdr:rowOff>
    </xdr:from>
    <xdr:to>
      <xdr:col>15</xdr:col>
      <xdr:colOff>714375</xdr:colOff>
      <xdr:row>30</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23</xdr:row>
      <xdr:rowOff>247650</xdr:rowOff>
    </xdr:from>
    <xdr:to>
      <xdr:col>11</xdr:col>
      <xdr:colOff>714375</xdr:colOff>
      <xdr:row>31</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19050</xdr:colOff>
      <xdr:row>57</xdr:row>
      <xdr:rowOff>47625</xdr:rowOff>
    </xdr:from>
    <xdr:to>
      <xdr:col>35</xdr:col>
      <xdr:colOff>209550</xdr:colOff>
      <xdr:row>63</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16</xdr:col>
      <xdr:colOff>1371600</xdr:colOff>
      <xdr:row>3</xdr:row>
      <xdr:rowOff>123825</xdr:rowOff>
    </xdr:from>
    <xdr:to>
      <xdr:col>23</xdr:col>
      <xdr:colOff>228600</xdr:colOff>
      <xdr:row>20</xdr:row>
      <xdr:rowOff>76200</xdr:rowOff>
    </xdr:to>
    <xdr:pic>
      <xdr:nvPicPr>
        <xdr:cNvPr id="2" name="Imagem 1">
          <a:extLst>
            <a:ext uri="{FF2B5EF4-FFF2-40B4-BE49-F238E27FC236}">
              <a16:creationId xmlns:a16="http://schemas.microsoft.com/office/drawing/2014/main" id="{000F0B33-145D-113F-18A8-0D2F56485E01}"/>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16621125" y="704850"/>
          <a:ext cx="4991100" cy="2590800"/>
        </a:xfrm>
        <a:prstGeom prst="rect">
          <a:avLst/>
        </a:prstGeom>
      </xdr:spPr>
    </xdr:pic>
    <xdr:clientData/>
  </xdr:twoCellAnchor>
  <xdr:twoCellAnchor editAs="oneCell">
    <xdr:from>
      <xdr:col>17</xdr:col>
      <xdr:colOff>676275</xdr:colOff>
      <xdr:row>22</xdr:row>
      <xdr:rowOff>133350</xdr:rowOff>
    </xdr:from>
    <xdr:to>
      <xdr:col>21</xdr:col>
      <xdr:colOff>485775</xdr:colOff>
      <xdr:row>30</xdr:row>
      <xdr:rowOff>57150</xdr:rowOff>
    </xdr:to>
    <xdr:pic>
      <xdr:nvPicPr>
        <xdr:cNvPr id="4" name="Imagem 3">
          <a:extLst>
            <a:ext uri="{FF2B5EF4-FFF2-40B4-BE49-F238E27FC236}">
              <a16:creationId xmlns:a16="http://schemas.microsoft.com/office/drawing/2014/main" id="{904F5F5C-A22C-0FD7-2FB8-F63A1B7DAED9}"/>
            </a:ext>
            <a:ext uri="{147F2762-F138-4A5C-976F-8EAC2B608ADB}">
              <a16:predDERef xmlns:a16="http://schemas.microsoft.com/office/drawing/2014/main" pred="{000F0B33-145D-113F-18A8-0D2F56485E01}"/>
            </a:ext>
          </a:extLst>
        </xdr:cNvPr>
        <xdr:cNvPicPr>
          <a:picLocks noChangeAspect="1"/>
        </xdr:cNvPicPr>
      </xdr:nvPicPr>
      <xdr:blipFill>
        <a:blip xmlns:r="http://schemas.openxmlformats.org/officeDocument/2006/relationships" r:embed="rId4"/>
        <a:stretch>
          <a:fillRect/>
        </a:stretch>
      </xdr:blipFill>
      <xdr:spPr>
        <a:xfrm>
          <a:off x="17487900" y="3676650"/>
          <a:ext cx="2857500" cy="2857500"/>
        </a:xfrm>
        <a:prstGeom prst="rect">
          <a:avLst/>
        </a:prstGeom>
      </xdr:spPr>
    </xdr:pic>
    <xdr:clientData/>
  </xdr:twoCellAnchor>
  <xdr:twoCellAnchor editAs="oneCell">
    <xdr:from>
      <xdr:col>9</xdr:col>
      <xdr:colOff>552450</xdr:colOff>
      <xdr:row>37</xdr:row>
      <xdr:rowOff>85725</xdr:rowOff>
    </xdr:from>
    <xdr:to>
      <xdr:col>16</xdr:col>
      <xdr:colOff>1076325</xdr:colOff>
      <xdr:row>53</xdr:row>
      <xdr:rowOff>142875</xdr:rowOff>
    </xdr:to>
    <xdr:pic>
      <xdr:nvPicPr>
        <xdr:cNvPr id="6" name="Imagem 5">
          <a:extLst>
            <a:ext uri="{FF2B5EF4-FFF2-40B4-BE49-F238E27FC236}">
              <a16:creationId xmlns:a16="http://schemas.microsoft.com/office/drawing/2014/main" id="{385CAF29-375F-15F7-1FD3-A1F6D1669F63}"/>
            </a:ext>
            <a:ext uri="{147F2762-F138-4A5C-976F-8EAC2B608ADB}">
              <a16:predDERef xmlns:a16="http://schemas.microsoft.com/office/drawing/2014/main" pred="{904F5F5C-A22C-0FD7-2FB8-F63A1B7DAED9}"/>
            </a:ext>
          </a:extLst>
        </xdr:cNvPr>
        <xdr:cNvPicPr>
          <a:picLocks noChangeAspect="1"/>
        </xdr:cNvPicPr>
      </xdr:nvPicPr>
      <xdr:blipFill>
        <a:blip xmlns:r="http://schemas.openxmlformats.org/officeDocument/2006/relationships" r:embed="rId5"/>
        <a:stretch>
          <a:fillRect/>
        </a:stretch>
      </xdr:blipFill>
      <xdr:spPr>
        <a:xfrm>
          <a:off x="10467975" y="9229725"/>
          <a:ext cx="5857875" cy="2800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13</xdr:col>
      <xdr:colOff>462464</xdr:colOff>
      <xdr:row>16</xdr:row>
      <xdr:rowOff>98229</xdr:rowOff>
    </xdr:from>
    <xdr:to>
      <xdr:col>21</xdr:col>
      <xdr:colOff>636155</xdr:colOff>
      <xdr:row>32</xdr:row>
      <xdr:rowOff>156500</xdr:rowOff>
    </xdr:to>
    <xdr:graphicFrame macro="">
      <xdr:nvGraphicFramePr>
        <xdr:cNvPr id="2" name="Chart 1">
          <a:extLst>
            <a:ext uri="{FF2B5EF4-FFF2-40B4-BE49-F238E27FC236}">
              <a16:creationId xmlns:a16="http://schemas.microsoft.com/office/drawing/2014/main" i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167442</xdr:colOff>
      <xdr:row>36</xdr:row>
      <xdr:rowOff>4221</xdr:rowOff>
    </xdr:from>
    <xdr:to>
      <xdr:col>23</xdr:col>
      <xdr:colOff>334129</xdr:colOff>
      <xdr:row>51</xdr:row>
      <xdr:rowOff>390044</xdr:rowOff>
    </xdr:to>
    <xdr:graphicFrame macro="">
      <xdr:nvGraphicFramePr>
        <xdr:cNvPr id="3" name="Chart 2">
          <a:extLst>
            <a:ext uri="{FF2B5EF4-FFF2-40B4-BE49-F238E27FC236}">
              <a16:creationId xmlns:a16="http://schemas.microsoft.com/office/drawing/2014/main" id="{06EE3DBE-321E-4EF6-A0A4-D90C4883E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2</xdr:row>
      <xdr:rowOff>0</xdr:rowOff>
    </xdr:from>
    <xdr:to>
      <xdr:col>1</xdr:col>
      <xdr:colOff>304800</xdr:colOff>
      <xdr:row>2</xdr:row>
      <xdr:rowOff>304800</xdr:rowOff>
    </xdr:to>
    <xdr:sp macro="" textlink="">
      <xdr:nvSpPr>
        <xdr:cNvPr id="4097" name="AutoShape 1">
          <a:extLst>
            <a:ext uri="{FF2B5EF4-FFF2-40B4-BE49-F238E27FC236}">
              <a16:creationId xmlns:a16="http://schemas.microsoft.com/office/drawing/2014/main" id="{B48E0E7E-F8F2-4FDD-6B63-4C1B36F42E27}"/>
            </a:ext>
          </a:extLst>
        </xdr:cNvPr>
        <xdr:cNvSpPr>
          <a:spLocks noChangeAspect="1" noChangeArrowheads="1"/>
        </xdr:cNvSpPr>
      </xdr:nvSpPr>
      <xdr:spPr bwMode="auto">
        <a:xfrm>
          <a:off x="28575" y="12144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32</xdr:col>
      <xdr:colOff>438150</xdr:colOff>
      <xdr:row>74</xdr:row>
      <xdr:rowOff>38100</xdr:rowOff>
    </xdr:from>
    <xdr:to>
      <xdr:col>39</xdr:col>
      <xdr:colOff>323850</xdr:colOff>
      <xdr:row>79</xdr:row>
      <xdr:rowOff>85725</xdr:rowOff>
    </xdr:to>
    <xdr:pic>
      <xdr:nvPicPr>
        <xdr:cNvPr id="2" name="Imagem 1">
          <a:extLst>
            <a:ext uri="{FF2B5EF4-FFF2-40B4-BE49-F238E27FC236}">
              <a16:creationId xmlns:a16="http://schemas.microsoft.com/office/drawing/2014/main" id="{575991BD-4171-837D-E63D-9056D499D024}"/>
            </a:ext>
          </a:extLst>
        </xdr:cNvPr>
        <xdr:cNvPicPr>
          <a:picLocks noChangeAspect="1"/>
        </xdr:cNvPicPr>
      </xdr:nvPicPr>
      <xdr:blipFill>
        <a:blip xmlns:r="http://schemas.openxmlformats.org/officeDocument/2006/relationships" r:embed="rId1"/>
        <a:stretch>
          <a:fillRect/>
        </a:stretch>
      </xdr:blipFill>
      <xdr:spPr>
        <a:xfrm>
          <a:off x="29679900" y="12334875"/>
          <a:ext cx="4572000" cy="857250"/>
        </a:xfrm>
        <a:prstGeom prst="rect">
          <a:avLst/>
        </a:prstGeom>
      </xdr:spPr>
    </xdr:pic>
    <xdr:clientData/>
  </xdr:twoCellAnchor>
  <xdr:twoCellAnchor editAs="oneCell">
    <xdr:from>
      <xdr:col>29</xdr:col>
      <xdr:colOff>800100</xdr:colOff>
      <xdr:row>42</xdr:row>
      <xdr:rowOff>123825</xdr:rowOff>
    </xdr:from>
    <xdr:to>
      <xdr:col>36</xdr:col>
      <xdr:colOff>57150</xdr:colOff>
      <xdr:row>56</xdr:row>
      <xdr:rowOff>76200</xdr:rowOff>
    </xdr:to>
    <xdr:pic>
      <xdr:nvPicPr>
        <xdr:cNvPr id="3" name="Imagem 2">
          <a:extLst>
            <a:ext uri="{FF2B5EF4-FFF2-40B4-BE49-F238E27FC236}">
              <a16:creationId xmlns:a16="http://schemas.microsoft.com/office/drawing/2014/main" id="{7EE1FEE7-C7AC-A5F9-9A17-73F1C6B5296E}"/>
            </a:ext>
            <a:ext uri="{147F2762-F138-4A5C-976F-8EAC2B608ADB}">
              <a16:predDERef xmlns:a16="http://schemas.microsoft.com/office/drawing/2014/main" pred="{575991BD-4171-837D-E63D-9056D499D024}"/>
            </a:ext>
          </a:extLst>
        </xdr:cNvPr>
        <xdr:cNvPicPr>
          <a:picLocks noChangeAspect="1"/>
        </xdr:cNvPicPr>
      </xdr:nvPicPr>
      <xdr:blipFill>
        <a:blip xmlns:r="http://schemas.openxmlformats.org/officeDocument/2006/relationships" r:embed="rId2"/>
        <a:stretch>
          <a:fillRect/>
        </a:stretch>
      </xdr:blipFill>
      <xdr:spPr>
        <a:xfrm>
          <a:off x="27584400" y="7248525"/>
          <a:ext cx="4572000" cy="2209800"/>
        </a:xfrm>
        <a:prstGeom prst="rect">
          <a:avLst/>
        </a:prstGeom>
      </xdr:spPr>
    </xdr:pic>
    <xdr:clientData/>
  </xdr:twoCellAnchor>
  <xdr:twoCellAnchor editAs="oneCell">
    <xdr:from>
      <xdr:col>45</xdr:col>
      <xdr:colOff>276225</xdr:colOff>
      <xdr:row>43</xdr:row>
      <xdr:rowOff>57150</xdr:rowOff>
    </xdr:from>
    <xdr:to>
      <xdr:col>52</xdr:col>
      <xdr:colOff>581025</xdr:colOff>
      <xdr:row>57</xdr:row>
      <xdr:rowOff>142875</xdr:rowOff>
    </xdr:to>
    <xdr:pic>
      <xdr:nvPicPr>
        <xdr:cNvPr id="4" name="Imagem 3">
          <a:extLst>
            <a:ext uri="{FF2B5EF4-FFF2-40B4-BE49-F238E27FC236}">
              <a16:creationId xmlns:a16="http://schemas.microsoft.com/office/drawing/2014/main" id="{71B0F3E5-4DAE-4B4B-7E9D-2885ECE4386C}"/>
            </a:ext>
            <a:ext uri="{147F2762-F138-4A5C-976F-8EAC2B608ADB}">
              <a16:predDERef xmlns:a16="http://schemas.microsoft.com/office/drawing/2014/main" pred="{7EE1FEE7-C7AC-A5F9-9A17-73F1C6B5296E}"/>
            </a:ext>
          </a:extLst>
        </xdr:cNvPr>
        <xdr:cNvPicPr>
          <a:picLocks noChangeAspect="1"/>
        </xdr:cNvPicPr>
      </xdr:nvPicPr>
      <xdr:blipFill>
        <a:blip xmlns:r="http://schemas.openxmlformats.org/officeDocument/2006/relationships" r:embed="rId3"/>
        <a:stretch>
          <a:fillRect/>
        </a:stretch>
      </xdr:blipFill>
      <xdr:spPr>
        <a:xfrm>
          <a:off x="37861875" y="7334250"/>
          <a:ext cx="4572000" cy="2352675"/>
        </a:xfrm>
        <a:prstGeom prst="rect">
          <a:avLst/>
        </a:prstGeom>
      </xdr:spPr>
    </xdr:pic>
    <xdr:clientData/>
  </xdr:twoCellAnchor>
  <xdr:twoCellAnchor editAs="oneCell">
    <xdr:from>
      <xdr:col>6</xdr:col>
      <xdr:colOff>704850</xdr:colOff>
      <xdr:row>46</xdr:row>
      <xdr:rowOff>152400</xdr:rowOff>
    </xdr:from>
    <xdr:to>
      <xdr:col>10</xdr:col>
      <xdr:colOff>666750</xdr:colOff>
      <xdr:row>61</xdr:row>
      <xdr:rowOff>85725</xdr:rowOff>
    </xdr:to>
    <xdr:pic>
      <xdr:nvPicPr>
        <xdr:cNvPr id="5" name="Imagem 4">
          <a:extLst>
            <a:ext uri="{FF2B5EF4-FFF2-40B4-BE49-F238E27FC236}">
              <a16:creationId xmlns:a16="http://schemas.microsoft.com/office/drawing/2014/main" id="{61074DED-AA2F-81E8-DB84-EB13460E8FB8}"/>
            </a:ext>
            <a:ext uri="{147F2762-F138-4A5C-976F-8EAC2B608ADB}">
              <a16:predDERef xmlns:a16="http://schemas.microsoft.com/office/drawing/2014/main" pred="{71B0F3E5-4DAE-4B4B-7E9D-2885ECE4386C}"/>
            </a:ext>
          </a:extLst>
        </xdr:cNvPr>
        <xdr:cNvPicPr>
          <a:picLocks noChangeAspect="1"/>
        </xdr:cNvPicPr>
      </xdr:nvPicPr>
      <xdr:blipFill>
        <a:blip xmlns:r="http://schemas.openxmlformats.org/officeDocument/2006/relationships" r:embed="rId4"/>
        <a:stretch>
          <a:fillRect/>
        </a:stretch>
      </xdr:blipFill>
      <xdr:spPr>
        <a:xfrm>
          <a:off x="6448425" y="7915275"/>
          <a:ext cx="4572000" cy="2362200"/>
        </a:xfrm>
        <a:prstGeom prst="rect">
          <a:avLst/>
        </a:prstGeom>
      </xdr:spPr>
    </xdr:pic>
    <xdr:clientData/>
  </xdr:twoCellAnchor>
  <xdr:twoCellAnchor editAs="oneCell">
    <xdr:from>
      <xdr:col>1</xdr:col>
      <xdr:colOff>228600</xdr:colOff>
      <xdr:row>46</xdr:row>
      <xdr:rowOff>123825</xdr:rowOff>
    </xdr:from>
    <xdr:to>
      <xdr:col>6</xdr:col>
      <xdr:colOff>171450</xdr:colOff>
      <xdr:row>61</xdr:row>
      <xdr:rowOff>57150</xdr:rowOff>
    </xdr:to>
    <xdr:pic>
      <xdr:nvPicPr>
        <xdr:cNvPr id="6" name="Imagem 5">
          <a:extLst>
            <a:ext uri="{FF2B5EF4-FFF2-40B4-BE49-F238E27FC236}">
              <a16:creationId xmlns:a16="http://schemas.microsoft.com/office/drawing/2014/main" id="{32B05FA0-8BE2-94B5-472D-1DF06464598D}"/>
            </a:ext>
            <a:ext uri="{147F2762-F138-4A5C-976F-8EAC2B608ADB}">
              <a16:predDERef xmlns:a16="http://schemas.microsoft.com/office/drawing/2014/main" pred="{61074DED-AA2F-81E8-DB84-EB13460E8FB8}"/>
            </a:ext>
          </a:extLst>
        </xdr:cNvPr>
        <xdr:cNvPicPr>
          <a:picLocks noChangeAspect="1"/>
        </xdr:cNvPicPr>
      </xdr:nvPicPr>
      <xdr:blipFill>
        <a:blip xmlns:r="http://schemas.openxmlformats.org/officeDocument/2006/relationships" r:embed="rId5"/>
        <a:stretch>
          <a:fillRect/>
        </a:stretch>
      </xdr:blipFill>
      <xdr:spPr>
        <a:xfrm>
          <a:off x="1343025" y="7886700"/>
          <a:ext cx="4572000" cy="2362200"/>
        </a:xfrm>
        <a:prstGeom prst="rect">
          <a:avLst/>
        </a:prstGeom>
      </xdr:spPr>
    </xdr:pic>
    <xdr:clientData/>
  </xdr:twoCellAnchor>
  <xdr:twoCellAnchor editAs="oneCell">
    <xdr:from>
      <xdr:col>36</xdr:col>
      <xdr:colOff>533400</xdr:colOff>
      <xdr:row>58</xdr:row>
      <xdr:rowOff>95250</xdr:rowOff>
    </xdr:from>
    <xdr:to>
      <xdr:col>44</xdr:col>
      <xdr:colOff>228600</xdr:colOff>
      <xdr:row>73</xdr:row>
      <xdr:rowOff>28575</xdr:rowOff>
    </xdr:to>
    <xdr:pic>
      <xdr:nvPicPr>
        <xdr:cNvPr id="7" name="Imagem 6">
          <a:extLst>
            <a:ext uri="{FF2B5EF4-FFF2-40B4-BE49-F238E27FC236}">
              <a16:creationId xmlns:a16="http://schemas.microsoft.com/office/drawing/2014/main" id="{3B754D6C-8C5D-A36B-DB0B-F4AE9C8A026B}"/>
            </a:ext>
            <a:ext uri="{147F2762-F138-4A5C-976F-8EAC2B608ADB}">
              <a16:predDERef xmlns:a16="http://schemas.microsoft.com/office/drawing/2014/main" pred="{32B05FA0-8BE2-94B5-472D-1DF06464598D}"/>
            </a:ext>
          </a:extLst>
        </xdr:cNvPr>
        <xdr:cNvPicPr>
          <a:picLocks noChangeAspect="1"/>
        </xdr:cNvPicPr>
      </xdr:nvPicPr>
      <xdr:blipFill>
        <a:blip xmlns:r="http://schemas.openxmlformats.org/officeDocument/2006/relationships" r:embed="rId6"/>
        <a:stretch>
          <a:fillRect/>
        </a:stretch>
      </xdr:blipFill>
      <xdr:spPr>
        <a:xfrm>
          <a:off x="32632650" y="9801225"/>
          <a:ext cx="4572000" cy="2362200"/>
        </a:xfrm>
        <a:prstGeom prst="rect">
          <a:avLst/>
        </a:prstGeom>
      </xdr:spPr>
    </xdr:pic>
    <xdr:clientData/>
  </xdr:twoCellAnchor>
  <xdr:twoCellAnchor editAs="oneCell">
    <xdr:from>
      <xdr:col>30</xdr:col>
      <xdr:colOff>95250</xdr:colOff>
      <xdr:row>57</xdr:row>
      <xdr:rowOff>95250</xdr:rowOff>
    </xdr:from>
    <xdr:to>
      <xdr:col>36</xdr:col>
      <xdr:colOff>171450</xdr:colOff>
      <xdr:row>72</xdr:row>
      <xdr:rowOff>28575</xdr:rowOff>
    </xdr:to>
    <xdr:pic>
      <xdr:nvPicPr>
        <xdr:cNvPr id="8" name="Imagem 7">
          <a:extLst>
            <a:ext uri="{FF2B5EF4-FFF2-40B4-BE49-F238E27FC236}">
              <a16:creationId xmlns:a16="http://schemas.microsoft.com/office/drawing/2014/main" id="{EDAA8A56-224F-C36B-4CA1-21536856CCF3}"/>
            </a:ext>
            <a:ext uri="{147F2762-F138-4A5C-976F-8EAC2B608ADB}">
              <a16:predDERef xmlns:a16="http://schemas.microsoft.com/office/drawing/2014/main" pred="{3B754D6C-8C5D-A36B-DB0B-F4AE9C8A026B}"/>
            </a:ext>
          </a:extLst>
        </xdr:cNvPr>
        <xdr:cNvPicPr>
          <a:picLocks noChangeAspect="1"/>
        </xdr:cNvPicPr>
      </xdr:nvPicPr>
      <xdr:blipFill>
        <a:blip xmlns:r="http://schemas.openxmlformats.org/officeDocument/2006/relationships" r:embed="rId7"/>
        <a:stretch>
          <a:fillRect/>
        </a:stretch>
      </xdr:blipFill>
      <xdr:spPr>
        <a:xfrm>
          <a:off x="27698700" y="9639300"/>
          <a:ext cx="4572000" cy="2362200"/>
        </a:xfrm>
        <a:prstGeom prst="rect">
          <a:avLst/>
        </a:prstGeom>
      </xdr:spPr>
    </xdr:pic>
    <xdr:clientData/>
  </xdr:twoCellAnchor>
  <xdr:twoCellAnchor editAs="oneCell">
    <xdr:from>
      <xdr:col>11</xdr:col>
      <xdr:colOff>66675</xdr:colOff>
      <xdr:row>47</xdr:row>
      <xdr:rowOff>66675</xdr:rowOff>
    </xdr:from>
    <xdr:to>
      <xdr:col>16</xdr:col>
      <xdr:colOff>495300</xdr:colOff>
      <xdr:row>62</xdr:row>
      <xdr:rowOff>0</xdr:rowOff>
    </xdr:to>
    <xdr:pic>
      <xdr:nvPicPr>
        <xdr:cNvPr id="9" name="Imagem 8">
          <a:extLst>
            <a:ext uri="{FF2B5EF4-FFF2-40B4-BE49-F238E27FC236}">
              <a16:creationId xmlns:a16="http://schemas.microsoft.com/office/drawing/2014/main" id="{7BA3E0AF-7703-FB15-37B9-C93628212E60}"/>
            </a:ext>
            <a:ext uri="{147F2762-F138-4A5C-976F-8EAC2B608ADB}">
              <a16:predDERef xmlns:a16="http://schemas.microsoft.com/office/drawing/2014/main" pred="{EDAA8A56-224F-C36B-4CA1-21536856CCF3}"/>
            </a:ext>
          </a:extLst>
        </xdr:cNvPr>
        <xdr:cNvPicPr>
          <a:picLocks noChangeAspect="1"/>
        </xdr:cNvPicPr>
      </xdr:nvPicPr>
      <xdr:blipFill>
        <a:blip xmlns:r="http://schemas.openxmlformats.org/officeDocument/2006/relationships" r:embed="rId8"/>
        <a:stretch>
          <a:fillRect/>
        </a:stretch>
      </xdr:blipFill>
      <xdr:spPr>
        <a:xfrm>
          <a:off x="11363325" y="7991475"/>
          <a:ext cx="4572000" cy="2362200"/>
        </a:xfrm>
        <a:prstGeom prst="rect">
          <a:avLst/>
        </a:prstGeom>
      </xdr:spPr>
    </xdr:pic>
    <xdr:clientData/>
  </xdr:twoCellAnchor>
  <xdr:twoCellAnchor editAs="oneCell">
    <xdr:from>
      <xdr:col>36</xdr:col>
      <xdr:colOff>571500</xdr:colOff>
      <xdr:row>42</xdr:row>
      <xdr:rowOff>85725</xdr:rowOff>
    </xdr:from>
    <xdr:to>
      <xdr:col>44</xdr:col>
      <xdr:colOff>266700</xdr:colOff>
      <xdr:row>57</xdr:row>
      <xdr:rowOff>28575</xdr:rowOff>
    </xdr:to>
    <xdr:pic>
      <xdr:nvPicPr>
        <xdr:cNvPr id="10" name="Imagem 9">
          <a:extLst>
            <a:ext uri="{FF2B5EF4-FFF2-40B4-BE49-F238E27FC236}">
              <a16:creationId xmlns:a16="http://schemas.microsoft.com/office/drawing/2014/main" id="{210AF602-6AEB-C5A4-78CC-3F0882418104}"/>
            </a:ext>
            <a:ext uri="{147F2762-F138-4A5C-976F-8EAC2B608ADB}">
              <a16:predDERef xmlns:a16="http://schemas.microsoft.com/office/drawing/2014/main" pred="{7BA3E0AF-7703-FB15-37B9-C93628212E60}"/>
            </a:ext>
          </a:extLst>
        </xdr:cNvPr>
        <xdr:cNvPicPr>
          <a:picLocks noChangeAspect="1"/>
        </xdr:cNvPicPr>
      </xdr:nvPicPr>
      <xdr:blipFill>
        <a:blip xmlns:r="http://schemas.openxmlformats.org/officeDocument/2006/relationships" r:embed="rId9"/>
        <a:stretch>
          <a:fillRect/>
        </a:stretch>
      </xdr:blipFill>
      <xdr:spPr>
        <a:xfrm>
          <a:off x="32670750" y="7210425"/>
          <a:ext cx="4572000" cy="2362200"/>
        </a:xfrm>
        <a:prstGeom prst="rect">
          <a:avLst/>
        </a:prstGeom>
      </xdr:spPr>
    </xdr:pic>
    <xdr:clientData/>
  </xdr:twoCellAnchor>
  <xdr:twoCellAnchor editAs="oneCell">
    <xdr:from>
      <xdr:col>0</xdr:col>
      <xdr:colOff>866775</xdr:colOff>
      <xdr:row>88</xdr:row>
      <xdr:rowOff>28575</xdr:rowOff>
    </xdr:from>
    <xdr:to>
      <xdr:col>5</xdr:col>
      <xdr:colOff>552450</xdr:colOff>
      <xdr:row>102</xdr:row>
      <xdr:rowOff>152400</xdr:rowOff>
    </xdr:to>
    <xdr:pic>
      <xdr:nvPicPr>
        <xdr:cNvPr id="12" name="Imagem 11">
          <a:extLst>
            <a:ext uri="{FF2B5EF4-FFF2-40B4-BE49-F238E27FC236}">
              <a16:creationId xmlns:a16="http://schemas.microsoft.com/office/drawing/2014/main" id="{953CEF20-1395-32A9-C1DC-16D6C6FF2E4B}"/>
            </a:ext>
            <a:ext uri="{147F2762-F138-4A5C-976F-8EAC2B608ADB}">
              <a16:predDERef xmlns:a16="http://schemas.microsoft.com/office/drawing/2014/main" pred="{210AF602-6AEB-C5A4-78CC-3F0882418104}"/>
            </a:ext>
          </a:extLst>
        </xdr:cNvPr>
        <xdr:cNvPicPr>
          <a:picLocks noChangeAspect="1"/>
        </xdr:cNvPicPr>
      </xdr:nvPicPr>
      <xdr:blipFill>
        <a:blip xmlns:r="http://schemas.openxmlformats.org/officeDocument/2006/relationships" r:embed="rId10"/>
        <a:stretch>
          <a:fillRect/>
        </a:stretch>
      </xdr:blipFill>
      <xdr:spPr>
        <a:xfrm>
          <a:off x="866775" y="14592300"/>
          <a:ext cx="4572000" cy="2390775"/>
        </a:xfrm>
        <a:prstGeom prst="rect">
          <a:avLst/>
        </a:prstGeom>
      </xdr:spPr>
    </xdr:pic>
    <xdr:clientData/>
  </xdr:twoCellAnchor>
  <xdr:twoCellAnchor editAs="oneCell">
    <xdr:from>
      <xdr:col>6</xdr:col>
      <xdr:colOff>314325</xdr:colOff>
      <xdr:row>71</xdr:row>
      <xdr:rowOff>47625</xdr:rowOff>
    </xdr:from>
    <xdr:to>
      <xdr:col>10</xdr:col>
      <xdr:colOff>276225</xdr:colOff>
      <xdr:row>81</xdr:row>
      <xdr:rowOff>95250</xdr:rowOff>
    </xdr:to>
    <xdr:pic>
      <xdr:nvPicPr>
        <xdr:cNvPr id="13" name="Imagem 12">
          <a:extLst>
            <a:ext uri="{FF2B5EF4-FFF2-40B4-BE49-F238E27FC236}">
              <a16:creationId xmlns:a16="http://schemas.microsoft.com/office/drawing/2014/main" id="{870EDA80-57D9-7FA1-A193-C591E7AFF792}"/>
            </a:ext>
            <a:ext uri="{147F2762-F138-4A5C-976F-8EAC2B608ADB}">
              <a16:predDERef xmlns:a16="http://schemas.microsoft.com/office/drawing/2014/main" pred="{953CEF20-1395-32A9-C1DC-16D6C6FF2E4B}"/>
            </a:ext>
          </a:extLst>
        </xdr:cNvPr>
        <xdr:cNvPicPr>
          <a:picLocks noChangeAspect="1"/>
        </xdr:cNvPicPr>
      </xdr:nvPicPr>
      <xdr:blipFill>
        <a:blip xmlns:r="http://schemas.openxmlformats.org/officeDocument/2006/relationships" r:embed="rId11"/>
        <a:stretch>
          <a:fillRect/>
        </a:stretch>
      </xdr:blipFill>
      <xdr:spPr>
        <a:xfrm>
          <a:off x="6057900" y="11858625"/>
          <a:ext cx="4572000" cy="1666875"/>
        </a:xfrm>
        <a:prstGeom prst="rect">
          <a:avLst/>
        </a:prstGeom>
      </xdr:spPr>
    </xdr:pic>
    <xdr:clientData/>
  </xdr:twoCellAnchor>
  <xdr:twoCellAnchor editAs="oneCell">
    <xdr:from>
      <xdr:col>0</xdr:col>
      <xdr:colOff>676275</xdr:colOff>
      <xdr:row>157</xdr:row>
      <xdr:rowOff>123825</xdr:rowOff>
    </xdr:from>
    <xdr:to>
      <xdr:col>5</xdr:col>
      <xdr:colOff>361950</xdr:colOff>
      <xdr:row>163</xdr:row>
      <xdr:rowOff>152400</xdr:rowOff>
    </xdr:to>
    <xdr:pic>
      <xdr:nvPicPr>
        <xdr:cNvPr id="11" name="Imagem 10">
          <a:extLst>
            <a:ext uri="{FF2B5EF4-FFF2-40B4-BE49-F238E27FC236}">
              <a16:creationId xmlns:a16="http://schemas.microsoft.com/office/drawing/2014/main" id="{308EF496-DB32-71E5-CEBC-F9BAF5368237}"/>
            </a:ext>
            <a:ext uri="{147F2762-F138-4A5C-976F-8EAC2B608ADB}">
              <a16:predDERef xmlns:a16="http://schemas.microsoft.com/office/drawing/2014/main" pred="{870EDA80-57D9-7FA1-A193-C591E7AFF792}"/>
            </a:ext>
          </a:extLst>
        </xdr:cNvPr>
        <xdr:cNvPicPr>
          <a:picLocks noChangeAspect="1"/>
        </xdr:cNvPicPr>
      </xdr:nvPicPr>
      <xdr:blipFill>
        <a:blip xmlns:r="http://schemas.openxmlformats.org/officeDocument/2006/relationships" r:embed="rId12"/>
        <a:stretch>
          <a:fillRect/>
        </a:stretch>
      </xdr:blipFill>
      <xdr:spPr>
        <a:xfrm>
          <a:off x="676275" y="25860375"/>
          <a:ext cx="4572000" cy="1000125"/>
        </a:xfrm>
        <a:prstGeom prst="rect">
          <a:avLst/>
        </a:prstGeom>
      </xdr:spPr>
    </xdr:pic>
    <xdr:clientData/>
  </xdr:twoCellAnchor>
  <xdr:twoCellAnchor editAs="oneCell">
    <xdr:from>
      <xdr:col>1</xdr:col>
      <xdr:colOff>219075</xdr:colOff>
      <xdr:row>70</xdr:row>
      <xdr:rowOff>133350</xdr:rowOff>
    </xdr:from>
    <xdr:to>
      <xdr:col>6</xdr:col>
      <xdr:colOff>161925</xdr:colOff>
      <xdr:row>81</xdr:row>
      <xdr:rowOff>19050</xdr:rowOff>
    </xdr:to>
    <xdr:pic>
      <xdr:nvPicPr>
        <xdr:cNvPr id="15" name="Imagem 14">
          <a:extLst>
            <a:ext uri="{FF2B5EF4-FFF2-40B4-BE49-F238E27FC236}">
              <a16:creationId xmlns:a16="http://schemas.microsoft.com/office/drawing/2014/main" id="{C54DE306-47AE-E9A2-42B0-B67D96CB4CB5}"/>
            </a:ext>
            <a:ext uri="{147F2762-F138-4A5C-976F-8EAC2B608ADB}">
              <a16:predDERef xmlns:a16="http://schemas.microsoft.com/office/drawing/2014/main" pred="{308EF496-DB32-71E5-CEBC-F9BAF5368237}"/>
            </a:ext>
          </a:extLst>
        </xdr:cNvPr>
        <xdr:cNvPicPr>
          <a:picLocks noChangeAspect="1"/>
        </xdr:cNvPicPr>
      </xdr:nvPicPr>
      <xdr:blipFill>
        <a:blip xmlns:r="http://schemas.openxmlformats.org/officeDocument/2006/relationships" r:embed="rId13"/>
        <a:stretch>
          <a:fillRect/>
        </a:stretch>
      </xdr:blipFill>
      <xdr:spPr>
        <a:xfrm>
          <a:off x="1333500" y="11782425"/>
          <a:ext cx="4572000" cy="1666875"/>
        </a:xfrm>
        <a:prstGeom prst="rect">
          <a:avLst/>
        </a:prstGeom>
      </xdr:spPr>
    </xdr:pic>
    <xdr:clientData/>
  </xdr:twoCellAnchor>
  <xdr:twoCellAnchor editAs="oneCell">
    <xdr:from>
      <xdr:col>14</xdr:col>
      <xdr:colOff>19050</xdr:colOff>
      <xdr:row>117</xdr:row>
      <xdr:rowOff>95250</xdr:rowOff>
    </xdr:from>
    <xdr:to>
      <xdr:col>19</xdr:col>
      <xdr:colOff>314325</xdr:colOff>
      <xdr:row>137</xdr:row>
      <xdr:rowOff>152400</xdr:rowOff>
    </xdr:to>
    <xdr:pic>
      <xdr:nvPicPr>
        <xdr:cNvPr id="16" name="Imagem 15">
          <a:extLst>
            <a:ext uri="{FF2B5EF4-FFF2-40B4-BE49-F238E27FC236}">
              <a16:creationId xmlns:a16="http://schemas.microsoft.com/office/drawing/2014/main" id="{387DED81-9FEA-C35A-79A3-39E0FD864085}"/>
            </a:ext>
            <a:ext uri="{147F2762-F138-4A5C-976F-8EAC2B608ADB}">
              <a16:predDERef xmlns:a16="http://schemas.microsoft.com/office/drawing/2014/main" pred="{C54DE306-47AE-E9A2-42B0-B67D96CB4CB5}"/>
            </a:ext>
          </a:extLst>
        </xdr:cNvPr>
        <xdr:cNvPicPr>
          <a:picLocks noChangeAspect="1"/>
        </xdr:cNvPicPr>
      </xdr:nvPicPr>
      <xdr:blipFill>
        <a:blip xmlns:r="http://schemas.openxmlformats.org/officeDocument/2006/relationships" r:embed="rId14"/>
        <a:stretch>
          <a:fillRect/>
        </a:stretch>
      </xdr:blipFill>
      <xdr:spPr>
        <a:xfrm>
          <a:off x="13954125" y="19354800"/>
          <a:ext cx="4562475" cy="3295650"/>
        </a:xfrm>
        <a:prstGeom prst="rect">
          <a:avLst/>
        </a:prstGeom>
      </xdr:spPr>
    </xdr:pic>
    <xdr:clientData/>
  </xdr:twoCellAnchor>
  <xdr:twoCellAnchor>
    <xdr:from>
      <xdr:col>5</xdr:col>
      <xdr:colOff>657225</xdr:colOff>
      <xdr:row>157</xdr:row>
      <xdr:rowOff>47625</xdr:rowOff>
    </xdr:from>
    <xdr:to>
      <xdr:col>10</xdr:col>
      <xdr:colOff>190500</xdr:colOff>
      <xdr:row>163</xdr:row>
      <xdr:rowOff>28575</xdr:rowOff>
    </xdr:to>
    <xdr:sp macro="" textlink="">
      <xdr:nvSpPr>
        <xdr:cNvPr id="14" name="CaixaDeTexto 13">
          <a:extLst>
            <a:ext uri="{FF2B5EF4-FFF2-40B4-BE49-F238E27FC236}">
              <a16:creationId xmlns:a16="http://schemas.microsoft.com/office/drawing/2014/main" id="{EAA383D3-52E6-2C43-29EE-C156E348000C}"/>
            </a:ext>
            <a:ext uri="{147F2762-F138-4A5C-976F-8EAC2B608ADB}">
              <a16:predDERef xmlns:a16="http://schemas.microsoft.com/office/drawing/2014/main" pred="{387DED81-9FEA-C35A-79A3-39E0FD864085}"/>
            </a:ext>
          </a:extLst>
        </xdr:cNvPr>
        <xdr:cNvSpPr txBox="1"/>
      </xdr:nvSpPr>
      <xdr:spPr>
        <a:xfrm>
          <a:off x="5543550" y="25784175"/>
          <a:ext cx="5000625"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mn-lt"/>
              <a:ea typeface="+mn-lt"/>
              <a:cs typeface="+mn-lt"/>
            </a:rPr>
            <a:t>using a 350% multiple for total debt, both in short and long term, I ajusted the repurchases multiple to match, approximately, a 3 net leverage ratio, which is a goal of Kraft Heinz.</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 displayName="Telmo Costa Santos" id="{766EBF4F-45D0-4265-8F4C-52830BAAC480}" userId="S::telmocsantos@aln.iseg.ulisboa.pt::061f4275-c3bd-42f7-b3e9-0b9c8e888b7b" providerId="AD"/>
  <person displayName="SARA SOARES MAJO DE OLIVEIRA" id="{DDE5EE64-3168-4427-B288-4317C3072999}" userId="S::sara_oliveira760@aln.iseg.ulisboa.pt::faf65b50-4de2-4aaa-9126-b84a11ef7614"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5">
  <rv s="0">
    <v>https://www.bing.com/financeapi/forcetrigger?t=a1wi77&amp;q=XNAS%3aKHC&amp;form=skydnc</v>
    <v>Learn more on Bing</v>
  </rv>
  <rv s="1">
    <v>en-US</v>
    <v>a1wi77</v>
    <v>268435456</v>
    <v>1</v>
    <v>Powered by Refinitiv</v>
    <v>0</v>
    <v>THE KRAFT HEINZ COMPANY (XNAS:KHC)</v>
    <v>2</v>
    <v>3</v>
    <v>Finance</v>
    <v>4</v>
    <v>36.31</v>
    <v>25.44</v>
    <v>0.13150000000000001</v>
    <v>0.34</v>
    <v>1.3037E-2</v>
    <v>USD</v>
    <v>The Kraft Heinz Company manufactures and markets food and beverage products around the world through its eight consumer-driven product platforms: Taste Elevation, Easy Ready Meals, Hydration, Meats, Cheeses, Substantial Snacking, Desserts, Coffee, and other grocery products. The Company has two reportable segments defined by geographic region: North America and International Developed Markets. Its other segments, consisting of West and East Emerging Markets (WEEM) and Asia Emerging Markets (AEM), are combined and disclosed as Emerging Markets. It manufactures its products from a wide variety of raw materials. Its brands include Kraft, Oscar Mayer, Heinz, Philadelphia, Lunchables, Velveeta, Ore-Ida, Capri Sun, Maxwell House, Kool-Aid, Jell-O, Heinz, Golden Circle, Wattie’s, Plasmon, Heinz, ABC, Master, Quero, Kraft, and Pudliszki, among others. The Company’s products are sold through its own sales organizations and through independent brokers, agents, and distributors.</v>
    <v>36000</v>
    <v>Nasdaq Stock Market</v>
    <v>XNAS</v>
    <v>XNAS</v>
    <v>One Ppg Place, PITTSBURGH, PA, 15222 US</v>
    <v>26.56</v>
    <v>Food &amp; Tobacco</v>
    <v>Stock</v>
    <v>45919.999888899998</v>
    <v>0</v>
    <v>26.17</v>
    <v>31270690000</v>
    <v>THE KRAFT HEINZ COMPANY</v>
    <v>THE KRAFT HEINZ COMPANY</v>
    <v>26.234999999999999</v>
    <v>0</v>
    <v>26.08</v>
    <v>26.42</v>
    <v>1183599000</v>
    <v>KHC</v>
    <v>THE KRAFT HEINZ COMPANY (XNAS:KHC)</v>
    <v>10768</v>
    <v>15514997</v>
    <v>2013</v>
  </rv>
  <rv s="2">
    <v>1</v>
  </rv>
  <rv s="3">
    <v>0</v>
    <v>5</v>
  </rv>
  <rv s="3">
    <v>1</v>
    <v>5</v>
  </rv>
  <rv s="0">
    <v>https://www.bing.com/financeapi/forcetrigger?t=a1tvzr&amp;q=XNYS%3aGIS&amp;form=skydnc</v>
    <v>Learn more on Bing</v>
  </rv>
  <rv s="1">
    <v>en-US</v>
    <v>a1tvzr</v>
    <v>268435456</v>
    <v>1</v>
    <v>Powered by Refinitiv</v>
    <v>0</v>
    <v>GENERAL MILLS, INC. (XNYS:GIS)</v>
    <v>2</v>
    <v>3</v>
    <v>Finance</v>
    <v>4</v>
    <v>74.98</v>
    <v>48.29</v>
    <v>-2.58E-2</v>
    <v>0.5</v>
    <v>1.0029999999999999E-2</v>
    <v>USD</v>
    <v>General Mills, Inc. is a global manufacturer and marketer of branded consumer foods. Its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the United States and Canada. Its product categories include super-premium ice cream and frozen desserts, meal kits, salty snacks, snack bars, dessert and baking mixes, and shelf-stable vegetables. The North America Pet segment includes pet food products sold in the United States and Canada in national pet superstore chains, e-commerce retailers, and grocery stores. The North America Foodservice segment product categories include ready-to-eat cereals, snacks, and baking mixes.</v>
    <v>33000</v>
    <v>New York Stock Exchange</v>
    <v>XNYS</v>
    <v>XNYS</v>
    <v>Number One General Mills Blvd, MINNEAPOLIS, MN, 55426 US</v>
    <v>50.77</v>
    <v>Food &amp; Tobacco</v>
    <v>Stock</v>
    <v>45919.997259803124</v>
    <v>5</v>
    <v>49.88</v>
    <v>26857520000</v>
    <v>GENERAL MILLS, INC.</v>
    <v>GENERAL MILLS, INC.</v>
    <v>50.29</v>
    <v>9.4983000000000004</v>
    <v>49.85</v>
    <v>50.35</v>
    <v>533416400</v>
    <v>GIS</v>
    <v>GENERAL MILLS, INC. (XNYS:GIS)</v>
    <v>3589</v>
    <v>6538971</v>
    <v>1928</v>
  </rv>
  <rv s="2">
    <v>6</v>
  </rv>
  <rv s="0">
    <v>https://www.bing.com/financeapi/forcetrigger?t=a1uwu2&amp;q=XNYS%3aHSY&amp;form=skydnc</v>
    <v>Learn more on Bing</v>
  </rv>
  <rv s="4">
    <v>en-US</v>
    <v>a1uwu2</v>
    <v>268435456</v>
    <v>1</v>
    <v>Powered by Refinitiv</v>
    <v>5</v>
    <v>THE HERSHEY COMPANY (XNYS:HSY)</v>
    <v>2</v>
    <v>6</v>
    <v>Finance</v>
    <v>4</v>
    <v>208.03</v>
    <v>140.13</v>
    <v>0.25169999999999998</v>
    <v>1.1000000000000001</v>
    <v>5.8180000000000003E-3</v>
    <v>USD</v>
    <v>The Hershey Company is a snacks company. The Company's segments include North America Confectionery, North America Salty Snacks and International. The North America Confectionery segment is responsible for its traditional chocolate and non-chocolate confectionery market position in the United States and Canada. This includes its business in chocolate and non-chocolate confectionery, gum and refreshment products, protein bars, spreads, snack bites and mixes, as well as pantry and food service lines. This segment also includes its retail operations. The North America Salty Snacks segment is responsible for its salty snacking products in the United States. This includes ready-to-eat popcorn, baked and trans fat free snacks, pretzels and other snacks. The Company's portfolio includes chocolate and confectionery brands such as Hershey's, Reese's, Kisses, Kit Kat, Jolly Rancher, Ice Breakers, Shaq-a-licious alongside salty snacks including SkinnyPop and Dot's Homestyle Pretzels.</v>
    <v>18540</v>
    <v>New York Stock Exchange</v>
    <v>XNYS</v>
    <v>XNYS</v>
    <v>19 East Chocolate Avenue, External Rptg &amp; Compliance, HERSHEY, PA, 17033 US</v>
    <v>190.69</v>
    <v>Food &amp; Tobacco</v>
    <v>Stock</v>
    <v>45919.977082372658</v>
    <v>8</v>
    <v>187.86</v>
    <v>38554090000</v>
    <v>THE HERSHEY COMPANY</v>
    <v>THE HERSHEY COMPANY</v>
    <v>189.22</v>
    <v>189.08</v>
    <v>190.18</v>
    <v>202724200</v>
    <v>HSY</v>
    <v>THE HERSHEY COMPANY (XNYS:HSY)</v>
    <v>500</v>
    <v>1323813</v>
    <v>1927</v>
  </rv>
  <rv s="2">
    <v>9</v>
  </rv>
  <rv s="0">
    <v>https://www.bing.com/financeapi/forcetrigger?t=a1q7jc&amp;q=XNYS%3aCPB&amp;form=skydnc</v>
    <v>Learn more on Bing</v>
  </rv>
  <rv s="1">
    <v>en-US</v>
    <v>a1q7jc</v>
    <v>268435456</v>
    <v>1</v>
    <v>Powered by Refinitiv</v>
    <v>0</v>
    <v>THE CAMPBELL'S COMPANY (XNAS:CPB)</v>
    <v>2</v>
    <v>3</v>
    <v>Finance</v>
    <v>4</v>
    <v>51.015000000000001</v>
    <v>29.39</v>
    <v>3.2099999999999997E-2</v>
    <v>-0.14000000000000001</v>
    <v>-4.1700000000000001E-3</v>
    <v>USD</v>
    <v>The Campbell's Company, formerly Campbell Soup Company, provides affordable food and beverages. The Company is focused on brand powerhouse, across two divisions: Meals &amp; Beverages and Snacks. The Company’s portfolio of approximately 16 brands includes Campbell’s, Cape Cod, Chunky, Goldfish, Kettle Brand, Lance, Late July, Pace, Pacific Foods, Pepperidge Farm, Prego, Rao’s, Snack Factory Pretzel Crisps, Snyder’s of Hanover, Swanson and V8. It offers nutritious, convenient food for Canadian families. Its North American Foodservice division offers food, recipes, and tailored solutions for a wide range of segments, including healthcare facilities, restaurants and specialty coffee shops, schools, vending and micro-markets, and lodging throughout North America. Pacific Foods is a producer of organic broth and soup. Offering a wide range of tasty organic and plant-based options, soups include Creamy Roasted Red Pepper &amp; Tomato and new ready-to-serve canned soups.</v>
    <v>13700</v>
    <v>Nasdaq Stock Market</v>
    <v>XNAS</v>
    <v>XNAS</v>
    <v>Campbell Pl, CAMDEN, NJ, 08103 US</v>
    <v>33.784999999999997</v>
    <v>Food &amp; Tobacco</v>
    <v>Stock</v>
    <v>45919.990295775002</v>
    <v>11</v>
    <v>33.36</v>
    <v>9961890000</v>
    <v>THE CAMPBELL'S COMPANY</v>
    <v>THE CAMPBELL'S COMPANY</v>
    <v>33.78</v>
    <v>16.659400000000002</v>
    <v>33.57</v>
    <v>33.43</v>
    <v>297992500</v>
    <v>CPB</v>
    <v>THE CAMPBELL'S COMPANY (XNAS:CPB)</v>
    <v>978</v>
    <v>7252692</v>
    <v>1922</v>
  </rv>
  <rv s="2">
    <v>12</v>
  </rv>
  <rv s="0">
    <v>https://www.bing.com/financeapi/forcetrigger?t=a1p55r&amp;q=XNYS%3aCAG&amp;form=skydnc</v>
    <v>Learn more on Bing</v>
  </rv>
  <rv s="1">
    <v>en-US</v>
    <v>a1p55r</v>
    <v>268435456</v>
    <v>1</v>
    <v>Powered by Refinitiv</v>
    <v>0</v>
    <v>CONAGRA BRANDS, INC. (XNYS:CAG)</v>
    <v>2</v>
    <v>3</v>
    <v>Finance</v>
    <v>4</v>
    <v>32.895000000000003</v>
    <v>18.184999999999999</v>
    <v>3.9600000000000003E-2</v>
    <v>-0.21</v>
    <v>-1.1200000000000002E-2</v>
    <v>USD</v>
    <v>Conagra Brands, Inc. is a branded food company. The Company’s segments include Grocery &amp; Snacks, Refrigerated &amp; Frozen, International, and Foodservice. The Grocery &amp; Snacks segment includes branded, shelf-stable food products sold in various retail channels in the United States. The Refrigerated &amp; Frozen segment includes branded, temperature-controlled food products sold in various retail channels in the United States. The International segment includes branded food products in various temperature states, sold in various retail and foodservice channels outside the United States. The Foodservice segment includes branded and customized food products, including meals, entrees, sauces, and a variety of custom-manufactured culinary products that are packaged for sale to restaurants and other foodservice establishments primarily in the United States. Its brands include Birds Eye, Duncan Hines, Healthy Choice, Marie Callender's, Reddi-wip, Slim Jim, and Angie's BOOMCHICKAPOP.</v>
    <v>18300</v>
    <v>New York Stock Exchange</v>
    <v>XNYS</v>
    <v>XNYS</v>
    <v>222 W. Merchandise Mart Plaza, Suite 1300, CHICAGO, IL, 60654 US</v>
    <v>18.899999999999999</v>
    <v>Food &amp; Tobacco</v>
    <v>Stock</v>
    <v>45919.998648471876</v>
    <v>14</v>
    <v>18.45</v>
    <v>8881581000</v>
    <v>CONAGRA BRANDS, INC.</v>
    <v>CONAGRA BRANDS, INC.</v>
    <v>18.809999999999999</v>
    <v>7.7190000000000003</v>
    <v>18.75</v>
    <v>18.54</v>
    <v>479049700</v>
    <v>CAG</v>
    <v>CONAGRA BRANDS, INC. (XNYS:CAG)</v>
    <v>5384</v>
    <v>11382081</v>
    <v>1975</v>
  </rv>
  <rv s="2">
    <v>15</v>
  </rv>
  <rv s="0">
    <v>https://www.bing.com/financeapi/forcetrigger?t=a2qdbh&amp;q=OTCM%3aNSRGY&amp;form=skydnc</v>
    <v>Learn more on Bing</v>
  </rv>
  <rv s="1">
    <v>en-US</v>
    <v>a2qdbh</v>
    <v>268435456</v>
    <v>1</v>
    <v>Powered by Refinitiv</v>
    <v>0</v>
    <v>Nestle Ltd. (OTCM:NSRGY)</v>
    <v>2</v>
    <v>3</v>
    <v>Finance</v>
    <v>7</v>
    <v>109.31</v>
    <v>80.11</v>
    <v>0.51739999999999997</v>
    <v>0.65</v>
    <v>7.1760000000000001E-3</v>
    <v>USD</v>
    <v>Nestle SA is a Switzerland-based company primarily engaged in food manufacturing industry. The Company's segments are Zone North America (NA), Zone Europe (EUR), Zone Asia, Oceania and Africa (AOA), Zone Latin America (LATAM), Zone Greater China (GC), Nestle Health Science and Nespresso. The Company's product categories include powdered and liquid beverages; water; milk products and ice cream; nutrition and health science; prepared dishes and cooking aids; confectionery, and PetCare. The Company's brand portfolio includes, but is not limited to Purina, Cailler, Cini Minis, KitKat, Nespresso and Nescafe. It operates in over 180 countries throughout the world. It has sales in various countries, including the United States, Greater China Region, Brazil, Mexico, Germany, the United Kingdom, Italy, Canada, France, Turkey, Ukraine, Georgia, Hungary, Malta, Romania, Spain and Switzerland.</v>
    <v>277000</v>
    <v>OTC Markets</v>
    <v>OTCM</v>
    <v>OTCM</v>
    <v>Ave Nesele 55, Ch-1800, VEVEY, VAUD, 1800 CH</v>
    <v>91.52</v>
    <v>Food &amp; Tobacco</v>
    <v>Stock</v>
    <v>45919.833707673439</v>
    <v>17</v>
    <v>90.91</v>
    <v>235565700000</v>
    <v>Nestle Ltd.</v>
    <v>Nestle Ltd.</v>
    <v>91.44</v>
    <v>19.765799999999999</v>
    <v>90.58</v>
    <v>91.23</v>
    <v>2576520000</v>
    <v>NSRGY</v>
    <v>Nestle Ltd. (OTCM:NSRGY)</v>
    <v>5801</v>
    <v>470190</v>
    <v>1905</v>
  </rv>
  <rv s="2">
    <v>18</v>
  </rv>
  <rv s="3">
    <v>2</v>
    <v>5</v>
  </rv>
  <rv s="5">
    <v>3</v>
    <v>5</v>
    <v>Hershey develops strategies to expand and grow better-for-you chocolate  category | 2021-02-24 | Snack Food &amp; Wholesale Bakery</v>
  </rv>
  <rv s="3">
    <v>4</v>
    <v>5</v>
  </rv>
  <rv s="3">
    <v>5</v>
    <v>5</v>
  </rv>
  <rv s="3">
    <v>6</v>
    <v>5</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ocalImage">
    <k n="_rvRel:LocalImageIdentifier" t="i"/>
    <k n="CalcOrigin" t="i"/>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ocalImage">
    <k n="_rvRel:LocalImageIdentifier" t="i"/>
    <k n="CalcOrigin" t="i"/>
    <k n="Text" t="s"/>
  </s>
</rvStructures>
</file>

<file path=xl/richData/rdsupportingpropertybag.xml><?xml version="1.0" encoding="utf-8"?>
<supportingPropertyBags xmlns="http://schemas.microsoft.com/office/spreadsheetml/2017/richdata2">
  <spbArrays count="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8">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2</v>
      <v>1</v>
      <v>3</v>
      <v>1</v>
      <v>1</v>
      <v>1</v>
      <v>4</v>
      <v>4</v>
      <v>5</v>
      <v>6</v>
      <v>1</v>
      <v>1</v>
      <v>1</v>
      <v>4</v>
      <v>7</v>
      <v>8</v>
      <v>9</v>
      <v>4</v>
    </spb>
    <spb s="6">
      <v>Delayed 15 minutes</v>
      <v>from previous close</v>
      <v>from previous close</v>
      <v>GMT</v>
    </spb>
  </spbData>
</supportingPropertyBags>
</file>

<file path=xl/richData/rdsupportingpropertybagstructure.xml><?xml version="1.0" encoding="utf-8"?>
<spbStructures xmlns="http://schemas.microsoft.com/office/spreadsheetml/2017/richdata2" count="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27" formatCode="m/d/yyyy\ h:mm"/>
    </x:dxf>
    <x:dxf>
      <x:numFmt numFmtId="0" formatCode="General"/>
    </x:dxf>
  </dxfs>
  <richProperties>
    <rPr n="NumberFormat" t="s"/>
    <rPr n="IsTitleField" t="b"/>
  </richProperties>
  <richStyles>
    <rSty dxfid="6">
      <rpv i="0">_([$$-en-US]* #,##0.00_);_([$$-en-US]* (#,##0.00);_([$$-en-US]* "-"??_);_(@_)</rpv>
    </rSty>
    <rSty dxfid="0">
      <rpv i="0">#,##0.00</rpv>
    </rSty>
    <rSty>
      <rpv i="1">1</rpv>
    </rSty>
    <rSty dxfid="1">
      <rpv i="0">#,##0</rpv>
    </rSty>
    <rSty dxfid="2"/>
    <rSty dxfid="6">
      <rpv i="0">_([$$-en-US]* #,##0_);_([$$-en-US]* (#,##0);_([$$-en-US]* "-"_);_(@_)</rpv>
    </rSty>
    <rSty dxfid="5"/>
    <rSty dxfid="4">
      <rpv i="0">0</rpv>
    </rSty>
    <rSty dxfid="3">
      <rpv i="0">0.00</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D25" dT="2024-05-07T09:56:05.49" personId="{DDE5EE64-3168-4427-B288-4317C3072999}" id="{6CB9FE48-D3B2-42A8-A40D-6D330C7B9C2F}">
    <text>Capri sun used under license</text>
  </threadedComment>
</ThreadedComments>
</file>

<file path=xl/threadedComments/threadedComment3.xml><?xml version="1.0" encoding="utf-8"?>
<ThreadedComments xmlns="http://schemas.microsoft.com/office/spreadsheetml/2018/threadedcomments" xmlns:x="http://schemas.openxmlformats.org/spreadsheetml/2006/main">
  <threadedComment ref="D25" dT="2024-07-14T00:35:15.13" personId="{766EBF4F-45D0-4265-8F4C-52830BAAC480}" id="{AE1BF7DF-A46F-4EA9-8AD0-EBBEABA2AEE1}">
    <text>outlier: sale of business</text>
  </threadedComment>
  <threadedComment ref="G29" dT="2024-07-13T22:45:13.06" personId="{766EBF4F-45D0-4265-8F4C-52830BAAC480}" id="{11C6A416-8BD0-4C4D-AD89-11B26CFC878D}">
    <text>share buyback program up to 3 billion through december 2026 - check assumptions</text>
  </threadedComment>
  <threadedComment ref="C50" dT="2024-07-13T16:28:04.62" personId="{766EBF4F-45D0-4265-8F4C-52830BAAC480}" id="{077F420F-4DB8-4B31-92CC-4DC5BC8FE8B4}">
    <text>https://www.cnbc.com/quotes/US10Y</text>
  </threadedComment>
  <threadedComment ref="G65" dT="2024-07-14T01:02:41.13" personId="{766EBF4F-45D0-4265-8F4C-52830BAAC480}" id="{BD7380B4-A672-467E-BD94-AB74B22FCFD4}">
    <text>medium term</text>
  </threadedComment>
</ThreadedComments>
</file>

<file path=xl/threadedComments/threadedComment4.xml><?xml version="1.0" encoding="utf-8"?>
<ThreadedComments xmlns="http://schemas.microsoft.com/office/spreadsheetml/2018/threadedcomments" xmlns:x="http://schemas.openxmlformats.org/spreadsheetml/2006/main">
  <threadedComment ref="X53" dT="2024-07-13T16:22:52.84" personId="{766EBF4F-45D0-4265-8F4C-52830BAAC480}" id="{CB5AB586-02C0-4912-8CB5-19A58F95FEAB}">
    <text>https://pages.stern.nyu.edu/~adamodar/New_Home_Page/datafile/ctryprem.html</text>
  </threadedComment>
  <threadedComment ref="X57" dT="2024-07-13T16:26:39.97" personId="{766EBF4F-45D0-4265-8F4C-52830BAAC480}" id="{536313A2-5679-485B-9257-210D244E45BF}">
    <text>considering erp as an average of the erp of the 3 previous regions</text>
  </threadedComment>
  <threadedComment ref="L66" dT="2024-07-13T18:30:46.47" personId="{766EBF4F-45D0-4265-8F4C-52830BAAC480}" id="{5BF01BB2-88ED-43A3-B955-2F75FC6DB7D3}">
    <text>exc 2015</text>
  </threadedComment>
  <threadedComment ref="N66" dT="2024-07-13T18:30:51.28" personId="{766EBF4F-45D0-4265-8F4C-52830BAAC480}" id="{A2DC287F-E909-4ACE-BEE1-D3660000472E}">
    <text>exc 2015</text>
  </threadedComment>
  <threadedComment ref="AB87" dT="2024-07-14T01:21:01.07" personId="{766EBF4F-45D0-4265-8F4C-52830BAAC480}" id="{A4C6B560-9FB2-4F73-B1F4-EDB8522951C7}">
    <text>best operating margin among the peers (Hershey Company)</text>
  </threadedComment>
  <threadedComment ref="L140" dT="2024-07-14T01:10:49.95" personId="{766EBF4F-45D0-4265-8F4C-52830BAAC480}" id="{75881CB4-49F2-407C-8164-7A3FF2DF90E1}">
    <text>set 150% to keep the working capital flows stable, since there is no obvious pattern in both methods used and the company has no information about it.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statista.com/outlook/amo/app/food-drink/worldwide" TargetMode="External"/><Relationship Id="rId7" Type="http://schemas.openxmlformats.org/officeDocument/2006/relationships/vmlDrawing" Target="../drawings/vmlDrawing2.vml"/><Relationship Id="rId2" Type="http://schemas.openxmlformats.org/officeDocument/2006/relationships/hyperlink" Target="https://www.imarcgroup.com/food-packaging-market" TargetMode="External"/><Relationship Id="rId1" Type="http://schemas.openxmlformats.org/officeDocument/2006/relationships/hyperlink" Target="https://www.polarismarketresearch.com/industry-analysis/packaged-food-market" TargetMode="Externa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hyperlink" Target="https://www.mordorintelligence.com/industry-reports/packaged-food-market" TargetMode="External"/><Relationship Id="rId9"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7"/>
  <sheetViews>
    <sheetView showGridLines="0" topLeftCell="B34" zoomScaleNormal="100" workbookViewId="0">
      <selection activeCell="H12" sqref="H12"/>
    </sheetView>
  </sheetViews>
  <sheetFormatPr defaultColWidth="11.42578125" defaultRowHeight="13.1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140625" customWidth="1"/>
    <col min="10" max="10" width="10.42578125" customWidth="1"/>
    <col min="11" max="11" width="13.7109375" customWidth="1"/>
    <col min="12" max="12" width="20.85546875" bestFit="1" customWidth="1"/>
    <col min="13" max="13" width="31" customWidth="1"/>
  </cols>
  <sheetData>
    <row r="1" spans="2:17" ht="3.75" customHeight="1" thickBot="1"/>
    <row r="2" spans="2:17" ht="22.5" customHeight="1">
      <c r="B2" s="395">
        <v>45039</v>
      </c>
      <c r="C2" s="277" t="s">
        <v>0</v>
      </c>
      <c r="D2" s="396"/>
      <c r="E2" s="954" t="e" vm="1">
        <f>Inputs!H3</f>
        <v>#VALUE!</v>
      </c>
      <c r="F2" s="955"/>
      <c r="G2" s="955"/>
      <c r="H2" s="955"/>
      <c r="I2" s="955"/>
      <c r="J2" s="955"/>
      <c r="K2" s="956"/>
      <c r="L2" s="278" t="s">
        <v>1</v>
      </c>
      <c r="M2" s="473" t="s">
        <v>2</v>
      </c>
    </row>
    <row r="3" spans="2:17" ht="26.25" customHeight="1">
      <c r="B3" s="1057" t="e" vm="2">
        <v>#VALUE!</v>
      </c>
      <c r="C3" s="1058"/>
      <c r="D3" s="968" t="s">
        <v>3</v>
      </c>
      <c r="E3" s="968"/>
      <c r="F3" s="968"/>
      <c r="G3" s="968"/>
      <c r="H3" s="968" t="s">
        <v>4</v>
      </c>
      <c r="I3" s="968"/>
      <c r="J3" s="968"/>
      <c r="K3" s="968"/>
      <c r="L3" s="968"/>
      <c r="M3" s="969"/>
    </row>
    <row r="4" spans="2:17">
      <c r="B4" s="1059"/>
      <c r="C4" s="1060"/>
      <c r="D4" s="967" t="str" cm="1">
        <f t="array" aca="1" ref="D4" ca="1">_FV(Inputs!H3,"Description")</f>
        <v>The Kraft Heinz Company manufactures and markets food and beverage products around the world through its eight consumer-driven product platforms: Taste Elevation, Easy Ready Meals, Hydration, Meats, Cheeses, Substantial Snacking, Desserts, Coffee, and other grocery products. The Company has two reportable segments defined by geographic region: North America and International Developed Markets. Its other segments, consisting of West and East Emerging Markets (WEEM) and Asia Emerging Markets (AEM), are combined and disclosed as Emerging Markets. It manufactures its products from a wide variety of raw materials. Its brands include Kraft, Oscar Mayer, Heinz, Philadelphia, Lunchables, Velveeta, Ore-Ida, Capri Sun, Maxwell House, Kool-Aid, Jell-O, Heinz, Golden Circle, Wattie’s, Plasmon, Heinz, ABC, Master, Quero, Kraft, and Pudliszki, among others. The Company’s products are sold through its own sales organizations and through independent brokers, agents, and distributors.</v>
      </c>
      <c r="E4" s="967"/>
      <c r="F4" s="967"/>
      <c r="G4" s="967"/>
      <c r="H4" s="111" t="s">
        <v>5</v>
      </c>
      <c r="I4" s="112" t="s">
        <v>6</v>
      </c>
      <c r="J4" s="112" t="s">
        <v>7</v>
      </c>
      <c r="K4" s="112" t="s">
        <v>8</v>
      </c>
      <c r="L4" s="112" t="s">
        <v>9</v>
      </c>
      <c r="M4" s="113" t="s">
        <v>10</v>
      </c>
    </row>
    <row r="5" spans="2:17">
      <c r="B5" s="1059"/>
      <c r="C5" s="1060"/>
      <c r="D5" s="967"/>
      <c r="E5" s="967"/>
      <c r="F5" s="967"/>
      <c r="G5" s="967"/>
      <c r="H5" s="114" t="s">
        <v>11</v>
      </c>
      <c r="I5" s="381" t="s">
        <v>12</v>
      </c>
      <c r="J5" s="381">
        <v>56</v>
      </c>
      <c r="K5" s="381">
        <v>1</v>
      </c>
      <c r="L5" s="381" t="s">
        <v>13</v>
      </c>
      <c r="M5" s="472" t="s">
        <v>14</v>
      </c>
    </row>
    <row r="6" spans="2:17" ht="39.6">
      <c r="B6" s="1059"/>
      <c r="C6" s="1060"/>
      <c r="D6" s="967"/>
      <c r="E6" s="967"/>
      <c r="F6" s="967"/>
      <c r="G6" s="967"/>
      <c r="H6" s="114" t="s">
        <v>15</v>
      </c>
      <c r="I6" s="381" t="s">
        <v>12</v>
      </c>
      <c r="J6" s="381">
        <v>66</v>
      </c>
      <c r="K6" s="381">
        <v>1</v>
      </c>
      <c r="L6" s="381" t="s">
        <v>16</v>
      </c>
      <c r="M6" s="472" t="s">
        <v>17</v>
      </c>
    </row>
    <row r="7" spans="2:17" ht="34.15">
      <c r="B7" s="1059"/>
      <c r="C7" s="1060"/>
      <c r="D7" s="967"/>
      <c r="E7" s="967"/>
      <c r="F7" s="967"/>
      <c r="G7" s="967"/>
      <c r="H7" s="114" t="s">
        <v>18</v>
      </c>
      <c r="I7" s="381" t="s">
        <v>19</v>
      </c>
      <c r="J7" s="381">
        <v>54</v>
      </c>
      <c r="K7" s="381">
        <v>3</v>
      </c>
      <c r="L7" s="381" t="s">
        <v>16</v>
      </c>
      <c r="M7" s="279" t="s">
        <v>20</v>
      </c>
    </row>
    <row r="8" spans="2:17" ht="52.9">
      <c r="B8" s="1059"/>
      <c r="C8" s="1060"/>
      <c r="D8" s="967"/>
      <c r="E8" s="967"/>
      <c r="F8" s="967"/>
      <c r="G8" s="967"/>
      <c r="H8" s="114" t="s">
        <v>21</v>
      </c>
      <c r="I8" s="381" t="s">
        <v>19</v>
      </c>
      <c r="J8" s="381">
        <v>67</v>
      </c>
      <c r="K8" s="381">
        <v>2</v>
      </c>
      <c r="L8" s="381" t="s">
        <v>16</v>
      </c>
      <c r="M8" s="472" t="s">
        <v>22</v>
      </c>
    </row>
    <row r="9" spans="2:17" ht="26.45">
      <c r="B9" s="1059"/>
      <c r="C9" s="1060"/>
      <c r="D9" s="967"/>
      <c r="E9" s="967"/>
      <c r="F9" s="967"/>
      <c r="G9" s="967"/>
      <c r="H9" s="114" t="s">
        <v>23</v>
      </c>
      <c r="I9" s="381" t="s">
        <v>12</v>
      </c>
      <c r="J9" s="381">
        <v>56</v>
      </c>
      <c r="K9" s="381">
        <v>4</v>
      </c>
      <c r="L9" s="381" t="s">
        <v>16</v>
      </c>
      <c r="M9" s="472" t="s">
        <v>24</v>
      </c>
    </row>
    <row r="10" spans="2:17" ht="22.9">
      <c r="B10" s="1059"/>
      <c r="C10" s="1060"/>
      <c r="D10" s="967"/>
      <c r="E10" s="967"/>
      <c r="F10" s="967"/>
      <c r="G10" s="967"/>
      <c r="H10" s="114" t="s">
        <v>25</v>
      </c>
      <c r="I10" s="381" t="s">
        <v>19</v>
      </c>
      <c r="J10" s="381">
        <v>45</v>
      </c>
      <c r="K10" s="381">
        <v>2</v>
      </c>
      <c r="L10" s="381" t="s">
        <v>16</v>
      </c>
      <c r="M10" s="279" t="s">
        <v>26</v>
      </c>
    </row>
    <row r="11" spans="2:17" ht="22.9">
      <c r="B11" s="1059"/>
      <c r="C11" s="1060"/>
      <c r="D11" s="967"/>
      <c r="E11" s="967"/>
      <c r="F11" s="967"/>
      <c r="G11" s="967"/>
      <c r="H11" s="114" t="s">
        <v>27</v>
      </c>
      <c r="I11" s="381" t="s">
        <v>12</v>
      </c>
      <c r="J11" s="381">
        <v>58</v>
      </c>
      <c r="K11" s="381">
        <v>4</v>
      </c>
      <c r="L11" s="381" t="s">
        <v>16</v>
      </c>
      <c r="M11" s="279" t="s">
        <v>28</v>
      </c>
    </row>
    <row r="12" spans="2:17" ht="22.9">
      <c r="B12" s="1059"/>
      <c r="C12" s="1060"/>
      <c r="D12" s="967"/>
      <c r="E12" s="967"/>
      <c r="F12" s="967"/>
      <c r="G12" s="967"/>
      <c r="H12" s="114" t="s">
        <v>29</v>
      </c>
      <c r="I12" s="381" t="s">
        <v>12</v>
      </c>
      <c r="J12" s="381">
        <v>47</v>
      </c>
      <c r="K12" s="381">
        <v>2</v>
      </c>
      <c r="L12" s="381" t="s">
        <v>16</v>
      </c>
      <c r="M12" s="279" t="s">
        <v>30</v>
      </c>
      <c r="P12" s="397"/>
    </row>
    <row r="13" spans="2:17" ht="26.45">
      <c r="B13" s="1059"/>
      <c r="C13" s="1060"/>
      <c r="D13" s="967"/>
      <c r="E13" s="967"/>
      <c r="F13" s="967"/>
      <c r="G13" s="967"/>
      <c r="H13" s="114" t="s">
        <v>31</v>
      </c>
      <c r="I13" s="381" t="s">
        <v>12</v>
      </c>
      <c r="J13" s="381">
        <v>57</v>
      </c>
      <c r="K13" s="381">
        <v>3</v>
      </c>
      <c r="L13" s="381" t="s">
        <v>16</v>
      </c>
      <c r="M13" s="472" t="s">
        <v>32</v>
      </c>
    </row>
    <row r="14" spans="2:17" ht="24" customHeight="1">
      <c r="B14" s="1059"/>
      <c r="C14" s="1060"/>
      <c r="D14" s="967"/>
      <c r="E14" s="967"/>
      <c r="F14" s="967"/>
      <c r="G14" s="967"/>
      <c r="H14" s="114" t="s">
        <v>33</v>
      </c>
      <c r="I14" s="381" t="s">
        <v>12</v>
      </c>
      <c r="J14" s="381">
        <v>66</v>
      </c>
      <c r="K14" s="381">
        <v>9</v>
      </c>
      <c r="L14" s="381" t="s">
        <v>16</v>
      </c>
      <c r="M14" s="279" t="s">
        <v>34</v>
      </c>
      <c r="Q14" s="280"/>
    </row>
    <row r="15" spans="2:17" ht="25.5" customHeight="1">
      <c r="B15" s="1059"/>
      <c r="C15" s="1060"/>
      <c r="D15" s="967"/>
      <c r="E15" s="967"/>
      <c r="F15" s="967"/>
      <c r="G15" s="967"/>
      <c r="H15" s="114" t="s">
        <v>35</v>
      </c>
      <c r="I15" s="381" t="s">
        <v>12</v>
      </c>
      <c r="J15" s="381">
        <v>74</v>
      </c>
      <c r="K15" s="381">
        <v>9</v>
      </c>
      <c r="L15" s="381" t="s">
        <v>16</v>
      </c>
      <c r="M15" s="279" t="s">
        <v>36</v>
      </c>
    </row>
    <row r="16" spans="2:17" ht="13.15" customHeight="1">
      <c r="B16" s="1061"/>
      <c r="C16" s="1062"/>
      <c r="D16" s="967"/>
      <c r="E16" s="967"/>
      <c r="F16" s="967"/>
      <c r="G16" s="967"/>
      <c r="H16" s="908"/>
      <c r="I16" s="909"/>
      <c r="J16" s="910"/>
      <c r="K16" s="910"/>
      <c r="L16" s="910"/>
      <c r="M16" s="911"/>
    </row>
    <row r="17" spans="2:13" ht="13.15" customHeight="1">
      <c r="B17" s="976" t="s">
        <v>37</v>
      </c>
      <c r="C17" s="977"/>
      <c r="D17" s="967"/>
      <c r="E17" s="967"/>
      <c r="F17" s="967"/>
      <c r="G17" s="967"/>
      <c r="H17" s="908"/>
      <c r="I17" s="909"/>
      <c r="J17" s="910"/>
      <c r="K17" s="910"/>
      <c r="L17" s="910"/>
      <c r="M17" s="912"/>
    </row>
    <row r="18" spans="2:13" ht="17.45">
      <c r="B18" s="983" t="s">
        <v>38</v>
      </c>
      <c r="C18" s="984"/>
      <c r="D18" s="984"/>
      <c r="E18" s="984"/>
      <c r="F18" s="984"/>
      <c r="G18" s="984"/>
      <c r="H18" s="984"/>
      <c r="I18" s="984"/>
      <c r="J18" s="984"/>
      <c r="K18" s="984"/>
      <c r="L18" s="984"/>
      <c r="M18" s="985"/>
    </row>
    <row r="19" spans="2:13" ht="15.6">
      <c r="B19" s="980" t="s">
        <v>39</v>
      </c>
      <c r="C19" s="981"/>
      <c r="D19" s="978" t="s">
        <v>40</v>
      </c>
      <c r="E19" s="982"/>
      <c r="F19" s="970" t="s">
        <v>41</v>
      </c>
      <c r="G19" s="971"/>
      <c r="H19" s="972"/>
      <c r="I19" s="978" t="s">
        <v>42</v>
      </c>
      <c r="J19" s="1015"/>
      <c r="K19" s="982"/>
      <c r="L19" s="978" t="s">
        <v>43</v>
      </c>
      <c r="M19" s="979"/>
    </row>
    <row r="20" spans="2:13">
      <c r="B20" s="471" t="s">
        <v>44</v>
      </c>
      <c r="C20" s="126" cm="1">
        <f t="array" aca="1" ref="C20" ca="1">_FV(E2,"Price")</f>
        <v>26.42</v>
      </c>
      <c r="D20" s="13" t="s">
        <v>45</v>
      </c>
      <c r="E20" s="124">
        <f>_xlfn.XLOOKUP(D20,'Fin. Data'!A:A,'Fin. Data'!B:B,,0)</f>
        <v>90339</v>
      </c>
      <c r="F20" s="957" t="s">
        <v>46</v>
      </c>
      <c r="G20" s="958"/>
      <c r="H20" s="105" t="s">
        <v>47</v>
      </c>
      <c r="I20" t="s">
        <v>48</v>
      </c>
      <c r="J20" s="989">
        <v>2023</v>
      </c>
      <c r="K20" s="990"/>
      <c r="L20" s="12" t="s">
        <v>49</v>
      </c>
      <c r="M20" s="507">
        <f ca="1">Inputs!B82</f>
        <v>0.74701820464532331</v>
      </c>
    </row>
    <row r="21" spans="2:13" ht="12.75" customHeight="1">
      <c r="B21" s="471" t="s">
        <v>50</v>
      </c>
      <c r="C21" s="316" cm="1">
        <f t="array" aca="1" ref="C21" ca="1">_FV(E2,"Shares outstanding",TRUE)</f>
        <v>1183599000</v>
      </c>
      <c r="D21" s="12" t="s">
        <v>51</v>
      </c>
      <c r="E21" s="124">
        <f>_xlfn.XLOOKUP(D21,'Fin. Data'!A:A,'Fin. Data'!B:B,,0)</f>
        <v>40813</v>
      </c>
      <c r="F21" s="959" t="str">
        <f>Segments!C5</f>
        <v>United States</v>
      </c>
      <c r="G21" s="960"/>
      <c r="H21" s="17">
        <f>Segments!B5</f>
        <v>0.68982732732732732</v>
      </c>
      <c r="I21" s="12" t="s">
        <v>52</v>
      </c>
      <c r="J21" s="963">
        <v>45291</v>
      </c>
      <c r="K21" s="964"/>
      <c r="L21" s="12" t="s">
        <v>53</v>
      </c>
      <c r="M21" s="469">
        <f>Inputs!B83</f>
        <v>0.27079999999999999</v>
      </c>
    </row>
    <row r="22" spans="2:13" ht="12.75" customHeight="1">
      <c r="B22" s="471" t="s">
        <v>54</v>
      </c>
      <c r="C22" s="51">
        <f ca="1">C20*C21/1000000</f>
        <v>31270.685580000005</v>
      </c>
      <c r="D22" s="12" t="s">
        <v>55</v>
      </c>
      <c r="E22" s="369">
        <f ca="1">_xlfn.XLOOKUP("Cash &amp; Eq.",'Fin. Data'!A:A,'Fin. Data'!B:B,,0)*1000000/C21</f>
        <v>1.1828330372026337</v>
      </c>
      <c r="F22" s="959" t="str">
        <f>Segments!C6</f>
        <v>United Kingdom</v>
      </c>
      <c r="G22" s="960"/>
      <c r="H22" s="17">
        <f>Segments!B6</f>
        <v>4.7710210210210213E-2</v>
      </c>
      <c r="I22" s="965" t="s">
        <v>56</v>
      </c>
      <c r="J22" s="965"/>
      <c r="K22" s="124">
        <f>_xlfn.XLOOKUP(I22,'Fin. Data'!A:A,'Fin. Data'!B:B,,0)</f>
        <v>5510</v>
      </c>
      <c r="L22" s="8" t="s">
        <v>57</v>
      </c>
      <c r="M22" s="470">
        <v>0.52</v>
      </c>
    </row>
    <row r="23" spans="2:13" ht="12.75" customHeight="1">
      <c r="B23" s="468" t="s">
        <v>58</v>
      </c>
      <c r="C23" s="51">
        <f>'Fin. Data'!B58</f>
        <v>20032</v>
      </c>
      <c r="D23" s="12" t="s">
        <v>59</v>
      </c>
      <c r="E23" s="369">
        <f>_xlfn.XLOOKUP("EBITDA",'Fin. Data'!A:A,'Fin. Data'!B:B,,0)/_xlfn.XLOOKUP("Net Financial Cost",'Fin. Data'!A:A,'Fin. Data'!B:B,,0)</f>
        <v>6.07497243660419</v>
      </c>
      <c r="F23" s="959" t="str">
        <f>Segments!C7</f>
        <v>Canada</v>
      </c>
      <c r="G23" s="960"/>
      <c r="H23" s="17">
        <f>Segments!B7</f>
        <v>6.5653153153153149E-2</v>
      </c>
      <c r="I23" s="966" t="s">
        <v>60</v>
      </c>
      <c r="J23" s="966"/>
      <c r="K23" s="124">
        <f>_xlfn.XLOOKUP(I23,'Fin. Data'!A:A,'Fin. Data'!B:B,,0)</f>
        <v>961</v>
      </c>
      <c r="L23" s="12" t="s">
        <v>61</v>
      </c>
      <c r="M23" s="467" t="s">
        <v>62</v>
      </c>
    </row>
    <row r="24" spans="2:13" ht="12.75" customHeight="1">
      <c r="B24" s="468" t="s">
        <v>63</v>
      </c>
      <c r="C24" s="51">
        <f>'Fin. Data'!B39</f>
        <v>1400</v>
      </c>
      <c r="D24" s="12" t="s">
        <v>64</v>
      </c>
      <c r="E24" s="369">
        <f>_xlfn.XLOOKUP("Total Debt",'Fin. Data'!A:A,'Fin. Data'!B:B,,0)/_xlfn.XLOOKUP("EBITDA",'Fin. Data'!A:A,'Fin. Data'!B:B,,0)</f>
        <v>3.6355716878402902</v>
      </c>
      <c r="F24" s="959" t="str">
        <f>Segments!C8</f>
        <v>EMEA</v>
      </c>
      <c r="G24" s="960"/>
      <c r="H24" s="42" t="str">
        <f>Segments!B8</f>
        <v/>
      </c>
      <c r="I24" s="966" t="s">
        <v>65</v>
      </c>
      <c r="J24" s="966"/>
      <c r="K24" s="124">
        <f>_xlfn.XLOOKUP(I24,'Fin. Data'!A:A,'Fin. Data'!B:B,,0)</f>
        <v>4549</v>
      </c>
      <c r="L24" s="12" t="s">
        <v>66</v>
      </c>
      <c r="M24" s="466">
        <f ca="1">IFERROR((C20*C21/(E20-E21))/1000000,"")</f>
        <v>0.63139937770060184</v>
      </c>
    </row>
    <row r="25" spans="2:13" ht="12.75" customHeight="1">
      <c r="B25" s="468" t="s">
        <v>67</v>
      </c>
      <c r="C25" s="51">
        <f ca="1">C22+C23-C24</f>
        <v>49902.685580000005</v>
      </c>
      <c r="D25" s="12" t="s">
        <v>68</v>
      </c>
      <c r="E25" s="369">
        <f>_xlfn.XLOOKUP("Other Assets",'Fin. Data'!A:A,'Fin. Data'!B:B,,0)/_xlfn.XLOOKUP("Total Assets",'Fin. Data'!A:A,'Fin. Data'!B:B,,0)</f>
        <v>0.82909928159488155</v>
      </c>
      <c r="F25" s="959" t="str">
        <f>Segments!C9</f>
        <v>Other</v>
      </c>
      <c r="G25" s="960"/>
      <c r="H25" s="42">
        <f>Segments!B9</f>
        <v>0.19680930930930932</v>
      </c>
      <c r="I25" s="965" t="s">
        <v>69</v>
      </c>
      <c r="J25" s="965"/>
      <c r="K25" s="124">
        <f>_xlfn.XLOOKUP(I25,'Fin. Data'!A:A,'Fin. Data'!B:B,,0)</f>
        <v>2855</v>
      </c>
      <c r="L25" s="12" t="s">
        <v>70</v>
      </c>
      <c r="M25" s="465">
        <f>IFERROR(K31/E20,"")</f>
        <v>2.2987487869764626E-2</v>
      </c>
    </row>
    <row r="26" spans="2:13" ht="12.75" customHeight="1">
      <c r="B26" s="468" t="s">
        <v>71</v>
      </c>
      <c r="C26" s="127" t="s">
        <v>72</v>
      </c>
      <c r="D26" s="12" t="s">
        <v>73</v>
      </c>
      <c r="E26" s="369">
        <f>_xlfn.XLOOKUP(D26,'Fin. Data'!A:A,'Fin. Data'!B:B,,0)</f>
        <v>0.22174254751546951</v>
      </c>
      <c r="F26" s="961" t="s">
        <v>74</v>
      </c>
      <c r="G26" s="962"/>
      <c r="H26" s="106" t="s">
        <v>47</v>
      </c>
      <c r="I26" s="965" t="s">
        <v>75</v>
      </c>
      <c r="J26" s="965"/>
      <c r="K26" s="69">
        <f ca="1">1000000*K25/C21</f>
        <v>2.4121345151525135</v>
      </c>
      <c r="L26" s="12" t="s">
        <v>76</v>
      </c>
      <c r="M26" s="464">
        <f ca="1">IFERROR(C22/K30,"")</f>
        <v>15.058115046548959</v>
      </c>
    </row>
    <row r="27" spans="2:13" ht="12.75" customHeight="1">
      <c r="B27" s="471" t="s">
        <v>77</v>
      </c>
      <c r="C27" s="128" t="s">
        <v>72</v>
      </c>
      <c r="D27" s="12" t="s">
        <v>78</v>
      </c>
      <c r="E27" s="125">
        <f>AVERAGE(_xlfn.XLOOKUP("EBITDA Margin",'Fin. Data'!A:A,'Fin. Data'!B:D,,0))</f>
        <v>0.19018348462077209</v>
      </c>
      <c r="F27" s="959" t="str">
        <f>Segments!C17</f>
        <v>Operating Segment -North America</v>
      </c>
      <c r="G27" s="960"/>
      <c r="H27" s="17">
        <f>Segments!B17</f>
        <v>0.75548048048048044</v>
      </c>
      <c r="I27" s="965" t="s">
        <v>79</v>
      </c>
      <c r="J27" s="965"/>
      <c r="K27" s="70">
        <f>K25/E20</f>
        <v>3.1603183564130666E-2</v>
      </c>
      <c r="L27" s="12" t="s">
        <v>80</v>
      </c>
      <c r="M27" s="463">
        <f ca="1">IFERROR(C25/E20,"")</f>
        <v>0.55239360165598472</v>
      </c>
    </row>
    <row r="28" spans="2:13" ht="12.75" customHeight="1">
      <c r="B28" s="471" t="s">
        <v>81</v>
      </c>
      <c r="C28" s="18">
        <v>1.9199999999999998E-2</v>
      </c>
      <c r="D28" s="12" t="s">
        <v>82</v>
      </c>
      <c r="E28" s="125">
        <f>AVERAGE(_xlfn.XLOOKUP("Operating Margin",'Fin. Data'!A:A,'Fin. Data'!B:D,,0))</f>
        <v>0.14814630729633313</v>
      </c>
      <c r="F28" s="959" t="str">
        <f>Segments!C18</f>
        <v xml:space="preserve">
Operating Segment - International</v>
      </c>
      <c r="G28" s="960"/>
      <c r="H28" s="17">
        <f>Segments!B18</f>
        <v>0.24451951951951953</v>
      </c>
      <c r="I28" s="965" t="s">
        <v>83</v>
      </c>
      <c r="J28" s="965"/>
      <c r="K28" s="70">
        <f>Peers!C18</f>
        <v>7.6996176581560868E-2</v>
      </c>
      <c r="L28" s="12" t="s">
        <v>84</v>
      </c>
      <c r="M28" s="463">
        <f ca="1">IFERROR(C25/K29,"")</f>
        <v>9.9387941804421445</v>
      </c>
    </row>
    <row r="29" spans="2:13" ht="15.6" customHeight="1">
      <c r="B29" s="980" t="s">
        <v>85</v>
      </c>
      <c r="C29" s="981"/>
      <c r="D29" s="12" t="s">
        <v>86</v>
      </c>
      <c r="E29" s="125">
        <f>AVERAGE(_xlfn.XLOOKUP("Net Income Margin",'Fin. Data'!A:A,'Fin. Data'!B:D,,0))</f>
        <v>7.8416761880910471E-2</v>
      </c>
      <c r="F29" s="959" t="str">
        <f>Segments!C19</f>
        <v xml:space="preserve">Operating Segment -Europe </v>
      </c>
      <c r="G29" s="960"/>
      <c r="H29" s="17" t="str">
        <f>Segments!B19</f>
        <v/>
      </c>
      <c r="I29" s="1022" t="s">
        <v>87</v>
      </c>
      <c r="J29" s="1022"/>
      <c r="K29" s="705">
        <f>AVERAGE(_xlfn.XLOOKUP("EBITDA",'Fin. Data'!A:A,'Fin. Data'!B:D,,0))</f>
        <v>5021</v>
      </c>
      <c r="L29" s="12" t="s">
        <v>88</v>
      </c>
      <c r="M29" s="464">
        <f ca="1">IFERROR(C22/K31,"")</f>
        <v>15.058115046548959</v>
      </c>
    </row>
    <row r="30" spans="2:13" ht="12.75" customHeight="1">
      <c r="B30" s="9" t="s">
        <v>89</v>
      </c>
      <c r="C30" s="904"/>
      <c r="D30" s="650"/>
      <c r="E30" s="133"/>
      <c r="F30" s="959" t="str">
        <f>Segments!C20</f>
        <v>Operating Segment - United States</v>
      </c>
      <c r="G30" s="960"/>
      <c r="H30" s="17" t="str">
        <f>Segments!B20</f>
        <v/>
      </c>
      <c r="I30" s="965" t="s">
        <v>90</v>
      </c>
      <c r="J30" s="965"/>
      <c r="K30" s="124">
        <f>AVERAGE(_xlfn.XLOOKUP("Net Income",'Fin. Data'!A:A,'Fin. Data'!B:D,,0))</f>
        <v>2076.6666666666665</v>
      </c>
      <c r="L30" s="12" t="s">
        <v>91</v>
      </c>
      <c r="M30" s="462" t="s">
        <v>72</v>
      </c>
    </row>
    <row r="31" spans="2:13" ht="12.75" customHeight="1">
      <c r="B31" s="9" t="s">
        <v>92</v>
      </c>
      <c r="C31" s="903"/>
      <c r="D31" s="12" t="s">
        <v>93</v>
      </c>
      <c r="E31" s="516">
        <f>-_xlfn.XLOOKUP("Net Financial Cost",'Fin. Data'!A:A,'Fin. Data'!B:B,,0)/AVERAGE(_xlfn.XLOOKUP("Net Debt",'Fin. Data'!A:A,'Fin. Data'!B:D,,0))</f>
        <v>-4.8561536264991434E-2</v>
      </c>
      <c r="F31" s="959" t="str">
        <f>Segments!C21</f>
        <v>Operating Segment - Canada</v>
      </c>
      <c r="G31" s="960"/>
      <c r="H31" s="17" t="str">
        <f>Segments!B21</f>
        <v/>
      </c>
      <c r="I31" s="965" t="s">
        <v>94</v>
      </c>
      <c r="J31" s="965"/>
      <c r="K31" s="124">
        <f>AVERAGE(_xlfn.XLOOKUP("Net Income",'Fin. Data'!A:A,'Fin. Data'!B:D,,0))</f>
        <v>2076.6666666666665</v>
      </c>
      <c r="L31" s="12" t="s">
        <v>95</v>
      </c>
      <c r="M31" s="461">
        <f ca="1">-IFERROR(SUM(E52:E54)/(3*C22),"")</f>
        <v>7.3444717442829613E-2</v>
      </c>
    </row>
    <row r="32" spans="2:13" ht="12.6" customHeight="1">
      <c r="B32" s="9" t="s">
        <v>96</v>
      </c>
      <c r="C32" s="903"/>
      <c r="D32" s="130"/>
      <c r="E32" s="132"/>
      <c r="F32" s="991"/>
      <c r="G32" s="992"/>
      <c r="H32" s="905"/>
      <c r="I32" s="130"/>
      <c r="J32" s="131"/>
      <c r="K32" s="131"/>
      <c r="L32" s="12" t="s">
        <v>97</v>
      </c>
      <c r="M32" s="460">
        <f ca="1">-IFERROR(L53/C22,"")</f>
        <v>6.2838404836789624E-2</v>
      </c>
    </row>
    <row r="33" spans="1:19" ht="18" thickBot="1">
      <c r="B33" s="983" t="s">
        <v>98</v>
      </c>
      <c r="C33" s="984"/>
      <c r="D33" s="984"/>
      <c r="E33" s="984"/>
      <c r="F33" s="984"/>
      <c r="G33" s="984"/>
      <c r="H33" s="984"/>
      <c r="I33" s="984"/>
      <c r="J33" s="984"/>
      <c r="K33" s="984"/>
      <c r="L33" s="984"/>
      <c r="M33" s="985"/>
    </row>
    <row r="34" spans="1:19" ht="16.149999999999999" thickBot="1">
      <c r="B34" s="1013" t="s">
        <v>99</v>
      </c>
      <c r="C34" s="1014"/>
      <c r="D34" s="1014"/>
      <c r="E34" s="1014"/>
      <c r="F34" s="1014"/>
      <c r="G34" s="1014"/>
      <c r="H34" s="521" t="s">
        <v>100</v>
      </c>
      <c r="I34" s="1023" t="s">
        <v>101</v>
      </c>
      <c r="J34" s="1024"/>
      <c r="K34" s="1024"/>
      <c r="L34" s="1024"/>
      <c r="M34" s="1025"/>
      <c r="N34" s="11"/>
    </row>
    <row r="35" spans="1:19" ht="13.35" customHeight="1">
      <c r="A35" s="11"/>
      <c r="B35" s="522" t="s">
        <v>102</v>
      </c>
      <c r="C35" s="1032" t="s">
        <v>103</v>
      </c>
      <c r="D35" s="1033"/>
      <c r="E35" s="1033"/>
      <c r="F35" s="1033"/>
      <c r="G35" s="1034"/>
      <c r="H35" s="993" t="s">
        <v>104</v>
      </c>
      <c r="I35" s="917" t="s">
        <v>105</v>
      </c>
      <c r="J35" s="918"/>
      <c r="K35" s="918"/>
      <c r="L35" s="918"/>
      <c r="M35" s="919"/>
    </row>
    <row r="36" spans="1:19" ht="24.6" customHeight="1">
      <c r="A36" s="11"/>
      <c r="B36" s="523" t="s">
        <v>106</v>
      </c>
      <c r="C36" s="995" t="s">
        <v>107</v>
      </c>
      <c r="D36" s="996"/>
      <c r="E36" s="996"/>
      <c r="F36" s="996"/>
      <c r="G36" s="997"/>
      <c r="H36" s="993"/>
      <c r="I36" s="920"/>
      <c r="J36" s="921"/>
      <c r="K36" s="921"/>
      <c r="L36" s="921"/>
      <c r="M36" s="922"/>
    </row>
    <row r="37" spans="1:19" ht="24.6" customHeight="1">
      <c r="A37" s="11"/>
      <c r="B37" s="523" t="s">
        <v>108</v>
      </c>
      <c r="C37" s="995" t="s">
        <v>109</v>
      </c>
      <c r="D37" s="996"/>
      <c r="E37" s="996"/>
      <c r="F37" s="996"/>
      <c r="G37" s="997"/>
      <c r="H37" s="993"/>
      <c r="I37" s="920"/>
      <c r="J37" s="921"/>
      <c r="K37" s="921"/>
      <c r="L37" s="921"/>
      <c r="M37" s="922"/>
    </row>
    <row r="38" spans="1:19" ht="24.6" customHeight="1">
      <c r="B38" s="524" t="s">
        <v>110</v>
      </c>
      <c r="C38" s="998" t="s">
        <v>111</v>
      </c>
      <c r="D38" s="999"/>
      <c r="E38" s="999"/>
      <c r="F38" s="999"/>
      <c r="G38" s="1000"/>
      <c r="H38" s="994"/>
      <c r="I38" s="923"/>
      <c r="J38" s="924"/>
      <c r="K38" s="924"/>
      <c r="L38" s="924"/>
      <c r="M38" s="925"/>
    </row>
    <row r="39" spans="1:19" ht="16.149999999999999" thickBot="1">
      <c r="B39" s="1026" t="s">
        <v>112</v>
      </c>
      <c r="C39" s="1027"/>
      <c r="D39" s="1027"/>
      <c r="E39" s="1027"/>
      <c r="F39" s="1027"/>
      <c r="G39" s="1028"/>
      <c r="H39" s="525" t="s">
        <v>113</v>
      </c>
      <c r="I39" s="926" t="s">
        <v>114</v>
      </c>
      <c r="J39" s="926"/>
      <c r="K39" s="926"/>
      <c r="L39" s="926"/>
      <c r="M39" s="927"/>
    </row>
    <row r="40" spans="1:19" ht="13.35" customHeight="1" thickBot="1">
      <c r="B40" s="526" t="s">
        <v>115</v>
      </c>
      <c r="C40" s="1029" t="s">
        <v>103</v>
      </c>
      <c r="D40" s="1030"/>
      <c r="E40" s="1030"/>
      <c r="F40" s="1030"/>
      <c r="G40" s="1031"/>
      <c r="H40" s="986">
        <f ca="1">DCF!D75</f>
        <v>59.915280480635737</v>
      </c>
      <c r="I40" s="1036" t="s">
        <v>116</v>
      </c>
      <c r="J40" s="1038">
        <f>DCF!F50</f>
        <v>9.1359999999999997E-2</v>
      </c>
      <c r="K40" s="1039"/>
      <c r="L40" s="1044" t="s">
        <v>117</v>
      </c>
      <c r="M40" s="973">
        <f ca="1">SARD!AJ14</f>
        <v>-0.8409756643397519</v>
      </c>
    </row>
    <row r="41" spans="1:19" ht="13.35" customHeight="1">
      <c r="B41" s="523" t="s">
        <v>118</v>
      </c>
      <c r="C41" s="1001" t="s">
        <v>119</v>
      </c>
      <c r="D41" s="1002"/>
      <c r="E41" s="1002"/>
      <c r="F41" s="1002"/>
      <c r="G41" s="1003"/>
      <c r="H41" s="987"/>
      <c r="I41" s="1037"/>
      <c r="J41" s="1040"/>
      <c r="K41" s="1041"/>
      <c r="L41" s="1045"/>
      <c r="M41" s="974"/>
    </row>
    <row r="42" spans="1:19" ht="13.35" customHeight="1" thickBot="1">
      <c r="B42" s="527" t="s">
        <v>120</v>
      </c>
      <c r="C42" s="1019" t="s">
        <v>121</v>
      </c>
      <c r="D42" s="1020"/>
      <c r="E42" s="1020"/>
      <c r="F42" s="1020"/>
      <c r="G42" s="1021"/>
      <c r="H42" s="987"/>
      <c r="I42" s="1036" t="s">
        <v>122</v>
      </c>
      <c r="J42" s="1042">
        <f ca="1">DCF!D74</f>
        <v>1.2678001695925714</v>
      </c>
      <c r="K42" s="1043"/>
      <c r="L42" s="1046" t="s">
        <v>123</v>
      </c>
      <c r="M42" s="975">
        <f ca="1">SARD!AM14</f>
        <v>0.2411624267305239</v>
      </c>
    </row>
    <row r="43" spans="1:19" ht="12.75" customHeight="1" thickBot="1">
      <c r="B43" s="907"/>
      <c r="C43" s="1016"/>
      <c r="D43" s="1017"/>
      <c r="E43" s="1017"/>
      <c r="F43" s="1017"/>
      <c r="G43" s="1018"/>
      <c r="H43" s="988"/>
      <c r="I43" s="1037"/>
      <c r="J43" s="1040"/>
      <c r="K43" s="1041"/>
      <c r="L43" s="1047"/>
      <c r="M43" s="974"/>
    </row>
    <row r="44" spans="1:19" ht="17.45">
      <c r="B44" s="983" t="s">
        <v>124</v>
      </c>
      <c r="C44" s="984"/>
      <c r="D44" s="984"/>
      <c r="E44" s="984"/>
      <c r="F44" s="984"/>
      <c r="G44" s="984"/>
      <c r="H44" s="984"/>
      <c r="I44" s="984"/>
      <c r="J44" s="984"/>
      <c r="K44" s="984"/>
      <c r="L44" s="984"/>
      <c r="M44" s="985"/>
    </row>
    <row r="45" spans="1:19">
      <c r="B45" s="651" t="s">
        <v>125</v>
      </c>
      <c r="C45" s="115" t="s">
        <v>126</v>
      </c>
      <c r="D45" s="115" t="s">
        <v>127</v>
      </c>
      <c r="E45" s="137" t="s">
        <v>128</v>
      </c>
      <c r="F45" s="115" t="s">
        <v>129</v>
      </c>
      <c r="G45" s="115" t="s">
        <v>73</v>
      </c>
      <c r="H45" s="136" t="s">
        <v>60</v>
      </c>
      <c r="I45" s="136" t="s">
        <v>130</v>
      </c>
      <c r="J45" s="942" t="s">
        <v>131</v>
      </c>
      <c r="K45" s="942"/>
      <c r="L45" s="942"/>
      <c r="M45" s="1035"/>
    </row>
    <row r="46" spans="1:19">
      <c r="B46" s="652">
        <f t="shared" ref="B46:B52" si="0">B47-1</f>
        <v>2015</v>
      </c>
      <c r="C46" s="135" cm="1">
        <f t="array" ref="C46:C54">_xlfn.SORTBY(TRANSPOSE(_xlfn.XLOOKUP(C$45,'Fin. Data'!$A:$A,'Fin. Data'!$B:$J,,0)),$B$46:$B$54,-1)</f>
        <v>18338</v>
      </c>
      <c r="D46" s="108" cm="1">
        <f t="array" ref="D46:D54">_xlfn.SORTBY(TRANSPOSE(_xlfn.XLOOKUP(D$45,'Fin. Data'!$A:$A,'Fin. Data'!$B:$J,,0)),$B$46:$B$54,-1)</f>
        <v>0.14390882320863779</v>
      </c>
      <c r="E46" s="135" cm="1">
        <f t="array" ref="E46:E54">_xlfn.SORTBY(TRANSPOSE(_xlfn.XLOOKUP(E$45,'Fin. Data'!$A:$A,'Fin. Data'!$B:$J,,0)),$B$46:$B$54,-1)</f>
        <v>-1302</v>
      </c>
      <c r="F46" s="134">
        <f>Inputs!J77</f>
        <v>2946</v>
      </c>
      <c r="G46" s="108" cm="1">
        <f t="array" ref="G46:G54">_xlfn.SORTBY(TRANSPOSE(_xlfn.XLOOKUP(G$45,'Fin. Data'!$A:$A,'Fin. Data'!$B:$J,,0)),$B$46:$B$54,-1)</f>
        <v>0.20519951534076586</v>
      </c>
      <c r="H46" s="135" cm="1">
        <f t="array" ref="H46:H54">_xlfn.SORTBY(TRANSPOSE(_xlfn.XLOOKUP(H$45,'Fin. Data'!$A:$A,'Fin. Data'!$B:$J,,0)),$B$46:$B$54,-1)</f>
        <v>740</v>
      </c>
      <c r="I46" s="135" cm="1">
        <f t="array" ref="I46:I54">_xlfn.SORTBY(TRANSPOSE(_xlfn.XLOOKUP(I$45,'Fin. Data'!$A:$A,'Fin. Data'!$B:$J,,0)),$B$46:$B$54,-1)</f>
        <v>-10116</v>
      </c>
      <c r="J46" s="400"/>
      <c r="K46" s="130"/>
      <c r="L46" s="109">
        <f>J20</f>
        <v>2023</v>
      </c>
      <c r="M46" s="402">
        <f>L46-1</f>
        <v>2022</v>
      </c>
    </row>
    <row r="47" spans="1:19">
      <c r="B47" s="652">
        <f t="shared" si="0"/>
        <v>2016</v>
      </c>
      <c r="C47" s="135">
        <v>26300</v>
      </c>
      <c r="D47" s="107">
        <v>0.21220532319391636</v>
      </c>
      <c r="E47" s="135">
        <v>-3584</v>
      </c>
      <c r="F47" s="134">
        <f>Inputs!I77</f>
        <v>-520</v>
      </c>
      <c r="G47" s="108">
        <v>0.26895750332005314</v>
      </c>
      <c r="H47" s="135">
        <v>1337</v>
      </c>
      <c r="I47" s="135">
        <v>-1247</v>
      </c>
      <c r="J47" s="928" t="s">
        <v>69</v>
      </c>
      <c r="K47" s="929"/>
      <c r="L47" s="51">
        <f>_xlfn.XLOOKUP($J47,'Fin. Data'!$A:$A,'Fin. Data'!B:B,,0)</f>
        <v>2855</v>
      </c>
      <c r="M47" s="459">
        <f>_xlfn.XLOOKUP($J47,'Fin. Data'!$A:$A,'Fin. Data'!C:C,,0)</f>
        <v>2363</v>
      </c>
      <c r="N47" s="21">
        <f t="shared" ref="N47:N55" si="1">(C47/C46)-1</f>
        <v>0.43418039044606838</v>
      </c>
      <c r="O47" s="21">
        <f t="shared" ref="O47:O55" si="2">(D47/D46)-1</f>
        <v>0.47458174184541058</v>
      </c>
      <c r="P47" s="20"/>
      <c r="Q47" s="19"/>
      <c r="R47" s="19"/>
      <c r="S47" s="19"/>
    </row>
    <row r="48" spans="1:19">
      <c r="B48" s="652">
        <f t="shared" si="0"/>
        <v>2017</v>
      </c>
      <c r="C48" s="135">
        <v>26076</v>
      </c>
      <c r="D48" s="107">
        <v>0.25974075778493633</v>
      </c>
      <c r="E48" s="135">
        <v>-2888</v>
      </c>
      <c r="F48" s="134">
        <f>Inputs!H77</f>
        <v>-2543</v>
      </c>
      <c r="G48" s="108">
        <v>0.26232388502148352</v>
      </c>
      <c r="H48" s="135">
        <v>1031</v>
      </c>
      <c r="I48" s="135">
        <v>-1194</v>
      </c>
      <c r="J48" s="928" t="s">
        <v>132</v>
      </c>
      <c r="K48" s="929"/>
      <c r="L48" s="51">
        <f>_xlfn.XLOOKUP($J48,'Fin. Data'!$A:$A,'Fin. Data'!B:B,,0)</f>
        <v>3976</v>
      </c>
      <c r="M48" s="459">
        <f>_xlfn.XLOOKUP($J48,'Fin. Data'!$A:$A,'Fin. Data'!C:C,,0)</f>
        <v>2469</v>
      </c>
      <c r="N48" s="21">
        <f t="shared" si="1"/>
        <v>-8.5171102661596443E-3</v>
      </c>
      <c r="O48" s="21">
        <f t="shared" si="2"/>
        <v>0.22400679622716813</v>
      </c>
      <c r="P48" s="20"/>
      <c r="Q48" s="19">
        <f t="shared" ref="Q48:Q54" si="3">F48/F47-1</f>
        <v>3.8903846153846153</v>
      </c>
      <c r="R48" s="19">
        <f t="shared" ref="R48:S54" si="4">H48/H47-1</f>
        <v>-0.22887060583395658</v>
      </c>
      <c r="S48" s="19">
        <f t="shared" si="4"/>
        <v>-4.2502004811547756E-2</v>
      </c>
    </row>
    <row r="49" spans="2:19">
      <c r="B49" s="652">
        <f t="shared" si="0"/>
        <v>2018</v>
      </c>
      <c r="C49" s="135">
        <v>26268</v>
      </c>
      <c r="D49" s="107">
        <v>-0.39470077661032432</v>
      </c>
      <c r="E49" s="135">
        <v>-3183</v>
      </c>
      <c r="F49" s="134">
        <f>Inputs!G77</f>
        <v>-501</v>
      </c>
      <c r="G49" s="108">
        <v>0.30125361247233257</v>
      </c>
      <c r="H49" s="135">
        <v>983</v>
      </c>
      <c r="I49" s="135">
        <v>-1074</v>
      </c>
      <c r="J49" s="928" t="s">
        <v>133</v>
      </c>
      <c r="K49" s="929"/>
      <c r="L49" s="51">
        <f>_xlfn.XLOOKUP($J49,'Fin. Data'!$A:$A,'Fin. Data'!B:B,,0)</f>
        <v>-916</v>
      </c>
      <c r="M49" s="459">
        <f>_xlfn.XLOOKUP($J49,'Fin. Data'!$A:$A,'Fin. Data'!C:C,,0)</f>
        <v>-1091</v>
      </c>
      <c r="N49" s="21">
        <f t="shared" si="1"/>
        <v>7.3630924988494773E-3</v>
      </c>
      <c r="O49" s="21">
        <f t="shared" si="2"/>
        <v>-2.5195950761687316</v>
      </c>
      <c r="P49" s="20"/>
      <c r="Q49" s="19">
        <f t="shared" si="3"/>
        <v>-0.80298859614628393</v>
      </c>
      <c r="R49" s="19">
        <f t="shared" si="4"/>
        <v>-4.6556741028128013E-2</v>
      </c>
      <c r="S49" s="19">
        <f t="shared" si="4"/>
        <v>-0.10050251256281406</v>
      </c>
    </row>
    <row r="50" spans="2:19">
      <c r="B50" s="652">
        <f t="shared" si="0"/>
        <v>2019</v>
      </c>
      <c r="C50" s="135">
        <v>24977</v>
      </c>
      <c r="D50" s="107">
        <v>0.12267285903030788</v>
      </c>
      <c r="E50" s="135">
        <v>-1953</v>
      </c>
      <c r="F50" s="134">
        <f>Inputs!F77</f>
        <v>1150</v>
      </c>
      <c r="G50" s="108">
        <v>0.28826022671266632</v>
      </c>
      <c r="H50" s="135">
        <v>994</v>
      </c>
      <c r="I50" s="135">
        <v>-967</v>
      </c>
      <c r="J50" s="930" t="s">
        <v>134</v>
      </c>
      <c r="K50" s="931"/>
      <c r="L50" s="51">
        <f>_xlfn.XLOOKUP($J50,'Fin. Data'!$A:$A,'Fin. Data'!B:B,,0)</f>
        <v>-1013</v>
      </c>
      <c r="M50" s="459">
        <f>_xlfn.XLOOKUP($J50,'Fin. Data'!$A:$A,'Fin. Data'!C:C,,0)</f>
        <v>-916</v>
      </c>
      <c r="N50" s="21">
        <f t="shared" si="1"/>
        <v>-4.9147251408557913E-2</v>
      </c>
      <c r="O50" s="21">
        <f t="shared" si="2"/>
        <v>-1.3107996393719259</v>
      </c>
      <c r="P50" s="20"/>
      <c r="Q50" s="19">
        <f t="shared" si="3"/>
        <v>-3.2954091816367264</v>
      </c>
      <c r="R50" s="19">
        <f t="shared" si="4"/>
        <v>1.1190233977619535E-2</v>
      </c>
      <c r="S50" s="19">
        <f t="shared" si="4"/>
        <v>-9.9627560521415304E-2</v>
      </c>
    </row>
    <row r="51" spans="2:19">
      <c r="B51" s="652">
        <f t="shared" si="0"/>
        <v>2020</v>
      </c>
      <c r="C51" s="135">
        <v>26185</v>
      </c>
      <c r="D51" s="107">
        <v>8.054229520717969E-2</v>
      </c>
      <c r="E51" s="135">
        <v>-1958</v>
      </c>
      <c r="F51" s="134">
        <f>Inputs!E77</f>
        <v>1076</v>
      </c>
      <c r="G51" s="108">
        <v>0.28354202143644197</v>
      </c>
      <c r="H51" s="135">
        <v>969</v>
      </c>
      <c r="I51" s="135">
        <v>-596</v>
      </c>
      <c r="J51" s="930" t="s">
        <v>135</v>
      </c>
      <c r="K51" s="931"/>
      <c r="L51" s="51">
        <f>_xlfn.XLOOKUP($J51,'Fin. Data'!$A:$A,'Fin. Data'!B:B,,0)</f>
        <v>0</v>
      </c>
      <c r="M51" s="459">
        <f>_xlfn.XLOOKUP($J51,'Fin. Data'!$A:$A,'Fin. Data'!C:C,,0)</f>
        <v>-481</v>
      </c>
      <c r="N51" s="21">
        <f t="shared" si="1"/>
        <v>4.8364495335708746E-2</v>
      </c>
      <c r="O51" s="21">
        <f t="shared" si="2"/>
        <v>-0.34343834615217783</v>
      </c>
      <c r="P51" s="20"/>
      <c r="Q51" s="19">
        <f t="shared" si="3"/>
        <v>-6.434782608695655E-2</v>
      </c>
      <c r="R51" s="19">
        <f t="shared" si="4"/>
        <v>-2.5150905432595572E-2</v>
      </c>
      <c r="S51" s="19">
        <f t="shared" si="4"/>
        <v>-0.3836608066184074</v>
      </c>
    </row>
    <row r="52" spans="2:19">
      <c r="B52" s="652">
        <f t="shared" si="0"/>
        <v>2021</v>
      </c>
      <c r="C52" s="135">
        <v>26042</v>
      </c>
      <c r="D52" s="107">
        <v>0.13451347822747869</v>
      </c>
      <c r="E52" s="135">
        <v>-2230</v>
      </c>
      <c r="F52" s="134">
        <f>Inputs!D77</f>
        <v>58</v>
      </c>
      <c r="G52" s="108">
        <v>0.23358031565196907</v>
      </c>
      <c r="H52" s="135">
        <v>910</v>
      </c>
      <c r="I52" s="135">
        <v>-979</v>
      </c>
      <c r="J52" s="928" t="s">
        <v>136</v>
      </c>
      <c r="K52" s="929"/>
      <c r="L52" s="51">
        <f>_xlfn.XLOOKUP($J52,'Fin. Data'!$A:$A,'Fin. Data'!B:B,,0)</f>
        <v>-2678</v>
      </c>
      <c r="M52" s="459">
        <f>_xlfn.XLOOKUP($J52,'Fin. Data'!$A:$A,'Fin. Data'!C:C,,0)</f>
        <v>-3714</v>
      </c>
      <c r="N52" s="21">
        <f t="shared" si="1"/>
        <v>-5.4611418751193685E-3</v>
      </c>
      <c r="O52" s="21">
        <f t="shared" si="2"/>
        <v>0.6700974051145232</v>
      </c>
      <c r="P52" s="20"/>
      <c r="Q52" s="19">
        <f t="shared" si="3"/>
        <v>-0.94609665427509293</v>
      </c>
      <c r="R52" s="19">
        <f t="shared" si="4"/>
        <v>-6.0887512899896801E-2</v>
      </c>
      <c r="S52" s="19">
        <f t="shared" si="4"/>
        <v>0.64261744966442946</v>
      </c>
    </row>
    <row r="53" spans="2:19">
      <c r="B53" s="652">
        <f>B54-1</f>
        <v>2022</v>
      </c>
      <c r="C53" s="135">
        <v>26485</v>
      </c>
      <c r="D53" s="107">
        <v>0.13815367188974892</v>
      </c>
      <c r="E53" s="135">
        <v>-2240</v>
      </c>
      <c r="F53" s="134">
        <f>Inputs!C$77</f>
        <v>-2336</v>
      </c>
      <c r="G53" s="108">
        <v>0.22173610420602566</v>
      </c>
      <c r="H53" s="135">
        <v>933</v>
      </c>
      <c r="I53" s="135">
        <v>-1397</v>
      </c>
      <c r="J53" s="930" t="s">
        <v>137</v>
      </c>
      <c r="K53" s="931"/>
      <c r="L53" s="51">
        <f>_xlfn.XLOOKUP($J53,'Fin. Data'!$A:$A,'Fin. Data'!B:B,,0)</f>
        <v>-1965</v>
      </c>
      <c r="M53" s="459">
        <f>_xlfn.XLOOKUP($J53,'Fin. Data'!$A:$A,'Fin. Data'!C:C,,0)</f>
        <v>-1960</v>
      </c>
      <c r="N53" s="21">
        <f t="shared" si="1"/>
        <v>1.7010982259427099E-2</v>
      </c>
      <c r="O53" s="21">
        <f t="shared" si="2"/>
        <v>2.7061925022221267E-2</v>
      </c>
      <c r="P53" s="20"/>
      <c r="Q53" s="19">
        <f t="shared" si="3"/>
        <v>-41.275862068965516</v>
      </c>
      <c r="R53" s="19">
        <f t="shared" si="4"/>
        <v>2.5274725274725185E-2</v>
      </c>
      <c r="S53" s="19">
        <f t="shared" si="4"/>
        <v>0.42696629213483139</v>
      </c>
    </row>
    <row r="54" spans="2:19">
      <c r="B54" s="652">
        <f>J20</f>
        <v>2023</v>
      </c>
      <c r="C54" s="135">
        <v>26640</v>
      </c>
      <c r="D54" s="107">
        <v>0.17177177177177178</v>
      </c>
      <c r="E54" s="135">
        <v>-2420</v>
      </c>
      <c r="F54" s="134">
        <f>Inputs!B77</f>
        <v>382</v>
      </c>
      <c r="G54" s="108">
        <v>0.22174254751546951</v>
      </c>
      <c r="H54" s="135">
        <v>961</v>
      </c>
      <c r="I54" s="135">
        <v>-1013</v>
      </c>
      <c r="J54" s="930" t="s">
        <v>138</v>
      </c>
      <c r="K54" s="931"/>
      <c r="L54" s="51">
        <f>_xlfn.XLOOKUP($J54,'Fin. Data'!$A:$A,'Fin. Data'!B:B,,0)</f>
        <v>-455</v>
      </c>
      <c r="M54" s="459">
        <f>_xlfn.XLOOKUP($J54,'Fin. Data'!$A:$A,'Fin. Data'!C:C,,0)</f>
        <v>-280</v>
      </c>
      <c r="N54" s="21">
        <f t="shared" si="1"/>
        <v>5.8523692656220483E-3</v>
      </c>
      <c r="O54" s="21">
        <f t="shared" si="2"/>
        <v>0.24333844639939195</v>
      </c>
      <c r="P54" s="20"/>
      <c r="Q54" s="19">
        <f t="shared" si="3"/>
        <v>-1.163527397260274</v>
      </c>
      <c r="R54" s="19">
        <f t="shared" si="4"/>
        <v>3.0010718113612E-2</v>
      </c>
      <c r="S54" s="19">
        <f t="shared" si="4"/>
        <v>-0.27487473156764497</v>
      </c>
    </row>
    <row r="55" spans="2:19">
      <c r="B55" s="653" t="s">
        <v>139</v>
      </c>
      <c r="C55" s="110">
        <f>IFERROR((C54/C46)^(1/8)-1,"")</f>
        <v>4.7786458858426251E-2</v>
      </c>
      <c r="D55" s="110">
        <f>IFERROR((D54/D46)^(1/8)-1,"")</f>
        <v>2.2369880971966349E-2</v>
      </c>
      <c r="E55" s="129"/>
      <c r="F55" s="110">
        <f>IFERROR((F54/F46)^(1/8)-1,"")</f>
        <v>-0.22535302811035429</v>
      </c>
      <c r="G55" s="129"/>
      <c r="H55" s="110">
        <f>IFERROR((H54/H46)^(1/8)-1,"")</f>
        <v>3.3204903172746603E-2</v>
      </c>
      <c r="I55" s="129"/>
      <c r="J55" s="928" t="s">
        <v>140</v>
      </c>
      <c r="K55" s="929"/>
      <c r="L55" s="51">
        <f>_xlfn.XLOOKUP($J55,'Fin. Data'!$A:$A,'Fin. Data'!B:B,,0)</f>
        <v>0</v>
      </c>
      <c r="M55" s="459">
        <f>_xlfn.XLOOKUP($J55,'Fin. Data'!$A:$A,'Fin. Data'!C:C,,0)</f>
        <v>0</v>
      </c>
      <c r="N55" s="21">
        <f t="shared" si="1"/>
        <v>-0.99999820621400681</v>
      </c>
      <c r="O55" s="21">
        <f t="shared" si="2"/>
        <v>-0.86976974888697911</v>
      </c>
      <c r="P55" s="20"/>
      <c r="Q55" s="19"/>
      <c r="R55" s="19"/>
      <c r="S55" s="19"/>
    </row>
    <row r="56" spans="2:19">
      <c r="B56" s="653" t="s">
        <v>141</v>
      </c>
      <c r="C56" s="110">
        <f>IFERROR(AVERAGE(N47:N54),"")</f>
        <v>5.6205728281979853E-2</v>
      </c>
      <c r="D56" s="110">
        <f>IFERROR(AVERAGE(O47:O54),"")</f>
        <v>-0.31684334338551501</v>
      </c>
      <c r="E56" s="129"/>
      <c r="F56" s="110">
        <f>IFERROR(AVERAGE(Q47:Q54),"")</f>
        <v>-6.2368353012837474</v>
      </c>
      <c r="G56" s="129"/>
      <c r="H56" s="110">
        <f>IFERROR(AVERAGE(S47:S54),"")</f>
        <v>2.4059446531061623E-2</v>
      </c>
      <c r="I56" s="129"/>
      <c r="J56" s="932" t="s">
        <v>142</v>
      </c>
      <c r="K56" s="933"/>
      <c r="L56" s="138">
        <f>L48-L49+L52-L53-L54</f>
        <v>4634</v>
      </c>
      <c r="M56" s="403">
        <f>M48-M49+M52-M53-M54</f>
        <v>2086</v>
      </c>
    </row>
    <row r="57" spans="2:19">
      <c r="B57" s="653" t="s">
        <v>143</v>
      </c>
      <c r="C57" s="110">
        <f>IFERROR(STDEV(C47:C54)/AVERAGE(C47:C54),"")</f>
        <v>1.9286163650105055E-2</v>
      </c>
      <c r="D57" s="110">
        <f>IFERROR(STDEV(D46:D54)/AVERAGE(D46:D54),"")</f>
        <v>1.9836458752501704</v>
      </c>
      <c r="E57" s="129"/>
      <c r="F57" s="110">
        <f>IFERROR(STDEV(F46:F54)/AVERAGE(F46:F54),"")</f>
        <v>-53.837603483328685</v>
      </c>
      <c r="G57" s="129"/>
      <c r="H57" s="110">
        <f>IFERROR(STDEV(H46:H54)/AVERAGE(H46:H54),"")</f>
        <v>0.1587438469919111</v>
      </c>
      <c r="I57" s="129"/>
      <c r="J57" s="934" t="s">
        <v>144</v>
      </c>
      <c r="K57" s="935"/>
      <c r="L57" s="398">
        <f>IFERROR(SUM(I51:I54)/(C54-C50),"")</f>
        <v>-2.3962717979555022</v>
      </c>
      <c r="M57" s="458">
        <f>IFERROR((SUM(I51:I54)-SUM(H51:H54))/(C54-C50),"")</f>
        <v>-4.6650631389055919</v>
      </c>
    </row>
    <row r="58" spans="2:19">
      <c r="B58" s="653" t="s">
        <v>145</v>
      </c>
      <c r="C58" s="110">
        <f>IFERROR(C54/C53-1,"")</f>
        <v>5.8523692656220483E-3</v>
      </c>
      <c r="D58" s="110">
        <f>IFERROR(D54/D53-1,"")</f>
        <v>0.24333844639939195</v>
      </c>
      <c r="E58" s="129"/>
      <c r="F58" s="110">
        <f>IFERROR(1-(F54/F53),"")</f>
        <v>1.163527397260274</v>
      </c>
      <c r="G58" s="129"/>
      <c r="H58" s="110">
        <f>IFERROR(1-(H54/H53),"")</f>
        <v>-3.0010718113612E-2</v>
      </c>
      <c r="I58" s="129"/>
      <c r="J58" s="936" t="s">
        <v>146</v>
      </c>
      <c r="K58" s="937"/>
      <c r="L58" s="399">
        <f>IFERROR(L57/E27,"")</f>
        <v>-12.599789107522632</v>
      </c>
      <c r="M58" s="404">
        <f>IFERROR(M57/E27,"")</f>
        <v>-24.529275758133142</v>
      </c>
    </row>
    <row r="59" spans="2:19" ht="17.45">
      <c r="B59" s="983" t="s">
        <v>147</v>
      </c>
      <c r="C59" s="984"/>
      <c r="D59" s="984"/>
      <c r="E59" s="984"/>
      <c r="F59" s="984"/>
      <c r="G59" s="984"/>
      <c r="H59" s="984"/>
      <c r="I59" s="984"/>
      <c r="J59" s="984"/>
      <c r="K59" s="984"/>
      <c r="L59" s="984"/>
      <c r="M59" s="985"/>
    </row>
    <row r="60" spans="2:19" ht="15.6">
      <c r="B60" s="1012" t="s">
        <v>148</v>
      </c>
      <c r="C60" s="952"/>
      <c r="D60" s="952"/>
      <c r="E60" s="952"/>
      <c r="F60" s="952"/>
      <c r="G60" s="952"/>
      <c r="H60" s="952"/>
      <c r="I60" s="952"/>
      <c r="J60" s="952" t="s">
        <v>149</v>
      </c>
      <c r="K60" s="952"/>
      <c r="L60" s="952"/>
      <c r="M60" s="953"/>
    </row>
    <row r="61" spans="2:19">
      <c r="B61" s="941" t="s">
        <v>150</v>
      </c>
      <c r="C61" s="942"/>
      <c r="D61" s="942"/>
      <c r="E61" s="942" t="s">
        <v>151</v>
      </c>
      <c r="F61" s="942"/>
      <c r="G61" s="942"/>
      <c r="H61" s="942"/>
      <c r="I61" s="942"/>
      <c r="J61" s="942" t="s">
        <v>5</v>
      </c>
      <c r="K61" s="942"/>
      <c r="L61" s="942"/>
      <c r="M61" s="401" t="s">
        <v>152</v>
      </c>
    </row>
    <row r="62" spans="2:19" ht="15" customHeight="1">
      <c r="B62" s="943"/>
      <c r="C62" s="944"/>
      <c r="D62" s="945"/>
      <c r="E62" s="1064"/>
      <c r="F62" s="1073"/>
      <c r="G62" s="1073"/>
      <c r="H62" s="1073"/>
      <c r="I62" s="1074"/>
      <c r="J62" s="938" t="s">
        <v>153</v>
      </c>
      <c r="K62" s="939"/>
      <c r="L62" s="940"/>
      <c r="M62" s="405">
        <v>0.26790000000000003</v>
      </c>
    </row>
    <row r="63" spans="2:19" ht="15" customHeight="1">
      <c r="B63" s="946"/>
      <c r="C63" s="947"/>
      <c r="D63" s="948"/>
      <c r="E63" s="1075"/>
      <c r="F63" s="1076"/>
      <c r="G63" s="1076"/>
      <c r="H63" s="1076"/>
      <c r="I63" s="1077"/>
      <c r="J63" s="938" t="s">
        <v>154</v>
      </c>
      <c r="K63" s="939"/>
      <c r="L63" s="940"/>
      <c r="M63" s="405">
        <v>5.7599999999999998E-2</v>
      </c>
    </row>
    <row r="64" spans="2:19" ht="15" customHeight="1">
      <c r="B64" s="946"/>
      <c r="C64" s="947"/>
      <c r="D64" s="948"/>
      <c r="E64" s="1075"/>
      <c r="F64" s="1076"/>
      <c r="G64" s="1076"/>
      <c r="H64" s="1076"/>
      <c r="I64" s="1077"/>
      <c r="J64" s="938" t="s">
        <v>155</v>
      </c>
      <c r="K64" s="939"/>
      <c r="L64" s="940"/>
      <c r="M64" s="405">
        <v>3.6400000000000002E-2</v>
      </c>
    </row>
    <row r="65" spans="2:13" ht="15" customHeight="1">
      <c r="B65" s="946"/>
      <c r="C65" s="947"/>
      <c r="D65" s="948"/>
      <c r="E65" s="1075"/>
      <c r="F65" s="1076"/>
      <c r="G65" s="1076"/>
      <c r="H65" s="1076"/>
      <c r="I65" s="1077"/>
      <c r="J65" s="938" t="s">
        <v>156</v>
      </c>
      <c r="K65" s="939"/>
      <c r="L65" s="940"/>
      <c r="M65" s="405">
        <v>3.1399999999999997E-2</v>
      </c>
    </row>
    <row r="66" spans="2:13">
      <c r="B66" s="946"/>
      <c r="C66" s="947"/>
      <c r="D66" s="948"/>
      <c r="E66" s="1075"/>
      <c r="F66" s="1076"/>
      <c r="G66" s="1076"/>
      <c r="H66" s="1076"/>
      <c r="I66" s="1077"/>
      <c r="J66" s="938" t="s">
        <v>157</v>
      </c>
      <c r="K66" s="939"/>
      <c r="L66" s="940"/>
      <c r="M66" s="405">
        <v>1.9699999999999999E-2</v>
      </c>
    </row>
    <row r="67" spans="2:13">
      <c r="B67" s="946"/>
      <c r="C67" s="947"/>
      <c r="D67" s="948"/>
      <c r="E67" s="1075"/>
      <c r="F67" s="1076"/>
      <c r="G67" s="1076"/>
      <c r="H67" s="1076"/>
      <c r="I67" s="1077"/>
      <c r="J67" s="938" t="s">
        <v>158</v>
      </c>
      <c r="K67" s="939"/>
      <c r="L67" s="940"/>
      <c r="M67" s="405">
        <v>1.8700000000000001E-2</v>
      </c>
    </row>
    <row r="68" spans="2:13">
      <c r="B68" s="946"/>
      <c r="C68" s="947"/>
      <c r="D68" s="948"/>
      <c r="E68" s="1075"/>
      <c r="F68" s="1076"/>
      <c r="G68" s="1076"/>
      <c r="H68" s="1076"/>
      <c r="I68" s="1077"/>
      <c r="J68" s="938" t="s">
        <v>159</v>
      </c>
      <c r="K68" s="939"/>
      <c r="L68" s="940"/>
      <c r="M68" s="405">
        <v>1.61E-2</v>
      </c>
    </row>
    <row r="69" spans="2:13">
      <c r="B69" s="946"/>
      <c r="C69" s="947"/>
      <c r="D69" s="948"/>
      <c r="E69" s="1075"/>
      <c r="F69" s="1076"/>
      <c r="G69" s="1076"/>
      <c r="H69" s="1076"/>
      <c r="I69" s="1077"/>
      <c r="J69" s="938" t="s">
        <v>160</v>
      </c>
      <c r="K69" s="939"/>
      <c r="L69" s="940"/>
      <c r="M69" s="405">
        <v>1.3299999999999999E-2</v>
      </c>
    </row>
    <row r="70" spans="2:13">
      <c r="B70" s="946"/>
      <c r="C70" s="947"/>
      <c r="D70" s="948"/>
      <c r="E70" s="1075"/>
      <c r="F70" s="1076"/>
      <c r="G70" s="1076"/>
      <c r="H70" s="1076"/>
      <c r="I70" s="1077"/>
      <c r="J70" s="938" t="s">
        <v>161</v>
      </c>
      <c r="K70" s="939"/>
      <c r="L70" s="940"/>
      <c r="M70" s="405">
        <v>1.29E-2</v>
      </c>
    </row>
    <row r="71" spans="2:13">
      <c r="B71" s="949"/>
      <c r="C71" s="950"/>
      <c r="D71" s="951"/>
      <c r="E71" s="1078"/>
      <c r="F71" s="1079"/>
      <c r="G71" s="1079"/>
      <c r="H71" s="1079"/>
      <c r="I71" s="1080"/>
      <c r="J71" s="938" t="s">
        <v>162</v>
      </c>
      <c r="K71" s="939"/>
      <c r="L71" s="940"/>
      <c r="M71" s="405">
        <v>1.18E-2</v>
      </c>
    </row>
    <row r="72" spans="2:13">
      <c r="B72" s="941" t="s">
        <v>163</v>
      </c>
      <c r="C72" s="942"/>
      <c r="D72" s="942"/>
      <c r="E72" s="942" t="s">
        <v>164</v>
      </c>
      <c r="F72" s="942"/>
      <c r="G72" s="942"/>
      <c r="H72" s="942"/>
      <c r="I72" s="942"/>
      <c r="J72" s="938" t="s">
        <v>165</v>
      </c>
      <c r="K72" s="939"/>
      <c r="L72" s="940"/>
      <c r="M72" s="405">
        <v>1.03E-2</v>
      </c>
    </row>
    <row r="73" spans="2:13" ht="15" customHeight="1">
      <c r="B73" s="1081"/>
      <c r="C73" s="1065"/>
      <c r="D73" s="1066"/>
      <c r="E73" s="1064"/>
      <c r="F73" s="1065"/>
      <c r="G73" s="1065"/>
      <c r="H73" s="1065"/>
      <c r="I73" s="1066"/>
      <c r="J73" s="938" t="s">
        <v>166</v>
      </c>
      <c r="K73" s="939"/>
      <c r="L73" s="940"/>
      <c r="M73" s="405">
        <v>9.9000000000000008E-3</v>
      </c>
    </row>
    <row r="74" spans="2:13" ht="15" customHeight="1">
      <c r="B74" s="1082"/>
      <c r="C74" s="1068"/>
      <c r="D74" s="1069"/>
      <c r="E74" s="1067"/>
      <c r="F74" s="1068"/>
      <c r="G74" s="1068"/>
      <c r="H74" s="1068"/>
      <c r="I74" s="1069"/>
      <c r="J74" s="938" t="s">
        <v>167</v>
      </c>
      <c r="K74" s="939"/>
      <c r="L74" s="940"/>
      <c r="M74" s="405">
        <v>9.4999999999999998E-3</v>
      </c>
    </row>
    <row r="75" spans="2:13" ht="15" customHeight="1">
      <c r="B75" s="1082"/>
      <c r="C75" s="1068"/>
      <c r="D75" s="1069"/>
      <c r="E75" s="1067"/>
      <c r="F75" s="1068"/>
      <c r="G75" s="1068"/>
      <c r="H75" s="1068"/>
      <c r="I75" s="1069"/>
      <c r="J75" s="938" t="s">
        <v>168</v>
      </c>
      <c r="K75" s="939"/>
      <c r="L75" s="940"/>
      <c r="M75" s="405">
        <v>7.7000000000000002E-3</v>
      </c>
    </row>
    <row r="76" spans="2:13" ht="15" customHeight="1">
      <c r="B76" s="1082"/>
      <c r="C76" s="1068"/>
      <c r="D76" s="1069"/>
      <c r="E76" s="1067"/>
      <c r="F76" s="1068"/>
      <c r="G76" s="1068"/>
      <c r="H76" s="1068"/>
      <c r="I76" s="1069"/>
      <c r="J76" s="938" t="s">
        <v>169</v>
      </c>
      <c r="K76" s="939"/>
      <c r="L76" s="940"/>
      <c r="M76" s="405">
        <v>7.4999999999999997E-3</v>
      </c>
    </row>
    <row r="77" spans="2:13">
      <c r="B77" s="1082"/>
      <c r="C77" s="1068"/>
      <c r="D77" s="1069"/>
      <c r="E77" s="1067"/>
      <c r="F77" s="1068"/>
      <c r="G77" s="1068"/>
      <c r="H77" s="1068"/>
      <c r="I77" s="1069"/>
      <c r="J77" s="938" t="s">
        <v>170</v>
      </c>
      <c r="K77" s="939"/>
      <c r="L77" s="940"/>
      <c r="M77" s="405">
        <v>6.8999999999999999E-3</v>
      </c>
    </row>
    <row r="78" spans="2:13">
      <c r="B78" s="1082"/>
      <c r="C78" s="1068"/>
      <c r="D78" s="1069"/>
      <c r="E78" s="1067"/>
      <c r="F78" s="1068"/>
      <c r="G78" s="1068"/>
      <c r="H78" s="1068"/>
      <c r="I78" s="1069"/>
      <c r="J78" s="938" t="s">
        <v>171</v>
      </c>
      <c r="K78" s="939"/>
      <c r="L78" s="940"/>
      <c r="M78" s="405">
        <v>6.7999999999999996E-3</v>
      </c>
    </row>
    <row r="79" spans="2:13">
      <c r="B79" s="1082"/>
      <c r="C79" s="1068"/>
      <c r="D79" s="1069"/>
      <c r="E79" s="1067"/>
      <c r="F79" s="1068"/>
      <c r="G79" s="1068"/>
      <c r="H79" s="1068"/>
      <c r="I79" s="1069"/>
      <c r="J79" s="938" t="s">
        <v>172</v>
      </c>
      <c r="K79" s="939"/>
      <c r="L79" s="940"/>
      <c r="M79" s="405">
        <v>6.6E-3</v>
      </c>
    </row>
    <row r="80" spans="2:13">
      <c r="B80" s="1082"/>
      <c r="C80" s="1068"/>
      <c r="D80" s="1069"/>
      <c r="E80" s="1067"/>
      <c r="F80" s="1068"/>
      <c r="G80" s="1068"/>
      <c r="H80" s="1068"/>
      <c r="I80" s="1069"/>
      <c r="J80" s="938" t="s">
        <v>173</v>
      </c>
      <c r="K80" s="939"/>
      <c r="L80" s="940"/>
      <c r="M80" s="405">
        <v>5.3E-3</v>
      </c>
    </row>
    <row r="81" spans="2:13">
      <c r="B81" s="1083"/>
      <c r="C81" s="1071"/>
      <c r="D81" s="1072"/>
      <c r="E81" s="1070"/>
      <c r="F81" s="1071"/>
      <c r="G81" s="1071"/>
      <c r="H81" s="1071"/>
      <c r="I81" s="1072"/>
      <c r="J81" s="938" t="s">
        <v>174</v>
      </c>
      <c r="K81" s="939"/>
      <c r="L81" s="940"/>
      <c r="M81" s="405">
        <v>5.1000000000000004E-3</v>
      </c>
    </row>
    <row r="82" spans="2:13" ht="15.6">
      <c r="B82" s="915" t="s">
        <v>175</v>
      </c>
      <c r="C82" s="916"/>
      <c r="D82" s="916"/>
      <c r="E82" s="916"/>
      <c r="F82" s="916"/>
      <c r="G82" s="952" t="s">
        <v>176</v>
      </c>
      <c r="H82" s="952"/>
      <c r="I82" s="952"/>
      <c r="J82" s="952"/>
      <c r="K82" s="952"/>
      <c r="L82" s="952"/>
      <c r="M82" s="953"/>
    </row>
    <row r="83" spans="2:13" s="11" customFormat="1">
      <c r="B83" s="1253"/>
      <c r="C83" s="1004"/>
      <c r="D83" s="1004"/>
      <c r="E83" s="1004"/>
      <c r="F83" s="1005"/>
      <c r="G83" s="1048" t="e" vm="3">
        <v>#VALUE!</v>
      </c>
      <c r="H83" s="1049"/>
      <c r="I83" s="1049"/>
      <c r="J83" s="1049"/>
      <c r="K83" s="1049"/>
      <c r="L83" s="1049"/>
      <c r="M83" s="1050"/>
    </row>
    <row r="84" spans="2:13">
      <c r="B84" s="1006"/>
      <c r="C84" s="1007"/>
      <c r="D84" s="1007"/>
      <c r="E84" s="1007"/>
      <c r="F84" s="1008"/>
      <c r="G84" s="1051"/>
      <c r="H84" s="1052"/>
      <c r="I84" s="1052"/>
      <c r="J84" s="1052"/>
      <c r="K84" s="1052"/>
      <c r="L84" s="1052"/>
      <c r="M84" s="1053"/>
    </row>
    <row r="85" spans="2:13">
      <c r="B85" s="1006"/>
      <c r="C85" s="1007"/>
      <c r="D85" s="1007"/>
      <c r="E85" s="1007"/>
      <c r="F85" s="1008"/>
      <c r="G85" s="1051"/>
      <c r="H85" s="1052"/>
      <c r="I85" s="1052"/>
      <c r="J85" s="1052"/>
      <c r="K85" s="1052"/>
      <c r="L85" s="1052"/>
      <c r="M85" s="1053"/>
    </row>
    <row r="86" spans="2:13">
      <c r="B86" s="1006"/>
      <c r="C86" s="1007"/>
      <c r="D86" s="1007"/>
      <c r="E86" s="1007"/>
      <c r="F86" s="1008"/>
      <c r="G86" s="1051"/>
      <c r="H86" s="1052"/>
      <c r="I86" s="1052"/>
      <c r="J86" s="1052"/>
      <c r="K86" s="1052"/>
      <c r="L86" s="1052"/>
      <c r="M86" s="1053"/>
    </row>
    <row r="87" spans="2:13">
      <c r="B87" s="1006"/>
      <c r="C87" s="1007"/>
      <c r="D87" s="1007"/>
      <c r="E87" s="1007"/>
      <c r="F87" s="1008"/>
      <c r="G87" s="1051"/>
      <c r="H87" s="1052"/>
      <c r="I87" s="1052"/>
      <c r="J87" s="1052"/>
      <c r="K87" s="1052"/>
      <c r="L87" s="1052"/>
      <c r="M87" s="1053"/>
    </row>
    <row r="88" spans="2:13">
      <c r="B88" s="1006"/>
      <c r="C88" s="1007"/>
      <c r="D88" s="1007"/>
      <c r="E88" s="1007"/>
      <c r="F88" s="1008"/>
      <c r="G88" s="1051"/>
      <c r="H88" s="1052"/>
      <c r="I88" s="1052"/>
      <c r="J88" s="1052"/>
      <c r="K88" s="1052"/>
      <c r="L88" s="1052"/>
      <c r="M88" s="1053"/>
    </row>
    <row r="89" spans="2:13">
      <c r="B89" s="1006"/>
      <c r="C89" s="1007"/>
      <c r="D89" s="1007"/>
      <c r="E89" s="1007"/>
      <c r="F89" s="1008"/>
      <c r="G89" s="1051"/>
      <c r="H89" s="1052"/>
      <c r="I89" s="1052"/>
      <c r="J89" s="1052"/>
      <c r="K89" s="1052"/>
      <c r="L89" s="1052"/>
      <c r="M89" s="1053"/>
    </row>
    <row r="90" spans="2:13">
      <c r="B90" s="1006"/>
      <c r="C90" s="1007"/>
      <c r="D90" s="1007"/>
      <c r="E90" s="1007"/>
      <c r="F90" s="1008"/>
      <c r="G90" s="1051"/>
      <c r="H90" s="1052"/>
      <c r="I90" s="1052"/>
      <c r="J90" s="1052"/>
      <c r="K90" s="1052"/>
      <c r="L90" s="1052"/>
      <c r="M90" s="1053"/>
    </row>
    <row r="91" spans="2:13">
      <c r="B91" s="1006"/>
      <c r="C91" s="1007"/>
      <c r="D91" s="1007"/>
      <c r="E91" s="1007"/>
      <c r="F91" s="1008"/>
      <c r="G91" s="1051"/>
      <c r="H91" s="1052"/>
      <c r="I91" s="1052"/>
      <c r="J91" s="1052"/>
      <c r="K91" s="1052"/>
      <c r="L91" s="1052"/>
      <c r="M91" s="1053"/>
    </row>
    <row r="92" spans="2:13">
      <c r="B92" s="1006"/>
      <c r="C92" s="1007"/>
      <c r="D92" s="1007"/>
      <c r="E92" s="1007"/>
      <c r="F92" s="1008"/>
      <c r="G92" s="1051"/>
      <c r="H92" s="1052"/>
      <c r="I92" s="1052"/>
      <c r="J92" s="1052"/>
      <c r="K92" s="1052"/>
      <c r="L92" s="1052"/>
      <c r="M92" s="1053"/>
    </row>
    <row r="93" spans="2:13">
      <c r="B93" s="1006"/>
      <c r="C93" s="1007"/>
      <c r="D93" s="1007"/>
      <c r="E93" s="1007"/>
      <c r="F93" s="1008"/>
      <c r="G93" s="1051"/>
      <c r="H93" s="1052"/>
      <c r="I93" s="1052"/>
      <c r="J93" s="1052"/>
      <c r="K93" s="1052"/>
      <c r="L93" s="1052"/>
      <c r="M93" s="1053"/>
    </row>
    <row r="94" spans="2:13">
      <c r="B94" s="1006"/>
      <c r="C94" s="1007"/>
      <c r="D94" s="1007"/>
      <c r="E94" s="1007"/>
      <c r="F94" s="1008"/>
      <c r="G94" s="1051"/>
      <c r="H94" s="1052"/>
      <c r="I94" s="1052"/>
      <c r="J94" s="1052"/>
      <c r="K94" s="1052"/>
      <c r="L94" s="1052"/>
      <c r="M94" s="1053"/>
    </row>
    <row r="95" spans="2:13">
      <c r="B95" s="1006"/>
      <c r="C95" s="1007"/>
      <c r="D95" s="1007"/>
      <c r="E95" s="1007"/>
      <c r="F95" s="1008"/>
      <c r="G95" s="1051"/>
      <c r="H95" s="1052"/>
      <c r="I95" s="1052"/>
      <c r="J95" s="1052"/>
      <c r="K95" s="1052"/>
      <c r="L95" s="1052"/>
      <c r="M95" s="1053"/>
    </row>
    <row r="96" spans="2:13">
      <c r="B96" s="1006"/>
      <c r="C96" s="1007"/>
      <c r="D96" s="1007"/>
      <c r="E96" s="1007"/>
      <c r="F96" s="1008"/>
      <c r="G96" s="1051"/>
      <c r="H96" s="1052"/>
      <c r="I96" s="1052"/>
      <c r="J96" s="1052"/>
      <c r="K96" s="1052"/>
      <c r="L96" s="1052"/>
      <c r="M96" s="1053"/>
    </row>
    <row r="97" spans="2:13">
      <c r="B97" s="1006"/>
      <c r="C97" s="1007"/>
      <c r="D97" s="1007"/>
      <c r="E97" s="1007"/>
      <c r="F97" s="1008"/>
      <c r="G97" s="1051"/>
      <c r="H97" s="1052"/>
      <c r="I97" s="1052"/>
      <c r="J97" s="1052"/>
      <c r="K97" s="1052"/>
      <c r="L97" s="1052"/>
      <c r="M97" s="1053"/>
    </row>
    <row r="98" spans="2:13">
      <c r="B98" s="1006"/>
      <c r="C98" s="1007"/>
      <c r="D98" s="1007"/>
      <c r="E98" s="1007"/>
      <c r="F98" s="1008"/>
      <c r="G98" s="1051"/>
      <c r="H98" s="1052"/>
      <c r="I98" s="1052"/>
      <c r="J98" s="1052"/>
      <c r="K98" s="1052"/>
      <c r="L98" s="1052"/>
      <c r="M98" s="1053"/>
    </row>
    <row r="99" spans="2:13">
      <c r="B99" s="1006"/>
      <c r="C99" s="1007"/>
      <c r="D99" s="1007"/>
      <c r="E99" s="1007"/>
      <c r="F99" s="1008"/>
      <c r="G99" s="1051"/>
      <c r="H99" s="1052"/>
      <c r="I99" s="1052"/>
      <c r="J99" s="1052"/>
      <c r="K99" s="1052"/>
      <c r="L99" s="1052"/>
      <c r="M99" s="1053"/>
    </row>
    <row r="100" spans="2:13">
      <c r="B100" s="1006"/>
      <c r="C100" s="1007"/>
      <c r="D100" s="1007"/>
      <c r="E100" s="1007"/>
      <c r="F100" s="1008"/>
      <c r="G100" s="1051"/>
      <c r="H100" s="1052"/>
      <c r="I100" s="1052"/>
      <c r="J100" s="1052"/>
      <c r="K100" s="1052"/>
      <c r="L100" s="1052"/>
      <c r="M100" s="1053"/>
    </row>
    <row r="101" spans="2:13">
      <c r="B101" s="1006"/>
      <c r="C101" s="1007"/>
      <c r="D101" s="1007"/>
      <c r="E101" s="1007"/>
      <c r="F101" s="1008"/>
      <c r="G101" s="1051"/>
      <c r="H101" s="1052"/>
      <c r="I101" s="1052"/>
      <c r="J101" s="1052"/>
      <c r="K101" s="1052"/>
      <c r="L101" s="1052"/>
      <c r="M101" s="1053"/>
    </row>
    <row r="102" spans="2:13">
      <c r="B102" s="1006"/>
      <c r="C102" s="1007"/>
      <c r="D102" s="1007"/>
      <c r="E102" s="1007"/>
      <c r="F102" s="1008"/>
      <c r="G102" s="1051"/>
      <c r="H102" s="1052"/>
      <c r="I102" s="1052"/>
      <c r="J102" s="1052"/>
      <c r="K102" s="1052"/>
      <c r="L102" s="1052"/>
      <c r="M102" s="1053"/>
    </row>
    <row r="103" spans="2:13">
      <c r="B103" s="1006"/>
      <c r="C103" s="1007"/>
      <c r="D103" s="1007"/>
      <c r="E103" s="1007"/>
      <c r="F103" s="1008"/>
      <c r="G103" s="1051"/>
      <c r="H103" s="1052"/>
      <c r="I103" s="1052"/>
      <c r="J103" s="1052"/>
      <c r="K103" s="1052"/>
      <c r="L103" s="1052"/>
      <c r="M103" s="1053"/>
    </row>
    <row r="104" spans="2:13">
      <c r="B104" s="1006"/>
      <c r="C104" s="1007"/>
      <c r="D104" s="1007"/>
      <c r="E104" s="1007"/>
      <c r="F104" s="1008"/>
      <c r="G104" s="1051"/>
      <c r="H104" s="1052"/>
      <c r="I104" s="1052"/>
      <c r="J104" s="1052"/>
      <c r="K104" s="1052"/>
      <c r="L104" s="1052"/>
      <c r="M104" s="1053"/>
    </row>
    <row r="105" spans="2:13">
      <c r="B105" s="1006"/>
      <c r="C105" s="1007"/>
      <c r="D105" s="1007"/>
      <c r="E105" s="1007"/>
      <c r="F105" s="1008"/>
      <c r="G105" s="1051"/>
      <c r="H105" s="1052"/>
      <c r="I105" s="1052"/>
      <c r="J105" s="1052"/>
      <c r="K105" s="1052"/>
      <c r="L105" s="1052"/>
      <c r="M105" s="1053"/>
    </row>
    <row r="106" spans="2:13" ht="13.9" thickBot="1">
      <c r="B106" s="1006"/>
      <c r="C106" s="1007"/>
      <c r="D106" s="1007"/>
      <c r="E106" s="1007"/>
      <c r="F106" s="1008"/>
      <c r="G106" s="1054"/>
      <c r="H106" s="1055"/>
      <c r="I106" s="1055"/>
      <c r="J106" s="1055"/>
      <c r="K106" s="1055"/>
      <c r="L106" s="1055"/>
      <c r="M106" s="1056"/>
    </row>
    <row r="107" spans="2:13" ht="40.15" customHeight="1" thickBot="1">
      <c r="B107" s="1009"/>
      <c r="C107" s="1010"/>
      <c r="D107" s="1010"/>
      <c r="E107" s="1010"/>
      <c r="F107" s="1011"/>
      <c r="G107" s="1063" t="e" vm="1">
        <f>Peers!C8</f>
        <v>#VALUE!</v>
      </c>
      <c r="H107" s="1063"/>
      <c r="I107" s="654" t="e" vm="4">
        <f>Peers!D8</f>
        <v>#VALUE!</v>
      </c>
      <c r="J107" s="655" t="e" vm="5">
        <f>Peers!E8</f>
        <v>#VALUE!</v>
      </c>
      <c r="K107" s="656" t="e" vm="6">
        <f>Peers!F8</f>
        <v>#VALUE!</v>
      </c>
      <c r="L107" s="657" t="e" vm="7">
        <f>Peers!G8</f>
        <v>#VALUE!</v>
      </c>
      <c r="M107" s="658" t="e" vm="8">
        <f>Peers!H8</f>
        <v>#VALUE!</v>
      </c>
    </row>
  </sheetData>
  <mergeCells count="113">
    <mergeCell ref="G83:M106"/>
    <mergeCell ref="B3:C16"/>
    <mergeCell ref="G107:H107"/>
    <mergeCell ref="G82:M82"/>
    <mergeCell ref="E73:I81"/>
    <mergeCell ref="E62:I71"/>
    <mergeCell ref="J61:L61"/>
    <mergeCell ref="E72:I72"/>
    <mergeCell ref="B73:D81"/>
    <mergeCell ref="J64:L64"/>
    <mergeCell ref="J65:L65"/>
    <mergeCell ref="J66:L66"/>
    <mergeCell ref="J67:L67"/>
    <mergeCell ref="J68:L68"/>
    <mergeCell ref="J69:L69"/>
    <mergeCell ref="J70:L70"/>
    <mergeCell ref="J62:L62"/>
    <mergeCell ref="J63:L63"/>
    <mergeCell ref="E61:I61"/>
    <mergeCell ref="J75:L75"/>
    <mergeCell ref="J77:L77"/>
    <mergeCell ref="J78:L78"/>
    <mergeCell ref="J79:L79"/>
    <mergeCell ref="J81:L81"/>
    <mergeCell ref="J80:L80"/>
    <mergeCell ref="B83:F107"/>
    <mergeCell ref="B60:I60"/>
    <mergeCell ref="B34:G34"/>
    <mergeCell ref="I19:K19"/>
    <mergeCell ref="C43:G43"/>
    <mergeCell ref="C42:G42"/>
    <mergeCell ref="I29:J29"/>
    <mergeCell ref="I30:J30"/>
    <mergeCell ref="I31:J31"/>
    <mergeCell ref="I34:M34"/>
    <mergeCell ref="B39:G39"/>
    <mergeCell ref="C40:G40"/>
    <mergeCell ref="C35:G35"/>
    <mergeCell ref="B59:M59"/>
    <mergeCell ref="C36:G36"/>
    <mergeCell ref="J45:M45"/>
    <mergeCell ref="B44:M44"/>
    <mergeCell ref="I40:I41"/>
    <mergeCell ref="I42:I43"/>
    <mergeCell ref="J40:K41"/>
    <mergeCell ref="J42:K43"/>
    <mergeCell ref="L40:L41"/>
    <mergeCell ref="L42:L43"/>
    <mergeCell ref="M40:M41"/>
    <mergeCell ref="M42:M43"/>
    <mergeCell ref="B17:C17"/>
    <mergeCell ref="L19:M19"/>
    <mergeCell ref="B19:C19"/>
    <mergeCell ref="B29:C29"/>
    <mergeCell ref="D19:E19"/>
    <mergeCell ref="B18:M18"/>
    <mergeCell ref="B33:M33"/>
    <mergeCell ref="H40:H43"/>
    <mergeCell ref="J20:K20"/>
    <mergeCell ref="F32:G32"/>
    <mergeCell ref="F31:G31"/>
    <mergeCell ref="F29:G29"/>
    <mergeCell ref="F30:G30"/>
    <mergeCell ref="H35:H38"/>
    <mergeCell ref="C37:G37"/>
    <mergeCell ref="C38:G38"/>
    <mergeCell ref="C41:G41"/>
    <mergeCell ref="E2:K2"/>
    <mergeCell ref="F20:G20"/>
    <mergeCell ref="F28:G28"/>
    <mergeCell ref="F26:G26"/>
    <mergeCell ref="J21:K21"/>
    <mergeCell ref="I22:J22"/>
    <mergeCell ref="I23:J23"/>
    <mergeCell ref="I24:J24"/>
    <mergeCell ref="I25:J25"/>
    <mergeCell ref="I26:J26"/>
    <mergeCell ref="I27:J27"/>
    <mergeCell ref="I28:J28"/>
    <mergeCell ref="F27:G27"/>
    <mergeCell ref="D4:G17"/>
    <mergeCell ref="D3:G3"/>
    <mergeCell ref="H3:M3"/>
    <mergeCell ref="F19:H19"/>
    <mergeCell ref="F22:G22"/>
    <mergeCell ref="F23:G23"/>
    <mergeCell ref="F24:G24"/>
    <mergeCell ref="F25:G25"/>
    <mergeCell ref="F21:G21"/>
    <mergeCell ref="B82:F82"/>
    <mergeCell ref="I35:M38"/>
    <mergeCell ref="I39:M39"/>
    <mergeCell ref="J47:K47"/>
    <mergeCell ref="J48:K48"/>
    <mergeCell ref="J49:K49"/>
    <mergeCell ref="J50:K50"/>
    <mergeCell ref="J51:K51"/>
    <mergeCell ref="J52:K52"/>
    <mergeCell ref="J53:K53"/>
    <mergeCell ref="J54:K54"/>
    <mergeCell ref="J55:K55"/>
    <mergeCell ref="J56:K56"/>
    <mergeCell ref="J57:K57"/>
    <mergeCell ref="J58:K58"/>
    <mergeCell ref="J76:L76"/>
    <mergeCell ref="J71:L71"/>
    <mergeCell ref="J72:L72"/>
    <mergeCell ref="J73:L73"/>
    <mergeCell ref="J74:L74"/>
    <mergeCell ref="B61:D61"/>
    <mergeCell ref="B72:D72"/>
    <mergeCell ref="B62:D71"/>
    <mergeCell ref="J60:M60"/>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41" priority="1" operator="lessThan">
      <formula>0</formula>
    </cfRule>
    <cfRule type="cellIs" dxfId="40" priority="2" operator="greaterThan">
      <formula>0</formula>
    </cfRule>
  </conditionalFormatting>
  <conditionalFormatting sqref="M40:M43">
    <cfRule type="cellIs" dxfId="39" priority="3" operator="lessThan">
      <formula>0</formula>
    </cfRule>
    <cfRule type="cellIs" dxfId="38"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3.15"/>
  <cols>
    <col min="1" max="1" width="27.140625" bestFit="1" customWidth="1"/>
  </cols>
  <sheetData>
    <row r="1" spans="1:1">
      <c r="A1" t="s">
        <v>177</v>
      </c>
    </row>
    <row r="2" spans="1:1">
      <c r="A2" t="s">
        <v>178</v>
      </c>
    </row>
    <row r="3" spans="1:1">
      <c r="A3" t="s">
        <v>179</v>
      </c>
    </row>
    <row r="4" spans="1:1">
      <c r="A4" t="s">
        <v>180</v>
      </c>
    </row>
    <row r="5" spans="1:1">
      <c r="A5" t="s">
        <v>181</v>
      </c>
    </row>
    <row r="6" spans="1:1">
      <c r="A6" s="11" t="s">
        <v>182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76"/>
  <sheetViews>
    <sheetView showGridLines="0" zoomScaleNormal="100" workbookViewId="0">
      <selection activeCell="B40" sqref="B40:C40"/>
    </sheetView>
  </sheetViews>
  <sheetFormatPr defaultColWidth="11.42578125" defaultRowHeight="13.15"/>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23.42578125" customWidth="1"/>
  </cols>
  <sheetData>
    <row r="1" spans="2:25" ht="7.5" customHeight="1"/>
    <row r="2" spans="2:25" ht="21">
      <c r="B2" s="1097" t="str">
        <f>"Regions "&amp;"("&amp;OP!$J$20&amp;")"</f>
        <v>Regions (2023)</v>
      </c>
      <c r="C2" s="1098"/>
      <c r="D2" s="1098"/>
      <c r="E2" s="1098"/>
      <c r="F2" s="1098"/>
      <c r="G2" s="1098"/>
      <c r="H2" s="1098"/>
      <c r="I2" s="1098"/>
      <c r="J2" s="1098"/>
      <c r="K2" s="1098"/>
      <c r="L2" s="1098"/>
      <c r="M2" s="1098"/>
      <c r="N2" s="1098"/>
      <c r="O2" s="1098"/>
      <c r="P2" s="1098"/>
      <c r="Q2" s="1093" t="s">
        <v>183</v>
      </c>
      <c r="R2" s="1094"/>
      <c r="S2" s="1094"/>
      <c r="T2" s="1094"/>
      <c r="U2" s="1094"/>
      <c r="V2" s="1094"/>
      <c r="W2" s="1094"/>
      <c r="X2" s="1094"/>
      <c r="Y2" s="1095"/>
    </row>
    <row r="3" spans="2:25" ht="18" thickBot="1">
      <c r="B3" s="168"/>
      <c r="C3" s="169"/>
      <c r="D3" s="1115" t="s">
        <v>184</v>
      </c>
      <c r="E3" s="1115"/>
      <c r="F3" s="1115"/>
      <c r="G3" s="1115"/>
      <c r="H3" s="1115"/>
      <c r="I3" s="1116"/>
      <c r="J3" s="149"/>
      <c r="K3" s="1096" t="s">
        <v>185</v>
      </c>
      <c r="L3" s="1096"/>
      <c r="M3" s="1096"/>
      <c r="N3" s="1096"/>
      <c r="O3" s="1096"/>
      <c r="P3" s="1096"/>
      <c r="Q3" s="140"/>
      <c r="Y3" s="163"/>
    </row>
    <row r="4" spans="2:25">
      <c r="B4" s="155" t="s">
        <v>186</v>
      </c>
      <c r="C4" s="156" t="s">
        <v>187</v>
      </c>
      <c r="D4" s="157">
        <f>OP!J20</f>
        <v>2023</v>
      </c>
      <c r="E4" s="157">
        <f>D4-1</f>
        <v>2022</v>
      </c>
      <c r="F4" s="157">
        <f>E4-1</f>
        <v>2021</v>
      </c>
      <c r="G4" s="157">
        <f>F4-1</f>
        <v>2020</v>
      </c>
      <c r="H4" s="157">
        <f>G4-1</f>
        <v>2019</v>
      </c>
      <c r="I4" s="157">
        <f>H4-1</f>
        <v>2018</v>
      </c>
      <c r="J4" s="150"/>
      <c r="K4" s="157">
        <f>OP!J20</f>
        <v>2023</v>
      </c>
      <c r="L4" s="157">
        <f t="shared" ref="L4:P4" si="0">K4-1</f>
        <v>2022</v>
      </c>
      <c r="M4" s="157">
        <f t="shared" si="0"/>
        <v>2021</v>
      </c>
      <c r="N4" s="157">
        <f t="shared" si="0"/>
        <v>2020</v>
      </c>
      <c r="O4" s="157">
        <f t="shared" si="0"/>
        <v>2019</v>
      </c>
      <c r="P4" s="170">
        <f t="shared" si="0"/>
        <v>2018</v>
      </c>
      <c r="Q4" s="140"/>
      <c r="Y4" s="163"/>
    </row>
    <row r="5" spans="2:25">
      <c r="B5" s="153">
        <f t="shared" ref="B5:B11" si="1">IFERROR(D5/$D$12,"")</f>
        <v>0.68982732732732732</v>
      </c>
      <c r="C5" s="154" t="s">
        <v>188</v>
      </c>
      <c r="D5" s="158">
        <v>18377</v>
      </c>
      <c r="E5" s="158">
        <v>18587</v>
      </c>
      <c r="F5" s="158">
        <v>18604</v>
      </c>
      <c r="G5" s="158">
        <v>19204</v>
      </c>
      <c r="H5" s="158">
        <v>17756</v>
      </c>
      <c r="I5" s="158">
        <v>18122</v>
      </c>
      <c r="J5" s="151"/>
      <c r="K5" s="293">
        <f t="shared" ref="K5:O5" si="2">(D5-E5)/E5</f>
        <v>-1.1298219185452197E-2</v>
      </c>
      <c r="L5" s="293">
        <f t="shared" si="2"/>
        <v>-9.137819823693829E-4</v>
      </c>
      <c r="M5" s="293">
        <f t="shared" si="2"/>
        <v>-3.1243490939387629E-2</v>
      </c>
      <c r="N5" s="293">
        <f t="shared" si="2"/>
        <v>8.154989862581663E-2</v>
      </c>
      <c r="O5" s="293">
        <f t="shared" si="2"/>
        <v>-2.0196446308354488E-2</v>
      </c>
      <c r="P5" s="293" t="s">
        <v>72</v>
      </c>
      <c r="Q5" s="140"/>
      <c r="Y5" s="163"/>
    </row>
    <row r="6" spans="2:25">
      <c r="B6" s="153">
        <f t="shared" si="1"/>
        <v>4.7710210210210213E-2</v>
      </c>
      <c r="C6" s="154" t="s">
        <v>189</v>
      </c>
      <c r="D6" s="158">
        <v>1271</v>
      </c>
      <c r="E6" s="158">
        <v>1160</v>
      </c>
      <c r="F6" s="158" t="s">
        <v>190</v>
      </c>
      <c r="G6" s="158" t="s">
        <v>190</v>
      </c>
      <c r="H6" s="158" t="s">
        <v>190</v>
      </c>
      <c r="I6" s="158" t="s">
        <v>190</v>
      </c>
      <c r="J6" s="151"/>
      <c r="K6" s="293">
        <f t="shared" ref="K6:O9" si="3">(D6-E6)/E6</f>
        <v>9.568965517241379E-2</v>
      </c>
      <c r="L6" s="293" t="e">
        <f t="shared" si="3"/>
        <v>#VALUE!</v>
      </c>
      <c r="M6" s="293" t="e">
        <f t="shared" si="3"/>
        <v>#VALUE!</v>
      </c>
      <c r="N6" s="293" t="e">
        <f t="shared" si="3"/>
        <v>#VALUE!</v>
      </c>
      <c r="O6" s="293" t="e">
        <f t="shared" si="3"/>
        <v>#VALUE!</v>
      </c>
      <c r="P6" s="293" t="s">
        <v>72</v>
      </c>
      <c r="Q6" s="140"/>
      <c r="Y6" s="163"/>
    </row>
    <row r="7" spans="2:25">
      <c r="B7" s="153">
        <f t="shared" si="1"/>
        <v>6.5653153153153149E-2</v>
      </c>
      <c r="C7" s="154" t="s">
        <v>191</v>
      </c>
      <c r="D7" s="158">
        <v>1749</v>
      </c>
      <c r="E7" s="158">
        <v>1752</v>
      </c>
      <c r="F7" s="158">
        <v>1747</v>
      </c>
      <c r="G7" s="158">
        <v>1640</v>
      </c>
      <c r="H7" s="158">
        <v>1882</v>
      </c>
      <c r="I7" s="158">
        <v>2173</v>
      </c>
      <c r="J7" s="151"/>
      <c r="K7" s="293">
        <f t="shared" si="3"/>
        <v>-1.7123287671232876E-3</v>
      </c>
      <c r="L7" s="293">
        <f t="shared" si="3"/>
        <v>2.8620492272467086E-3</v>
      </c>
      <c r="M7" s="293">
        <f t="shared" si="3"/>
        <v>6.5243902439024393E-2</v>
      </c>
      <c r="N7" s="293">
        <f t="shared" si="3"/>
        <v>-0.12858660998937302</v>
      </c>
      <c r="O7" s="293">
        <f t="shared" si="3"/>
        <v>-0.13391624482282558</v>
      </c>
      <c r="P7" s="293" t="s">
        <v>72</v>
      </c>
      <c r="Q7" s="140"/>
      <c r="Y7" s="163"/>
    </row>
    <row r="8" spans="2:25">
      <c r="B8" s="153" t="str">
        <f t="shared" si="1"/>
        <v/>
      </c>
      <c r="C8" s="154" t="s">
        <v>192</v>
      </c>
      <c r="D8" s="158" t="s">
        <v>190</v>
      </c>
      <c r="E8" s="158" t="s">
        <v>190</v>
      </c>
      <c r="F8" s="158" t="s">
        <v>190</v>
      </c>
      <c r="G8" s="158" t="s">
        <v>190</v>
      </c>
      <c r="H8" s="158">
        <v>2551</v>
      </c>
      <c r="I8" s="158">
        <v>2718</v>
      </c>
      <c r="J8" s="151"/>
      <c r="K8" s="293" t="e">
        <f t="shared" si="3"/>
        <v>#VALUE!</v>
      </c>
      <c r="L8" s="293" t="e">
        <f t="shared" si="3"/>
        <v>#VALUE!</v>
      </c>
      <c r="M8" s="293" t="e">
        <f t="shared" si="3"/>
        <v>#VALUE!</v>
      </c>
      <c r="N8" s="293" t="e">
        <f t="shared" si="3"/>
        <v>#VALUE!</v>
      </c>
      <c r="O8" s="293">
        <f t="shared" si="3"/>
        <v>-6.1442236938925678E-2</v>
      </c>
      <c r="P8" s="293" t="s">
        <v>72</v>
      </c>
      <c r="Q8" s="140"/>
      <c r="Y8" s="163"/>
    </row>
    <row r="9" spans="2:25" ht="13.9" thickBot="1">
      <c r="B9" s="153">
        <f t="shared" si="1"/>
        <v>0.19680930930930932</v>
      </c>
      <c r="C9" s="154" t="s">
        <v>193</v>
      </c>
      <c r="D9" s="158">
        <v>5243</v>
      </c>
      <c r="E9" s="158">
        <v>4986</v>
      </c>
      <c r="F9" s="158">
        <v>5691</v>
      </c>
      <c r="G9" s="158">
        <v>5341</v>
      </c>
      <c r="H9" s="158">
        <v>2788</v>
      </c>
      <c r="I9" s="158">
        <v>3255</v>
      </c>
      <c r="J9" s="151"/>
      <c r="K9" s="293">
        <f t="shared" si="3"/>
        <v>5.1544324107501004E-2</v>
      </c>
      <c r="L9" s="293">
        <f t="shared" si="3"/>
        <v>-0.1238798102266737</v>
      </c>
      <c r="M9" s="293">
        <f t="shared" si="3"/>
        <v>6.5530799475753604E-2</v>
      </c>
      <c r="N9" s="293">
        <f t="shared" si="3"/>
        <v>0.91571018651362979</v>
      </c>
      <c r="O9" s="293">
        <f t="shared" si="3"/>
        <v>-0.1434715821812596</v>
      </c>
      <c r="P9" s="293" t="s">
        <v>72</v>
      </c>
      <c r="Q9" s="140"/>
      <c r="Y9" s="163"/>
    </row>
    <row r="10" spans="2:25" hidden="1">
      <c r="B10" s="144">
        <f t="shared" si="1"/>
        <v>0</v>
      </c>
      <c r="C10" s="143"/>
      <c r="D10" s="147"/>
      <c r="E10" s="147"/>
      <c r="F10" s="147"/>
      <c r="G10" s="147"/>
      <c r="H10" s="147"/>
      <c r="I10" s="147"/>
      <c r="J10" s="151"/>
      <c r="K10" s="147"/>
      <c r="L10" s="147"/>
      <c r="M10" s="147"/>
      <c r="N10" s="147"/>
      <c r="O10" s="147"/>
      <c r="P10" s="171"/>
      <c r="Q10" s="140"/>
      <c r="Y10" s="163"/>
    </row>
    <row r="11" spans="2:25" hidden="1">
      <c r="B11" s="145">
        <f t="shared" si="1"/>
        <v>0</v>
      </c>
      <c r="C11" s="159"/>
      <c r="D11" s="727"/>
      <c r="E11" s="727"/>
      <c r="F11" s="727"/>
      <c r="G11" s="727"/>
      <c r="H11" s="727"/>
      <c r="I11" s="727"/>
      <c r="J11" s="151"/>
      <c r="K11" s="148"/>
      <c r="L11" s="148"/>
      <c r="M11" s="148"/>
      <c r="N11" s="148"/>
      <c r="O11" s="148"/>
      <c r="P11" s="172"/>
      <c r="Q11" s="140"/>
      <c r="Y11" s="163"/>
    </row>
    <row r="12" spans="2:25" ht="13.9" thickBot="1">
      <c r="B12" s="146">
        <f>SUM(B5:B11)</f>
        <v>0.99999999999999989</v>
      </c>
      <c r="C12" s="725" t="s">
        <v>194</v>
      </c>
      <c r="D12" s="722">
        <f>SUM(D5:D11)</f>
        <v>26640</v>
      </c>
      <c r="E12" s="723">
        <f t="shared" ref="E12:I12" si="4">SUM(E5:E11)</f>
        <v>26485</v>
      </c>
      <c r="F12" s="723">
        <f t="shared" si="4"/>
        <v>26042</v>
      </c>
      <c r="G12" s="723">
        <f t="shared" si="4"/>
        <v>26185</v>
      </c>
      <c r="H12" s="723">
        <f t="shared" si="4"/>
        <v>24977</v>
      </c>
      <c r="I12" s="724">
        <f t="shared" si="4"/>
        <v>26268</v>
      </c>
      <c r="J12" s="726"/>
      <c r="K12" s="295">
        <f>(D12-E12)/E12</f>
        <v>5.85236926562205E-3</v>
      </c>
      <c r="L12" s="295">
        <f>(E12-F12)/F12</f>
        <v>1.7010982259427078E-2</v>
      </c>
      <c r="M12" s="295">
        <f>(F12-G12)/G12</f>
        <v>-5.4611418751193434E-3</v>
      </c>
      <c r="N12" s="295">
        <f t="shared" ref="N12:O12" si="5">(G12-H12)/H12</f>
        <v>4.836449533570885E-2</v>
      </c>
      <c r="O12" s="295">
        <f t="shared" si="5"/>
        <v>-4.914725140855794E-2</v>
      </c>
      <c r="P12" s="295" t="s">
        <v>72</v>
      </c>
      <c r="Q12" s="140"/>
      <c r="Y12" s="163"/>
    </row>
    <row r="13" spans="2:25">
      <c r="B13" s="166"/>
      <c r="C13" s="6"/>
      <c r="D13" s="15"/>
      <c r="E13" s="15"/>
      <c r="F13" s="15"/>
      <c r="G13" s="15"/>
      <c r="H13" s="15"/>
      <c r="I13" s="15"/>
      <c r="J13" s="15"/>
      <c r="K13" s="15"/>
      <c r="L13" s="15"/>
      <c r="M13" s="15"/>
      <c r="N13" s="15"/>
      <c r="O13" s="15"/>
      <c r="P13" s="15"/>
      <c r="Q13" s="140"/>
      <c r="Y13" s="163"/>
    </row>
    <row r="14" spans="2:25" ht="21.6" thickBot="1">
      <c r="B14" s="1097" t="str">
        <f>"Categories "&amp;"("&amp;OP!$J$20&amp;")"</f>
        <v>Categories (2023)</v>
      </c>
      <c r="C14" s="1098"/>
      <c r="D14" s="1098"/>
      <c r="E14" s="1098"/>
      <c r="F14" s="1098"/>
      <c r="G14" s="1098"/>
      <c r="H14" s="1098"/>
      <c r="I14" s="1098"/>
      <c r="J14" s="1098"/>
      <c r="K14" s="1098"/>
      <c r="L14" s="1098"/>
      <c r="M14" s="1098"/>
      <c r="N14" s="1098"/>
      <c r="O14" s="1098"/>
      <c r="P14" s="1098"/>
      <c r="Q14" s="140"/>
      <c r="S14" s="298"/>
      <c r="Y14" s="163"/>
    </row>
    <row r="15" spans="2:25" ht="21">
      <c r="B15" s="168"/>
      <c r="C15" s="169"/>
      <c r="D15" s="1103" t="s">
        <v>184</v>
      </c>
      <c r="E15" s="1104"/>
      <c r="F15" s="1104"/>
      <c r="G15" s="1104"/>
      <c r="H15" s="1104"/>
      <c r="I15" s="1105"/>
      <c r="J15" s="149"/>
      <c r="K15" s="1099" t="s">
        <v>185</v>
      </c>
      <c r="L15" s="1100"/>
      <c r="M15" s="1100"/>
      <c r="N15" s="1100"/>
      <c r="O15" s="1100"/>
      <c r="P15" s="1100"/>
      <c r="Q15" s="140"/>
      <c r="Y15" s="163"/>
    </row>
    <row r="16" spans="2:25">
      <c r="B16" s="167" t="s">
        <v>186</v>
      </c>
      <c r="C16" s="139" t="s">
        <v>195</v>
      </c>
      <c r="D16" s="157">
        <f>OP!J20</f>
        <v>2023</v>
      </c>
      <c r="E16" s="157">
        <f>D16-1</f>
        <v>2022</v>
      </c>
      <c r="F16" s="157">
        <f>E16-1</f>
        <v>2021</v>
      </c>
      <c r="G16" s="157">
        <f>F16-1</f>
        <v>2020</v>
      </c>
      <c r="H16" s="157">
        <f>G16-1</f>
        <v>2019</v>
      </c>
      <c r="I16" s="157">
        <f>H16-1</f>
        <v>2018</v>
      </c>
      <c r="J16" s="150"/>
      <c r="K16" s="152">
        <f>OP!J20</f>
        <v>2023</v>
      </c>
      <c r="L16" s="152">
        <f t="shared" ref="L16:P16" si="6">K16-1</f>
        <v>2022</v>
      </c>
      <c r="M16" s="152">
        <f t="shared" si="6"/>
        <v>2021</v>
      </c>
      <c r="N16" s="152">
        <f t="shared" si="6"/>
        <v>2020</v>
      </c>
      <c r="O16" s="152">
        <f t="shared" si="6"/>
        <v>2019</v>
      </c>
      <c r="P16" s="173">
        <f t="shared" si="6"/>
        <v>2018</v>
      </c>
      <c r="Q16" s="140"/>
      <c r="Y16" s="163"/>
    </row>
    <row r="17" spans="2:25">
      <c r="B17" s="153">
        <f>IFERROR(D17/$D$22,"")</f>
        <v>0.75548048048048044</v>
      </c>
      <c r="C17" s="142" t="s">
        <v>196</v>
      </c>
      <c r="D17" s="158">
        <v>20126</v>
      </c>
      <c r="E17" s="158">
        <v>20340</v>
      </c>
      <c r="F17" s="158" t="s">
        <v>190</v>
      </c>
      <c r="G17" s="158" t="s">
        <v>190</v>
      </c>
      <c r="H17" s="158" t="s">
        <v>190</v>
      </c>
      <c r="I17" s="158" t="s">
        <v>190</v>
      </c>
      <c r="J17" s="151"/>
      <c r="K17" s="296">
        <f>(D17-E17)/E17</f>
        <v>-1.0521140609636185E-2</v>
      </c>
      <c r="L17" s="296" t="e">
        <f t="shared" ref="L17:O22" si="7">(E17-F17)/F17</f>
        <v>#VALUE!</v>
      </c>
      <c r="M17" s="296" t="e">
        <f t="shared" si="7"/>
        <v>#VALUE!</v>
      </c>
      <c r="N17" s="296" t="e">
        <f t="shared" si="7"/>
        <v>#VALUE!</v>
      </c>
      <c r="O17" s="296" t="e">
        <f t="shared" si="7"/>
        <v>#VALUE!</v>
      </c>
      <c r="P17" s="296" t="s">
        <v>72</v>
      </c>
      <c r="Q17" s="140"/>
      <c r="Y17" s="163"/>
    </row>
    <row r="18" spans="2:25">
      <c r="B18" s="153">
        <f>IFERROR(D18/$D$22,"")</f>
        <v>0.24451951951951953</v>
      </c>
      <c r="C18" s="574" t="s">
        <v>197</v>
      </c>
      <c r="D18" s="158">
        <v>6514</v>
      </c>
      <c r="E18" s="158">
        <v>6145</v>
      </c>
      <c r="F18" s="158">
        <v>5691</v>
      </c>
      <c r="G18" s="158">
        <v>5341</v>
      </c>
      <c r="H18" s="158">
        <v>5251</v>
      </c>
      <c r="I18" s="158">
        <v>5877</v>
      </c>
      <c r="J18" s="151"/>
      <c r="K18" s="296">
        <f>(D18-E18)/E18</f>
        <v>6.0048820179007326E-2</v>
      </c>
      <c r="L18" s="296">
        <f t="shared" ref="L18" si="8">(E18-F18)/F18</f>
        <v>7.9775083465120369E-2</v>
      </c>
      <c r="M18" s="296">
        <f t="shared" ref="M18" si="9">(F18-G18)/G18</f>
        <v>6.5530799475753604E-2</v>
      </c>
      <c r="N18" s="296">
        <f t="shared" ref="N18" si="10">(G18-H18)/H18</f>
        <v>1.7139592458579319E-2</v>
      </c>
      <c r="O18" s="296">
        <f t="shared" ref="O18" si="11">(H18-I18)/I18</f>
        <v>-0.10651693040667007</v>
      </c>
      <c r="P18" s="575" t="s">
        <v>72</v>
      </c>
      <c r="Q18" s="140"/>
      <c r="Y18" s="163"/>
    </row>
    <row r="19" spans="2:25">
      <c r="B19" s="153" t="str">
        <f t="shared" ref="B19:B21" si="12">IFERROR(D19/$D$22,"")</f>
        <v/>
      </c>
      <c r="C19" s="143" t="s">
        <v>198</v>
      </c>
      <c r="D19" s="158" t="s">
        <v>190</v>
      </c>
      <c r="E19" s="158" t="s">
        <v>190</v>
      </c>
      <c r="F19" s="158" t="s">
        <v>190</v>
      </c>
      <c r="G19" s="158" t="s">
        <v>190</v>
      </c>
      <c r="H19" s="158" t="s">
        <v>190</v>
      </c>
      <c r="I19" s="158" t="s">
        <v>190</v>
      </c>
      <c r="J19" s="151"/>
      <c r="K19" s="297" t="e">
        <f t="shared" ref="K19:K21" si="13">(D19-E19)/E19</f>
        <v>#VALUE!</v>
      </c>
      <c r="L19" s="297" t="e">
        <f t="shared" si="7"/>
        <v>#VALUE!</v>
      </c>
      <c r="M19" s="297" t="e">
        <f t="shared" si="7"/>
        <v>#VALUE!</v>
      </c>
      <c r="N19" s="297" t="e">
        <f t="shared" si="7"/>
        <v>#VALUE!</v>
      </c>
      <c r="O19" s="297" t="e">
        <f t="shared" si="7"/>
        <v>#VALUE!</v>
      </c>
      <c r="P19" s="297" t="s">
        <v>72</v>
      </c>
      <c r="Q19" s="140"/>
      <c r="Y19" s="163"/>
    </row>
    <row r="20" spans="2:25">
      <c r="B20" s="153" t="str">
        <f t="shared" si="12"/>
        <v/>
      </c>
      <c r="C20" s="143" t="s">
        <v>199</v>
      </c>
      <c r="D20" s="158" t="s">
        <v>190</v>
      </c>
      <c r="E20" s="158" t="s">
        <v>190</v>
      </c>
      <c r="F20" s="158">
        <v>18604</v>
      </c>
      <c r="G20" s="158">
        <v>19204</v>
      </c>
      <c r="H20" s="158">
        <v>17844</v>
      </c>
      <c r="I20" s="158">
        <v>18218</v>
      </c>
      <c r="J20" s="151"/>
      <c r="K20" s="297" t="e">
        <f t="shared" si="13"/>
        <v>#VALUE!</v>
      </c>
      <c r="L20" s="297" t="e">
        <f t="shared" si="7"/>
        <v>#VALUE!</v>
      </c>
      <c r="M20" s="297">
        <f t="shared" si="7"/>
        <v>-3.1243490939387629E-2</v>
      </c>
      <c r="N20" s="297">
        <f t="shared" si="7"/>
        <v>7.6216095045953822E-2</v>
      </c>
      <c r="O20" s="297">
        <f t="shared" si="7"/>
        <v>-2.0529146997475024E-2</v>
      </c>
      <c r="P20" s="297" t="s">
        <v>72</v>
      </c>
      <c r="Q20" s="140"/>
      <c r="Y20" s="163"/>
    </row>
    <row r="21" spans="2:25">
      <c r="B21" s="153" t="str">
        <f t="shared" si="12"/>
        <v/>
      </c>
      <c r="C21" s="143" t="s">
        <v>200</v>
      </c>
      <c r="D21" s="158" t="s">
        <v>190</v>
      </c>
      <c r="E21" s="158" t="s">
        <v>190</v>
      </c>
      <c r="F21" s="158">
        <v>1747</v>
      </c>
      <c r="G21" s="158">
        <v>1640</v>
      </c>
      <c r="H21" s="158">
        <v>1882</v>
      </c>
      <c r="I21" s="158">
        <v>2173</v>
      </c>
      <c r="J21" s="151"/>
      <c r="K21" s="297" t="e">
        <f t="shared" si="13"/>
        <v>#VALUE!</v>
      </c>
      <c r="L21" s="297" t="e">
        <f t="shared" si="7"/>
        <v>#VALUE!</v>
      </c>
      <c r="M21" s="297">
        <f t="shared" si="7"/>
        <v>6.5243902439024393E-2</v>
      </c>
      <c r="N21" s="297">
        <f t="shared" si="7"/>
        <v>-0.12858660998937302</v>
      </c>
      <c r="O21" s="297">
        <f t="shared" si="7"/>
        <v>-0.13391624482282558</v>
      </c>
      <c r="P21" s="297" t="s">
        <v>72</v>
      </c>
      <c r="Q21" s="140"/>
      <c r="Y21" s="163"/>
    </row>
    <row r="22" spans="2:25">
      <c r="B22" s="146">
        <f>SUM(B17:B21)</f>
        <v>1</v>
      </c>
      <c r="C22" s="725" t="s">
        <v>194</v>
      </c>
      <c r="D22" s="722">
        <f t="shared" ref="D22:I22" si="14">SUM(D17:D21)</f>
        <v>26640</v>
      </c>
      <c r="E22" s="723">
        <f t="shared" si="14"/>
        <v>26485</v>
      </c>
      <c r="F22" s="723">
        <f t="shared" si="14"/>
        <v>26042</v>
      </c>
      <c r="G22" s="723">
        <f t="shared" si="14"/>
        <v>26185</v>
      </c>
      <c r="H22" s="723">
        <f t="shared" si="14"/>
        <v>24977</v>
      </c>
      <c r="I22" s="724">
        <f t="shared" si="14"/>
        <v>26268</v>
      </c>
      <c r="J22" s="726"/>
      <c r="K22" s="294">
        <f>(D22-E22)/E22</f>
        <v>5.85236926562205E-3</v>
      </c>
      <c r="L22" s="295">
        <f t="shared" si="7"/>
        <v>1.7010982259427078E-2</v>
      </c>
      <c r="M22" s="295">
        <f t="shared" ref="M22" si="15">(F22-G22)/G22</f>
        <v>-5.4611418751193434E-3</v>
      </c>
      <c r="N22" s="295">
        <f t="shared" ref="N22" si="16">(G22-H22)/H22</f>
        <v>4.836449533570885E-2</v>
      </c>
      <c r="O22" s="295">
        <f t="shared" ref="O22" si="17">(H22-I22)/I22</f>
        <v>-4.914725140855794E-2</v>
      </c>
      <c r="P22" s="295" t="s">
        <v>72</v>
      </c>
      <c r="Q22" s="140"/>
      <c r="Y22" s="163"/>
    </row>
    <row r="23" spans="2:25">
      <c r="C23" s="14"/>
      <c r="D23" s="15"/>
      <c r="E23" s="16"/>
      <c r="F23" s="15"/>
      <c r="G23" s="16"/>
      <c r="H23" s="15"/>
      <c r="I23" s="16"/>
      <c r="Q23" s="140"/>
      <c r="Y23" s="163"/>
    </row>
    <row r="24" spans="2:25" ht="21">
      <c r="B24" s="1103" t="s">
        <v>74</v>
      </c>
      <c r="C24" s="1105"/>
      <c r="D24" s="1103" t="s">
        <v>201</v>
      </c>
      <c r="E24" s="1104"/>
      <c r="F24" s="1104"/>
      <c r="G24" s="1104"/>
      <c r="H24" s="1104"/>
      <c r="I24" s="1113" t="s">
        <v>202</v>
      </c>
      <c r="J24" s="1114"/>
      <c r="K24" s="1114"/>
      <c r="L24" s="1114"/>
      <c r="M24" s="1114"/>
      <c r="N24" s="1114"/>
      <c r="O24" s="1114"/>
      <c r="P24" s="1114"/>
      <c r="Q24" s="140"/>
      <c r="Y24" s="163"/>
    </row>
    <row r="25" spans="2:25" ht="57.75" customHeight="1">
      <c r="B25" s="1117" t="s">
        <v>196</v>
      </c>
      <c r="C25" s="1118"/>
      <c r="D25" s="1106" t="s">
        <v>203</v>
      </c>
      <c r="E25" s="1107"/>
      <c r="F25" s="1107"/>
      <c r="G25" s="1107"/>
      <c r="H25" s="1107"/>
      <c r="I25" s="140"/>
      <c r="Q25" s="140"/>
      <c r="Y25" s="163"/>
    </row>
    <row r="26" spans="2:25" ht="41.25" customHeight="1">
      <c r="B26" s="1117" t="s">
        <v>204</v>
      </c>
      <c r="C26" s="1118"/>
      <c r="D26" s="1108" t="s">
        <v>205</v>
      </c>
      <c r="E26" s="1107"/>
      <c r="F26" s="1107"/>
      <c r="G26" s="1107"/>
      <c r="H26" s="1107"/>
      <c r="I26" s="140"/>
      <c r="Q26" s="140"/>
      <c r="Y26" s="163"/>
    </row>
    <row r="27" spans="2:25" ht="28.35" customHeight="1">
      <c r="B27" s="1119"/>
      <c r="C27" s="1119"/>
      <c r="D27" s="1109"/>
      <c r="E27" s="1110"/>
      <c r="F27" s="1110"/>
      <c r="G27" s="1110"/>
      <c r="H27" s="1110"/>
      <c r="Q27" s="140"/>
      <c r="Y27" s="163"/>
    </row>
    <row r="28" spans="2:25" ht="30.6" customHeight="1">
      <c r="B28" s="1119"/>
      <c r="C28" s="1119"/>
      <c r="D28" s="1109"/>
      <c r="E28" s="1110"/>
      <c r="F28" s="1110"/>
      <c r="G28" s="1110"/>
      <c r="H28" s="1110"/>
      <c r="Q28" s="140"/>
      <c r="Y28" s="163"/>
    </row>
    <row r="29" spans="2:25" ht="41.25" customHeight="1">
      <c r="B29" s="1119"/>
      <c r="C29" s="1119"/>
      <c r="D29" s="1109"/>
      <c r="E29" s="1110"/>
      <c r="F29" s="1110"/>
      <c r="G29" s="1110"/>
      <c r="H29" s="1110"/>
      <c r="Q29" s="140"/>
      <c r="Y29" s="163"/>
    </row>
    <row r="30" spans="2:25" ht="28.35" hidden="1" customHeight="1">
      <c r="B30" s="1101"/>
      <c r="C30" s="1102"/>
      <c r="D30" s="1111"/>
      <c r="E30" s="1112"/>
      <c r="F30" s="1112"/>
      <c r="G30" s="1112"/>
      <c r="H30" s="1112"/>
      <c r="I30" s="140"/>
      <c r="Q30" s="140"/>
      <c r="Y30" s="163"/>
    </row>
    <row r="31" spans="2:25" ht="56.25" customHeight="1" thickBot="1">
      <c r="I31" s="141"/>
      <c r="J31" s="164"/>
      <c r="K31" s="164"/>
      <c r="L31" s="164"/>
      <c r="M31" s="164"/>
      <c r="N31" s="164"/>
      <c r="O31" s="164"/>
      <c r="P31" s="164"/>
      <c r="Q31" s="141"/>
      <c r="R31" s="164"/>
      <c r="S31" s="164"/>
      <c r="T31" s="164"/>
      <c r="U31" s="164"/>
      <c r="V31" s="164"/>
      <c r="W31" s="164"/>
      <c r="X31" s="164"/>
      <c r="Y31" s="165"/>
    </row>
    <row r="32" spans="2:25" ht="21.6" thickBot="1">
      <c r="B32" s="1103" t="s">
        <v>206</v>
      </c>
      <c r="C32" s="1104"/>
      <c r="D32" s="1104"/>
      <c r="E32" s="1104"/>
      <c r="F32" s="1104"/>
      <c r="G32" s="1104"/>
      <c r="H32" s="1104"/>
      <c r="I32" s="1105"/>
      <c r="J32" s="1143" t="s">
        <v>207</v>
      </c>
      <c r="K32" s="1144"/>
      <c r="L32" s="1144"/>
      <c r="M32" s="1144"/>
      <c r="N32" s="1144"/>
      <c r="O32" s="1144"/>
      <c r="P32" s="1144"/>
      <c r="Q32" s="1145"/>
    </row>
    <row r="33" spans="2:21">
      <c r="B33" s="1140" t="s">
        <v>208</v>
      </c>
      <c r="C33" s="1141"/>
      <c r="D33" s="1140" t="s">
        <v>201</v>
      </c>
      <c r="E33" s="1142"/>
      <c r="F33" s="1142"/>
      <c r="G33" s="1142"/>
      <c r="H33" s="1142"/>
      <c r="I33" s="1141"/>
      <c r="J33" s="160"/>
      <c r="K33" s="161"/>
      <c r="L33" s="161"/>
      <c r="M33" s="161"/>
      <c r="N33" s="161"/>
      <c r="O33" s="161"/>
      <c r="P33" s="161"/>
      <c r="Q33" s="162"/>
    </row>
    <row r="34" spans="2:21" ht="31.5" customHeight="1">
      <c r="B34" s="1132" t="s">
        <v>209</v>
      </c>
      <c r="C34" s="1133"/>
      <c r="D34" s="1122" t="s">
        <v>210</v>
      </c>
      <c r="E34" s="1123"/>
      <c r="F34" s="1123"/>
      <c r="G34" s="1123"/>
      <c r="H34" s="1123"/>
      <c r="I34" s="1124"/>
      <c r="J34" s="140"/>
      <c r="Q34" s="163"/>
    </row>
    <row r="35" spans="2:21" ht="33" customHeight="1">
      <c r="B35" s="1132" t="s">
        <v>211</v>
      </c>
      <c r="C35" s="1133"/>
      <c r="D35" s="1122" t="s">
        <v>212</v>
      </c>
      <c r="E35" s="1123"/>
      <c r="F35" s="1123"/>
      <c r="G35" s="1123"/>
      <c r="H35" s="1123"/>
      <c r="I35" s="1124"/>
      <c r="J35" s="140"/>
      <c r="Q35" s="163"/>
    </row>
    <row r="36" spans="2:21" ht="33" customHeight="1">
      <c r="B36" s="1132" t="s">
        <v>213</v>
      </c>
      <c r="C36" s="1133"/>
      <c r="D36" s="1122" t="s">
        <v>214</v>
      </c>
      <c r="E36" s="1123"/>
      <c r="F36" s="1123"/>
      <c r="G36" s="1123"/>
      <c r="H36" s="1123"/>
      <c r="I36" s="1124"/>
      <c r="J36" s="140"/>
      <c r="Q36" s="163"/>
    </row>
    <row r="37" spans="2:21" ht="37.5" customHeight="1">
      <c r="B37" s="1132" t="s">
        <v>215</v>
      </c>
      <c r="C37" s="1133"/>
      <c r="D37" s="1122" t="s">
        <v>216</v>
      </c>
      <c r="E37" s="1123"/>
      <c r="F37" s="1123"/>
      <c r="G37" s="1123"/>
      <c r="H37" s="1123"/>
      <c r="I37" s="1124"/>
      <c r="J37" s="140"/>
      <c r="Q37" s="163"/>
    </row>
    <row r="38" spans="2:21">
      <c r="B38" s="1140" t="s">
        <v>217</v>
      </c>
      <c r="C38" s="1142"/>
      <c r="D38" s="1142"/>
      <c r="E38" s="1142"/>
      <c r="F38" s="1142"/>
      <c r="G38" s="1142"/>
      <c r="H38" s="1142"/>
      <c r="I38" s="1141"/>
      <c r="J38" s="140"/>
      <c r="Q38" s="163"/>
    </row>
    <row r="39" spans="2:21" ht="13.5" customHeight="1">
      <c r="B39" s="1155" t="s">
        <v>218</v>
      </c>
      <c r="C39" s="1156"/>
      <c r="D39" s="1127" t="s">
        <v>219</v>
      </c>
      <c r="E39" s="1128"/>
      <c r="F39" s="1129"/>
      <c r="G39" s="1127" t="s">
        <v>220</v>
      </c>
      <c r="H39" s="1128"/>
      <c r="I39" s="1129"/>
      <c r="J39" s="140"/>
      <c r="Q39" s="163"/>
      <c r="T39" s="11"/>
      <c r="U39" s="11"/>
    </row>
    <row r="40" spans="2:21">
      <c r="B40" s="1130" t="s">
        <v>221</v>
      </c>
      <c r="C40" s="1131"/>
      <c r="D40" s="1134" t="s">
        <v>222</v>
      </c>
      <c r="E40" s="1135"/>
      <c r="F40" s="1136"/>
      <c r="G40" s="1146" t="s">
        <v>223</v>
      </c>
      <c r="H40" s="1147"/>
      <c r="I40" s="1148"/>
      <c r="J40" s="140"/>
      <c r="Q40" s="163"/>
      <c r="T40" s="11"/>
      <c r="U40" s="11"/>
    </row>
    <row r="41" spans="2:21">
      <c r="B41" s="1130" t="s">
        <v>224</v>
      </c>
      <c r="C41" s="1131"/>
      <c r="D41" s="1134">
        <v>0.1138</v>
      </c>
      <c r="E41" s="1135"/>
      <c r="F41" s="1136"/>
      <c r="G41" s="1146" t="s">
        <v>225</v>
      </c>
      <c r="H41" s="1147"/>
      <c r="I41" s="1148"/>
      <c r="J41" s="140"/>
      <c r="Q41" s="163"/>
      <c r="T41" s="11"/>
      <c r="U41" s="11"/>
    </row>
    <row r="42" spans="2:21">
      <c r="B42" s="1130" t="s">
        <v>226</v>
      </c>
      <c r="C42" s="1131"/>
      <c r="D42" s="1134">
        <v>5.0999999999999997E-2</v>
      </c>
      <c r="E42" s="1135"/>
      <c r="F42" s="1136"/>
      <c r="G42" s="1134" t="s">
        <v>227</v>
      </c>
      <c r="H42" s="1135"/>
      <c r="I42" s="1136"/>
      <c r="J42" s="140"/>
      <c r="Q42" s="163"/>
      <c r="T42" s="11"/>
      <c r="U42" s="11"/>
    </row>
    <row r="43" spans="2:21">
      <c r="B43" s="1130" t="s">
        <v>228</v>
      </c>
      <c r="C43" s="1131"/>
      <c r="D43" s="1152">
        <v>6.6000000000000003E-2</v>
      </c>
      <c r="E43" s="1153"/>
      <c r="F43" s="1154"/>
      <c r="G43" s="1149" t="s">
        <v>229</v>
      </c>
      <c r="H43" s="1150"/>
      <c r="I43" s="1151"/>
      <c r="J43" s="140"/>
      <c r="Q43" s="163"/>
      <c r="T43" s="11"/>
      <c r="U43" s="11"/>
    </row>
    <row r="44" spans="2:21" ht="16.5" customHeight="1">
      <c r="B44" s="1120" t="s">
        <v>230</v>
      </c>
      <c r="C44" s="1121"/>
      <c r="D44" s="1125">
        <f>AVERAGE(D40:F43)</f>
        <v>7.693333333333334E-2</v>
      </c>
      <c r="E44" s="1125"/>
      <c r="F44" s="1125"/>
      <c r="G44" s="1125"/>
      <c r="H44" s="1125"/>
      <c r="I44" s="1126"/>
      <c r="Q44" s="163"/>
      <c r="T44" s="11"/>
      <c r="U44" s="11"/>
    </row>
    <row r="45" spans="2:21" ht="21">
      <c r="B45" s="1137" t="s">
        <v>231</v>
      </c>
      <c r="C45" s="1138"/>
      <c r="D45" s="1138"/>
      <c r="E45" s="1138"/>
      <c r="F45" s="1138"/>
      <c r="G45" s="1138"/>
      <c r="H45" s="1138"/>
      <c r="I45" s="1139"/>
      <c r="J45" s="140"/>
      <c r="Q45" s="163"/>
      <c r="T45" s="11"/>
      <c r="U45" s="11"/>
    </row>
    <row r="46" spans="2:21" ht="12.75" customHeight="1">
      <c r="B46" s="1084" t="s">
        <v>232</v>
      </c>
      <c r="C46" s="1085"/>
      <c r="D46" s="1085"/>
      <c r="E46" s="1085"/>
      <c r="F46" s="1085"/>
      <c r="G46" s="1085"/>
      <c r="H46" s="1085"/>
      <c r="I46" s="1086"/>
      <c r="J46" s="140"/>
      <c r="Q46" s="163"/>
      <c r="T46" s="11"/>
      <c r="U46" s="11"/>
    </row>
    <row r="47" spans="2:21">
      <c r="B47" s="1087"/>
      <c r="C47" s="1088"/>
      <c r="D47" s="1088"/>
      <c r="E47" s="1088"/>
      <c r="F47" s="1088"/>
      <c r="G47" s="1088"/>
      <c r="H47" s="1088"/>
      <c r="I47" s="1089"/>
      <c r="J47" s="140"/>
      <c r="Q47" s="163"/>
      <c r="T47" s="11"/>
      <c r="U47" s="11"/>
    </row>
    <row r="48" spans="2:21">
      <c r="B48" s="1087"/>
      <c r="C48" s="1088"/>
      <c r="D48" s="1088"/>
      <c r="E48" s="1088"/>
      <c r="F48" s="1088"/>
      <c r="G48" s="1088"/>
      <c r="H48" s="1088"/>
      <c r="I48" s="1089"/>
      <c r="J48" s="140"/>
      <c r="Q48" s="163"/>
      <c r="T48" s="11"/>
      <c r="U48" s="11"/>
    </row>
    <row r="49" spans="2:21">
      <c r="B49" s="1087"/>
      <c r="C49" s="1088"/>
      <c r="D49" s="1088"/>
      <c r="E49" s="1088"/>
      <c r="F49" s="1088"/>
      <c r="G49" s="1088"/>
      <c r="H49" s="1088"/>
      <c r="I49" s="1089"/>
      <c r="J49" s="140"/>
      <c r="Q49" s="163"/>
      <c r="T49" s="11"/>
      <c r="U49" s="11"/>
    </row>
    <row r="50" spans="2:21">
      <c r="B50" s="1087"/>
      <c r="C50" s="1088"/>
      <c r="D50" s="1088"/>
      <c r="E50" s="1088"/>
      <c r="F50" s="1088"/>
      <c r="G50" s="1088"/>
      <c r="H50" s="1088"/>
      <c r="I50" s="1089"/>
      <c r="J50" s="140"/>
      <c r="Q50" s="163"/>
      <c r="T50" s="11"/>
      <c r="U50" s="11"/>
    </row>
    <row r="51" spans="2:21">
      <c r="B51" s="1087"/>
      <c r="C51" s="1088"/>
      <c r="D51" s="1088"/>
      <c r="E51" s="1088"/>
      <c r="F51" s="1088"/>
      <c r="G51" s="1088"/>
      <c r="H51" s="1088"/>
      <c r="I51" s="1089"/>
      <c r="J51" s="140"/>
      <c r="Q51" s="163"/>
      <c r="T51" s="11"/>
      <c r="U51" s="11"/>
    </row>
    <row r="52" spans="2:21">
      <c r="B52" s="1087"/>
      <c r="C52" s="1088"/>
      <c r="D52" s="1088"/>
      <c r="E52" s="1088"/>
      <c r="F52" s="1088"/>
      <c r="G52" s="1088"/>
      <c r="H52" s="1088"/>
      <c r="I52" s="1089"/>
      <c r="J52" s="140"/>
      <c r="Q52" s="163"/>
      <c r="T52" s="11"/>
      <c r="U52" s="11"/>
    </row>
    <row r="53" spans="2:21">
      <c r="B53" s="1087"/>
      <c r="C53" s="1088"/>
      <c r="D53" s="1088"/>
      <c r="E53" s="1088"/>
      <c r="F53" s="1088"/>
      <c r="G53" s="1088"/>
      <c r="H53" s="1088"/>
      <c r="I53" s="1089"/>
      <c r="J53" s="140"/>
      <c r="Q53" s="163"/>
      <c r="T53" s="11"/>
      <c r="U53" s="11"/>
    </row>
    <row r="54" spans="2:21">
      <c r="B54" s="1087"/>
      <c r="C54" s="1088"/>
      <c r="D54" s="1088"/>
      <c r="E54" s="1088"/>
      <c r="F54" s="1088"/>
      <c r="G54" s="1088"/>
      <c r="H54" s="1088"/>
      <c r="I54" s="1089"/>
      <c r="J54" s="140"/>
      <c r="Q54" s="163"/>
      <c r="T54" s="11"/>
      <c r="U54" s="11"/>
    </row>
    <row r="55" spans="2:21">
      <c r="B55" s="1087"/>
      <c r="C55" s="1088"/>
      <c r="D55" s="1088"/>
      <c r="E55" s="1088"/>
      <c r="F55" s="1088"/>
      <c r="G55" s="1088"/>
      <c r="H55" s="1088"/>
      <c r="I55" s="1089"/>
      <c r="J55" s="140"/>
      <c r="Q55" s="163"/>
      <c r="T55" s="11"/>
      <c r="U55" s="11"/>
    </row>
    <row r="56" spans="2:21">
      <c r="B56" s="1087"/>
      <c r="C56" s="1088"/>
      <c r="D56" s="1088"/>
      <c r="E56" s="1088"/>
      <c r="F56" s="1088"/>
      <c r="G56" s="1088"/>
      <c r="H56" s="1088"/>
      <c r="I56" s="1089"/>
      <c r="J56" s="140"/>
      <c r="Q56" s="163"/>
      <c r="T56" s="11"/>
      <c r="U56" s="11"/>
    </row>
    <row r="57" spans="2:21">
      <c r="B57" s="1087"/>
      <c r="C57" s="1088"/>
      <c r="D57" s="1088"/>
      <c r="E57" s="1088"/>
      <c r="F57" s="1088"/>
      <c r="G57" s="1088"/>
      <c r="H57" s="1088"/>
      <c r="I57" s="1089"/>
      <c r="J57" s="140"/>
      <c r="Q57" s="163"/>
      <c r="T57" s="11"/>
      <c r="U57" s="11"/>
    </row>
    <row r="58" spans="2:21">
      <c r="B58" s="1087"/>
      <c r="C58" s="1088"/>
      <c r="D58" s="1088"/>
      <c r="E58" s="1088"/>
      <c r="F58" s="1088"/>
      <c r="G58" s="1088"/>
      <c r="H58" s="1088"/>
      <c r="I58" s="1089"/>
      <c r="J58" s="140"/>
      <c r="Q58" s="163"/>
      <c r="T58" s="11"/>
      <c r="U58" s="11"/>
    </row>
    <row r="59" spans="2:21">
      <c r="B59" s="1087"/>
      <c r="C59" s="1088"/>
      <c r="D59" s="1088"/>
      <c r="E59" s="1088"/>
      <c r="F59" s="1088"/>
      <c r="G59" s="1088"/>
      <c r="H59" s="1088"/>
      <c r="I59" s="1089"/>
      <c r="J59" s="140"/>
      <c r="Q59" s="163"/>
      <c r="T59" s="11"/>
      <c r="U59" s="11"/>
    </row>
    <row r="60" spans="2:21">
      <c r="B60" s="1087"/>
      <c r="C60" s="1088"/>
      <c r="D60" s="1088"/>
      <c r="E60" s="1088"/>
      <c r="F60" s="1088"/>
      <c r="G60" s="1088"/>
      <c r="H60" s="1088"/>
      <c r="I60" s="1089"/>
      <c r="J60" s="140"/>
      <c r="Q60" s="163"/>
      <c r="T60" s="11"/>
      <c r="U60" s="11"/>
    </row>
    <row r="61" spans="2:21">
      <c r="B61" s="1087"/>
      <c r="C61" s="1088"/>
      <c r="D61" s="1088"/>
      <c r="E61" s="1088"/>
      <c r="F61" s="1088"/>
      <c r="G61" s="1088"/>
      <c r="H61" s="1088"/>
      <c r="I61" s="1089"/>
      <c r="J61" s="140"/>
      <c r="Q61" s="163"/>
      <c r="T61" s="11"/>
      <c r="U61" s="11"/>
    </row>
    <row r="62" spans="2:21">
      <c r="B62" s="1090"/>
      <c r="C62" s="1091"/>
      <c r="D62" s="1091"/>
      <c r="E62" s="1091"/>
      <c r="F62" s="1091"/>
      <c r="G62" s="1091"/>
      <c r="H62" s="1091"/>
      <c r="I62" s="1092"/>
      <c r="J62" s="141"/>
      <c r="K62" s="164"/>
      <c r="L62" s="164"/>
      <c r="M62" s="164"/>
      <c r="N62" s="164"/>
      <c r="O62" s="164"/>
      <c r="P62" s="164"/>
      <c r="Q62" s="165"/>
      <c r="T62" s="11"/>
      <c r="U62" s="11"/>
    </row>
    <row r="63" spans="2:21">
      <c r="T63" s="11"/>
      <c r="U63" s="11"/>
    </row>
    <row r="64" spans="2:21">
      <c r="T64" s="11"/>
      <c r="U64" s="11"/>
    </row>
    <row r="65" spans="15:21">
      <c r="T65" s="11"/>
      <c r="U65" s="11"/>
    </row>
    <row r="66" spans="15:21">
      <c r="T66" s="11"/>
      <c r="U66" s="11"/>
    </row>
    <row r="67" spans="15:21">
      <c r="O67" s="299"/>
      <c r="T67" s="11"/>
      <c r="U67" s="11"/>
    </row>
    <row r="68" spans="15:21">
      <c r="O68" s="299"/>
      <c r="T68" s="11"/>
      <c r="U68" s="11"/>
    </row>
    <row r="69" spans="15:21">
      <c r="O69" s="299"/>
      <c r="T69" s="11"/>
      <c r="U69" s="11"/>
    </row>
    <row r="70" spans="15:21">
      <c r="T70" s="11"/>
      <c r="U70" s="11"/>
    </row>
    <row r="71" spans="15:21">
      <c r="T71" s="11"/>
      <c r="U71" s="11"/>
    </row>
    <row r="72" spans="15:21">
      <c r="T72" s="11"/>
      <c r="U72" s="11"/>
    </row>
    <row r="73" spans="15:21">
      <c r="T73" s="11"/>
      <c r="U73" s="11"/>
    </row>
    <row r="74" spans="15:21">
      <c r="T74" s="11"/>
      <c r="U74" s="11"/>
    </row>
    <row r="75" spans="15:21">
      <c r="T75" s="11"/>
      <c r="U75" s="11"/>
    </row>
    <row r="76" spans="15:21">
      <c r="T76" s="11"/>
      <c r="U76" s="11"/>
    </row>
  </sheetData>
  <mergeCells count="54">
    <mergeCell ref="B45:I45"/>
    <mergeCell ref="B33:C33"/>
    <mergeCell ref="B34:C34"/>
    <mergeCell ref="D33:I33"/>
    <mergeCell ref="J32:Q32"/>
    <mergeCell ref="G41:I41"/>
    <mergeCell ref="G43:I43"/>
    <mergeCell ref="D40:F40"/>
    <mergeCell ref="D41:F41"/>
    <mergeCell ref="D43:F43"/>
    <mergeCell ref="B38:I38"/>
    <mergeCell ref="B39:C39"/>
    <mergeCell ref="B40:C40"/>
    <mergeCell ref="G40:I40"/>
    <mergeCell ref="B32:I32"/>
    <mergeCell ref="B43:C43"/>
    <mergeCell ref="B44:C44"/>
    <mergeCell ref="D34:I34"/>
    <mergeCell ref="D44:I44"/>
    <mergeCell ref="D39:F39"/>
    <mergeCell ref="G39:I39"/>
    <mergeCell ref="B41:C41"/>
    <mergeCell ref="B35:C35"/>
    <mergeCell ref="B36:C36"/>
    <mergeCell ref="D36:I36"/>
    <mergeCell ref="D35:I35"/>
    <mergeCell ref="B42:C42"/>
    <mergeCell ref="D42:F42"/>
    <mergeCell ref="G42:I42"/>
    <mergeCell ref="B37:C37"/>
    <mergeCell ref="D37:I37"/>
    <mergeCell ref="D3:I3"/>
    <mergeCell ref="B25:C25"/>
    <mergeCell ref="B28:C28"/>
    <mergeCell ref="B29:C29"/>
    <mergeCell ref="B24:C24"/>
    <mergeCell ref="B27:C27"/>
    <mergeCell ref="B26:C26"/>
    <mergeCell ref="B46:I62"/>
    <mergeCell ref="Q2:Y2"/>
    <mergeCell ref="K3:P3"/>
    <mergeCell ref="B2:P2"/>
    <mergeCell ref="K15:P15"/>
    <mergeCell ref="B30:C30"/>
    <mergeCell ref="B14:P14"/>
    <mergeCell ref="D15:I15"/>
    <mergeCell ref="D24:H24"/>
    <mergeCell ref="D25:H25"/>
    <mergeCell ref="D26:H26"/>
    <mergeCell ref="D27:H27"/>
    <mergeCell ref="D28:H28"/>
    <mergeCell ref="D29:H29"/>
    <mergeCell ref="D30:H30"/>
    <mergeCell ref="I24:P24"/>
  </mergeCells>
  <phoneticPr fontId="0" type="noConversion"/>
  <conditionalFormatting sqref="B5:B11">
    <cfRule type="dataBar" priority="69">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7:B21">
    <cfRule type="dataBar" priority="125">
      <dataBar>
        <cfvo type="min"/>
        <cfvo type="max"/>
        <color rgb="FF638EC6"/>
      </dataBar>
      <extLst>
        <ext xmlns:x14="http://schemas.microsoft.com/office/spreadsheetml/2009/9/main" uri="{B025F937-C7B1-47D3-B67F-A62EFF666E3E}">
          <x14:id>{070902CC-8EB6-43DB-B9AD-5811F17D394B}</x14:id>
        </ext>
      </extLst>
    </cfRule>
  </conditionalFormatting>
  <conditionalFormatting sqref="D6:D11">
    <cfRule type="dataBar" priority="71">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7:D21">
    <cfRule type="dataBar" priority="126">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5">
    <cfRule type="dataBar" priority="1">
      <dataBar>
        <cfvo type="min"/>
        <cfvo type="max"/>
        <color rgb="FF63C384"/>
      </dataBar>
      <extLst>
        <ext xmlns:x14="http://schemas.microsoft.com/office/spreadsheetml/2009/9/main" uri="{B025F937-C7B1-47D3-B67F-A62EFF666E3E}">
          <x14:id>{2F25C355-3455-49B9-AC71-715022756EF3}</x14:id>
        </ext>
      </extLst>
    </cfRule>
    <cfRule type="dataBar" priority="2">
      <dataBar>
        <cfvo type="min"/>
        <cfvo type="max"/>
        <color rgb="FF63C384"/>
      </dataBar>
      <extLst>
        <ext xmlns:x14="http://schemas.microsoft.com/office/spreadsheetml/2009/9/main" uri="{B025F937-C7B1-47D3-B67F-A62EFF666E3E}">
          <x14:id>{08B9186A-BFD6-4774-BD33-202AB28C8635}</x14:id>
        </ext>
      </extLst>
    </cfRule>
  </conditionalFormatting>
  <conditionalFormatting sqref="D6:I9">
    <cfRule type="dataBar" priority="73">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7:I21">
    <cfRule type="dataBar" priority="127">
      <dataBar>
        <cfvo type="min"/>
        <cfvo type="max"/>
        <color rgb="FF63C384"/>
      </dataBar>
      <extLst>
        <ext xmlns:x14="http://schemas.microsoft.com/office/spreadsheetml/2009/9/main" uri="{B025F937-C7B1-47D3-B67F-A62EFF666E3E}">
          <x14:id>{5BBC426E-7FA9-4F5C-AC78-B3996BA8F931}</x14:id>
        </ext>
      </extLst>
    </cfRule>
  </conditionalFormatting>
  <conditionalFormatting sqref="E6:E11 F8:G8">
    <cfRule type="dataBar" priority="74">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7:E21">
    <cfRule type="dataBar" priority="128">
      <dataBar>
        <cfvo type="min"/>
        <cfvo type="max"/>
        <color rgb="FF63C384"/>
      </dataBar>
      <extLst>
        <ext xmlns:x14="http://schemas.microsoft.com/office/spreadsheetml/2009/9/main" uri="{B025F937-C7B1-47D3-B67F-A62EFF666E3E}">
          <x14:id>{5AA7A103-2149-42E1-9BBB-48A01258D43D}</x14:id>
        </ext>
      </extLst>
    </cfRule>
  </conditionalFormatting>
  <conditionalFormatting sqref="F6:F11 G8">
    <cfRule type="dataBar" priority="76">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7:F21">
    <cfRule type="dataBar" priority="129">
      <dataBar>
        <cfvo type="min"/>
        <cfvo type="max"/>
        <color rgb="FF63C384"/>
      </dataBar>
      <extLst>
        <ext xmlns:x14="http://schemas.microsoft.com/office/spreadsheetml/2009/9/main" uri="{B025F937-C7B1-47D3-B67F-A62EFF666E3E}">
          <x14:id>{5EE1521A-2483-44CA-9CCA-E5FC63E6246F}</x14:id>
        </ext>
      </extLst>
    </cfRule>
  </conditionalFormatting>
  <conditionalFormatting sqref="G6:G11 H6">
    <cfRule type="dataBar" priority="78">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7:G21 H19:I19">
    <cfRule type="dataBar" priority="130">
      <dataBar>
        <cfvo type="min"/>
        <cfvo type="max"/>
        <color rgb="FF63C384"/>
      </dataBar>
      <extLst>
        <ext xmlns:x14="http://schemas.microsoft.com/office/spreadsheetml/2009/9/main" uri="{B025F937-C7B1-47D3-B67F-A62EFF666E3E}">
          <x14:id>{00DC50B7-1706-4DFB-A90F-9F95CB19CA6D}</x14:id>
        </ext>
      </extLst>
    </cfRule>
  </conditionalFormatting>
  <conditionalFormatting sqref="H6:H11">
    <cfRule type="dataBar" priority="80">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7:H21 I19">
    <cfRule type="dataBar" priority="132">
      <dataBar>
        <cfvo type="min"/>
        <cfvo type="max"/>
        <color rgb="FF63C384"/>
      </dataBar>
      <extLst>
        <ext xmlns:x14="http://schemas.microsoft.com/office/spreadsheetml/2009/9/main" uri="{B025F937-C7B1-47D3-B67F-A62EFF666E3E}">
          <x14:id>{EED505F4-1AE5-4E85-A25F-1DAC1EADC97D}</x14:id>
        </ext>
      </extLst>
    </cfRule>
  </conditionalFormatting>
  <conditionalFormatting sqref="I6:I11">
    <cfRule type="dataBar" priority="82">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7:I21">
    <cfRule type="dataBar" priority="134">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1">
    <cfRule type="dataBar" priority="84">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7:K21">
    <cfRule type="dataBar" priority="107">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7:O21">
    <cfRule type="dataBar" priority="108">
      <dataBar>
        <cfvo type="min"/>
        <cfvo type="max"/>
        <color rgb="FF63C384"/>
      </dataBar>
      <extLst>
        <ext xmlns:x14="http://schemas.microsoft.com/office/spreadsheetml/2009/9/main" uri="{B025F937-C7B1-47D3-B67F-A62EFF666E3E}">
          <x14:id>{BE9D279A-ADD8-46F4-B26E-577DEFFA037B}</x14:id>
        </ext>
      </extLst>
    </cfRule>
    <cfRule type="dataBar" priority="135">
      <dataBar>
        <cfvo type="min"/>
        <cfvo type="max"/>
        <color rgb="FF63C384"/>
      </dataBar>
      <extLst>
        <ext xmlns:x14="http://schemas.microsoft.com/office/spreadsheetml/2009/9/main" uri="{B025F937-C7B1-47D3-B67F-A62EFF666E3E}">
          <x14:id>{CBC457F7-3DB8-46A0-988B-11CCF8FF31E5}</x14:id>
        </ext>
      </extLst>
    </cfRule>
    <cfRule type="dataBar" priority="136">
      <dataBar>
        <cfvo type="min"/>
        <cfvo type="max"/>
        <color rgb="FF63C384"/>
      </dataBar>
      <extLst>
        <ext xmlns:x14="http://schemas.microsoft.com/office/spreadsheetml/2009/9/main" uri="{B025F937-C7B1-47D3-B67F-A62EFF666E3E}">
          <x14:id>{589E11FE-E342-4D21-9EB3-CB0F15AE87A6}</x14:id>
        </ext>
      </extLst>
    </cfRule>
  </conditionalFormatting>
  <conditionalFormatting sqref="K5:P9">
    <cfRule type="dataBar" priority="87">
      <dataBar>
        <cfvo type="min"/>
        <cfvo type="max"/>
        <color rgb="FF63C384"/>
      </dataBar>
      <extLst>
        <ext xmlns:x14="http://schemas.microsoft.com/office/spreadsheetml/2009/9/main" uri="{B025F937-C7B1-47D3-B67F-A62EFF666E3E}">
          <x14:id>{5832A442-CC22-41FC-AD17-86122538435B}</x14:id>
        </ext>
      </extLst>
    </cfRule>
    <cfRule type="dataBar" priority="86">
      <dataBar>
        <cfvo type="min"/>
        <cfvo type="max"/>
        <color rgb="FF63C384"/>
      </dataBar>
      <extLst>
        <ext xmlns:x14="http://schemas.microsoft.com/office/spreadsheetml/2009/9/main" uri="{B025F937-C7B1-47D3-B67F-A62EFF666E3E}">
          <x14:id>{1642E512-5328-4DB9-81F4-5A67EFFA2D7A}</x14:id>
        </ext>
      </extLst>
    </cfRule>
  </conditionalFormatting>
  <conditionalFormatting sqref="K17:P21">
    <cfRule type="dataBar" priority="115">
      <dataBar>
        <cfvo type="min"/>
        <cfvo type="max"/>
        <color rgb="FF63C384"/>
      </dataBar>
      <extLst>
        <ext xmlns:x14="http://schemas.microsoft.com/office/spreadsheetml/2009/9/main" uri="{B025F937-C7B1-47D3-B67F-A62EFF666E3E}">
          <x14:id>{9095667E-69EE-4811-BEDE-AFA010708C3B}</x14:id>
        </ext>
      </extLst>
    </cfRule>
    <cfRule type="dataBar" priority="116">
      <dataBar>
        <cfvo type="min"/>
        <cfvo type="max"/>
        <color rgb="FF63C384"/>
      </dataBar>
      <extLst>
        <ext xmlns:x14="http://schemas.microsoft.com/office/spreadsheetml/2009/9/main" uri="{B025F937-C7B1-47D3-B67F-A62EFF666E3E}">
          <x14:id>{00030478-9DDE-4C48-B970-8BFEEA7887D7}</x14:id>
        </ext>
      </extLst>
    </cfRule>
    <cfRule type="dataBar" priority="113">
      <dataBar>
        <cfvo type="min"/>
        <cfvo type="max"/>
        <color rgb="FF63C384"/>
      </dataBar>
      <extLst>
        <ext xmlns:x14="http://schemas.microsoft.com/office/spreadsheetml/2009/9/main" uri="{B025F937-C7B1-47D3-B67F-A62EFF666E3E}">
          <x14:id>{A85696C3-3FD4-4347-BBC8-6CEF041D9BC2}</x14:id>
        </ext>
      </extLst>
    </cfRule>
    <cfRule type="dataBar" priority="114">
      <dataBar>
        <cfvo type="min"/>
        <cfvo type="max"/>
        <color rgb="FF63C384"/>
      </dataBar>
      <extLst>
        <ext xmlns:x14="http://schemas.microsoft.com/office/spreadsheetml/2009/9/main" uri="{B025F937-C7B1-47D3-B67F-A62EFF666E3E}">
          <x14:id>{4CBCF4A4-EFBB-41F0-984E-0C4EF2D8C81C}</x14:id>
        </ext>
      </extLst>
    </cfRule>
    <cfRule type="dataBar" priority="137">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1">
    <cfRule type="dataBar" priority="88">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7:L21">
    <cfRule type="dataBar" priority="119">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0:M11">
    <cfRule type="dataBar" priority="55">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9:M21">
    <cfRule type="dataBar" priority="120">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9">
    <cfRule type="dataBar" priority="90">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0:N11">
    <cfRule type="dataBar" priority="54">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7:N21">
    <cfRule type="dataBar" priority="121">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0:O11">
    <cfRule type="dataBar" priority="53">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7:O21">
    <cfRule type="dataBar" priority="122">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0:P11">
    <cfRule type="dataBar" priority="52">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7:P21">
    <cfRule type="dataBar" priority="123">
      <dataBar>
        <cfvo type="min"/>
        <cfvo type="max"/>
        <color rgb="FF63C384"/>
      </dataBar>
      <extLst>
        <ext xmlns:x14="http://schemas.microsoft.com/office/spreadsheetml/2009/9/main" uri="{B025F937-C7B1-47D3-B67F-A62EFF666E3E}">
          <x14:id>{00154FAC-2C70-4EF2-A308-BA8404420986}</x14:id>
        </ext>
      </extLst>
    </cfRule>
  </conditionalFormatting>
  <hyperlinks>
    <hyperlink ref="B43:C43" r:id="rId1" display="Polaris Market Research" xr:uid="{76053726-0DEF-43B7-A58D-EF432B993AEC}"/>
    <hyperlink ref="B42:C42" r:id="rId2" display="IMARC group" xr:uid="{98AAE8F5-2C59-4D6C-B5F4-25DC1592BB8C}"/>
    <hyperlink ref="B41:C41" r:id="rId3" display="Statista" xr:uid="{2ED9713E-3743-4A7A-B41E-09BFF646D3A0}"/>
    <hyperlink ref="B40:C40" r:id="rId4" display="Mordor Intelligence" xr:uid="{F82DA4CB-3B34-464E-B8EA-DCAE79370694}"/>
  </hyperlinks>
  <pageMargins left="0.75" right="0.75" top="1" bottom="1" header="0" footer="0"/>
  <pageSetup orientation="landscape" r:id="rId5"/>
  <headerFooter alignWithMargins="0"/>
  <drawing r:id="rId6"/>
  <legacyDrawing r:id="rId7"/>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B5:B11</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B17:B21</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D6:D11</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2F25C355-3455-49B9-AC71-715022756EF3}">
            <x14:dataBar minLength="0" maxLength="100" gradient="0">
              <x14:cfvo type="autoMin"/>
              <x14:cfvo type="autoMax"/>
              <x14:negativeFillColor rgb="FFFF0000"/>
              <x14:axisColor rgb="FF000000"/>
            </x14:dataBar>
          </x14:cfRule>
          <x14:cfRule type="dataBar" id="{08B9186A-BFD6-4774-BD33-202AB28C8635}">
            <x14:dataBar minLength="0" maxLength="100" gradient="0">
              <x14:cfvo type="autoMin"/>
              <x14:cfvo type="autoMax"/>
              <x14:negativeFillColor rgb="FFFF0000"/>
              <x14:axisColor rgb="FF000000"/>
            </x14:dataBar>
          </x14:cfRule>
          <xm:sqref>D5:I5</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D6:I9</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D17:I21</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E6:E11 F8:G8</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E17:E21</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F6:F11 G8</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F17:F21</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G6:G11 H6</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G17:G21 H19:I19</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H6:H11</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H17:H21 I19</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I6:I11</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I17:I21</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K5:K11</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K17:K21</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K17:O21</xm:sqref>
        </x14:conditionalFormatting>
        <x14:conditionalFormatting xmlns:xm="http://schemas.microsoft.com/office/excel/2006/main">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1642E512-5328-4DB9-81F4-5A67EFFA2D7A}">
            <x14:dataBar minLength="0" maxLength="100" gradient="0">
              <x14:cfvo type="autoMin"/>
              <x14:cfvo type="autoMax"/>
              <x14:negativeFillColor rgb="FFFF0000"/>
              <x14:axisColor rgb="FF000000"/>
            </x14:dataBar>
          </x14:cfRule>
          <xm:sqref>K5:P9</xm:sqref>
        </x14:conditionalFormatting>
        <x14:conditionalFormatting xmlns:xm="http://schemas.microsoft.com/office/excel/2006/main">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K17:P21</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L5:L11</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L17:L21</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M10:M11</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M19:M21</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M5:P9</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N10:N11</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N17:N21</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O17:O21</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P10:P11</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P17:P21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Q74"/>
  <sheetViews>
    <sheetView showGridLines="0" tabSelected="1" topLeftCell="A4" zoomScale="53" zoomScaleNormal="100" workbookViewId="0">
      <selection activeCell="B4" sqref="B4"/>
    </sheetView>
  </sheetViews>
  <sheetFormatPr defaultColWidth="11.42578125" defaultRowHeight="13.1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4" ht="13.9">
      <c r="B1" s="199" t="s">
        <v>233</v>
      </c>
      <c r="C1" s="200" t="s">
        <v>234</v>
      </c>
      <c r="D1" s="1160" t="s">
        <v>201</v>
      </c>
      <c r="E1" s="1160"/>
      <c r="F1" s="1160"/>
      <c r="G1" s="1160"/>
      <c r="H1" s="1160"/>
    </row>
    <row r="2" spans="2:14" ht="81.75" customHeight="1">
      <c r="B2" s="798" t="e" vm="9">
        <v>#VALUE!</v>
      </c>
      <c r="C2" s="389" t="e" vm="4">
        <v>#VALUE!</v>
      </c>
      <c r="D2" s="1157" t="s">
        <v>235</v>
      </c>
      <c r="E2" s="1158"/>
      <c r="F2" s="1158"/>
      <c r="G2" s="1158"/>
      <c r="H2" s="1159"/>
    </row>
    <row r="3" spans="2:14" ht="81.75" customHeight="1">
      <c r="B3" s="2" t="e" vm="10">
        <v>#VALUE!</v>
      </c>
      <c r="C3" s="390" t="e" vm="5">
        <v>#VALUE!</v>
      </c>
      <c r="D3" s="1157" t="s">
        <v>236</v>
      </c>
      <c r="E3" s="1158"/>
      <c r="F3" s="1158"/>
      <c r="G3" s="1158"/>
      <c r="H3" s="1159"/>
    </row>
    <row r="4" spans="2:14" ht="81.75" customHeight="1">
      <c r="B4" s="798" t="e" vm="11">
        <v>#VALUE!</v>
      </c>
      <c r="C4" s="391" t="e" vm="6">
        <v>#VALUE!</v>
      </c>
      <c r="D4" s="1157" t="s">
        <v>237</v>
      </c>
      <c r="E4" s="1158"/>
      <c r="F4" s="1158"/>
      <c r="G4" s="1158"/>
      <c r="H4" s="1159"/>
    </row>
    <row r="5" spans="2:14" ht="81.75" customHeight="1">
      <c r="B5" s="798" t="e" vm="12">
        <v>#VALUE!</v>
      </c>
      <c r="C5" s="392" t="e" vm="7">
        <v>#VALUE!</v>
      </c>
      <c r="D5" s="1157" t="s">
        <v>238</v>
      </c>
      <c r="E5" s="1158"/>
      <c r="F5" s="1158"/>
      <c r="G5" s="1158"/>
      <c r="H5" s="1159"/>
    </row>
    <row r="6" spans="2:14" ht="81.75" customHeight="1">
      <c r="B6" s="798" t="e" vm="13">
        <v>#VALUE!</v>
      </c>
      <c r="C6" s="393" t="e" vm="8">
        <v>#VALUE!</v>
      </c>
      <c r="D6" s="1157" t="s">
        <v>239</v>
      </c>
      <c r="E6" s="1158"/>
      <c r="F6" s="1158"/>
      <c r="G6" s="1158"/>
      <c r="H6" s="1159"/>
      <c r="L6" s="2"/>
    </row>
    <row r="7" spans="2:14" ht="13.9" thickBot="1">
      <c r="B7" s="11"/>
    </row>
    <row r="8" spans="2:14" ht="36" customHeight="1" thickBot="1">
      <c r="B8" s="198" t="s">
        <v>240</v>
      </c>
      <c r="C8" s="383" t="e" vm="1">
        <f>OP!E2</f>
        <v>#VALUE!</v>
      </c>
      <c r="D8" s="384" t="e" vm="4">
        <f>C2</f>
        <v>#VALUE!</v>
      </c>
      <c r="E8" s="385" t="e" vm="5">
        <f>C3</f>
        <v>#VALUE!</v>
      </c>
      <c r="F8" s="386" t="e" vm="6">
        <f>C4</f>
        <v>#VALUE!</v>
      </c>
      <c r="G8" s="666" t="e" vm="7">
        <f>C5</f>
        <v>#VALUE!</v>
      </c>
      <c r="H8" s="388" t="e" vm="8">
        <f>C6</f>
        <v>#VALUE!</v>
      </c>
      <c r="I8" s="194" t="s">
        <v>241</v>
      </c>
      <c r="J8" s="631" t="s">
        <v>242</v>
      </c>
    </row>
    <row r="9" spans="2:14" ht="15" customHeight="1" thickBot="1">
      <c r="B9" s="192" t="s">
        <v>243</v>
      </c>
      <c r="C9" s="176"/>
      <c r="D9" s="177"/>
      <c r="E9" s="177"/>
      <c r="F9" s="177"/>
      <c r="G9" s="177"/>
      <c r="H9" s="178"/>
      <c r="I9" s="179" t="str">
        <f>IFERROR(AVERAGE(C9:H9),"")</f>
        <v/>
      </c>
      <c r="J9" s="606"/>
      <c r="L9" s="1164" t="s">
        <v>244</v>
      </c>
      <c r="M9" s="1165"/>
      <c r="N9" s="1166"/>
    </row>
    <row r="10" spans="2:14" ht="15" customHeight="1" thickBot="1">
      <c r="B10" s="191" t="s">
        <v>245</v>
      </c>
      <c r="C10" s="174" cm="1">
        <f t="array" aca="1" ref="C10" ca="1">_FV(C8,"Market cap",TRUE)/1000000</f>
        <v>31270.69</v>
      </c>
      <c r="D10" s="174" cm="1">
        <f t="array" aca="1" ref="D10" ca="1">_FV(D8,"Market cap",TRUE)/1000000</f>
        <v>26857.52</v>
      </c>
      <c r="E10" s="174" cm="1">
        <f t="array" aca="1" ref="E10" ca="1">_FV(E8,"Market cap",TRUE)/1000000</f>
        <v>38554.089999999997</v>
      </c>
      <c r="F10" s="174" cm="1">
        <f t="array" aca="1" ref="F10" ca="1">_FV(F8,"Market cap",TRUE)/1000000</f>
        <v>9961.89</v>
      </c>
      <c r="G10" s="174" cm="1">
        <f t="array" aca="1" ref="G10" ca="1">_FV(G8,"Market cap",TRUE)/1000000</f>
        <v>8881.5810000000001</v>
      </c>
      <c r="H10" s="805" cm="1">
        <f t="array" aca="1" ref="H10" ca="1">_FV(H8,"Market cap",TRUE)/1000000</f>
        <v>235565.7</v>
      </c>
      <c r="I10" s="558">
        <f ca="1">IFERROR(AVERAGE(C10:H10),"")</f>
        <v>58515.245166666668</v>
      </c>
      <c r="J10" s="607">
        <f ca="1">SQRT((C10-I10)^2)</f>
        <v>27244.555166666669</v>
      </c>
      <c r="L10" s="1167"/>
      <c r="M10" s="1162" t="s">
        <v>246</v>
      </c>
      <c r="N10" s="1163"/>
    </row>
    <row r="11" spans="2:14" ht="15" customHeight="1" thickBot="1">
      <c r="B11" s="528" t="s">
        <v>247</v>
      </c>
      <c r="C11" s="529">
        <f>C56</f>
        <v>26640</v>
      </c>
      <c r="D11" s="529">
        <f t="shared" ref="D11:H11" si="0">D56</f>
        <v>200942</v>
      </c>
      <c r="E11" s="529">
        <f t="shared" si="0"/>
        <v>111649.92</v>
      </c>
      <c r="F11" s="529">
        <f t="shared" si="0"/>
        <v>93570</v>
      </c>
      <c r="G11" s="529">
        <f t="shared" si="0"/>
        <v>122770</v>
      </c>
      <c r="H11" s="806">
        <f t="shared" si="0"/>
        <v>929980</v>
      </c>
      <c r="I11" s="559">
        <f t="shared" ref="I11:I40" si="1">IFERROR(AVERAGE(C11:H11),"")</f>
        <v>247591.98666666666</v>
      </c>
      <c r="J11" s="608">
        <f t="shared" ref="J11:J50" si="2">SQRT((C11-I11)^2)</f>
        <v>220951.98666666666</v>
      </c>
      <c r="L11" s="1167"/>
      <c r="M11" s="1162"/>
      <c r="N11" s="1163"/>
    </row>
    <row r="12" spans="2:14" ht="15" customHeight="1" thickBot="1">
      <c r="B12" s="192" t="s">
        <v>248</v>
      </c>
      <c r="C12" s="197"/>
      <c r="D12" s="197"/>
      <c r="E12" s="197"/>
      <c r="F12" s="197"/>
      <c r="G12" s="197"/>
      <c r="H12" s="197"/>
      <c r="I12" s="560" t="str">
        <f t="shared" si="1"/>
        <v/>
      </c>
      <c r="J12" s="609"/>
      <c r="L12" s="1161"/>
      <c r="M12" s="1162" t="s">
        <v>249</v>
      </c>
      <c r="N12" s="1163"/>
    </row>
    <row r="13" spans="2:14" ht="15" customHeight="1" thickBot="1">
      <c r="B13" s="191" t="s">
        <v>250</v>
      </c>
      <c r="C13" s="539">
        <f>C56/C55-1</f>
        <v>5.8523692656220483E-3</v>
      </c>
      <c r="D13" s="539">
        <f t="shared" ref="D13:H13" si="3">D56/D55-1</f>
        <v>5.7990396360726226E-2</v>
      </c>
      <c r="E13" s="539">
        <f t="shared" si="3"/>
        <v>7.1568956591492539E-2</v>
      </c>
      <c r="F13" s="539">
        <f t="shared" si="3"/>
        <v>9.2852137351086217E-2</v>
      </c>
      <c r="G13" s="539">
        <f t="shared" si="3"/>
        <v>6.424292859681513E-2</v>
      </c>
      <c r="H13" s="539">
        <f t="shared" si="3"/>
        <v>-1.510209268829954E-2</v>
      </c>
      <c r="I13" s="561">
        <f t="shared" si="1"/>
        <v>4.6234115912907103E-2</v>
      </c>
      <c r="J13" s="610">
        <f t="shared" si="2"/>
        <v>4.0381746647285055E-2</v>
      </c>
      <c r="L13" s="1161"/>
      <c r="M13" s="1162"/>
      <c r="N13" s="1163"/>
    </row>
    <row r="14" spans="2:14" ht="15" customHeight="1" thickBot="1">
      <c r="B14" s="530" t="s">
        <v>251</v>
      </c>
      <c r="C14" s="807">
        <f>C56/C54-1</f>
        <v>1.7376360511743405E-2</v>
      </c>
      <c r="D14" s="531">
        <f t="shared" ref="D14:H14" si="4">D56/D54-1</f>
        <v>0.14001883559700889</v>
      </c>
      <c r="E14" s="531">
        <f t="shared" si="4"/>
        <v>0.36998490377398285</v>
      </c>
      <c r="F14" s="531">
        <f t="shared" si="4"/>
        <v>7.6630997583707394E-2</v>
      </c>
      <c r="G14" s="531">
        <f t="shared" si="4"/>
        <v>0.11059849471703576</v>
      </c>
      <c r="H14" s="531">
        <f t="shared" si="4"/>
        <v>0.10261669610993196</v>
      </c>
      <c r="I14" s="562">
        <f t="shared" si="1"/>
        <v>0.13620438138223503</v>
      </c>
      <c r="J14" s="611">
        <f t="shared" si="2"/>
        <v>0.11882802087049163</v>
      </c>
      <c r="L14" s="1168"/>
      <c r="M14" s="1162" t="s">
        <v>252</v>
      </c>
      <c r="N14" s="1163"/>
    </row>
    <row r="15" spans="2:14" ht="15" customHeight="1" thickBot="1">
      <c r="B15" s="540" t="s">
        <v>127</v>
      </c>
      <c r="C15" s="541">
        <f>C59/C56</f>
        <v>0.17177177177177178</v>
      </c>
      <c r="D15" s="541">
        <f t="shared" ref="D15:H15" si="5">D59/D56</f>
        <v>0.17088513103283534</v>
      </c>
      <c r="E15" s="541">
        <f t="shared" si="5"/>
        <v>0.2293657711532619</v>
      </c>
      <c r="F15" s="541">
        <f t="shared" si="5"/>
        <v>0.14021588115849096</v>
      </c>
      <c r="G15" s="541">
        <f t="shared" si="5"/>
        <v>8.9557709538160793E-2</v>
      </c>
      <c r="H15" s="541">
        <f t="shared" si="5"/>
        <v>0.15121830577001655</v>
      </c>
      <c r="I15" s="562">
        <f>IFERROR(AVERAGE(C15:H15),"")</f>
        <v>0.15883576173742289</v>
      </c>
      <c r="J15" s="612">
        <f t="shared" si="2"/>
        <v>1.2936010034348883E-2</v>
      </c>
      <c r="L15" s="1169"/>
      <c r="M15" s="1170"/>
      <c r="N15" s="1171"/>
    </row>
    <row r="16" spans="2:14" ht="15" customHeight="1" thickBot="1">
      <c r="B16" s="530" t="s">
        <v>253</v>
      </c>
      <c r="C16" s="531">
        <f>C62/C56</f>
        <v>0.10716966966966968</v>
      </c>
      <c r="D16" s="531">
        <f t="shared" ref="D16:H16" si="6">D62/D56</f>
        <v>0.12908700022892178</v>
      </c>
      <c r="E16" s="531">
        <f t="shared" si="6"/>
        <v>1.6281874630989436E-2</v>
      </c>
      <c r="F16" s="531">
        <f t="shared" si="6"/>
        <v>9.1696056428342415E-2</v>
      </c>
      <c r="G16" s="531">
        <f t="shared" si="6"/>
        <v>5.5681355379978821E-2</v>
      </c>
      <c r="H16" s="531">
        <f t="shared" si="6"/>
        <v>0.12375534957741027</v>
      </c>
      <c r="I16" s="562">
        <f t="shared" si="1"/>
        <v>8.7278550985885398E-2</v>
      </c>
      <c r="J16" s="611">
        <f t="shared" si="2"/>
        <v>1.9891118683784278E-2</v>
      </c>
    </row>
    <row r="17" spans="1:10" ht="15" customHeight="1" thickBot="1">
      <c r="B17" s="540" t="s">
        <v>254</v>
      </c>
      <c r="C17" s="541">
        <f>C62/C74</f>
        <v>5.7875532130549363E-2</v>
      </c>
      <c r="D17" s="541">
        <f t="shared" ref="D17:H17" si="7">D62/D74</f>
        <v>0.24242056074766355</v>
      </c>
      <c r="E17" s="541">
        <f t="shared" si="7"/>
        <v>4.4348179081873371E-2</v>
      </c>
      <c r="F17" s="541">
        <f t="shared" si="7"/>
        <v>0.23423423423423423</v>
      </c>
      <c r="G17" s="541">
        <f t="shared" si="7"/>
        <v>7.7617430994742997E-2</v>
      </c>
      <c r="H17" s="541">
        <f t="shared" si="7"/>
        <v>0.31629428092450601</v>
      </c>
      <c r="I17" s="562">
        <f t="shared" si="1"/>
        <v>0.16213170301892824</v>
      </c>
      <c r="J17" s="612">
        <f t="shared" si="2"/>
        <v>0.10425617088837888</v>
      </c>
    </row>
    <row r="18" spans="1:10" ht="15" customHeight="1" thickBot="1">
      <c r="B18" s="528" t="s">
        <v>255</v>
      </c>
      <c r="C18" s="532">
        <f>(1+C61/(C59+C60))*C59/(C73+C74-C65)</f>
        <v>7.6996176581560868E-2</v>
      </c>
      <c r="D18" s="532">
        <f t="shared" ref="D18:H18" si="8">(1+D61/(D59+D60))*D59/(D73+D74-D65)</f>
        <v>0.17227076761858043</v>
      </c>
      <c r="E18" s="532">
        <f t="shared" si="8"/>
        <v>0.33251245732259094</v>
      </c>
      <c r="F18" s="532">
        <f t="shared" si="8"/>
        <v>0.17851039175166633</v>
      </c>
      <c r="G18" s="532">
        <f t="shared" si="8"/>
        <v>7.1278492633837509E-2</v>
      </c>
      <c r="H18" s="532">
        <f t="shared" si="8"/>
        <v>0.17599857179474551</v>
      </c>
      <c r="I18" s="563">
        <f t="shared" si="1"/>
        <v>0.16792780961716358</v>
      </c>
      <c r="J18" s="613">
        <f t="shared" si="2"/>
        <v>9.0931633035602713E-2</v>
      </c>
    </row>
    <row r="19" spans="1:10" ht="15" customHeight="1" thickBot="1">
      <c r="B19" s="192" t="s">
        <v>256</v>
      </c>
      <c r="C19" s="197"/>
      <c r="D19" s="197"/>
      <c r="E19" s="197"/>
      <c r="F19" s="197"/>
      <c r="G19" s="197"/>
      <c r="H19" s="197"/>
      <c r="I19" s="564" t="str">
        <f t="shared" si="1"/>
        <v/>
      </c>
      <c r="J19" s="609"/>
    </row>
    <row r="20" spans="1:10" ht="15" customHeight="1" thickBot="1">
      <c r="B20" s="191" t="s">
        <v>73</v>
      </c>
      <c r="C20" s="542">
        <f>C73/C70</f>
        <v>0.22174254751546951</v>
      </c>
      <c r="D20" s="542">
        <f t="shared" ref="D20:H20" si="9">D73/D70</f>
        <v>0.37117866442831388</v>
      </c>
      <c r="E20" s="542">
        <f t="shared" si="9"/>
        <v>0.37884015018936668</v>
      </c>
      <c r="F20" s="542">
        <f t="shared" si="9"/>
        <v>0.38887045944601095</v>
      </c>
      <c r="G20" s="542">
        <f t="shared" si="9"/>
        <v>0.38985425754786285</v>
      </c>
      <c r="H20" s="542">
        <f t="shared" si="9"/>
        <v>0.43651521137890165</v>
      </c>
      <c r="I20" s="565">
        <f>IFERROR(AVERAGE(C20:H20),"")</f>
        <v>0.3645002150843209</v>
      </c>
      <c r="J20" s="614">
        <f t="shared" si="2"/>
        <v>0.14275766756885139</v>
      </c>
    </row>
    <row r="21" spans="1:10" ht="15" customHeight="1" thickBot="1">
      <c r="B21" s="530" t="s">
        <v>257</v>
      </c>
      <c r="C21" s="533">
        <f>(C73-C65)/C58</f>
        <v>3.3814882032667875</v>
      </c>
      <c r="D21" s="534">
        <f t="shared" ref="D21:H21" si="10">(D73-D65)/D58</f>
        <v>2.7858255451713396</v>
      </c>
      <c r="E21" s="534">
        <f t="shared" si="10"/>
        <v>1.4673857819959399</v>
      </c>
      <c r="F21" s="534">
        <f t="shared" si="10"/>
        <v>2.6423957721667644</v>
      </c>
      <c r="G21" s="534">
        <f t="shared" si="10"/>
        <v>5.9162318235580607</v>
      </c>
      <c r="H21" s="534">
        <f t="shared" si="10"/>
        <v>2.8322287126488428</v>
      </c>
      <c r="I21" s="565">
        <f t="shared" si="1"/>
        <v>3.1709259731346222</v>
      </c>
      <c r="J21" s="615">
        <f t="shared" si="2"/>
        <v>0.21056223013216524</v>
      </c>
    </row>
    <row r="22" spans="1:10" ht="15" customHeight="1" thickBot="1">
      <c r="B22" s="543" t="s">
        <v>258</v>
      </c>
      <c r="C22" s="809">
        <f t="shared" ref="C22:H22" si="11">-C58/C60</f>
        <v>-6.07497243660419</v>
      </c>
      <c r="D22" s="555">
        <f t="shared" si="11"/>
        <v>-1.2674414902085656</v>
      </c>
      <c r="E22" s="555">
        <f t="shared" si="11"/>
        <v>-1.2887096061263505</v>
      </c>
      <c r="F22" s="555">
        <f t="shared" si="11"/>
        <v>-1.5097517730496455</v>
      </c>
      <c r="G22" s="555">
        <f t="shared" si="11"/>
        <v>-2.0833454123786055</v>
      </c>
      <c r="H22" s="555">
        <f t="shared" si="11"/>
        <v>-1.4015586869243486</v>
      </c>
      <c r="I22" s="566">
        <f t="shared" si="1"/>
        <v>-2.2709632342152841</v>
      </c>
      <c r="J22" s="616">
        <f t="shared" si="2"/>
        <v>3.8040092023889058</v>
      </c>
    </row>
    <row r="23" spans="1:10" ht="15" customHeight="1" thickBot="1">
      <c r="B23" s="192" t="s">
        <v>259</v>
      </c>
      <c r="C23" s="197"/>
      <c r="D23" s="197"/>
      <c r="E23" s="197"/>
      <c r="F23" s="197"/>
      <c r="G23" s="197"/>
      <c r="H23" s="197"/>
      <c r="I23" s="567"/>
      <c r="J23" s="609"/>
    </row>
    <row r="24" spans="1:10" ht="15" customHeight="1" thickBot="1">
      <c r="B24" s="535" t="s">
        <v>260</v>
      </c>
      <c r="C24" s="810">
        <f>C68/C72</f>
        <v>0.98656215005599102</v>
      </c>
      <c r="D24" s="536">
        <f t="shared" ref="D24:H24" si="12">D68/D72</f>
        <v>0.68691694202263887</v>
      </c>
      <c r="E24" s="536">
        <f t="shared" si="12"/>
        <v>0.96800607109806291</v>
      </c>
      <c r="F24" s="536">
        <f t="shared" si="12"/>
        <v>0.92754275427542754</v>
      </c>
      <c r="G24" s="536">
        <f t="shared" si="12"/>
        <v>0.76226721012452991</v>
      </c>
      <c r="H24" s="536">
        <f t="shared" si="12"/>
        <v>0.83208391759249267</v>
      </c>
      <c r="I24" s="568">
        <f t="shared" si="1"/>
        <v>0.86056317419485717</v>
      </c>
      <c r="J24" s="617">
        <f t="shared" si="2"/>
        <v>0.12599897586113384</v>
      </c>
    </row>
    <row r="25" spans="1:10" ht="15" customHeight="1" thickBot="1">
      <c r="B25" s="543" t="s">
        <v>261</v>
      </c>
      <c r="C25" s="544">
        <f>(C65+C66)/C72</f>
        <v>0.43697897225332838</v>
      </c>
      <c r="D25" s="544">
        <f t="shared" ref="D25:H25" si="13">(D65+D66)/D72</f>
        <v>0.30106028637021115</v>
      </c>
      <c r="E25" s="544">
        <f t="shared" si="13"/>
        <v>0.40737220910319005</v>
      </c>
      <c r="F25" s="544">
        <f t="shared" si="13"/>
        <v>0.32313231323132313</v>
      </c>
      <c r="G25" s="544">
        <f t="shared" si="13"/>
        <v>0.23854347287589794</v>
      </c>
      <c r="H25" s="544">
        <f t="shared" si="13"/>
        <v>0.42635638011002047</v>
      </c>
      <c r="I25" s="566">
        <f t="shared" si="1"/>
        <v>0.35557393899066181</v>
      </c>
      <c r="J25" s="618">
        <f t="shared" si="2"/>
        <v>8.1405033262666571E-2</v>
      </c>
    </row>
    <row r="26" spans="1:10" ht="15" customHeight="1" thickBot="1">
      <c r="B26" s="192" t="s">
        <v>262</v>
      </c>
      <c r="C26" s="197"/>
      <c r="D26" s="197"/>
      <c r="E26" s="197"/>
      <c r="F26" s="197"/>
      <c r="G26" s="197"/>
      <c r="H26" s="197"/>
      <c r="I26" s="567" t="str">
        <f t="shared" si="1"/>
        <v/>
      </c>
      <c r="J26" s="609"/>
    </row>
    <row r="27" spans="1:10" ht="15" customHeight="1" thickBot="1">
      <c r="B27" s="535" t="s">
        <v>263</v>
      </c>
      <c r="C27" s="545">
        <f>C57/C67</f>
        <v>4.885722191477587</v>
      </c>
      <c r="D27" s="536">
        <f t="shared" ref="D27:H27" si="14">D57/D67</f>
        <v>6.2377532228360959</v>
      </c>
      <c r="E27" s="536">
        <f t="shared" si="14"/>
        <v>4.5989518238682301</v>
      </c>
      <c r="F27" s="536">
        <f t="shared" si="14"/>
        <v>4.9883810999225409</v>
      </c>
      <c r="G27" s="536">
        <f t="shared" si="14"/>
        <v>4.0377240143369173</v>
      </c>
      <c r="H27" s="536">
        <f t="shared" si="14"/>
        <v>4.2306657700067252</v>
      </c>
      <c r="I27" s="568">
        <f t="shared" si="1"/>
        <v>4.8298663537413491</v>
      </c>
      <c r="J27" s="617">
        <f t="shared" si="2"/>
        <v>5.5855837736237923E-2</v>
      </c>
    </row>
    <row r="28" spans="1:10" ht="15" customHeight="1" thickBot="1">
      <c r="B28" s="540" t="s">
        <v>264</v>
      </c>
      <c r="C28" s="544">
        <f>C56/C66</f>
        <v>12.613636363636363</v>
      </c>
      <c r="D28" s="544">
        <f t="shared" ref="D28:H28" si="15">D56/D66</f>
        <v>11.938094106463879</v>
      </c>
      <c r="E28" s="544">
        <f>E56/E66</f>
        <v>13.556048503127061</v>
      </c>
      <c r="F28" s="544">
        <f t="shared" si="15"/>
        <v>17.688090737240074</v>
      </c>
      <c r="G28" s="544">
        <f>G56/G66</f>
        <v>12.717008493888544</v>
      </c>
      <c r="H28" s="544">
        <f t="shared" si="15"/>
        <v>8.4582082764893141</v>
      </c>
      <c r="I28" s="565">
        <f t="shared" si="1"/>
        <v>12.828514413474208</v>
      </c>
      <c r="J28" s="618">
        <f t="shared" si="2"/>
        <v>0.21487804983784464</v>
      </c>
    </row>
    <row r="29" spans="1:10" ht="15" customHeight="1" thickBot="1">
      <c r="A29" s="11" t="s">
        <v>265</v>
      </c>
      <c r="B29" s="530" t="s">
        <v>266</v>
      </c>
      <c r="C29" s="537">
        <f>C57/C71</f>
        <v>3.8160795331748432</v>
      </c>
      <c r="D29" s="534">
        <f t="shared" ref="D29:H29" si="16">D57/D71</f>
        <v>3.2302703733727527</v>
      </c>
      <c r="E29" s="534">
        <f t="shared" si="16"/>
        <v>5.6778424998365837</v>
      </c>
      <c r="F29" s="534">
        <f t="shared" si="16"/>
        <v>4.9310872894333846</v>
      </c>
      <c r="G29" s="534">
        <f t="shared" si="16"/>
        <v>5.8926376356741201</v>
      </c>
      <c r="H29" s="534">
        <f t="shared" si="16"/>
        <v>2.6207040199958342</v>
      </c>
      <c r="I29" s="565">
        <f t="shared" si="1"/>
        <v>4.3614368919145869</v>
      </c>
      <c r="J29" s="615">
        <f t="shared" si="2"/>
        <v>0.54535735873974378</v>
      </c>
    </row>
    <row r="30" spans="1:10" ht="15" customHeight="1" thickBot="1">
      <c r="B30" s="540" t="s">
        <v>267</v>
      </c>
      <c r="C30" s="544">
        <f>C56/C69</f>
        <v>3.4615384615384617</v>
      </c>
      <c r="D30" s="544">
        <f t="shared" ref="D30:H30" si="17">D56/D69</f>
        <v>5.5261536769154613</v>
      </c>
      <c r="E30" s="544">
        <f t="shared" si="17"/>
        <v>3.3734375368238241</v>
      </c>
      <c r="F30" s="544">
        <f t="shared" si="17"/>
        <v>3.9020016680567138</v>
      </c>
      <c r="G30" s="544">
        <f t="shared" si="17"/>
        <v>1.9830078661304129</v>
      </c>
      <c r="H30" s="544">
        <f t="shared" si="17"/>
        <v>3.0524173696130239</v>
      </c>
      <c r="I30" s="565">
        <f t="shared" si="1"/>
        <v>3.5497594298463166</v>
      </c>
      <c r="J30" s="618">
        <f t="shared" si="2"/>
        <v>8.8220968307854974E-2</v>
      </c>
    </row>
    <row r="31" spans="1:10" ht="15" customHeight="1" thickBot="1">
      <c r="B31" s="528" t="s">
        <v>268</v>
      </c>
      <c r="C31" s="808">
        <f>C56/C70</f>
        <v>0.29488925048982167</v>
      </c>
      <c r="D31" s="546">
        <f t="shared" ref="D31:H31" si="18">D56/D70</f>
        <v>0.63889074358460751</v>
      </c>
      <c r="E31" s="546">
        <f t="shared" si="18"/>
        <v>0.93807373037952058</v>
      </c>
      <c r="F31" s="546">
        <f t="shared" si="18"/>
        <v>0.77599933654005637</v>
      </c>
      <c r="G31" s="546">
        <f t="shared" si="18"/>
        <v>0.55671440102300862</v>
      </c>
      <c r="H31" s="546">
        <f t="shared" si="18"/>
        <v>0.73487159225602527</v>
      </c>
      <c r="I31" s="565">
        <f t="shared" si="1"/>
        <v>0.65657317571217322</v>
      </c>
      <c r="J31" s="619">
        <f t="shared" si="2"/>
        <v>0.36168392522235154</v>
      </c>
    </row>
    <row r="32" spans="1:10" ht="15" customHeight="1" thickBot="1">
      <c r="B32" s="193" t="s">
        <v>114</v>
      </c>
      <c r="C32" s="197"/>
      <c r="D32" s="197"/>
      <c r="E32" s="197"/>
      <c r="F32" s="197"/>
      <c r="G32" s="197"/>
      <c r="H32" s="197"/>
      <c r="I32" s="569" t="str">
        <f t="shared" si="1"/>
        <v/>
      </c>
      <c r="J32" s="609"/>
    </row>
    <row r="33" spans="2:11" ht="15" customHeight="1" thickBot="1">
      <c r="B33" s="191" t="s">
        <v>269</v>
      </c>
      <c r="C33" s="811">
        <f ca="1">C10/C62</f>
        <v>10.952956217162871</v>
      </c>
      <c r="D33" s="799">
        <f ca="1">D10/D62</f>
        <v>1.0354107714252669</v>
      </c>
      <c r="E33" s="554">
        <f t="shared" ref="E33:H33" ca="1" si="19">E10/E62</f>
        <v>21.208386738325622</v>
      </c>
      <c r="F33" s="554">
        <f t="shared" ca="1" si="19"/>
        <v>1.1610594405594405</v>
      </c>
      <c r="G33" s="554">
        <f t="shared" ca="1" si="19"/>
        <v>1.2992365418373317</v>
      </c>
      <c r="H33" s="554">
        <f t="shared" ca="1" si="19"/>
        <v>2.0467955513076723</v>
      </c>
      <c r="I33" s="568">
        <f t="shared" ca="1" si="1"/>
        <v>6.2839742101030351</v>
      </c>
      <c r="J33" s="620">
        <f t="shared" ca="1" si="2"/>
        <v>4.668982007059836</v>
      </c>
    </row>
    <row r="34" spans="2:11" ht="15" customHeight="1" thickBot="1">
      <c r="B34" s="530" t="s">
        <v>265</v>
      </c>
      <c r="C34" s="812">
        <f ca="1">C10/C56</f>
        <v>1.1738246996996997</v>
      </c>
      <c r="D34" s="800">
        <f t="shared" ref="D34:H34" ca="1" si="20">D10/D56</f>
        <v>0.13365807048800152</v>
      </c>
      <c r="E34" s="538">
        <f t="shared" ca="1" si="20"/>
        <v>0.34531229399895669</v>
      </c>
      <c r="F34" s="538">
        <f t="shared" ca="1" si="20"/>
        <v>0.10646457197819813</v>
      </c>
      <c r="G34" s="538">
        <f t="shared" ca="1" si="20"/>
        <v>7.2343251608699199E-2</v>
      </c>
      <c r="H34" s="538">
        <f t="shared" ca="1" si="20"/>
        <v>0.25330189896556915</v>
      </c>
      <c r="I34" s="565">
        <f t="shared" ca="1" si="1"/>
        <v>0.34748413112318738</v>
      </c>
      <c r="J34" s="621">
        <f t="shared" ca="1" si="2"/>
        <v>0.82634056857651239</v>
      </c>
    </row>
    <row r="35" spans="2:11" ht="15" customHeight="1" thickBot="1">
      <c r="B35" s="540" t="s">
        <v>270</v>
      </c>
      <c r="C35" s="556">
        <f ca="1">C10/C74</f>
        <v>0.63390816947091022</v>
      </c>
      <c r="D35" s="801">
        <f t="shared" ref="D35:H35" ca="1" si="21">D10/D74</f>
        <v>0.25100485981308412</v>
      </c>
      <c r="E35" s="556">
        <f t="shared" ca="1" si="21"/>
        <v>0.940553333108893</v>
      </c>
      <c r="F35" s="556">
        <f t="shared" ca="1" si="21"/>
        <v>0.27195986895986896</v>
      </c>
      <c r="G35" s="556">
        <f t="shared" ca="1" si="21"/>
        <v>0.10084340263190762</v>
      </c>
      <c r="H35" s="556">
        <f t="shared" ca="1" si="21"/>
        <v>0.64738972710033804</v>
      </c>
      <c r="I35" s="565">
        <f t="shared" ca="1" si="1"/>
        <v>0.47427656018083364</v>
      </c>
      <c r="J35" s="622">
        <f t="shared" ca="1" si="2"/>
        <v>0.15963160929007658</v>
      </c>
    </row>
    <row r="36" spans="2:11" ht="15" customHeight="1" thickBot="1">
      <c r="B36" s="530" t="s">
        <v>271</v>
      </c>
      <c r="C36" s="812">
        <f ca="1">(C73+C10-C65)/C56</f>
        <v>1.8732240990990991</v>
      </c>
      <c r="D36" s="800">
        <f t="shared" ref="D36:G36" ca="1" si="22">(D73+D10-D65)/D56</f>
        <v>0.68549392361975092</v>
      </c>
      <c r="E36" s="538">
        <f t="shared" ca="1" si="22"/>
        <v>0.71316468475749906</v>
      </c>
      <c r="F36" s="538">
        <f t="shared" ca="1" si="22"/>
        <v>0.58738794485411994</v>
      </c>
      <c r="G36" s="538">
        <f t="shared" ca="1" si="22"/>
        <v>0.76497174391137901</v>
      </c>
      <c r="H36" s="538">
        <f ca="1">(H73+H10-H65)/H56</f>
        <v>0.79551786059915264</v>
      </c>
      <c r="I36" s="565">
        <f t="shared" ca="1" si="1"/>
        <v>0.90329337614016669</v>
      </c>
      <c r="J36" s="621">
        <f t="shared" ca="1" si="2"/>
        <v>0.96993072295893246</v>
      </c>
    </row>
    <row r="37" spans="2:11" ht="15" customHeight="1" thickBot="1">
      <c r="B37" s="543" t="s">
        <v>272</v>
      </c>
      <c r="C37" s="813">
        <f ca="1">(C73+C10-C65)/C58</f>
        <v>9.0567495462794927</v>
      </c>
      <c r="D37" s="802">
        <f t="shared" ref="D37:H37" ca="1" si="23">(D73+D10-D65)/D58</f>
        <v>3.460569791980705</v>
      </c>
      <c r="E37" s="553">
        <f t="shared" ca="1" si="23"/>
        <v>2.8448577334969207</v>
      </c>
      <c r="F37" s="553">
        <f t="shared" ca="1" si="23"/>
        <v>3.2273570170287726</v>
      </c>
      <c r="G37" s="553">
        <f t="shared" ca="1" si="23"/>
        <v>6.5341669101788078</v>
      </c>
      <c r="H37" s="553">
        <f t="shared" ca="1" si="23"/>
        <v>4.1553341945630189</v>
      </c>
      <c r="I37" s="566">
        <f t="shared" ca="1" si="1"/>
        <v>4.8798391989212861</v>
      </c>
      <c r="J37" s="623">
        <f t="shared" ca="1" si="2"/>
        <v>4.1769103473582065</v>
      </c>
    </row>
    <row r="38" spans="2:11" ht="15" customHeight="1" thickBot="1">
      <c r="B38" s="193" t="s">
        <v>273</v>
      </c>
      <c r="C38" s="197"/>
      <c r="D38" s="197"/>
      <c r="E38" s="197"/>
      <c r="F38" s="197"/>
      <c r="G38" s="197"/>
      <c r="H38" s="197"/>
      <c r="I38" s="570" t="str">
        <f t="shared" si="1"/>
        <v/>
      </c>
      <c r="J38" s="609"/>
    </row>
    <row r="39" spans="2:11" ht="15" customHeight="1" thickBot="1">
      <c r="B39" s="191" t="s">
        <v>49</v>
      </c>
      <c r="C39" s="557">
        <f ca="1">OP!M20</f>
        <v>0.74701820464532331</v>
      </c>
      <c r="D39" s="557">
        <f>562.21/564.55</f>
        <v>0.99585510583650705</v>
      </c>
      <c r="E39" s="557">
        <f>144.86/147.62</f>
        <v>0.98130334643002315</v>
      </c>
      <c r="F39" s="557">
        <f>190.6/298.1</f>
        <v>0.63938275746393824</v>
      </c>
      <c r="G39" s="557">
        <f>475.25/478.06</f>
        <v>0.99412207672677066</v>
      </c>
      <c r="H39" s="557">
        <f>2.62/2.62</f>
        <v>1</v>
      </c>
      <c r="I39" s="561">
        <f t="shared" ca="1" si="1"/>
        <v>0.89294691518376046</v>
      </c>
      <c r="J39" s="624">
        <f t="shared" ca="1" si="2"/>
        <v>0.14592871053843715</v>
      </c>
    </row>
    <row r="40" spans="2:11" ht="15" customHeight="1" thickBot="1">
      <c r="B40" s="547" t="s">
        <v>274</v>
      </c>
      <c r="C40" s="548">
        <f>OP!M22</f>
        <v>0.52</v>
      </c>
      <c r="D40" s="548">
        <v>0.14000000000000001</v>
      </c>
      <c r="E40" s="548">
        <v>0.33</v>
      </c>
      <c r="F40" s="548">
        <v>0.23</v>
      </c>
      <c r="G40" s="548">
        <v>0.39</v>
      </c>
      <c r="H40" s="548">
        <v>0.28999999999999998</v>
      </c>
      <c r="I40" s="571">
        <f t="shared" si="1"/>
        <v>0.31666666666666665</v>
      </c>
      <c r="J40" s="625">
        <f t="shared" si="2"/>
        <v>0.20333333333333337</v>
      </c>
    </row>
    <row r="41" spans="2:11" ht="15" customHeight="1" thickBot="1">
      <c r="B41" s="543" t="s">
        <v>275</v>
      </c>
      <c r="C41" s="551">
        <f ca="1">OP!M32</f>
        <v>6.2838404836789624E-2</v>
      </c>
      <c r="D41" s="552">
        <v>3.3799999999999997E-2</v>
      </c>
      <c r="E41" s="552">
        <v>2.7699999999999999E-2</v>
      </c>
      <c r="F41" s="552">
        <v>3.2800000000000003E-2</v>
      </c>
      <c r="G41" s="552">
        <v>4.5600000000000002E-2</v>
      </c>
      <c r="H41" s="552">
        <v>3.3700000000000001E-2</v>
      </c>
      <c r="I41" s="562">
        <f ca="1">IFERROR(AVERAGE(C41:H41),"")</f>
        <v>3.9406400806131607E-2</v>
      </c>
      <c r="J41" s="626">
        <f t="shared" ca="1" si="2"/>
        <v>2.3432004030658017E-2</v>
      </c>
    </row>
    <row r="42" spans="2:11" ht="15" customHeight="1" thickBot="1">
      <c r="B42" s="193" t="s">
        <v>276</v>
      </c>
      <c r="C42" s="197"/>
      <c r="D42" s="197"/>
      <c r="E42" s="197"/>
      <c r="F42" s="197"/>
      <c r="G42" s="197"/>
      <c r="H42" s="197"/>
      <c r="I42" s="572"/>
      <c r="J42" s="609"/>
    </row>
    <row r="43" spans="2:11" ht="15" customHeight="1" thickBot="1">
      <c r="B43" s="195" t="s">
        <v>277</v>
      </c>
      <c r="C43" s="814">
        <f ca="1">(39.26/C45)-1</f>
        <v>0.48599545798637389</v>
      </c>
      <c r="D43" s="696">
        <f ca="1">(86.52/D45)-1</f>
        <v>0.71837140019860968</v>
      </c>
      <c r="E43" s="696">
        <f ca="1">(267.96/E45)-1</f>
        <v>0.40898096540119866</v>
      </c>
      <c r="F43" s="696">
        <f ca="1">(52.78/F45)-1</f>
        <v>0.57882141788812458</v>
      </c>
      <c r="G43" s="696">
        <f ca="1">(36.08/G45)-1</f>
        <v>0.94606256742179062</v>
      </c>
      <c r="H43" s="696">
        <f ca="1">(126.34/H45)-1</f>
        <v>0.38485147429573607</v>
      </c>
      <c r="I43" s="561">
        <f ca="1">IFERROR(AVERAGE(C43:H43),"")</f>
        <v>0.58718054719863899</v>
      </c>
      <c r="J43" s="600">
        <f t="shared" ca="1" si="2"/>
        <v>0.1011850892122651</v>
      </c>
    </row>
    <row r="44" spans="2:11" ht="15" customHeight="1" thickBot="1">
      <c r="B44" s="530" t="s">
        <v>278</v>
      </c>
      <c r="C44" s="697">
        <f ca="1">(38.24/C45)-1</f>
        <v>0.44738834216502643</v>
      </c>
      <c r="D44" s="697">
        <f ca="1">(58.16/D45)-1</f>
        <v>0.15511420059582903</v>
      </c>
      <c r="E44" s="697">
        <f ca="1">(160.45/E45)-1</f>
        <v>-0.15632558628667592</v>
      </c>
      <c r="F44" s="697">
        <f ca="1">(45.54/F45)-1</f>
        <v>0.36224947651809747</v>
      </c>
      <c r="G44" s="697">
        <f ca="1">(33.93/G45)-1</f>
        <v>0.83009708737864085</v>
      </c>
      <c r="H44" s="697">
        <f ca="1">(111.25/H45)-1</f>
        <v>0.21944535788665998</v>
      </c>
      <c r="I44" s="561">
        <f t="shared" ref="I44:I47" ca="1" si="24">IFERROR(AVERAGE(C44:H44),"")</f>
        <v>0.30966147970959629</v>
      </c>
      <c r="J44" s="627">
        <f t="shared" ca="1" si="2"/>
        <v>0.13772686245543014</v>
      </c>
    </row>
    <row r="45" spans="2:11" ht="15" customHeight="1" thickBot="1">
      <c r="B45" s="196" t="s">
        <v>279</v>
      </c>
      <c r="C45" s="728" cm="1">
        <f t="array" aca="1" ref="C45" ca="1">_FV(C8,"Price")</f>
        <v>26.42</v>
      </c>
      <c r="D45" s="728" cm="1">
        <f t="array" aca="1" ref="D45" ca="1">_FV(D8,"Price")</f>
        <v>50.35</v>
      </c>
      <c r="E45" s="728" cm="1">
        <f t="array" aca="1" ref="E45" ca="1">_FV(E8,"Price")</f>
        <v>190.18</v>
      </c>
      <c r="F45" s="728" cm="1">
        <f t="array" aca="1" ref="F45" ca="1">_FV(F8,"Price")</f>
        <v>33.43</v>
      </c>
      <c r="G45" s="728" cm="1">
        <f t="array" aca="1" ref="G45" ca="1">_FV(G8,"Price")</f>
        <v>18.54</v>
      </c>
      <c r="H45" s="728" cm="1">
        <f t="array" aca="1" ref="H45" ca="1">_FV(H8,"Price")</f>
        <v>91.23</v>
      </c>
      <c r="I45" s="804">
        <f t="shared" ca="1" si="24"/>
        <v>68.358333333333348</v>
      </c>
      <c r="J45" s="628">
        <f t="shared" ca="1" si="2"/>
        <v>41.938333333333347</v>
      </c>
    </row>
    <row r="46" spans="2:11" ht="15" customHeight="1" thickBot="1">
      <c r="B46" s="530" t="s">
        <v>280</v>
      </c>
      <c r="C46" s="906">
        <v>39.42</v>
      </c>
      <c r="D46" s="906">
        <v>71.08</v>
      </c>
      <c r="E46" s="906">
        <v>207.38</v>
      </c>
      <c r="F46" s="906">
        <v>45.82</v>
      </c>
      <c r="G46" s="906">
        <v>31.63</v>
      </c>
      <c r="H46" s="906">
        <v>130.58000000000001</v>
      </c>
      <c r="I46" s="804">
        <f t="shared" si="24"/>
        <v>87.651666666666657</v>
      </c>
      <c r="J46" s="629">
        <f t="shared" si="2"/>
        <v>48.231666666666655</v>
      </c>
    </row>
    <row r="47" spans="2:11" ht="15" customHeight="1" thickBot="1">
      <c r="B47" s="549" t="s">
        <v>281</v>
      </c>
      <c r="C47" s="550">
        <f ca="1">C46/C45-1</f>
        <v>0.49205147615442835</v>
      </c>
      <c r="D47" s="550">
        <f t="shared" ref="D47:H47" ca="1" si="25">D46/D45-1</f>
        <v>0.41171797418073486</v>
      </c>
      <c r="E47" s="550">
        <f t="shared" ca="1" si="25"/>
        <v>9.0440635187716945E-2</v>
      </c>
      <c r="F47" s="550">
        <f t="shared" ca="1" si="25"/>
        <v>0.37062518695782232</v>
      </c>
      <c r="G47" s="550">
        <f t="shared" ca="1" si="25"/>
        <v>0.7060409924487594</v>
      </c>
      <c r="H47" s="550">
        <f t="shared" ca="1" si="25"/>
        <v>0.4313274142277761</v>
      </c>
      <c r="I47" s="573">
        <f t="shared" ca="1" si="24"/>
        <v>0.41703394652620629</v>
      </c>
      <c r="J47" s="630">
        <f t="shared" ca="1" si="2"/>
        <v>7.5017529628222057E-2</v>
      </c>
    </row>
    <row r="48" spans="2:11" ht="15" customHeight="1" thickBot="1">
      <c r="B48" s="193" t="s">
        <v>282</v>
      </c>
      <c r="C48" s="193"/>
      <c r="D48" s="193"/>
      <c r="E48" s="193"/>
      <c r="F48" s="193"/>
      <c r="G48" s="193"/>
      <c r="H48" s="193"/>
      <c r="I48" s="193" t="str">
        <f>IFERROR(AVERAGE(C48:H48),"")</f>
        <v/>
      </c>
      <c r="J48" s="599"/>
      <c r="K48" s="604"/>
    </row>
    <row r="49" spans="2:15" ht="15" customHeight="1" thickBot="1">
      <c r="B49" s="195" t="s">
        <v>283</v>
      </c>
      <c r="C49" s="815">
        <f>(Inputs!B59-Inputs!E59)/Inputs!E59</f>
        <v>-0.19334550618786772</v>
      </c>
      <c r="D49" s="444">
        <f>(D56/D54)-1</f>
        <v>0.14001883559700889</v>
      </c>
      <c r="E49" s="444">
        <f t="shared" ref="E49:G49" si="26">(E56/E54)-1</f>
        <v>0.36998490377398285</v>
      </c>
      <c r="F49" s="444">
        <f t="shared" si="26"/>
        <v>7.6630997583707394E-2</v>
      </c>
      <c r="G49" s="444">
        <f t="shared" si="26"/>
        <v>0.11059849471703576</v>
      </c>
      <c r="H49" s="444">
        <f>(H56/H54)-1</f>
        <v>0.10261669610993196</v>
      </c>
      <c r="I49" s="573">
        <f>IFERROR(AVERAGE(C49:H49),"")</f>
        <v>0.10108407026563319</v>
      </c>
      <c r="J49" s="600">
        <f t="shared" si="2"/>
        <v>0.29442957645350093</v>
      </c>
      <c r="K49" s="444"/>
    </row>
    <row r="50" spans="2:15" ht="15" customHeight="1" thickBot="1">
      <c r="B50" s="601" t="s">
        <v>284</v>
      </c>
      <c r="C50" s="602">
        <f t="shared" ref="C50:H50" si="27">C63/C11</f>
        <v>5.518018018018018E-3</v>
      </c>
      <c r="D50" s="602">
        <f t="shared" si="27"/>
        <v>1.2819619591722984E-2</v>
      </c>
      <c r="E50" s="602">
        <f t="shared" si="27"/>
        <v>4.4809705192802645E-3</v>
      </c>
      <c r="F50" s="602">
        <f t="shared" si="27"/>
        <v>9.832211178796622E-3</v>
      </c>
      <c r="G50" s="602">
        <f t="shared" si="27"/>
        <v>4.6998452390649183E-3</v>
      </c>
      <c r="H50" s="602">
        <f t="shared" si="27"/>
        <v>1.7806834555581842E-2</v>
      </c>
      <c r="I50" s="573">
        <f>IFERROR(AVERAGE(C50:H50),"")</f>
        <v>9.1929165170774405E-3</v>
      </c>
      <c r="J50" s="603">
        <f t="shared" si="2"/>
        <v>3.6748984990594225E-3</v>
      </c>
      <c r="K50" s="605"/>
    </row>
    <row r="51" spans="2:15" ht="15" customHeight="1" thickBot="1"/>
    <row r="52" spans="2:15" ht="40.15" customHeight="1" thickBot="1">
      <c r="B52" s="519" t="s">
        <v>285</v>
      </c>
      <c r="C52" s="518" t="e" vm="1">
        <f>OP!E2</f>
        <v>#VALUE!</v>
      </c>
      <c r="D52" s="384" t="e" vm="4">
        <f>D8</f>
        <v>#VALUE!</v>
      </c>
      <c r="E52" s="385" t="e" vm="5">
        <f>E8</f>
        <v>#VALUE!</v>
      </c>
      <c r="F52" s="386" t="e" vm="6">
        <f>F8</f>
        <v>#VALUE!</v>
      </c>
      <c r="G52" s="387" t="e" vm="7">
        <f>G8</f>
        <v>#VALUE!</v>
      </c>
      <c r="H52" s="667" t="e" vm="8">
        <f>H8</f>
        <v>#VALUE!</v>
      </c>
    </row>
    <row r="53" spans="2:15" ht="15" customHeight="1" thickBot="1">
      <c r="B53" s="185" t="s">
        <v>286</v>
      </c>
      <c r="C53" s="186"/>
      <c r="D53" s="186"/>
      <c r="E53" s="186"/>
      <c r="F53" s="186"/>
      <c r="G53" s="186"/>
      <c r="H53" s="187"/>
    </row>
    <row r="54" spans="2:15" ht="15" customHeight="1" thickBot="1">
      <c r="B54" s="180" t="s">
        <v>287</v>
      </c>
      <c r="C54" s="201">
        <f>'Fin. Data'!E5</f>
        <v>26185</v>
      </c>
      <c r="D54" s="175">
        <v>176262</v>
      </c>
      <c r="E54" s="175">
        <v>81497.19</v>
      </c>
      <c r="F54" s="175">
        <v>86910</v>
      </c>
      <c r="G54" s="175">
        <v>110544</v>
      </c>
      <c r="H54" s="183">
        <v>843430</v>
      </c>
      <c r="J54" s="803"/>
      <c r="K54" s="803"/>
      <c r="L54" s="803"/>
      <c r="M54" s="803"/>
      <c r="N54" s="803"/>
    </row>
    <row r="55" spans="2:15" ht="15" customHeight="1" thickBot="1">
      <c r="B55" s="180" t="s">
        <v>288</v>
      </c>
      <c r="C55" s="201">
        <f>'Fin. Data'!C5</f>
        <v>26485</v>
      </c>
      <c r="D55" s="175">
        <f>18992800/100</f>
        <v>189928</v>
      </c>
      <c r="E55" s="175">
        <v>104192.94</v>
      </c>
      <c r="F55" s="175">
        <v>85620</v>
      </c>
      <c r="G55" s="175">
        <v>115359</v>
      </c>
      <c r="H55" s="183">
        <v>944240</v>
      </c>
      <c r="J55" s="803"/>
      <c r="K55" s="803"/>
      <c r="L55" s="803"/>
      <c r="M55" s="803"/>
      <c r="N55" s="803"/>
    </row>
    <row r="56" spans="2:15" ht="15" customHeight="1" thickBot="1">
      <c r="B56" s="180" t="s">
        <v>247</v>
      </c>
      <c r="C56" s="201">
        <f>'Fin. Data'!B5</f>
        <v>26640</v>
      </c>
      <c r="D56" s="175">
        <v>200942</v>
      </c>
      <c r="E56" s="175">
        <v>111649.92</v>
      </c>
      <c r="F56" s="175">
        <v>93570</v>
      </c>
      <c r="G56" s="175">
        <v>122770</v>
      </c>
      <c r="H56" s="183">
        <v>929980</v>
      </c>
      <c r="J56" s="803"/>
      <c r="K56" s="803"/>
      <c r="L56" s="803"/>
      <c r="M56" s="803"/>
      <c r="N56" s="803"/>
      <c r="O56" s="803"/>
    </row>
    <row r="57" spans="2:15" ht="15" customHeight="1" thickBot="1">
      <c r="B57" s="180" t="s">
        <v>289</v>
      </c>
      <c r="C57" s="201">
        <f>'Fin. Data'!B5-'Fin. Data'!B7</f>
        <v>17657</v>
      </c>
      <c r="D57" s="175">
        <v>135484</v>
      </c>
      <c r="E57" s="175">
        <v>61671.76</v>
      </c>
      <c r="F57" s="175">
        <v>64400</v>
      </c>
      <c r="G57" s="175">
        <v>90122</v>
      </c>
      <c r="H57" s="183">
        <v>503280</v>
      </c>
      <c r="J57" s="803"/>
      <c r="K57" s="803"/>
      <c r="L57" s="803"/>
      <c r="M57" s="803"/>
      <c r="N57" s="803"/>
    </row>
    <row r="58" spans="2:15" ht="15" customHeight="1" thickBot="1">
      <c r="B58" s="180" t="s">
        <v>56</v>
      </c>
      <c r="C58" s="201">
        <f>'Fin. Data'!B19</f>
        <v>5510</v>
      </c>
      <c r="D58" s="175">
        <v>39804</v>
      </c>
      <c r="E58" s="175">
        <v>27989.02</v>
      </c>
      <c r="F58" s="175">
        <v>17030</v>
      </c>
      <c r="G58" s="175">
        <v>14373</v>
      </c>
      <c r="H58" s="183">
        <v>178040</v>
      </c>
      <c r="J58" s="803"/>
      <c r="K58" s="803"/>
      <c r="L58" s="803"/>
      <c r="M58" s="803"/>
      <c r="N58" s="803"/>
    </row>
    <row r="59" spans="2:15" ht="15" customHeight="1" thickBot="1">
      <c r="B59" s="180" t="s">
        <v>290</v>
      </c>
      <c r="C59" s="517">
        <f>'Fin. Data'!B11</f>
        <v>4576</v>
      </c>
      <c r="D59" s="175">
        <v>34338</v>
      </c>
      <c r="E59" s="175">
        <v>25608.67</v>
      </c>
      <c r="F59" s="175">
        <v>13120</v>
      </c>
      <c r="G59" s="175">
        <v>10995</v>
      </c>
      <c r="H59" s="183">
        <v>140630</v>
      </c>
      <c r="J59" s="803"/>
      <c r="K59" s="803"/>
      <c r="L59" s="803"/>
      <c r="M59" s="803"/>
      <c r="N59" s="803"/>
    </row>
    <row r="60" spans="2:15" ht="15" customHeight="1" thickBot="1">
      <c r="B60" s="180" t="s">
        <v>291</v>
      </c>
      <c r="C60" s="517">
        <f>'Fin. Data'!B14</f>
        <v>907</v>
      </c>
      <c r="D60" s="175">
        <v>31405</v>
      </c>
      <c r="E60" s="175">
        <v>21718.639999999999</v>
      </c>
      <c r="F60" s="382">
        <v>11280</v>
      </c>
      <c r="G60" s="175">
        <v>6899</v>
      </c>
      <c r="H60" s="183">
        <v>127030</v>
      </c>
      <c r="J60" s="803"/>
      <c r="K60" s="803"/>
      <c r="L60" s="803"/>
      <c r="M60" s="803"/>
      <c r="N60" s="803"/>
    </row>
    <row r="61" spans="2:15" ht="15" customHeight="1" thickBot="1">
      <c r="B61" s="180" t="s">
        <v>292</v>
      </c>
      <c r="C61" s="517">
        <f>'Fin. Data'!B21</f>
        <v>787</v>
      </c>
      <c r="D61" s="175">
        <v>6122</v>
      </c>
      <c r="E61" s="175">
        <v>3100.77</v>
      </c>
      <c r="F61" s="175">
        <v>2700</v>
      </c>
      <c r="G61" s="175">
        <v>2187</v>
      </c>
      <c r="H61" s="183">
        <v>23140</v>
      </c>
      <c r="J61" s="803"/>
      <c r="K61" s="803"/>
      <c r="L61" s="803"/>
      <c r="M61" s="803"/>
      <c r="N61" s="803"/>
    </row>
    <row r="62" spans="2:15" ht="15" customHeight="1" thickBot="1">
      <c r="B62" s="180" t="s">
        <v>69</v>
      </c>
      <c r="C62" s="517">
        <f>'Fin. Data'!B23</f>
        <v>2855</v>
      </c>
      <c r="D62" s="175">
        <v>25939</v>
      </c>
      <c r="E62" s="175">
        <v>1817.87</v>
      </c>
      <c r="F62" s="175">
        <v>8580</v>
      </c>
      <c r="G62" s="175">
        <v>6836</v>
      </c>
      <c r="H62" s="183">
        <v>115090</v>
      </c>
      <c r="J62" s="803"/>
      <c r="K62" s="803"/>
      <c r="L62" s="803"/>
      <c r="M62" s="803"/>
      <c r="N62" s="803"/>
    </row>
    <row r="63" spans="2:15" ht="15" customHeight="1" thickBot="1">
      <c r="B63" s="180" t="s">
        <v>293</v>
      </c>
      <c r="C63" s="517">
        <v>147</v>
      </c>
      <c r="D63" s="175">
        <v>2576</v>
      </c>
      <c r="E63" s="175">
        <v>500.3</v>
      </c>
      <c r="F63" s="175">
        <v>920</v>
      </c>
      <c r="G63" s="175">
        <v>577</v>
      </c>
      <c r="H63" s="183">
        <v>16560</v>
      </c>
      <c r="J63" s="803"/>
      <c r="K63" s="803"/>
      <c r="L63" s="803"/>
      <c r="M63" s="803"/>
      <c r="N63" s="803"/>
    </row>
    <row r="64" spans="2:15" ht="15" customHeight="1" thickBot="1">
      <c r="B64" s="188" t="s">
        <v>294</v>
      </c>
      <c r="C64" s="189"/>
      <c r="D64" s="189"/>
      <c r="E64" s="189"/>
      <c r="F64" s="189"/>
      <c r="G64" s="189"/>
      <c r="H64" s="190"/>
    </row>
    <row r="65" spans="2:17" ht="15" customHeight="1" thickBot="1">
      <c r="B65" s="180" t="s">
        <v>295</v>
      </c>
      <c r="C65" s="201">
        <f>'Fin. Data'!B39</f>
        <v>1400</v>
      </c>
      <c r="D65" s="175">
        <v>5855</v>
      </c>
      <c r="E65" s="175">
        <v>4019.02</v>
      </c>
      <c r="F65" s="175">
        <v>1890</v>
      </c>
      <c r="G65" s="175">
        <v>939</v>
      </c>
      <c r="H65" s="183">
        <v>48160</v>
      </c>
      <c r="J65" s="803"/>
      <c r="K65" s="803"/>
      <c r="L65" s="803"/>
      <c r="M65" s="803"/>
      <c r="N65" s="803"/>
    </row>
    <row r="66" spans="2:17" ht="15" customHeight="1" thickBot="1">
      <c r="B66" s="180" t="s">
        <v>296</v>
      </c>
      <c r="C66" s="201">
        <f>'Fin. Data'!B40</f>
        <v>2112</v>
      </c>
      <c r="D66" s="175">
        <v>16832</v>
      </c>
      <c r="E66" s="175">
        <v>8236.17</v>
      </c>
      <c r="F66" s="175">
        <v>5290</v>
      </c>
      <c r="G66" s="175">
        <v>9654</v>
      </c>
      <c r="H66" s="183">
        <v>109950</v>
      </c>
      <c r="J66" s="803"/>
      <c r="K66" s="803"/>
      <c r="L66" s="803"/>
      <c r="M66" s="803"/>
      <c r="N66" s="803"/>
    </row>
    <row r="67" spans="2:17" ht="15" customHeight="1" thickBot="1">
      <c r="B67" s="180" t="s">
        <v>297</v>
      </c>
      <c r="C67" s="201">
        <f>'Fin. Data'!B41</f>
        <v>3614</v>
      </c>
      <c r="D67" s="175">
        <v>21720</v>
      </c>
      <c r="E67" s="175">
        <v>13409.96</v>
      </c>
      <c r="F67" s="175">
        <v>12910</v>
      </c>
      <c r="G67" s="175">
        <v>22320</v>
      </c>
      <c r="H67" s="183">
        <v>118960</v>
      </c>
      <c r="J67" s="803"/>
      <c r="K67" s="803"/>
      <c r="L67" s="803"/>
      <c r="M67" s="803"/>
      <c r="N67" s="803"/>
    </row>
    <row r="68" spans="2:17" ht="15" customHeight="1" thickBot="1">
      <c r="B68" s="180" t="s">
        <v>298</v>
      </c>
      <c r="C68" s="201">
        <f>Inputs!B27</f>
        <v>7929</v>
      </c>
      <c r="D68" s="175">
        <v>51764</v>
      </c>
      <c r="E68" s="175">
        <v>29121.03</v>
      </c>
      <c r="F68" s="175">
        <v>20610</v>
      </c>
      <c r="G68" s="175">
        <v>33850</v>
      </c>
      <c r="H68" s="183">
        <v>308570</v>
      </c>
      <c r="J68" s="803"/>
      <c r="K68" s="803"/>
      <c r="L68" s="803"/>
      <c r="M68" s="803"/>
      <c r="N68" s="803"/>
    </row>
    <row r="69" spans="2:17" ht="15" customHeight="1" thickBot="1">
      <c r="B69" s="180" t="s">
        <v>299</v>
      </c>
      <c r="C69" s="201">
        <f>'Fin. Data'!B42</f>
        <v>7696</v>
      </c>
      <c r="D69" s="175">
        <v>36362</v>
      </c>
      <c r="E69" s="175">
        <v>33096.78</v>
      </c>
      <c r="F69" s="175">
        <v>23980</v>
      </c>
      <c r="G69" s="175">
        <v>61911</v>
      </c>
      <c r="H69" s="183">
        <v>304670</v>
      </c>
      <c r="J69" s="803"/>
      <c r="K69" s="803"/>
      <c r="L69" s="803"/>
      <c r="M69" s="803"/>
      <c r="N69" s="803"/>
    </row>
    <row r="70" spans="2:17" ht="15" customHeight="1" thickBot="1">
      <c r="B70" s="180" t="s">
        <v>45</v>
      </c>
      <c r="C70" s="201">
        <f>'Fin. Data'!B44</f>
        <v>90339</v>
      </c>
      <c r="D70" s="175">
        <v>314517</v>
      </c>
      <c r="E70" s="175">
        <v>119020.41</v>
      </c>
      <c r="F70" s="175">
        <v>120580</v>
      </c>
      <c r="G70" s="175">
        <v>220526</v>
      </c>
      <c r="H70" s="183">
        <v>1265500</v>
      </c>
      <c r="J70" s="803"/>
      <c r="K70" s="803"/>
      <c r="L70" s="803"/>
      <c r="M70" s="803"/>
      <c r="N70" s="803"/>
    </row>
    <row r="71" spans="2:17" ht="15" customHeight="1" thickBot="1">
      <c r="B71" s="180" t="s">
        <v>300</v>
      </c>
      <c r="C71" s="201">
        <f>Inputs!B43</f>
        <v>4627</v>
      </c>
      <c r="D71" s="175">
        <v>41942</v>
      </c>
      <c r="E71" s="175">
        <v>10861.83</v>
      </c>
      <c r="F71" s="175">
        <v>13060</v>
      </c>
      <c r="G71" s="175">
        <v>15294</v>
      </c>
      <c r="H71" s="183">
        <v>192040</v>
      </c>
      <c r="J71" s="803"/>
      <c r="K71" s="803"/>
      <c r="L71" s="803"/>
      <c r="M71" s="803"/>
      <c r="N71" s="803"/>
    </row>
    <row r="72" spans="2:17" ht="15" customHeight="1" thickBot="1">
      <c r="B72" s="180" t="s">
        <v>301</v>
      </c>
      <c r="C72" s="201">
        <f>Inputs!B42</f>
        <v>8037</v>
      </c>
      <c r="D72" s="175">
        <v>75357</v>
      </c>
      <c r="E72" s="789">
        <v>30083.52</v>
      </c>
      <c r="F72" s="175">
        <v>22220</v>
      </c>
      <c r="G72" s="175">
        <v>44407</v>
      </c>
      <c r="H72" s="183">
        <v>370840</v>
      </c>
      <c r="J72" s="803"/>
      <c r="K72" s="803"/>
      <c r="L72" s="803"/>
      <c r="M72" s="803"/>
      <c r="N72" s="803"/>
      <c r="Q72">
        <v>0</v>
      </c>
    </row>
    <row r="73" spans="2:17" ht="15" customHeight="1" thickBot="1">
      <c r="B73" s="180" t="s">
        <v>302</v>
      </c>
      <c r="C73" s="201">
        <f>'Fin. Data'!B58</f>
        <v>20032</v>
      </c>
      <c r="D73" s="175">
        <v>116742</v>
      </c>
      <c r="E73" s="175">
        <v>45089.71</v>
      </c>
      <c r="F73" s="175">
        <v>46890</v>
      </c>
      <c r="G73" s="175">
        <v>85973</v>
      </c>
      <c r="H73" s="183">
        <v>552410</v>
      </c>
      <c r="J73" s="803"/>
      <c r="K73" s="803"/>
      <c r="L73" s="803"/>
      <c r="M73" s="803"/>
      <c r="N73" s="803"/>
    </row>
    <row r="74" spans="2:17" ht="15" customHeight="1" thickBot="1">
      <c r="B74" s="181" t="s">
        <v>303</v>
      </c>
      <c r="C74" s="202">
        <f>'Fin. Data'!B64</f>
        <v>49330</v>
      </c>
      <c r="D74" s="182">
        <v>107000</v>
      </c>
      <c r="E74" s="182">
        <v>40990.86</v>
      </c>
      <c r="F74" s="182">
        <v>36630</v>
      </c>
      <c r="G74" s="182">
        <v>88073</v>
      </c>
      <c r="H74" s="184">
        <v>363870</v>
      </c>
      <c r="J74" s="803"/>
      <c r="K74" s="803"/>
      <c r="L74" s="803"/>
      <c r="M74" s="803"/>
      <c r="N74" s="803"/>
    </row>
  </sheetData>
  <mergeCells count="13">
    <mergeCell ref="L12:L13"/>
    <mergeCell ref="M12:N13"/>
    <mergeCell ref="L9:N9"/>
    <mergeCell ref="L10:L11"/>
    <mergeCell ref="L14:L15"/>
    <mergeCell ref="M14:N15"/>
    <mergeCell ref="M10:N11"/>
    <mergeCell ref="D6:H6"/>
    <mergeCell ref="D4:H4"/>
    <mergeCell ref="D1:H1"/>
    <mergeCell ref="D2:H2"/>
    <mergeCell ref="D3:H3"/>
    <mergeCell ref="D5:H5"/>
  </mergeCells>
  <pageMargins left="0.7" right="0.7" top="0.75" bottom="0.75" header="0.3" footer="0.3"/>
  <pageSetup orientation="portrait" r:id="rId1"/>
  <ignoredErrors>
    <ignoredError sqref="J46" evalError="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74F75-56E5-4EBB-ADC2-DFE62BF08BD2}">
  <dimension ref="A1:AO1787"/>
  <sheetViews>
    <sheetView showGridLines="0" topLeftCell="AC2" zoomScale="88" zoomScaleNormal="118" workbookViewId="0">
      <selection activeCell="AF16" sqref="AF16"/>
    </sheetView>
  </sheetViews>
  <sheetFormatPr defaultColWidth="8.85546875" defaultRowHeight="12.75" customHeight="1"/>
  <cols>
    <col min="1" max="1" width="12.42578125" style="685" customWidth="1"/>
    <col min="2" max="2" width="14.28515625" style="673" customWidth="1"/>
    <col min="3" max="3" width="21.42578125" style="673" customWidth="1"/>
    <col min="4" max="4" width="22.7109375" style="673" customWidth="1"/>
    <col min="5" max="5" width="12.85546875" style="673" customWidth="1"/>
    <col min="6" max="6" width="9" style="673" bestFit="1" customWidth="1"/>
    <col min="7" max="7" width="9.7109375" style="673" customWidth="1"/>
    <col min="8" max="8" width="17.140625" style="673" customWidth="1"/>
    <col min="9" max="9" width="11.28515625" style="673" customWidth="1"/>
    <col min="10" max="10" width="12.7109375" style="673" bestFit="1" customWidth="1"/>
    <col min="11" max="11" width="9" style="673" bestFit="1" customWidth="1"/>
    <col min="12" max="12" width="10" style="673" customWidth="1"/>
    <col min="13" max="14" width="9" style="673" bestFit="1" customWidth="1"/>
    <col min="15" max="15" width="10.7109375" style="673" bestFit="1" customWidth="1"/>
    <col min="16" max="16" width="9" style="673" bestFit="1" customWidth="1"/>
    <col min="17" max="17" width="10.42578125" style="673" customWidth="1"/>
    <col min="18" max="20" width="9" style="673" bestFit="1" customWidth="1"/>
    <col min="21" max="24" width="8.85546875" style="673"/>
    <col min="25" max="26" width="11.42578125" style="673" customWidth="1"/>
    <col min="27" max="27" width="8.85546875" style="673"/>
    <col min="28" max="28" width="12.7109375" style="673" customWidth="1"/>
    <col min="29" max="29" width="21.7109375" style="673" bestFit="1" customWidth="1"/>
    <col min="30" max="30" width="17.28515625" style="673" customWidth="1"/>
    <col min="31" max="31" width="17.140625" style="673" customWidth="1"/>
    <col min="32" max="32" width="10" style="673" customWidth="1"/>
    <col min="33" max="33" width="14.28515625" style="673" customWidth="1"/>
    <col min="34" max="34" width="28.42578125" style="673" customWidth="1"/>
    <col min="35" max="35" width="12.85546875" style="673" customWidth="1"/>
    <col min="36" max="38" width="15" style="673" customWidth="1"/>
    <col min="39" max="40" width="20.28515625" style="673" customWidth="1"/>
    <col min="41" max="16384" width="8.85546875" style="673"/>
  </cols>
  <sheetData>
    <row r="1" spans="1:41" ht="18">
      <c r="A1" s="673"/>
      <c r="B1" s="681"/>
      <c r="C1" s="379"/>
      <c r="D1" s="379"/>
      <c r="E1" s="379"/>
      <c r="F1" s="1193" t="s">
        <v>304</v>
      </c>
      <c r="G1" s="1194"/>
      <c r="H1" s="1194"/>
      <c r="I1" s="1194"/>
      <c r="J1" s="1195"/>
      <c r="K1" s="1196" t="s">
        <v>305</v>
      </c>
      <c r="L1" s="1197"/>
      <c r="M1" s="1197"/>
      <c r="N1" s="1197"/>
      <c r="O1" s="1198"/>
      <c r="P1" s="1193" t="s">
        <v>306</v>
      </c>
      <c r="Q1" s="1194"/>
      <c r="R1" s="1194"/>
      <c r="S1" s="1194"/>
      <c r="T1" s="1195"/>
      <c r="U1" s="1199" t="s">
        <v>307</v>
      </c>
      <c r="V1" s="1200"/>
      <c r="W1" s="1200"/>
      <c r="X1" s="682"/>
      <c r="Y1" s="1200" t="s">
        <v>308</v>
      </c>
      <c r="Z1" s="1200"/>
      <c r="AA1" s="1200"/>
      <c r="AB1" s="1200"/>
      <c r="AD1" s="795"/>
      <c r="AE1" s="1174" t="s">
        <v>309</v>
      </c>
      <c r="AF1" s="1174"/>
      <c r="AG1" s="1174"/>
      <c r="AH1" s="1174"/>
      <c r="AI1" s="1174"/>
      <c r="AJ1" s="1172" t="s">
        <v>310</v>
      </c>
      <c r="AK1" s="1172"/>
      <c r="AL1" s="1172"/>
      <c r="AM1" s="1172" t="s">
        <v>311</v>
      </c>
      <c r="AN1" s="1172"/>
      <c r="AO1" s="672"/>
    </row>
    <row r="2" spans="1:41" ht="72">
      <c r="A2" s="673"/>
      <c r="B2" s="824" t="s">
        <v>312</v>
      </c>
      <c r="C2" s="824" t="s">
        <v>313</v>
      </c>
      <c r="D2" s="824" t="s">
        <v>314</v>
      </c>
      <c r="E2" s="824" t="s">
        <v>315</v>
      </c>
      <c r="F2" s="825" t="s">
        <v>316</v>
      </c>
      <c r="G2" s="826" t="s">
        <v>317</v>
      </c>
      <c r="H2" s="827" t="s">
        <v>245</v>
      </c>
      <c r="I2" s="825" t="s">
        <v>318</v>
      </c>
      <c r="J2" s="825" t="s">
        <v>319</v>
      </c>
      <c r="K2" s="828" t="s">
        <v>316</v>
      </c>
      <c r="L2" s="829" t="s">
        <v>317</v>
      </c>
      <c r="M2" s="828" t="s">
        <v>245</v>
      </c>
      <c r="N2" s="828" t="s">
        <v>320</v>
      </c>
      <c r="O2" s="828" t="s">
        <v>319</v>
      </c>
      <c r="P2" s="825" t="s">
        <v>316</v>
      </c>
      <c r="Q2" s="826" t="s">
        <v>317</v>
      </c>
      <c r="R2" s="825" t="s">
        <v>245</v>
      </c>
      <c r="S2" s="825" t="s">
        <v>320</v>
      </c>
      <c r="T2" s="825" t="s">
        <v>319</v>
      </c>
      <c r="U2" s="825" t="s">
        <v>321</v>
      </c>
      <c r="V2" s="828" t="s">
        <v>322</v>
      </c>
      <c r="W2" s="825" t="s">
        <v>323</v>
      </c>
      <c r="X2" s="671"/>
      <c r="Y2" s="670" t="s">
        <v>324</v>
      </c>
      <c r="Z2" s="669" t="s">
        <v>325</v>
      </c>
      <c r="AA2" s="797" t="s">
        <v>326</v>
      </c>
      <c r="AB2" s="797" t="s">
        <v>327</v>
      </c>
      <c r="AD2" s="1190" t="e" vm="1">
        <v>#VALUE!</v>
      </c>
      <c r="AE2" s="692" t="s">
        <v>323</v>
      </c>
      <c r="AF2" s="679" t="s">
        <v>321</v>
      </c>
      <c r="AG2" s="679" t="s">
        <v>312</v>
      </c>
      <c r="AH2" s="679" t="s">
        <v>313</v>
      </c>
      <c r="AI2" s="679" t="s">
        <v>315</v>
      </c>
      <c r="AJ2" s="679" t="s">
        <v>328</v>
      </c>
      <c r="AK2" s="679" t="s">
        <v>329</v>
      </c>
      <c r="AL2" s="679" t="s">
        <v>330</v>
      </c>
      <c r="AM2" s="679" t="s">
        <v>331</v>
      </c>
      <c r="AN2" s="679" t="s">
        <v>332</v>
      </c>
      <c r="AO2" s="672"/>
    </row>
    <row r="3" spans="1:41" ht="14.25" customHeight="1">
      <c r="A3" s="816" t="s">
        <v>333</v>
      </c>
      <c r="B3" s="830" t="s">
        <v>334</v>
      </c>
      <c r="C3" s="830" t="s">
        <v>335</v>
      </c>
      <c r="D3" s="831" t="s">
        <v>336</v>
      </c>
      <c r="E3" s="796" t="s">
        <v>337</v>
      </c>
      <c r="F3" s="832">
        <f>Peers!D79</f>
        <v>0</v>
      </c>
      <c r="G3" s="674">
        <v>4.3776223776223775</v>
      </c>
      <c r="H3" s="833">
        <f>43575.08373*100000</f>
        <v>4357508373</v>
      </c>
      <c r="I3" s="830">
        <v>16.68</v>
      </c>
      <c r="J3" s="834">
        <v>0.17177177177177178</v>
      </c>
      <c r="K3" s="830">
        <f>IFERROR(_xlfn.RANK.EQ(F3,F$3:F$1787),"N/A")</f>
        <v>1398</v>
      </c>
      <c r="L3" s="830">
        <f>IFERROR(_xlfn.RANK.EQ(G3,G$3:G$1787),"N/A")</f>
        <v>423</v>
      </c>
      <c r="M3" s="830">
        <f>IFERROR(_xlfn.RANK.EQ(H3,H$3:H$1787),"N/A")</f>
        <v>82</v>
      </c>
      <c r="N3" s="830">
        <f>IFERROR(_xlfn.RANK.EQ(I3,I$3:I$1787),"N/A")</f>
        <v>26</v>
      </c>
      <c r="O3" s="830">
        <f>IFERROR(_xlfn.RANK.EQ(J3,J$3:J$1787),"N/A")</f>
        <v>22</v>
      </c>
      <c r="P3" s="830" t="s">
        <v>72</v>
      </c>
      <c r="Q3" s="830" t="s">
        <v>72</v>
      </c>
      <c r="R3" s="830" t="s">
        <v>72</v>
      </c>
      <c r="S3" s="830" t="s">
        <v>72</v>
      </c>
      <c r="T3" s="830" t="s">
        <v>72</v>
      </c>
      <c r="U3" s="830" t="s">
        <v>72</v>
      </c>
      <c r="V3" s="830" t="s">
        <v>72</v>
      </c>
      <c r="W3" s="796" t="s">
        <v>72</v>
      </c>
      <c r="X3" s="379"/>
      <c r="Y3" s="684" t="str">
        <f t="shared" ref="Y3" si="0">IF(OR(Z3="Y",AA3="Y"),"Not suitable","")</f>
        <v/>
      </c>
      <c r="Z3" s="842" t="str">
        <f>IF(N3="N/A","Y","")</f>
        <v/>
      </c>
      <c r="AA3" s="411"/>
      <c r="AB3" s="843"/>
      <c r="AD3" s="1191"/>
      <c r="AE3" s="796" cm="1">
        <f t="array" ref="AE3:AE8">_xlfn._xlws.SORT(_xlfn._xlws.FILTER(SARD!W3:W1787,SARD!W3:W1787&lt;=SMALL(W3:W1787,6)),,1)</f>
        <v>1</v>
      </c>
      <c r="AF3" s="678">
        <f>_xlfn.XLOOKUP($AE3,$W:$W,U:U,,0)</f>
        <v>1320</v>
      </c>
      <c r="AG3" s="678" t="str">
        <f>_xlfn.XLOOKUP($AE3,$W:$W,B:B,,0)</f>
        <v>JAYK.BO</v>
      </c>
      <c r="AH3" s="678" t="str">
        <f>_xlfn.XLOOKUP($AE3,$W:$W,C:C,,0)</f>
        <v>Jay Kailash Namkeen Ltd</v>
      </c>
      <c r="AI3" s="678" t="str">
        <f>_xlfn.XLOOKUP($AE3,$W:$W,E:E,,0)</f>
        <v>Bulgaria</v>
      </c>
      <c r="AJ3" s="674">
        <v>45.13</v>
      </c>
      <c r="AK3" s="674">
        <v>10.62</v>
      </c>
      <c r="AL3" s="674">
        <v>4.09</v>
      </c>
      <c r="AM3" s="674">
        <v>4.1100000000000003</v>
      </c>
      <c r="AN3" s="674">
        <v>31.05</v>
      </c>
      <c r="AO3" s="672"/>
    </row>
    <row r="4" spans="1:41" ht="14.25" customHeight="1">
      <c r="A4" s="685" t="s">
        <v>338</v>
      </c>
      <c r="B4" s="819" t="s">
        <v>339</v>
      </c>
      <c r="C4" s="819" t="s">
        <v>340</v>
      </c>
      <c r="D4" s="379" t="s">
        <v>336</v>
      </c>
      <c r="E4" s="818" t="s">
        <v>341</v>
      </c>
      <c r="F4" s="820">
        <v>2.9157497700000001</v>
      </c>
      <c r="G4" s="821">
        <v>0.82353156999999999</v>
      </c>
      <c r="H4" s="822">
        <v>1591570478.54041</v>
      </c>
      <c r="I4" s="819">
        <v>0.33</v>
      </c>
      <c r="J4" s="820">
        <v>9.3108349000000007E-2</v>
      </c>
      <c r="K4" s="819">
        <f>IFERROR(_xlfn.RANK.EQ(H4,H$3:H$1787),"N/A")</f>
        <v>174</v>
      </c>
      <c r="L4" s="819">
        <f>IFERROR(_xlfn.RANK.EQ(G4,G$3:G$1787),"N/A")</f>
        <v>842</v>
      </c>
      <c r="M4" s="819">
        <f t="shared" ref="M4:M67" si="1">IFERROR(_xlfn.RANK.EQ(H4,H$3:H$1787),"N/A")</f>
        <v>174</v>
      </c>
      <c r="N4" s="819">
        <f t="shared" ref="N4:N67" si="2">IFERROR(_xlfn.RANK.EQ(I4,I$3:I$1787),"N/A")</f>
        <v>182</v>
      </c>
      <c r="O4" s="819">
        <f t="shared" ref="O4:O67" si="3">IFERROR(_xlfn.RANK.EQ(J4,J$3:J$1787),"N/A")</f>
        <v>48</v>
      </c>
      <c r="P4" s="819">
        <f>IFERROR(ABS(K$3-K4),"N/A")</f>
        <v>1224</v>
      </c>
      <c r="Q4" s="819">
        <f>IFERROR(ABS(L$3-L4),"N/A")</f>
        <v>419</v>
      </c>
      <c r="R4" s="819">
        <f>IFERROR(ABS(M$3-M4),"N/A")</f>
        <v>92</v>
      </c>
      <c r="S4" s="819">
        <f>IFERROR(ABS(N$3-N4),"N/A")</f>
        <v>156</v>
      </c>
      <c r="T4" s="819">
        <f>IFERROR(ABS(O$3-O4),"N/A")</f>
        <v>26</v>
      </c>
      <c r="U4" s="819">
        <f>SUM(P4:T4)</f>
        <v>1917</v>
      </c>
      <c r="V4" s="819">
        <f>_xlfn.RANK.EQ(U4,$U$4:$U$1787,1)</f>
        <v>148</v>
      </c>
      <c r="W4" s="818">
        <f>IF(Y4="Not suitable","-",V4)</f>
        <v>148</v>
      </c>
      <c r="X4" s="687" t="str">
        <f>IF(L4="N/A","Y","")</f>
        <v/>
      </c>
      <c r="Y4" s="668"/>
      <c r="Z4" s="683"/>
      <c r="AA4" s="838"/>
      <c r="AB4" s="840"/>
      <c r="AC4" s="379"/>
      <c r="AD4" s="1191"/>
      <c r="AE4" s="796">
        <v>2</v>
      </c>
      <c r="AF4" s="678">
        <f t="shared" ref="AF4:AF8" si="4">_xlfn.XLOOKUP($AE4,$W:$W,U:U,,0)</f>
        <v>1337</v>
      </c>
      <c r="AG4" s="678" t="str">
        <f t="shared" ref="AG4:AG8" si="5">_xlfn.XLOOKUP($AE4,$W:$W,B:B,,0)</f>
        <v>SASC.BO</v>
      </c>
      <c r="AH4" s="678" t="str">
        <f t="shared" ref="AH4:AH8" si="6">_xlfn.XLOOKUP($AE4,$W:$W,C:C,,0)</f>
        <v>Saboo Sodium Chloro Ltd</v>
      </c>
      <c r="AI4" s="678" t="str">
        <f t="shared" ref="AI4:AI8" si="7">_xlfn.XLOOKUP($AE4,$W:$W,E:E,,0)</f>
        <v>India</v>
      </c>
      <c r="AJ4" s="674"/>
      <c r="AK4" s="674">
        <v>1.65</v>
      </c>
      <c r="AL4" s="674">
        <v>1.9</v>
      </c>
      <c r="AM4" s="674">
        <v>2.25</v>
      </c>
      <c r="AN4" s="674">
        <v>101.32</v>
      </c>
    </row>
    <row r="5" spans="1:41" ht="14.25" customHeight="1">
      <c r="A5" s="688"/>
      <c r="B5" s="819" t="s">
        <v>342</v>
      </c>
      <c r="C5" s="819" t="s">
        <v>343</v>
      </c>
      <c r="D5" s="379" t="s">
        <v>336</v>
      </c>
      <c r="E5" s="818" t="s">
        <v>344</v>
      </c>
      <c r="F5" s="820">
        <v>3.7384572120000001</v>
      </c>
      <c r="G5" s="821">
        <v>10.563155630000001</v>
      </c>
      <c r="H5" s="822">
        <v>222641064.907527</v>
      </c>
      <c r="I5" s="819"/>
      <c r="J5" s="820">
        <v>3.5264543000000002E-2</v>
      </c>
      <c r="K5" s="819">
        <f t="shared" ref="K5:K68" si="8">IFERROR(_xlfn.RANK.EQ(H5,H$3:H$1787),"N/A")</f>
        <v>536</v>
      </c>
      <c r="L5" s="819">
        <f t="shared" ref="L5:L68" si="9">IFERROR(_xlfn.RANK.EQ(G5,G$3:G$1787),"N/A")</f>
        <v>183</v>
      </c>
      <c r="M5" s="819">
        <f t="shared" si="1"/>
        <v>536</v>
      </c>
      <c r="N5" s="819">
        <f t="shared" si="2"/>
        <v>364</v>
      </c>
      <c r="O5" s="819">
        <f t="shared" si="3"/>
        <v>110</v>
      </c>
      <c r="P5" s="819">
        <f t="shared" ref="P5:P68" si="10">IFERROR(ABS(K$3-K5),"N/A")</f>
        <v>862</v>
      </c>
      <c r="Q5" s="819">
        <f t="shared" ref="Q5:Q68" si="11">IFERROR(ABS(L$3-L5),"N/A")</f>
        <v>240</v>
      </c>
      <c r="R5" s="819">
        <f t="shared" ref="R5:R68" si="12">IFERROR(ABS(M$3-M5),"N/A")</f>
        <v>454</v>
      </c>
      <c r="S5" s="819">
        <f t="shared" ref="S5:S68" si="13">IFERROR(ABS(N$3-N5),"N/A")</f>
        <v>338</v>
      </c>
      <c r="T5" s="819">
        <f t="shared" ref="T5:T68" si="14">IFERROR(ABS(O$3-O5),"N/A")</f>
        <v>88</v>
      </c>
      <c r="U5" s="819">
        <f t="shared" ref="U5:U68" si="15">SUM(P5:T5)</f>
        <v>1982</v>
      </c>
      <c r="V5" s="819">
        <f t="shared" ref="V5:V68" si="16">_xlfn.RANK.EQ(U5,$U$4:$U$1787,1)</f>
        <v>168</v>
      </c>
      <c r="W5" s="818">
        <f t="shared" ref="W5:W68" si="17">IF(Y5="Not suitable","-",V5)</f>
        <v>168</v>
      </c>
      <c r="X5" s="689" t="str">
        <f>IF(L5="N/A","Y","")</f>
        <v/>
      </c>
      <c r="Y5" s="677"/>
      <c r="Z5" s="686"/>
      <c r="AA5" s="838"/>
      <c r="AB5" s="840"/>
      <c r="AC5" s="379"/>
      <c r="AD5" s="1191"/>
      <c r="AE5" s="796">
        <v>3</v>
      </c>
      <c r="AF5" s="678">
        <f t="shared" si="4"/>
        <v>1349</v>
      </c>
      <c r="AG5" s="678" t="str">
        <f t="shared" si="5"/>
        <v>1676.HK</v>
      </c>
      <c r="AH5" s="678" t="str">
        <f t="shared" si="6"/>
        <v>Gaodi Holdings Ltd</v>
      </c>
      <c r="AI5" s="678" t="str">
        <f t="shared" si="7"/>
        <v>China</v>
      </c>
      <c r="AJ5" s="674"/>
      <c r="AK5" s="674">
        <v>0.97</v>
      </c>
      <c r="AL5" s="674">
        <v>0.56000000000000005</v>
      </c>
      <c r="AM5" s="674">
        <v>0.52</v>
      </c>
      <c r="AN5" s="674"/>
    </row>
    <row r="6" spans="1:41" ht="14.25" customHeight="1">
      <c r="B6" s="819" t="s">
        <v>345</v>
      </c>
      <c r="C6" s="819" t="s">
        <v>346</v>
      </c>
      <c r="D6" s="379" t="s">
        <v>336</v>
      </c>
      <c r="E6" s="818" t="s">
        <v>341</v>
      </c>
      <c r="F6" s="820">
        <v>-8.4723590590000004</v>
      </c>
      <c r="G6" s="821">
        <v>14.583904110000001</v>
      </c>
      <c r="H6" s="822">
        <v>29368965.207332399</v>
      </c>
      <c r="I6" s="819"/>
      <c r="J6" s="820">
        <v>1.3815324229999999</v>
      </c>
      <c r="K6" s="819">
        <f t="shared" si="8"/>
        <v>1008</v>
      </c>
      <c r="L6" s="819">
        <f t="shared" si="9"/>
        <v>134</v>
      </c>
      <c r="M6" s="819">
        <f t="shared" si="1"/>
        <v>1008</v>
      </c>
      <c r="N6" s="819">
        <f t="shared" si="2"/>
        <v>364</v>
      </c>
      <c r="O6" s="819">
        <f t="shared" si="3"/>
        <v>4</v>
      </c>
      <c r="P6" s="819">
        <f t="shared" si="10"/>
        <v>390</v>
      </c>
      <c r="Q6" s="819">
        <f t="shared" si="11"/>
        <v>289</v>
      </c>
      <c r="R6" s="819">
        <f t="shared" si="12"/>
        <v>926</v>
      </c>
      <c r="S6" s="819">
        <f t="shared" si="13"/>
        <v>338</v>
      </c>
      <c r="T6" s="819">
        <f t="shared" si="14"/>
        <v>18</v>
      </c>
      <c r="U6" s="819">
        <f t="shared" si="15"/>
        <v>1961</v>
      </c>
      <c r="V6" s="819">
        <f t="shared" si="16"/>
        <v>163</v>
      </c>
      <c r="W6" s="818">
        <f t="shared" si="17"/>
        <v>163</v>
      </c>
      <c r="X6" s="689" t="str">
        <f t="shared" ref="X6:X69" si="18">IF(L6="N/A","Y","")</f>
        <v/>
      </c>
      <c r="Y6" s="677"/>
      <c r="Z6" s="686"/>
      <c r="AA6" s="838"/>
      <c r="AB6" s="840"/>
      <c r="AC6" s="671"/>
      <c r="AD6" s="1191"/>
      <c r="AE6" s="796">
        <v>4</v>
      </c>
      <c r="AF6" s="678">
        <f t="shared" si="4"/>
        <v>1366</v>
      </c>
      <c r="AG6" s="678" t="str">
        <f t="shared" si="5"/>
        <v>HLF.AX</v>
      </c>
      <c r="AH6" s="678" t="str">
        <f t="shared" si="6"/>
        <v>Halo Food Co Ltd</v>
      </c>
      <c r="AI6" s="678" t="str">
        <f t="shared" si="7"/>
        <v>India</v>
      </c>
      <c r="AJ6" s="676">
        <v>4.09</v>
      </c>
      <c r="AK6" s="676">
        <v>0.98</v>
      </c>
      <c r="AL6" s="676">
        <v>0.52</v>
      </c>
      <c r="AM6" s="674">
        <v>0.54</v>
      </c>
      <c r="AN6" s="674">
        <v>5.43</v>
      </c>
    </row>
    <row r="7" spans="1:41" ht="14.25" customHeight="1">
      <c r="B7" s="819" t="s">
        <v>347</v>
      </c>
      <c r="C7" s="819" t="s">
        <v>348</v>
      </c>
      <c r="D7" s="379" t="s">
        <v>336</v>
      </c>
      <c r="E7" s="818" t="s">
        <v>349</v>
      </c>
      <c r="F7" s="820">
        <v>1.619857758</v>
      </c>
      <c r="G7" s="821">
        <v>1.704459309</v>
      </c>
      <c r="H7" s="822">
        <v>8074577924.3727198</v>
      </c>
      <c r="I7" s="819">
        <v>196.3</v>
      </c>
      <c r="J7" s="820">
        <v>2.4584304000000001E-2</v>
      </c>
      <c r="K7" s="819">
        <f t="shared" si="8"/>
        <v>45</v>
      </c>
      <c r="L7" s="819">
        <f t="shared" si="9"/>
        <v>718</v>
      </c>
      <c r="M7" s="819">
        <f t="shared" si="1"/>
        <v>45</v>
      </c>
      <c r="N7" s="819">
        <f t="shared" si="2"/>
        <v>13</v>
      </c>
      <c r="O7" s="819">
        <f t="shared" si="3"/>
        <v>114</v>
      </c>
      <c r="P7" s="819">
        <f t="shared" si="10"/>
        <v>1353</v>
      </c>
      <c r="Q7" s="819">
        <f t="shared" si="11"/>
        <v>295</v>
      </c>
      <c r="R7" s="819">
        <f t="shared" si="12"/>
        <v>37</v>
      </c>
      <c r="S7" s="819">
        <f t="shared" si="13"/>
        <v>13</v>
      </c>
      <c r="T7" s="819">
        <f t="shared" si="14"/>
        <v>92</v>
      </c>
      <c r="U7" s="819">
        <f t="shared" si="15"/>
        <v>1790</v>
      </c>
      <c r="V7" s="819">
        <f t="shared" si="16"/>
        <v>110</v>
      </c>
      <c r="W7" s="818">
        <f t="shared" si="17"/>
        <v>110</v>
      </c>
      <c r="X7" s="689" t="str">
        <f t="shared" si="18"/>
        <v/>
      </c>
      <c r="Y7" s="677"/>
      <c r="Z7" s="686"/>
      <c r="AA7" s="838"/>
      <c r="AB7" s="840"/>
      <c r="AC7" s="379"/>
      <c r="AD7" s="1191"/>
      <c r="AE7" s="796">
        <v>5</v>
      </c>
      <c r="AF7" s="678">
        <f t="shared" si="4"/>
        <v>1372</v>
      </c>
      <c r="AG7" s="678" t="str">
        <f t="shared" si="5"/>
        <v>2264.T</v>
      </c>
      <c r="AH7" s="678" t="str">
        <f t="shared" si="6"/>
        <v>Morinaga Milk Industry Co Ltd</v>
      </c>
      <c r="AI7" s="678" t="str">
        <f t="shared" si="7"/>
        <v>Japan</v>
      </c>
      <c r="AJ7" s="674">
        <v>18.510000000000002</v>
      </c>
      <c r="AK7" s="674">
        <v>1.1399999999999999</v>
      </c>
      <c r="AL7" s="674">
        <v>0.17</v>
      </c>
      <c r="AM7" s="674">
        <v>0.25</v>
      </c>
      <c r="AN7" s="674">
        <v>4.13</v>
      </c>
    </row>
    <row r="8" spans="1:41" ht="14.25" customHeight="1">
      <c r="B8" s="819" t="s">
        <v>350</v>
      </c>
      <c r="C8" s="819" t="s">
        <v>351</v>
      </c>
      <c r="D8" s="379" t="s">
        <v>336</v>
      </c>
      <c r="E8" s="818" t="s">
        <v>352</v>
      </c>
      <c r="F8" s="820">
        <v>0.39068466400000001</v>
      </c>
      <c r="G8" s="821">
        <v>6.1330767310000001</v>
      </c>
      <c r="H8" s="822">
        <v>1549732809.3040199</v>
      </c>
      <c r="I8" s="819">
        <v>1.97</v>
      </c>
      <c r="J8" s="820">
        <v>4.1181906999999997E-2</v>
      </c>
      <c r="K8" s="819">
        <f t="shared" si="8"/>
        <v>176</v>
      </c>
      <c r="L8" s="819">
        <f t="shared" si="9"/>
        <v>316</v>
      </c>
      <c r="M8" s="819">
        <f t="shared" si="1"/>
        <v>176</v>
      </c>
      <c r="N8" s="819">
        <f t="shared" si="2"/>
        <v>81</v>
      </c>
      <c r="O8" s="819">
        <f t="shared" si="3"/>
        <v>105</v>
      </c>
      <c r="P8" s="819">
        <f t="shared" si="10"/>
        <v>1222</v>
      </c>
      <c r="Q8" s="819">
        <f t="shared" si="11"/>
        <v>107</v>
      </c>
      <c r="R8" s="819">
        <f t="shared" si="12"/>
        <v>94</v>
      </c>
      <c r="S8" s="819">
        <f t="shared" si="13"/>
        <v>55</v>
      </c>
      <c r="T8" s="819">
        <f t="shared" si="14"/>
        <v>83</v>
      </c>
      <c r="U8" s="819">
        <f t="shared" si="15"/>
        <v>1561</v>
      </c>
      <c r="V8" s="819">
        <f t="shared" si="16"/>
        <v>62</v>
      </c>
      <c r="W8" s="818">
        <f t="shared" si="17"/>
        <v>62</v>
      </c>
      <c r="X8" s="689" t="str">
        <f t="shared" si="18"/>
        <v/>
      </c>
      <c r="Y8" s="677"/>
      <c r="Z8" s="686"/>
      <c r="AA8" s="838"/>
      <c r="AB8" s="840"/>
      <c r="AC8" s="379"/>
      <c r="AD8" s="1191"/>
      <c r="AE8" s="796">
        <v>6</v>
      </c>
      <c r="AF8" s="678">
        <f t="shared" si="4"/>
        <v>1378</v>
      </c>
      <c r="AG8" s="678" t="str">
        <f t="shared" si="5"/>
        <v>WHATS.BR</v>
      </c>
      <c r="AH8" s="678" t="str">
        <f t="shared" si="6"/>
        <v>What's Cooking Group NV</v>
      </c>
      <c r="AI8" s="678" t="str">
        <f t="shared" si="7"/>
        <v>Belgium</v>
      </c>
      <c r="AJ8" s="674"/>
      <c r="AK8" s="674"/>
      <c r="AL8" s="674"/>
      <c r="AM8" s="674"/>
      <c r="AN8" s="674"/>
    </row>
    <row r="9" spans="1:41" ht="14.25" customHeight="1">
      <c r="B9" s="819" t="s">
        <v>353</v>
      </c>
      <c r="C9" s="819" t="s">
        <v>354</v>
      </c>
      <c r="D9" s="379" t="s">
        <v>336</v>
      </c>
      <c r="E9" s="818" t="s">
        <v>349</v>
      </c>
      <c r="F9" s="820">
        <v>0.519908594</v>
      </c>
      <c r="G9" s="821">
        <v>0.191233399</v>
      </c>
      <c r="H9" s="822">
        <v>641246923.61237502</v>
      </c>
      <c r="I9" s="819">
        <v>5.75</v>
      </c>
      <c r="J9" s="820">
        <v>0.17065390999999999</v>
      </c>
      <c r="K9" s="819">
        <f t="shared" si="8"/>
        <v>300</v>
      </c>
      <c r="L9" s="819">
        <f t="shared" si="9"/>
        <v>986</v>
      </c>
      <c r="M9" s="819">
        <f t="shared" si="1"/>
        <v>300</v>
      </c>
      <c r="N9" s="819">
        <f t="shared" si="2"/>
        <v>41</v>
      </c>
      <c r="O9" s="819">
        <f t="shared" si="3"/>
        <v>23</v>
      </c>
      <c r="P9" s="819">
        <f t="shared" si="10"/>
        <v>1098</v>
      </c>
      <c r="Q9" s="819">
        <f t="shared" si="11"/>
        <v>563</v>
      </c>
      <c r="R9" s="819">
        <f t="shared" si="12"/>
        <v>218</v>
      </c>
      <c r="S9" s="819">
        <f t="shared" si="13"/>
        <v>15</v>
      </c>
      <c r="T9" s="819">
        <f t="shared" si="14"/>
        <v>1</v>
      </c>
      <c r="U9" s="819">
        <f t="shared" si="15"/>
        <v>1895</v>
      </c>
      <c r="V9" s="819">
        <f t="shared" si="16"/>
        <v>145</v>
      </c>
      <c r="W9" s="818">
        <f t="shared" si="17"/>
        <v>145</v>
      </c>
      <c r="X9" s="689" t="str">
        <f t="shared" si="18"/>
        <v/>
      </c>
      <c r="Y9" s="677"/>
      <c r="Z9" s="686"/>
      <c r="AA9" s="838"/>
      <c r="AB9" s="840"/>
      <c r="AD9" s="1192"/>
      <c r="AE9" s="1188" t="s">
        <v>355</v>
      </c>
      <c r="AF9" s="1188"/>
      <c r="AG9" s="1188"/>
      <c r="AH9" s="1188"/>
      <c r="AI9" s="1189"/>
      <c r="AJ9" s="675">
        <f>MEDIAN(AL3:AL8)</f>
        <v>0.56000000000000005</v>
      </c>
      <c r="AK9" s="675">
        <f>MEDIAN(AM3:AM8)</f>
        <v>0.54</v>
      </c>
      <c r="AL9" s="675">
        <f>MEDIAN(AN3:AN8)</f>
        <v>18.240000000000002</v>
      </c>
      <c r="AM9" s="675">
        <f>MEDIAN(AM3:AM8)</f>
        <v>0.54</v>
      </c>
      <c r="AN9" s="675">
        <f>MEDIAN(A3:AO8)</f>
        <v>90</v>
      </c>
    </row>
    <row r="10" spans="1:41" ht="18">
      <c r="B10" s="819" t="s">
        <v>356</v>
      </c>
      <c r="C10" s="819" t="s">
        <v>357</v>
      </c>
      <c r="D10" s="379" t="s">
        <v>336</v>
      </c>
      <c r="E10" s="818" t="s">
        <v>349</v>
      </c>
      <c r="F10" s="820">
        <v>6.6171581220000002</v>
      </c>
      <c r="G10" s="821">
        <v>4.9039855069999998</v>
      </c>
      <c r="H10" s="822">
        <v>149879493.24794701</v>
      </c>
      <c r="I10" s="819">
        <v>10.029999999999999</v>
      </c>
      <c r="J10" s="820">
        <v>0.11984165400000001</v>
      </c>
      <c r="K10" s="819">
        <f t="shared" si="8"/>
        <v>623</v>
      </c>
      <c r="L10" s="819">
        <f t="shared" si="9"/>
        <v>380</v>
      </c>
      <c r="M10" s="819">
        <f t="shared" si="1"/>
        <v>623</v>
      </c>
      <c r="N10" s="819">
        <f t="shared" si="2"/>
        <v>30</v>
      </c>
      <c r="O10" s="819">
        <f t="shared" si="3"/>
        <v>37</v>
      </c>
      <c r="P10" s="819">
        <f t="shared" si="10"/>
        <v>775</v>
      </c>
      <c r="Q10" s="819">
        <f t="shared" si="11"/>
        <v>43</v>
      </c>
      <c r="R10" s="819">
        <f t="shared" si="12"/>
        <v>541</v>
      </c>
      <c r="S10" s="819">
        <f t="shared" si="13"/>
        <v>4</v>
      </c>
      <c r="T10" s="819">
        <f t="shared" si="14"/>
        <v>15</v>
      </c>
      <c r="U10" s="819">
        <f t="shared" si="15"/>
        <v>1378</v>
      </c>
      <c r="V10" s="819">
        <f t="shared" si="16"/>
        <v>6</v>
      </c>
      <c r="W10" s="818">
        <f t="shared" si="17"/>
        <v>6</v>
      </c>
      <c r="X10" s="689" t="str">
        <f t="shared" si="18"/>
        <v/>
      </c>
      <c r="Y10" s="677"/>
      <c r="Z10" s="686"/>
      <c r="AA10" s="838"/>
      <c r="AB10" s="840"/>
      <c r="AE10" s="1173" t="s">
        <v>358</v>
      </c>
      <c r="AF10" s="1174"/>
      <c r="AG10" s="1174"/>
      <c r="AH10" s="1174"/>
      <c r="AI10" s="1174"/>
      <c r="AJ10" s="1172" t="s">
        <v>359</v>
      </c>
      <c r="AK10" s="1172"/>
      <c r="AL10" s="1172"/>
      <c r="AM10" s="1172"/>
      <c r="AN10" s="1172"/>
    </row>
    <row r="11" spans="1:41" ht="14.25" customHeight="1">
      <c r="B11" s="819" t="s">
        <v>360</v>
      </c>
      <c r="C11" s="819" t="s">
        <v>361</v>
      </c>
      <c r="D11" s="379" t="s">
        <v>336</v>
      </c>
      <c r="E11" s="818" t="s">
        <v>337</v>
      </c>
      <c r="F11" s="820">
        <v>3.8925493119999999</v>
      </c>
      <c r="G11" s="821">
        <v>2.2480515990000001</v>
      </c>
      <c r="H11" s="822">
        <v>29344882777.150002</v>
      </c>
      <c r="I11" s="819">
        <v>5.6</v>
      </c>
      <c r="J11" s="820">
        <v>0.121631026</v>
      </c>
      <c r="K11" s="819">
        <f t="shared" si="8"/>
        <v>8</v>
      </c>
      <c r="L11" s="819">
        <f t="shared" si="9"/>
        <v>639</v>
      </c>
      <c r="M11" s="819">
        <f t="shared" si="1"/>
        <v>8</v>
      </c>
      <c r="N11" s="819">
        <f t="shared" si="2"/>
        <v>42</v>
      </c>
      <c r="O11" s="819">
        <f t="shared" si="3"/>
        <v>36</v>
      </c>
      <c r="P11" s="819">
        <f t="shared" si="10"/>
        <v>1390</v>
      </c>
      <c r="Q11" s="819">
        <f t="shared" si="11"/>
        <v>216</v>
      </c>
      <c r="R11" s="819">
        <f t="shared" si="12"/>
        <v>74</v>
      </c>
      <c r="S11" s="819">
        <f t="shared" si="13"/>
        <v>16</v>
      </c>
      <c r="T11" s="819">
        <f t="shared" si="14"/>
        <v>14</v>
      </c>
      <c r="U11" s="819">
        <f t="shared" si="15"/>
        <v>1710</v>
      </c>
      <c r="V11" s="819">
        <f t="shared" si="16"/>
        <v>95</v>
      </c>
      <c r="W11" s="818">
        <f t="shared" si="17"/>
        <v>95</v>
      </c>
      <c r="X11" s="689" t="str">
        <f t="shared" si="18"/>
        <v/>
      </c>
      <c r="Y11" s="677"/>
      <c r="Z11" s="686"/>
      <c r="AA11" s="838"/>
      <c r="AB11" s="840"/>
      <c r="AE11" s="913" t="s">
        <v>333</v>
      </c>
      <c r="AF11" s="680" t="s">
        <v>362</v>
      </c>
      <c r="AG11" s="679" t="s">
        <v>363</v>
      </c>
      <c r="AH11" s="1184" t="s">
        <v>364</v>
      </c>
      <c r="AI11" s="1185"/>
      <c r="AJ11" s="679" t="s">
        <v>328</v>
      </c>
      <c r="AK11" s="679" t="s">
        <v>329</v>
      </c>
      <c r="AL11" s="679" t="s">
        <v>330</v>
      </c>
      <c r="AM11" s="679" t="s">
        <v>331</v>
      </c>
      <c r="AN11" s="679" t="s">
        <v>332</v>
      </c>
    </row>
    <row r="12" spans="1:41" ht="14.25" customHeight="1">
      <c r="B12" s="819" t="s">
        <v>365</v>
      </c>
      <c r="C12" s="819" t="s">
        <v>366</v>
      </c>
      <c r="D12" s="379" t="s">
        <v>336</v>
      </c>
      <c r="E12" s="818" t="s">
        <v>367</v>
      </c>
      <c r="F12" s="820">
        <v>0.45082118700000001</v>
      </c>
      <c r="G12" s="821">
        <v>0</v>
      </c>
      <c r="H12" s="822">
        <v>3881693.0501930499</v>
      </c>
      <c r="I12" s="819"/>
      <c r="J12" s="820">
        <v>8.8288033000000002E-2</v>
      </c>
      <c r="K12" s="819">
        <f t="shared" si="8"/>
        <v>1415</v>
      </c>
      <c r="L12" s="819">
        <f t="shared" si="9"/>
        <v>1084</v>
      </c>
      <c r="M12" s="819">
        <f t="shared" si="1"/>
        <v>1415</v>
      </c>
      <c r="N12" s="819">
        <f t="shared" si="2"/>
        <v>364</v>
      </c>
      <c r="O12" s="819">
        <f t="shared" si="3"/>
        <v>54</v>
      </c>
      <c r="P12" s="819">
        <f t="shared" si="10"/>
        <v>17</v>
      </c>
      <c r="Q12" s="819">
        <f t="shared" si="11"/>
        <v>661</v>
      </c>
      <c r="R12" s="819">
        <f t="shared" si="12"/>
        <v>1333</v>
      </c>
      <c r="S12" s="819">
        <f t="shared" si="13"/>
        <v>338</v>
      </c>
      <c r="T12" s="819">
        <f t="shared" si="14"/>
        <v>32</v>
      </c>
      <c r="U12" s="819">
        <f t="shared" si="15"/>
        <v>2381</v>
      </c>
      <c r="V12" s="819">
        <f t="shared" si="16"/>
        <v>228</v>
      </c>
      <c r="W12" s="818">
        <f t="shared" si="17"/>
        <v>228</v>
      </c>
      <c r="X12" s="689" t="str">
        <f t="shared" si="18"/>
        <v/>
      </c>
      <c r="Y12" s="677"/>
      <c r="Z12" s="686"/>
      <c r="AA12" s="838"/>
      <c r="AB12" s="840"/>
      <c r="AE12" s="914" t="str">
        <f>C3</f>
        <v>The Kraft Heinz Company</v>
      </c>
      <c r="AF12" s="450">
        <v>1000000</v>
      </c>
      <c r="AG12" s="450">
        <f ca="1">OP!C21</f>
        <v>1183599000</v>
      </c>
      <c r="AH12" s="1186">
        <f>-'Fin. Data'!B58*SARD!AF12+'Fin. Data'!B39*SARD!AF12</f>
        <v>-18632000000</v>
      </c>
      <c r="AI12" s="1187"/>
      <c r="AJ12" s="674">
        <f ca="1">AH9*'Fin. Data'!B23*AF$12/AG$12</f>
        <v>0</v>
      </c>
      <c r="AK12" s="674">
        <f ca="1">AI9*'Fin. Data'!B64*AF$12/AG$12</f>
        <v>0</v>
      </c>
      <c r="AL12" s="691">
        <f ca="1">AJ9*'Fin. Data'!B5*AF$12/AG$12</f>
        <v>12.604268844431266</v>
      </c>
      <c r="AM12" s="674">
        <f ca="1">(AK9*'Fin. Data'!B5*$AF12+$AH12)/$AG12</f>
        <v>-3.5877015779837595</v>
      </c>
      <c r="AN12" s="674">
        <f ca="1">(AL9*'Fin. Data'!B19*$AF12+$AH12)/$AG12</f>
        <v>69.170724206424651</v>
      </c>
    </row>
    <row r="13" spans="1:41" ht="18">
      <c r="B13" s="819" t="s">
        <v>368</v>
      </c>
      <c r="C13" s="819" t="s">
        <v>369</v>
      </c>
      <c r="D13" s="379" t="s">
        <v>336</v>
      </c>
      <c r="E13" s="818" t="s">
        <v>337</v>
      </c>
      <c r="F13" s="820">
        <v>8.9201301429999997</v>
      </c>
      <c r="G13" s="821">
        <v>-1.120473305</v>
      </c>
      <c r="H13" s="822">
        <v>66384467.100000001</v>
      </c>
      <c r="I13" s="819">
        <v>-0.26</v>
      </c>
      <c r="J13" s="820">
        <v>-0.29687240500000001</v>
      </c>
      <c r="K13" s="819">
        <f t="shared" si="8"/>
        <v>816</v>
      </c>
      <c r="L13" s="819">
        <f t="shared" si="9"/>
        <v>1302</v>
      </c>
      <c r="M13" s="819">
        <f t="shared" si="1"/>
        <v>816</v>
      </c>
      <c r="N13" s="819">
        <f t="shared" si="2"/>
        <v>380</v>
      </c>
      <c r="O13" s="819">
        <f t="shared" si="3"/>
        <v>1774</v>
      </c>
      <c r="P13" s="819">
        <f t="shared" si="10"/>
        <v>582</v>
      </c>
      <c r="Q13" s="819">
        <f t="shared" si="11"/>
        <v>879</v>
      </c>
      <c r="R13" s="819">
        <f t="shared" si="12"/>
        <v>734</v>
      </c>
      <c r="S13" s="819">
        <f t="shared" si="13"/>
        <v>354</v>
      </c>
      <c r="T13" s="819">
        <f t="shared" si="14"/>
        <v>1752</v>
      </c>
      <c r="U13" s="819">
        <f t="shared" si="15"/>
        <v>4301</v>
      </c>
      <c r="V13" s="819">
        <f t="shared" si="16"/>
        <v>1765</v>
      </c>
      <c r="W13" s="818">
        <f t="shared" si="17"/>
        <v>1765</v>
      </c>
      <c r="X13" s="689" t="str">
        <f t="shared" si="18"/>
        <v/>
      </c>
      <c r="Y13" s="677"/>
      <c r="Z13" s="686"/>
      <c r="AA13" s="838"/>
      <c r="AB13" s="841"/>
      <c r="AE13" s="1180" t="s">
        <v>370</v>
      </c>
      <c r="AF13" s="1181"/>
      <c r="AG13" s="1182"/>
      <c r="AH13" s="1182"/>
      <c r="AI13" s="1181"/>
      <c r="AJ13" s="1183">
        <f ca="1">AVERAGE(AJ12:AL12)</f>
        <v>4.2014229481437555</v>
      </c>
      <c r="AK13" s="1183"/>
      <c r="AL13" s="1183"/>
      <c r="AM13" s="1183">
        <f ca="1">AVERAGE(AM12:AN12)</f>
        <v>32.791511314220443</v>
      </c>
      <c r="AN13" s="1183"/>
    </row>
    <row r="14" spans="1:41" ht="18.75" customHeight="1">
      <c r="B14" s="819" t="s">
        <v>371</v>
      </c>
      <c r="C14" s="819" t="s">
        <v>372</v>
      </c>
      <c r="D14" s="379" t="s">
        <v>336</v>
      </c>
      <c r="E14" s="818" t="s">
        <v>373</v>
      </c>
      <c r="F14" s="820">
        <v>1.141372075</v>
      </c>
      <c r="G14" s="821">
        <v>5.6982647870000003</v>
      </c>
      <c r="H14" s="822">
        <v>259724377.146465</v>
      </c>
      <c r="I14" s="819"/>
      <c r="J14" s="820">
        <v>1.5564915E-2</v>
      </c>
      <c r="K14" s="819">
        <f t="shared" si="8"/>
        <v>506</v>
      </c>
      <c r="L14" s="819">
        <f t="shared" si="9"/>
        <v>337</v>
      </c>
      <c r="M14" s="819">
        <f t="shared" si="1"/>
        <v>506</v>
      </c>
      <c r="N14" s="819">
        <f t="shared" si="2"/>
        <v>364</v>
      </c>
      <c r="O14" s="819">
        <f t="shared" si="3"/>
        <v>129</v>
      </c>
      <c r="P14" s="819">
        <f t="shared" si="10"/>
        <v>892</v>
      </c>
      <c r="Q14" s="819">
        <f t="shared" si="11"/>
        <v>86</v>
      </c>
      <c r="R14" s="819">
        <f t="shared" si="12"/>
        <v>424</v>
      </c>
      <c r="S14" s="819">
        <f t="shared" si="13"/>
        <v>338</v>
      </c>
      <c r="T14" s="819">
        <f t="shared" si="14"/>
        <v>107</v>
      </c>
      <c r="U14" s="819">
        <f t="shared" si="15"/>
        <v>1847</v>
      </c>
      <c r="V14" s="819">
        <f t="shared" si="16"/>
        <v>128</v>
      </c>
      <c r="W14" s="818">
        <f t="shared" si="17"/>
        <v>128</v>
      </c>
      <c r="X14" s="689" t="str">
        <f t="shared" si="18"/>
        <v/>
      </c>
      <c r="Y14" s="677"/>
      <c r="Z14" s="686"/>
      <c r="AA14" s="838"/>
      <c r="AB14" s="841"/>
      <c r="AE14" s="1175" t="s">
        <v>122</v>
      </c>
      <c r="AF14" s="1176"/>
      <c r="AG14" s="1176"/>
      <c r="AH14" s="1176"/>
      <c r="AI14" s="1177"/>
      <c r="AJ14" s="1178">
        <f ca="1">AJ13/OP!C20-1</f>
        <v>-0.8409756643397519</v>
      </c>
      <c r="AK14" s="1179"/>
      <c r="AL14" s="1179"/>
      <c r="AM14" s="1179">
        <f ca="1">AM13/OP!C20-1</f>
        <v>0.2411624267305239</v>
      </c>
      <c r="AN14" s="1179"/>
    </row>
    <row r="15" spans="1:41" ht="13.15">
      <c r="B15" s="819" t="s">
        <v>374</v>
      </c>
      <c r="C15" s="819" t="s">
        <v>375</v>
      </c>
      <c r="D15" s="379" t="s">
        <v>336</v>
      </c>
      <c r="E15" s="818" t="s">
        <v>373</v>
      </c>
      <c r="F15" s="820">
        <v>13.03169477</v>
      </c>
      <c r="G15" s="821">
        <v>2.2792994640000002</v>
      </c>
      <c r="H15" s="822">
        <v>96477272.727272704</v>
      </c>
      <c r="I15" s="819"/>
      <c r="J15" s="820">
        <v>0.42530733300000001</v>
      </c>
      <c r="K15" s="819">
        <f t="shared" si="8"/>
        <v>730</v>
      </c>
      <c r="L15" s="819">
        <f t="shared" si="9"/>
        <v>635</v>
      </c>
      <c r="M15" s="819">
        <f t="shared" si="1"/>
        <v>730</v>
      </c>
      <c r="N15" s="819">
        <f t="shared" si="2"/>
        <v>364</v>
      </c>
      <c r="O15" s="819">
        <f t="shared" si="3"/>
        <v>11</v>
      </c>
      <c r="P15" s="819">
        <f t="shared" si="10"/>
        <v>668</v>
      </c>
      <c r="Q15" s="819">
        <f t="shared" si="11"/>
        <v>212</v>
      </c>
      <c r="R15" s="819">
        <f t="shared" si="12"/>
        <v>648</v>
      </c>
      <c r="S15" s="819">
        <f t="shared" si="13"/>
        <v>338</v>
      </c>
      <c r="T15" s="819">
        <f t="shared" si="14"/>
        <v>11</v>
      </c>
      <c r="U15" s="819">
        <f t="shared" si="15"/>
        <v>1877</v>
      </c>
      <c r="V15" s="819">
        <f t="shared" si="16"/>
        <v>138</v>
      </c>
      <c r="W15" s="818">
        <f t="shared" si="17"/>
        <v>138</v>
      </c>
      <c r="X15" s="689" t="str">
        <f t="shared" si="18"/>
        <v/>
      </c>
      <c r="Y15" s="677"/>
      <c r="Z15" s="686"/>
      <c r="AA15" s="838"/>
      <c r="AB15" s="839"/>
      <c r="AC15" s="690"/>
      <c r="AD15" s="690"/>
      <c r="AE15" s="690"/>
      <c r="AF15" s="690"/>
      <c r="AG15" s="690"/>
      <c r="AH15" s="690"/>
      <c r="AI15" s="690"/>
      <c r="AJ15" s="690"/>
      <c r="AK15" s="690"/>
      <c r="AL15" s="690"/>
    </row>
    <row r="16" spans="1:41" ht="13.15">
      <c r="B16" s="819" t="s">
        <v>376</v>
      </c>
      <c r="C16" s="819" t="s">
        <v>377</v>
      </c>
      <c r="D16" s="379" t="s">
        <v>336</v>
      </c>
      <c r="E16" s="818" t="s">
        <v>378</v>
      </c>
      <c r="F16" s="820">
        <v>0.29627756799999999</v>
      </c>
      <c r="G16" s="821">
        <v>-6.3103091669999998</v>
      </c>
      <c r="H16" s="822">
        <v>95247472.641980395</v>
      </c>
      <c r="I16" s="819"/>
      <c r="J16" s="820">
        <v>-0.16460503700000001</v>
      </c>
      <c r="K16" s="819">
        <f t="shared" si="8"/>
        <v>735</v>
      </c>
      <c r="L16" s="819">
        <f t="shared" si="9"/>
        <v>1424</v>
      </c>
      <c r="M16" s="819">
        <f t="shared" si="1"/>
        <v>735</v>
      </c>
      <c r="N16" s="819">
        <f t="shared" si="2"/>
        <v>364</v>
      </c>
      <c r="O16" s="819">
        <f t="shared" si="3"/>
        <v>1761</v>
      </c>
      <c r="P16" s="819">
        <f t="shared" si="10"/>
        <v>663</v>
      </c>
      <c r="Q16" s="819">
        <f t="shared" si="11"/>
        <v>1001</v>
      </c>
      <c r="R16" s="819">
        <f t="shared" si="12"/>
        <v>653</v>
      </c>
      <c r="S16" s="819">
        <f t="shared" si="13"/>
        <v>338</v>
      </c>
      <c r="T16" s="819">
        <f t="shared" si="14"/>
        <v>1739</v>
      </c>
      <c r="U16" s="819">
        <f t="shared" si="15"/>
        <v>4394</v>
      </c>
      <c r="V16" s="819">
        <f t="shared" si="16"/>
        <v>1779</v>
      </c>
      <c r="W16" s="818">
        <f t="shared" si="17"/>
        <v>1779</v>
      </c>
      <c r="X16" s="689" t="str">
        <f t="shared" si="18"/>
        <v/>
      </c>
      <c r="Y16" s="677"/>
      <c r="Z16" s="686"/>
      <c r="AA16" s="838"/>
      <c r="AB16" s="839"/>
      <c r="AC16" s="690"/>
      <c r="AD16" s="690"/>
    </row>
    <row r="17" spans="2:28" ht="13.15">
      <c r="B17" s="819" t="s">
        <v>379</v>
      </c>
      <c r="C17" s="819" t="s">
        <v>380</v>
      </c>
      <c r="D17" s="379" t="s">
        <v>336</v>
      </c>
      <c r="E17" s="818" t="s">
        <v>373</v>
      </c>
      <c r="F17" s="820">
        <v>0.501057949</v>
      </c>
      <c r="G17" s="821">
        <v>0.27463224000000003</v>
      </c>
      <c r="H17" s="822">
        <v>438154072.72727299</v>
      </c>
      <c r="I17" s="819"/>
      <c r="J17" s="820">
        <v>0.15340013399999999</v>
      </c>
      <c r="K17" s="819">
        <f t="shared" si="8"/>
        <v>384</v>
      </c>
      <c r="L17" s="819">
        <f t="shared" si="9"/>
        <v>967</v>
      </c>
      <c r="M17" s="819">
        <f t="shared" si="1"/>
        <v>384</v>
      </c>
      <c r="N17" s="819">
        <f t="shared" si="2"/>
        <v>364</v>
      </c>
      <c r="O17" s="819">
        <f t="shared" si="3"/>
        <v>27</v>
      </c>
      <c r="P17" s="819">
        <f t="shared" si="10"/>
        <v>1014</v>
      </c>
      <c r="Q17" s="819">
        <f t="shared" si="11"/>
        <v>544</v>
      </c>
      <c r="R17" s="819">
        <f t="shared" si="12"/>
        <v>302</v>
      </c>
      <c r="S17" s="819">
        <f t="shared" si="13"/>
        <v>338</v>
      </c>
      <c r="T17" s="819">
        <f t="shared" si="14"/>
        <v>5</v>
      </c>
      <c r="U17" s="819">
        <f t="shared" si="15"/>
        <v>2203</v>
      </c>
      <c r="V17" s="819">
        <f t="shared" si="16"/>
        <v>206</v>
      </c>
      <c r="W17" s="818">
        <f t="shared" si="17"/>
        <v>206</v>
      </c>
      <c r="X17" s="689" t="str">
        <f t="shared" si="18"/>
        <v/>
      </c>
      <c r="Y17" s="677"/>
      <c r="Z17" s="686"/>
      <c r="AA17" s="838"/>
      <c r="AB17" s="839"/>
    </row>
    <row r="18" spans="2:28" ht="13.15">
      <c r="B18" s="819" t="s">
        <v>381</v>
      </c>
      <c r="C18" s="819" t="s">
        <v>382</v>
      </c>
      <c r="D18" s="379" t="s">
        <v>336</v>
      </c>
      <c r="E18" s="818" t="s">
        <v>367</v>
      </c>
      <c r="F18" s="820">
        <v>2.7542661229999998</v>
      </c>
      <c r="G18" s="821">
        <v>0.433530941</v>
      </c>
      <c r="H18" s="822">
        <v>496843268.98326898</v>
      </c>
      <c r="I18" s="819"/>
      <c r="J18" s="820">
        <v>0.10761739400000001</v>
      </c>
      <c r="K18" s="819">
        <f t="shared" si="8"/>
        <v>350</v>
      </c>
      <c r="L18" s="819">
        <f t="shared" si="9"/>
        <v>939</v>
      </c>
      <c r="M18" s="819">
        <f t="shared" si="1"/>
        <v>350</v>
      </c>
      <c r="N18" s="819">
        <f t="shared" si="2"/>
        <v>364</v>
      </c>
      <c r="O18" s="819">
        <f t="shared" si="3"/>
        <v>40</v>
      </c>
      <c r="P18" s="819">
        <f t="shared" si="10"/>
        <v>1048</v>
      </c>
      <c r="Q18" s="819">
        <f t="shared" si="11"/>
        <v>516</v>
      </c>
      <c r="R18" s="819">
        <f t="shared" si="12"/>
        <v>268</v>
      </c>
      <c r="S18" s="819">
        <f t="shared" si="13"/>
        <v>338</v>
      </c>
      <c r="T18" s="819">
        <f t="shared" si="14"/>
        <v>18</v>
      </c>
      <c r="U18" s="819">
        <f t="shared" si="15"/>
        <v>2188</v>
      </c>
      <c r="V18" s="819">
        <f t="shared" si="16"/>
        <v>202</v>
      </c>
      <c r="W18" s="818">
        <f t="shared" si="17"/>
        <v>202</v>
      </c>
      <c r="X18" s="689" t="str">
        <f t="shared" si="18"/>
        <v/>
      </c>
      <c r="Y18" s="677"/>
      <c r="Z18" s="686"/>
      <c r="AA18" s="838"/>
      <c r="AB18" s="839"/>
    </row>
    <row r="19" spans="2:28" ht="13.15">
      <c r="B19" s="819" t="s">
        <v>383</v>
      </c>
      <c r="C19" s="819" t="s">
        <v>384</v>
      </c>
      <c r="D19" s="379" t="s">
        <v>336</v>
      </c>
      <c r="E19" s="818" t="s">
        <v>378</v>
      </c>
      <c r="F19" s="820">
        <v>1.837172636</v>
      </c>
      <c r="G19" s="821">
        <v>4.6056907000000001E-2</v>
      </c>
      <c r="H19" s="822">
        <v>280336821.457371</v>
      </c>
      <c r="I19" s="819"/>
      <c r="J19" s="820">
        <v>4.1454926000000003E-2</v>
      </c>
      <c r="K19" s="819">
        <f t="shared" si="8"/>
        <v>488</v>
      </c>
      <c r="L19" s="819">
        <f t="shared" si="9"/>
        <v>1045</v>
      </c>
      <c r="M19" s="819">
        <f t="shared" si="1"/>
        <v>488</v>
      </c>
      <c r="N19" s="819">
        <f t="shared" si="2"/>
        <v>364</v>
      </c>
      <c r="O19" s="819">
        <f t="shared" si="3"/>
        <v>104</v>
      </c>
      <c r="P19" s="819">
        <f t="shared" si="10"/>
        <v>910</v>
      </c>
      <c r="Q19" s="819">
        <f t="shared" si="11"/>
        <v>622</v>
      </c>
      <c r="R19" s="819">
        <f t="shared" si="12"/>
        <v>406</v>
      </c>
      <c r="S19" s="819">
        <f t="shared" si="13"/>
        <v>338</v>
      </c>
      <c r="T19" s="819">
        <f t="shared" si="14"/>
        <v>82</v>
      </c>
      <c r="U19" s="819">
        <f t="shared" si="15"/>
        <v>2358</v>
      </c>
      <c r="V19" s="819">
        <f t="shared" si="16"/>
        <v>226</v>
      </c>
      <c r="W19" s="818">
        <f t="shared" si="17"/>
        <v>226</v>
      </c>
      <c r="X19" s="689" t="str">
        <f t="shared" si="18"/>
        <v/>
      </c>
      <c r="Y19" s="677"/>
      <c r="Z19" s="686"/>
      <c r="AA19" s="838"/>
      <c r="AB19" s="839"/>
    </row>
    <row r="20" spans="2:28" ht="13.15">
      <c r="B20" s="819" t="s">
        <v>385</v>
      </c>
      <c r="C20" s="819" t="s">
        <v>386</v>
      </c>
      <c r="D20" s="379" t="s">
        <v>336</v>
      </c>
      <c r="E20" s="818" t="s">
        <v>373</v>
      </c>
      <c r="F20" s="820">
        <v>2.3465044260000001</v>
      </c>
      <c r="G20" s="821">
        <v>7.7829843539999999</v>
      </c>
      <c r="H20" s="822">
        <v>174712392.79250801</v>
      </c>
      <c r="I20" s="819">
        <v>0.02</v>
      </c>
      <c r="J20" s="820">
        <v>0.16314167399999999</v>
      </c>
      <c r="K20" s="819">
        <f t="shared" si="8"/>
        <v>604</v>
      </c>
      <c r="L20" s="819">
        <f t="shared" si="9"/>
        <v>260</v>
      </c>
      <c r="M20" s="819">
        <f t="shared" si="1"/>
        <v>604</v>
      </c>
      <c r="N20" s="819">
        <f t="shared" si="2"/>
        <v>337</v>
      </c>
      <c r="O20" s="819">
        <f t="shared" si="3"/>
        <v>25</v>
      </c>
      <c r="P20" s="819">
        <f t="shared" si="10"/>
        <v>794</v>
      </c>
      <c r="Q20" s="819">
        <f t="shared" si="11"/>
        <v>163</v>
      </c>
      <c r="R20" s="819">
        <f t="shared" si="12"/>
        <v>522</v>
      </c>
      <c r="S20" s="819">
        <f t="shared" si="13"/>
        <v>311</v>
      </c>
      <c r="T20" s="819">
        <f t="shared" si="14"/>
        <v>3</v>
      </c>
      <c r="U20" s="819">
        <f t="shared" si="15"/>
        <v>1793</v>
      </c>
      <c r="V20" s="819">
        <f t="shared" si="16"/>
        <v>112</v>
      </c>
      <c r="W20" s="818">
        <f t="shared" si="17"/>
        <v>112</v>
      </c>
      <c r="X20" s="689" t="str">
        <f t="shared" si="18"/>
        <v/>
      </c>
      <c r="Y20" s="677"/>
      <c r="Z20" s="686"/>
      <c r="AA20" s="838"/>
      <c r="AB20" s="839"/>
    </row>
    <row r="21" spans="2:28" ht="13.15">
      <c r="B21" s="819" t="s">
        <v>387</v>
      </c>
      <c r="C21" s="819" t="s">
        <v>388</v>
      </c>
      <c r="D21" s="379" t="s">
        <v>336</v>
      </c>
      <c r="E21" s="818" t="s">
        <v>373</v>
      </c>
      <c r="F21" s="820">
        <v>0.942122864</v>
      </c>
      <c r="G21" s="821">
        <v>2.2269332839999998</v>
      </c>
      <c r="H21" s="822">
        <v>34433839.461279497</v>
      </c>
      <c r="I21" s="819"/>
      <c r="J21" s="820">
        <v>0.20237508700000001</v>
      </c>
      <c r="K21" s="819">
        <f t="shared" si="8"/>
        <v>960</v>
      </c>
      <c r="L21" s="819">
        <f t="shared" si="9"/>
        <v>642</v>
      </c>
      <c r="M21" s="819">
        <f t="shared" si="1"/>
        <v>960</v>
      </c>
      <c r="N21" s="819">
        <f t="shared" si="2"/>
        <v>364</v>
      </c>
      <c r="O21" s="819">
        <f t="shared" si="3"/>
        <v>17</v>
      </c>
      <c r="P21" s="819">
        <f t="shared" si="10"/>
        <v>438</v>
      </c>
      <c r="Q21" s="819">
        <f t="shared" si="11"/>
        <v>219</v>
      </c>
      <c r="R21" s="819">
        <f t="shared" si="12"/>
        <v>878</v>
      </c>
      <c r="S21" s="819">
        <f t="shared" si="13"/>
        <v>338</v>
      </c>
      <c r="T21" s="819">
        <f t="shared" si="14"/>
        <v>5</v>
      </c>
      <c r="U21" s="819">
        <f t="shared" si="15"/>
        <v>1878</v>
      </c>
      <c r="V21" s="819">
        <f t="shared" si="16"/>
        <v>141</v>
      </c>
      <c r="W21" s="818">
        <f t="shared" si="17"/>
        <v>141</v>
      </c>
      <c r="X21" s="689" t="str">
        <f t="shared" si="18"/>
        <v/>
      </c>
      <c r="Y21" s="677"/>
      <c r="Z21" s="686"/>
      <c r="AA21" s="838"/>
      <c r="AB21" s="839"/>
    </row>
    <row r="22" spans="2:28" ht="13.15">
      <c r="B22" s="819" t="s">
        <v>389</v>
      </c>
      <c r="C22" s="819" t="s">
        <v>390</v>
      </c>
      <c r="D22" s="379" t="s">
        <v>336</v>
      </c>
      <c r="E22" s="818" t="s">
        <v>373</v>
      </c>
      <c r="F22" s="820">
        <v>0.210810738</v>
      </c>
      <c r="G22" s="821">
        <v>4.1680483400000004</v>
      </c>
      <c r="H22" s="822">
        <v>4753971201.8771</v>
      </c>
      <c r="I22" s="819">
        <v>0.25</v>
      </c>
      <c r="J22" s="820">
        <v>1.0361334E-2</v>
      </c>
      <c r="K22" s="819">
        <f t="shared" si="8"/>
        <v>78</v>
      </c>
      <c r="L22" s="819">
        <f t="shared" si="9"/>
        <v>437</v>
      </c>
      <c r="M22" s="819">
        <f t="shared" si="1"/>
        <v>78</v>
      </c>
      <c r="N22" s="819">
        <f t="shared" si="2"/>
        <v>206</v>
      </c>
      <c r="O22" s="819">
        <f t="shared" si="3"/>
        <v>134</v>
      </c>
      <c r="P22" s="819">
        <f t="shared" si="10"/>
        <v>1320</v>
      </c>
      <c r="Q22" s="819">
        <f t="shared" si="11"/>
        <v>14</v>
      </c>
      <c r="R22" s="819">
        <f t="shared" si="12"/>
        <v>4</v>
      </c>
      <c r="S22" s="819">
        <f t="shared" si="13"/>
        <v>180</v>
      </c>
      <c r="T22" s="819">
        <f t="shared" si="14"/>
        <v>112</v>
      </c>
      <c r="U22" s="819">
        <f t="shared" si="15"/>
        <v>1630</v>
      </c>
      <c r="V22" s="819">
        <f t="shared" si="16"/>
        <v>74</v>
      </c>
      <c r="W22" s="818">
        <f t="shared" si="17"/>
        <v>74</v>
      </c>
      <c r="X22" s="689" t="str">
        <f t="shared" si="18"/>
        <v/>
      </c>
      <c r="Y22" s="677"/>
      <c r="Z22" s="686"/>
      <c r="AA22" s="838"/>
      <c r="AB22" s="839"/>
    </row>
    <row r="23" spans="2:28" ht="13.15">
      <c r="B23" s="819" t="s">
        <v>391</v>
      </c>
      <c r="C23" s="819" t="s">
        <v>392</v>
      </c>
      <c r="D23" s="379" t="s">
        <v>336</v>
      </c>
      <c r="E23" s="818" t="s">
        <v>367</v>
      </c>
      <c r="F23" s="820"/>
      <c r="G23" s="821"/>
      <c r="H23" s="822">
        <v>23902590.518210702</v>
      </c>
      <c r="I23" s="819"/>
      <c r="J23" s="820">
        <v>0</v>
      </c>
      <c r="K23" s="819">
        <f t="shared" si="8"/>
        <v>1061</v>
      </c>
      <c r="L23" s="819">
        <f t="shared" si="9"/>
        <v>1084</v>
      </c>
      <c r="M23" s="819">
        <f t="shared" si="1"/>
        <v>1061</v>
      </c>
      <c r="N23" s="819">
        <f t="shared" si="2"/>
        <v>364</v>
      </c>
      <c r="O23" s="819">
        <f t="shared" si="3"/>
        <v>492</v>
      </c>
      <c r="P23" s="819">
        <f t="shared" si="10"/>
        <v>337</v>
      </c>
      <c r="Q23" s="819">
        <f t="shared" si="11"/>
        <v>661</v>
      </c>
      <c r="R23" s="819">
        <f t="shared" si="12"/>
        <v>979</v>
      </c>
      <c r="S23" s="819">
        <f t="shared" si="13"/>
        <v>338</v>
      </c>
      <c r="T23" s="819">
        <f t="shared" si="14"/>
        <v>470</v>
      </c>
      <c r="U23" s="819">
        <f t="shared" si="15"/>
        <v>2785</v>
      </c>
      <c r="V23" s="819">
        <f t="shared" si="16"/>
        <v>463</v>
      </c>
      <c r="W23" s="818">
        <f t="shared" si="17"/>
        <v>463</v>
      </c>
      <c r="X23" s="689" t="str">
        <f t="shared" si="18"/>
        <v/>
      </c>
      <c r="Y23" s="677"/>
      <c r="Z23" s="686"/>
      <c r="AA23" s="838"/>
      <c r="AB23" s="839"/>
    </row>
    <row r="24" spans="2:28" ht="13.15">
      <c r="B24" s="819" t="s">
        <v>393</v>
      </c>
      <c r="C24" s="819" t="s">
        <v>394</v>
      </c>
      <c r="D24" s="379" t="s">
        <v>336</v>
      </c>
      <c r="E24" s="818" t="s">
        <v>337</v>
      </c>
      <c r="F24" s="820">
        <v>3.7660140470000001</v>
      </c>
      <c r="G24" s="821">
        <v>6.1690634580000001</v>
      </c>
      <c r="H24" s="822">
        <v>5278217850</v>
      </c>
      <c r="I24" s="819">
        <v>1.23</v>
      </c>
      <c r="J24" s="820">
        <v>3.6197595999999999E-2</v>
      </c>
      <c r="K24" s="819">
        <f t="shared" si="8"/>
        <v>73</v>
      </c>
      <c r="L24" s="819">
        <f t="shared" si="9"/>
        <v>315</v>
      </c>
      <c r="M24" s="819">
        <f t="shared" si="1"/>
        <v>73</v>
      </c>
      <c r="N24" s="819">
        <f t="shared" si="2"/>
        <v>111</v>
      </c>
      <c r="O24" s="819">
        <f t="shared" si="3"/>
        <v>108</v>
      </c>
      <c r="P24" s="819">
        <f t="shared" si="10"/>
        <v>1325</v>
      </c>
      <c r="Q24" s="819">
        <f t="shared" si="11"/>
        <v>108</v>
      </c>
      <c r="R24" s="819">
        <f t="shared" si="12"/>
        <v>9</v>
      </c>
      <c r="S24" s="819">
        <f t="shared" si="13"/>
        <v>85</v>
      </c>
      <c r="T24" s="819">
        <f t="shared" si="14"/>
        <v>86</v>
      </c>
      <c r="U24" s="819">
        <f t="shared" si="15"/>
        <v>1613</v>
      </c>
      <c r="V24" s="819">
        <f t="shared" si="16"/>
        <v>72</v>
      </c>
      <c r="W24" s="818">
        <f t="shared" si="17"/>
        <v>72</v>
      </c>
      <c r="X24" s="689" t="str">
        <f t="shared" si="18"/>
        <v/>
      </c>
      <c r="Y24" s="677"/>
      <c r="Z24" s="686"/>
      <c r="AA24" s="838"/>
      <c r="AB24" s="839"/>
    </row>
    <row r="25" spans="2:28" ht="13.15">
      <c r="B25" s="819" t="s">
        <v>395</v>
      </c>
      <c r="C25" s="819" t="s">
        <v>396</v>
      </c>
      <c r="D25" s="379" t="s">
        <v>336</v>
      </c>
      <c r="E25" s="818" t="s">
        <v>367</v>
      </c>
      <c r="F25" s="820">
        <v>10.66778478</v>
      </c>
      <c r="G25" s="821">
        <v>2.3764990999999999E-2</v>
      </c>
      <c r="H25" s="822">
        <v>203680913.26743701</v>
      </c>
      <c r="I25" s="819"/>
      <c r="J25" s="820">
        <v>8.6333991999999998E-2</v>
      </c>
      <c r="K25" s="819">
        <f t="shared" si="8"/>
        <v>564</v>
      </c>
      <c r="L25" s="819">
        <f t="shared" si="9"/>
        <v>1057</v>
      </c>
      <c r="M25" s="819">
        <f t="shared" si="1"/>
        <v>564</v>
      </c>
      <c r="N25" s="819">
        <f t="shared" si="2"/>
        <v>364</v>
      </c>
      <c r="O25" s="819">
        <f t="shared" si="3"/>
        <v>57</v>
      </c>
      <c r="P25" s="819">
        <f t="shared" si="10"/>
        <v>834</v>
      </c>
      <c r="Q25" s="819">
        <f t="shared" si="11"/>
        <v>634</v>
      </c>
      <c r="R25" s="819">
        <f t="shared" si="12"/>
        <v>482</v>
      </c>
      <c r="S25" s="819">
        <f t="shared" si="13"/>
        <v>338</v>
      </c>
      <c r="T25" s="819">
        <f t="shared" si="14"/>
        <v>35</v>
      </c>
      <c r="U25" s="819">
        <f t="shared" si="15"/>
        <v>2323</v>
      </c>
      <c r="V25" s="819">
        <f t="shared" si="16"/>
        <v>221</v>
      </c>
      <c r="W25" s="818">
        <f t="shared" si="17"/>
        <v>221</v>
      </c>
      <c r="X25" s="689" t="str">
        <f t="shared" si="18"/>
        <v/>
      </c>
      <c r="Y25" s="677"/>
      <c r="Z25" s="686"/>
      <c r="AA25" s="838"/>
      <c r="AB25" s="839"/>
    </row>
    <row r="26" spans="2:28" ht="13.15">
      <c r="B26" s="819" t="s">
        <v>397</v>
      </c>
      <c r="C26" s="819" t="s">
        <v>398</v>
      </c>
      <c r="D26" s="379" t="s">
        <v>336</v>
      </c>
      <c r="E26" s="818" t="s">
        <v>367</v>
      </c>
      <c r="F26" s="820">
        <v>2.4725499690000001</v>
      </c>
      <c r="G26" s="821">
        <v>0</v>
      </c>
      <c r="H26" s="822">
        <v>2857142.8571428601</v>
      </c>
      <c r="I26" s="819"/>
      <c r="J26" s="820">
        <v>2.8665930000000002E-3</v>
      </c>
      <c r="K26" s="819">
        <f t="shared" si="8"/>
        <v>1453</v>
      </c>
      <c r="L26" s="819">
        <f t="shared" si="9"/>
        <v>1084</v>
      </c>
      <c r="M26" s="819">
        <f t="shared" si="1"/>
        <v>1453</v>
      </c>
      <c r="N26" s="819">
        <f t="shared" si="2"/>
        <v>364</v>
      </c>
      <c r="O26" s="819">
        <f t="shared" si="3"/>
        <v>157</v>
      </c>
      <c r="P26" s="819">
        <f t="shared" si="10"/>
        <v>55</v>
      </c>
      <c r="Q26" s="819">
        <f t="shared" si="11"/>
        <v>661</v>
      </c>
      <c r="R26" s="819">
        <f t="shared" si="12"/>
        <v>1371</v>
      </c>
      <c r="S26" s="819">
        <f t="shared" si="13"/>
        <v>338</v>
      </c>
      <c r="T26" s="819">
        <f t="shared" si="14"/>
        <v>135</v>
      </c>
      <c r="U26" s="819">
        <f t="shared" si="15"/>
        <v>2560</v>
      </c>
      <c r="V26" s="819">
        <f t="shared" si="16"/>
        <v>269</v>
      </c>
      <c r="W26" s="818">
        <f t="shared" si="17"/>
        <v>269</v>
      </c>
      <c r="X26" s="689" t="str">
        <f t="shared" si="18"/>
        <v/>
      </c>
      <c r="Y26" s="677"/>
      <c r="Z26" s="686"/>
      <c r="AA26" s="838"/>
      <c r="AB26" s="839"/>
    </row>
    <row r="27" spans="2:28" ht="13.15">
      <c r="B27" s="819" t="s">
        <v>399</v>
      </c>
      <c r="C27" s="819" t="s">
        <v>400</v>
      </c>
      <c r="D27" s="379" t="s">
        <v>336</v>
      </c>
      <c r="E27" s="818" t="s">
        <v>367</v>
      </c>
      <c r="F27" s="820">
        <v>7.1801086610000002</v>
      </c>
      <c r="G27" s="821">
        <v>3.5716491050000001</v>
      </c>
      <c r="H27" s="822">
        <v>64564564.564564601</v>
      </c>
      <c r="I27" s="819"/>
      <c r="J27" s="820">
        <v>2.0034184E-2</v>
      </c>
      <c r="K27" s="819">
        <f t="shared" si="8"/>
        <v>822</v>
      </c>
      <c r="L27" s="819">
        <f t="shared" si="9"/>
        <v>492</v>
      </c>
      <c r="M27" s="819">
        <f t="shared" si="1"/>
        <v>822</v>
      </c>
      <c r="N27" s="819">
        <f t="shared" si="2"/>
        <v>364</v>
      </c>
      <c r="O27" s="819">
        <f t="shared" si="3"/>
        <v>120</v>
      </c>
      <c r="P27" s="819">
        <f t="shared" si="10"/>
        <v>576</v>
      </c>
      <c r="Q27" s="819">
        <f t="shared" si="11"/>
        <v>69</v>
      </c>
      <c r="R27" s="819">
        <f t="shared" si="12"/>
        <v>740</v>
      </c>
      <c r="S27" s="819">
        <f t="shared" si="13"/>
        <v>338</v>
      </c>
      <c r="T27" s="819">
        <f t="shared" si="14"/>
        <v>98</v>
      </c>
      <c r="U27" s="819">
        <f t="shared" si="15"/>
        <v>1821</v>
      </c>
      <c r="V27" s="819">
        <f t="shared" si="16"/>
        <v>122</v>
      </c>
      <c r="W27" s="818">
        <f t="shared" si="17"/>
        <v>122</v>
      </c>
      <c r="X27" s="689" t="str">
        <f t="shared" si="18"/>
        <v/>
      </c>
      <c r="Y27" s="677"/>
      <c r="Z27" s="686"/>
      <c r="AA27" s="838"/>
      <c r="AB27" s="839"/>
    </row>
    <row r="28" spans="2:28" ht="13.15">
      <c r="B28" s="819" t="s">
        <v>401</v>
      </c>
      <c r="C28" s="819" t="s">
        <v>402</v>
      </c>
      <c r="D28" s="379" t="s">
        <v>336</v>
      </c>
      <c r="E28" s="818" t="s">
        <v>367</v>
      </c>
      <c r="F28" s="820">
        <v>1.3364487460000001</v>
      </c>
      <c r="G28" s="821">
        <v>8.6462066000000004E-2</v>
      </c>
      <c r="H28" s="822">
        <v>698696911.19691098</v>
      </c>
      <c r="I28" s="819"/>
      <c r="J28" s="820">
        <v>7.1525216000000003E-2</v>
      </c>
      <c r="K28" s="819">
        <f t="shared" si="8"/>
        <v>285</v>
      </c>
      <c r="L28" s="819">
        <f t="shared" si="9"/>
        <v>1020</v>
      </c>
      <c r="M28" s="819">
        <f t="shared" si="1"/>
        <v>285</v>
      </c>
      <c r="N28" s="819">
        <f t="shared" si="2"/>
        <v>364</v>
      </c>
      <c r="O28" s="819">
        <f t="shared" si="3"/>
        <v>66</v>
      </c>
      <c r="P28" s="819">
        <f t="shared" si="10"/>
        <v>1113</v>
      </c>
      <c r="Q28" s="819">
        <f t="shared" si="11"/>
        <v>597</v>
      </c>
      <c r="R28" s="819">
        <f t="shared" si="12"/>
        <v>203</v>
      </c>
      <c r="S28" s="819">
        <f t="shared" si="13"/>
        <v>338</v>
      </c>
      <c r="T28" s="819">
        <f t="shared" si="14"/>
        <v>44</v>
      </c>
      <c r="U28" s="819">
        <f t="shared" si="15"/>
        <v>2295</v>
      </c>
      <c r="V28" s="819">
        <f t="shared" si="16"/>
        <v>215</v>
      </c>
      <c r="W28" s="818">
        <f t="shared" si="17"/>
        <v>215</v>
      </c>
      <c r="X28" s="689" t="str">
        <f t="shared" si="18"/>
        <v/>
      </c>
      <c r="Y28" s="677"/>
      <c r="Z28" s="686"/>
      <c r="AA28" s="838"/>
      <c r="AB28" s="839"/>
    </row>
    <row r="29" spans="2:28" ht="13.15">
      <c r="B29" s="819" t="s">
        <v>403</v>
      </c>
      <c r="C29" s="819" t="s">
        <v>404</v>
      </c>
      <c r="D29" s="379" t="s">
        <v>336</v>
      </c>
      <c r="E29" s="818" t="s">
        <v>367</v>
      </c>
      <c r="F29" s="820">
        <v>2.9448113349999998</v>
      </c>
      <c r="G29" s="821">
        <v>3.1211375440000002</v>
      </c>
      <c r="H29" s="822">
        <v>2936614882.9608402</v>
      </c>
      <c r="I29" s="819">
        <v>2.77</v>
      </c>
      <c r="J29" s="820">
        <v>0.273833677</v>
      </c>
      <c r="K29" s="819">
        <f t="shared" si="8"/>
        <v>110</v>
      </c>
      <c r="L29" s="819">
        <f t="shared" si="9"/>
        <v>536</v>
      </c>
      <c r="M29" s="819">
        <f t="shared" si="1"/>
        <v>110</v>
      </c>
      <c r="N29" s="819">
        <f t="shared" si="2"/>
        <v>70</v>
      </c>
      <c r="O29" s="819">
        <f t="shared" si="3"/>
        <v>14</v>
      </c>
      <c r="P29" s="819">
        <f t="shared" si="10"/>
        <v>1288</v>
      </c>
      <c r="Q29" s="819">
        <f t="shared" si="11"/>
        <v>113</v>
      </c>
      <c r="R29" s="819">
        <f t="shared" si="12"/>
        <v>28</v>
      </c>
      <c r="S29" s="819">
        <f t="shared" si="13"/>
        <v>44</v>
      </c>
      <c r="T29" s="819">
        <f t="shared" si="14"/>
        <v>8</v>
      </c>
      <c r="U29" s="819">
        <f t="shared" si="15"/>
        <v>1481</v>
      </c>
      <c r="V29" s="819">
        <f t="shared" si="16"/>
        <v>47</v>
      </c>
      <c r="W29" s="818">
        <f t="shared" si="17"/>
        <v>47</v>
      </c>
      <c r="X29" s="689" t="str">
        <f t="shared" si="18"/>
        <v/>
      </c>
      <c r="Y29" s="677"/>
      <c r="Z29" s="686"/>
      <c r="AA29" s="838"/>
      <c r="AB29" s="839"/>
    </row>
    <row r="30" spans="2:28" ht="13.15">
      <c r="B30" s="819" t="s">
        <v>405</v>
      </c>
      <c r="C30" s="819" t="s">
        <v>406</v>
      </c>
      <c r="D30" s="379" t="s">
        <v>336</v>
      </c>
      <c r="E30" s="818" t="s">
        <v>337</v>
      </c>
      <c r="F30" s="820">
        <v>1.922963558</v>
      </c>
      <c r="G30" s="821">
        <v>3.3230852209999999</v>
      </c>
      <c r="H30" s="822">
        <v>39885370105.949997</v>
      </c>
      <c r="I30" s="819">
        <v>4.51</v>
      </c>
      <c r="J30" s="820">
        <v>9.4254887999999995E-2</v>
      </c>
      <c r="K30" s="819">
        <f t="shared" si="8"/>
        <v>6</v>
      </c>
      <c r="L30" s="819">
        <f t="shared" si="9"/>
        <v>524</v>
      </c>
      <c r="M30" s="819">
        <f t="shared" si="1"/>
        <v>6</v>
      </c>
      <c r="N30" s="819">
        <f t="shared" si="2"/>
        <v>50</v>
      </c>
      <c r="O30" s="819">
        <f t="shared" si="3"/>
        <v>46</v>
      </c>
      <c r="P30" s="819">
        <f t="shared" si="10"/>
        <v>1392</v>
      </c>
      <c r="Q30" s="819">
        <f t="shared" si="11"/>
        <v>101</v>
      </c>
      <c r="R30" s="819">
        <f t="shared" si="12"/>
        <v>76</v>
      </c>
      <c r="S30" s="819">
        <f t="shared" si="13"/>
        <v>24</v>
      </c>
      <c r="T30" s="819">
        <f t="shared" si="14"/>
        <v>24</v>
      </c>
      <c r="U30" s="819">
        <f t="shared" si="15"/>
        <v>1617</v>
      </c>
      <c r="V30" s="819">
        <f t="shared" si="16"/>
        <v>73</v>
      </c>
      <c r="W30" s="818">
        <f t="shared" si="17"/>
        <v>73</v>
      </c>
      <c r="X30" s="689" t="str">
        <f t="shared" si="18"/>
        <v/>
      </c>
      <c r="Y30" s="677"/>
      <c r="Z30" s="686"/>
      <c r="AA30" s="838"/>
      <c r="AB30" s="839"/>
    </row>
    <row r="31" spans="2:28" ht="13.15">
      <c r="B31" s="819" t="s">
        <v>407</v>
      </c>
      <c r="C31" s="819" t="s">
        <v>408</v>
      </c>
      <c r="D31" s="379" t="s">
        <v>336</v>
      </c>
      <c r="E31" s="818" t="s">
        <v>409</v>
      </c>
      <c r="F31" s="820">
        <v>3.7374793620000002</v>
      </c>
      <c r="G31" s="821"/>
      <c r="H31" s="822">
        <v>781452317.97299194</v>
      </c>
      <c r="I31" s="819">
        <v>10.220000000000001</v>
      </c>
      <c r="J31" s="820">
        <v>0</v>
      </c>
      <c r="K31" s="819">
        <f t="shared" si="8"/>
        <v>259</v>
      </c>
      <c r="L31" s="819">
        <f t="shared" si="9"/>
        <v>1084</v>
      </c>
      <c r="M31" s="819">
        <f t="shared" si="1"/>
        <v>259</v>
      </c>
      <c r="N31" s="819">
        <f t="shared" si="2"/>
        <v>29</v>
      </c>
      <c r="O31" s="819">
        <f t="shared" si="3"/>
        <v>492</v>
      </c>
      <c r="P31" s="819">
        <f t="shared" si="10"/>
        <v>1139</v>
      </c>
      <c r="Q31" s="819">
        <f t="shared" si="11"/>
        <v>661</v>
      </c>
      <c r="R31" s="819">
        <f t="shared" si="12"/>
        <v>177</v>
      </c>
      <c r="S31" s="819">
        <f t="shared" si="13"/>
        <v>3</v>
      </c>
      <c r="T31" s="819">
        <f t="shared" si="14"/>
        <v>470</v>
      </c>
      <c r="U31" s="819">
        <f t="shared" si="15"/>
        <v>2450</v>
      </c>
      <c r="V31" s="819">
        <f t="shared" si="16"/>
        <v>234</v>
      </c>
      <c r="W31" s="818">
        <f t="shared" si="17"/>
        <v>234</v>
      </c>
      <c r="X31" s="689" t="str">
        <f t="shared" si="18"/>
        <v/>
      </c>
      <c r="Y31" s="677"/>
      <c r="Z31" s="686"/>
      <c r="AA31" s="838"/>
      <c r="AB31" s="839"/>
    </row>
    <row r="32" spans="2:28" ht="13.15">
      <c r="B32" s="819" t="s">
        <v>410</v>
      </c>
      <c r="C32" s="819" t="s">
        <v>411</v>
      </c>
      <c r="D32" s="379" t="s">
        <v>336</v>
      </c>
      <c r="E32" s="818" t="s">
        <v>409</v>
      </c>
      <c r="F32" s="820">
        <v>1.7074060339999999</v>
      </c>
      <c r="G32" s="821">
        <v>7.6395690500000004</v>
      </c>
      <c r="H32" s="822">
        <v>43157872959.530502</v>
      </c>
      <c r="I32" s="819">
        <v>3.82</v>
      </c>
      <c r="J32" s="820">
        <v>5.4091503999999999E-2</v>
      </c>
      <c r="K32" s="819">
        <f t="shared" si="8"/>
        <v>4</v>
      </c>
      <c r="L32" s="819">
        <f t="shared" si="9"/>
        <v>267</v>
      </c>
      <c r="M32" s="819">
        <f t="shared" si="1"/>
        <v>4</v>
      </c>
      <c r="N32" s="819">
        <f t="shared" si="2"/>
        <v>54</v>
      </c>
      <c r="O32" s="819">
        <f t="shared" si="3"/>
        <v>90</v>
      </c>
      <c r="P32" s="819">
        <f t="shared" si="10"/>
        <v>1394</v>
      </c>
      <c r="Q32" s="819">
        <f t="shared" si="11"/>
        <v>156</v>
      </c>
      <c r="R32" s="819">
        <f t="shared" si="12"/>
        <v>78</v>
      </c>
      <c r="S32" s="819">
        <f t="shared" si="13"/>
        <v>28</v>
      </c>
      <c r="T32" s="819">
        <f t="shared" si="14"/>
        <v>68</v>
      </c>
      <c r="U32" s="819">
        <f t="shared" si="15"/>
        <v>1724</v>
      </c>
      <c r="V32" s="819">
        <f t="shared" si="16"/>
        <v>100</v>
      </c>
      <c r="W32" s="818">
        <f t="shared" si="17"/>
        <v>100</v>
      </c>
      <c r="X32" s="689" t="str">
        <f t="shared" si="18"/>
        <v/>
      </c>
      <c r="Y32" s="677"/>
      <c r="Z32" s="686"/>
      <c r="AA32" s="838"/>
      <c r="AB32" s="839"/>
    </row>
    <row r="33" spans="2:28" ht="13.15">
      <c r="B33" s="819" t="s">
        <v>412</v>
      </c>
      <c r="C33" s="819" t="s">
        <v>413</v>
      </c>
      <c r="D33" s="379" t="s">
        <v>336</v>
      </c>
      <c r="E33" s="818" t="s">
        <v>409</v>
      </c>
      <c r="F33" s="820">
        <v>2.6489825580000002</v>
      </c>
      <c r="G33" s="821"/>
      <c r="H33" s="822">
        <v>2363907730.86026</v>
      </c>
      <c r="I33" s="819"/>
      <c r="J33" s="820">
        <v>0</v>
      </c>
      <c r="K33" s="819">
        <f t="shared" si="8"/>
        <v>131</v>
      </c>
      <c r="L33" s="819">
        <f t="shared" si="9"/>
        <v>1084</v>
      </c>
      <c r="M33" s="819">
        <f t="shared" si="1"/>
        <v>131</v>
      </c>
      <c r="N33" s="819">
        <f t="shared" si="2"/>
        <v>364</v>
      </c>
      <c r="O33" s="819">
        <f t="shared" si="3"/>
        <v>492</v>
      </c>
      <c r="P33" s="819">
        <f t="shared" si="10"/>
        <v>1267</v>
      </c>
      <c r="Q33" s="819">
        <f t="shared" si="11"/>
        <v>661</v>
      </c>
      <c r="R33" s="819">
        <f t="shared" si="12"/>
        <v>49</v>
      </c>
      <c r="S33" s="819">
        <f t="shared" si="13"/>
        <v>338</v>
      </c>
      <c r="T33" s="819">
        <f t="shared" si="14"/>
        <v>470</v>
      </c>
      <c r="U33" s="819">
        <f t="shared" si="15"/>
        <v>2785</v>
      </c>
      <c r="V33" s="819">
        <f t="shared" si="16"/>
        <v>463</v>
      </c>
      <c r="W33" s="818">
        <f t="shared" si="17"/>
        <v>463</v>
      </c>
      <c r="X33" s="689" t="str">
        <f t="shared" si="18"/>
        <v/>
      </c>
      <c r="Y33" s="677"/>
      <c r="Z33" s="686"/>
      <c r="AA33" s="838"/>
      <c r="AB33" s="839"/>
    </row>
    <row r="34" spans="2:28" ht="13.15">
      <c r="B34" s="819" t="s">
        <v>414</v>
      </c>
      <c r="C34" s="819" t="s">
        <v>415</v>
      </c>
      <c r="D34" s="379" t="s">
        <v>336</v>
      </c>
      <c r="E34" s="818" t="s">
        <v>337</v>
      </c>
      <c r="F34" s="820">
        <v>25.742761309999999</v>
      </c>
      <c r="G34" s="821">
        <v>-2.8227107089999999</v>
      </c>
      <c r="H34" s="822">
        <v>48223481.130000003</v>
      </c>
      <c r="I34" s="819"/>
      <c r="J34" s="820">
        <v>-6.8897489000000006E-2</v>
      </c>
      <c r="K34" s="819">
        <f t="shared" si="8"/>
        <v>885</v>
      </c>
      <c r="L34" s="819">
        <f t="shared" si="9"/>
        <v>1368</v>
      </c>
      <c r="M34" s="819">
        <f t="shared" si="1"/>
        <v>885</v>
      </c>
      <c r="N34" s="819">
        <f t="shared" si="2"/>
        <v>364</v>
      </c>
      <c r="O34" s="819">
        <f t="shared" si="3"/>
        <v>1740</v>
      </c>
      <c r="P34" s="819">
        <f t="shared" si="10"/>
        <v>513</v>
      </c>
      <c r="Q34" s="819">
        <f t="shared" si="11"/>
        <v>945</v>
      </c>
      <c r="R34" s="819">
        <f t="shared" si="12"/>
        <v>803</v>
      </c>
      <c r="S34" s="819">
        <f t="shared" si="13"/>
        <v>338</v>
      </c>
      <c r="T34" s="819">
        <f t="shared" si="14"/>
        <v>1718</v>
      </c>
      <c r="U34" s="819">
        <f t="shared" si="15"/>
        <v>4317</v>
      </c>
      <c r="V34" s="819">
        <f t="shared" si="16"/>
        <v>1767</v>
      </c>
      <c r="W34" s="818">
        <f t="shared" si="17"/>
        <v>1767</v>
      </c>
      <c r="X34" s="689" t="str">
        <f t="shared" si="18"/>
        <v/>
      </c>
      <c r="Y34" s="677"/>
      <c r="Z34" s="686"/>
      <c r="AA34" s="838"/>
      <c r="AB34" s="839"/>
    </row>
    <row r="35" spans="2:28" ht="13.15">
      <c r="B35" s="819" t="s">
        <v>416</v>
      </c>
      <c r="C35" s="819" t="s">
        <v>417</v>
      </c>
      <c r="D35" s="379" t="s">
        <v>336</v>
      </c>
      <c r="E35" s="818" t="s">
        <v>418</v>
      </c>
      <c r="F35" s="820">
        <v>2.5818780499999998</v>
      </c>
      <c r="G35" s="821">
        <v>3.6352620000000002E-3</v>
      </c>
      <c r="H35" s="822">
        <v>217718543.40648699</v>
      </c>
      <c r="I35" s="819"/>
      <c r="J35" s="820">
        <v>9.3803177000000001E-2</v>
      </c>
      <c r="K35" s="819">
        <f t="shared" si="8"/>
        <v>544</v>
      </c>
      <c r="L35" s="819">
        <f t="shared" si="9"/>
        <v>1077</v>
      </c>
      <c r="M35" s="819">
        <f t="shared" si="1"/>
        <v>544</v>
      </c>
      <c r="N35" s="819">
        <f t="shared" si="2"/>
        <v>364</v>
      </c>
      <c r="O35" s="819">
        <f t="shared" si="3"/>
        <v>47</v>
      </c>
      <c r="P35" s="819">
        <f t="shared" si="10"/>
        <v>854</v>
      </c>
      <c r="Q35" s="819">
        <f t="shared" si="11"/>
        <v>654</v>
      </c>
      <c r="R35" s="819">
        <f t="shared" si="12"/>
        <v>462</v>
      </c>
      <c r="S35" s="819">
        <f t="shared" si="13"/>
        <v>338</v>
      </c>
      <c r="T35" s="819">
        <f t="shared" si="14"/>
        <v>25</v>
      </c>
      <c r="U35" s="819">
        <f t="shared" si="15"/>
        <v>2333</v>
      </c>
      <c r="V35" s="819">
        <f t="shared" si="16"/>
        <v>224</v>
      </c>
      <c r="W35" s="818">
        <f t="shared" si="17"/>
        <v>224</v>
      </c>
      <c r="X35" s="689" t="str">
        <f t="shared" si="18"/>
        <v/>
      </c>
      <c r="Y35" s="677"/>
      <c r="Z35" s="686"/>
      <c r="AA35" s="838"/>
      <c r="AB35" s="839"/>
    </row>
    <row r="36" spans="2:28" ht="13.15">
      <c r="B36" s="819" t="s">
        <v>419</v>
      </c>
      <c r="C36" s="819" t="s">
        <v>420</v>
      </c>
      <c r="D36" s="379" t="s">
        <v>336</v>
      </c>
      <c r="E36" s="818" t="s">
        <v>409</v>
      </c>
      <c r="F36" s="820">
        <v>1.5473291229999999</v>
      </c>
      <c r="G36" s="821">
        <v>12.847329800000001</v>
      </c>
      <c r="H36" s="822">
        <v>72781255.742725894</v>
      </c>
      <c r="I36" s="819"/>
      <c r="J36" s="820">
        <v>7.6298528000000004E-2</v>
      </c>
      <c r="K36" s="819">
        <f t="shared" si="8"/>
        <v>788</v>
      </c>
      <c r="L36" s="819">
        <f t="shared" si="9"/>
        <v>152</v>
      </c>
      <c r="M36" s="819">
        <f t="shared" si="1"/>
        <v>788</v>
      </c>
      <c r="N36" s="819">
        <f t="shared" si="2"/>
        <v>364</v>
      </c>
      <c r="O36" s="819">
        <f t="shared" si="3"/>
        <v>64</v>
      </c>
      <c r="P36" s="819">
        <f t="shared" si="10"/>
        <v>610</v>
      </c>
      <c r="Q36" s="819">
        <f t="shared" si="11"/>
        <v>271</v>
      </c>
      <c r="R36" s="819">
        <f t="shared" si="12"/>
        <v>706</v>
      </c>
      <c r="S36" s="819">
        <f t="shared" si="13"/>
        <v>338</v>
      </c>
      <c r="T36" s="819">
        <f t="shared" si="14"/>
        <v>42</v>
      </c>
      <c r="U36" s="819">
        <f t="shared" si="15"/>
        <v>1967</v>
      </c>
      <c r="V36" s="819">
        <f t="shared" si="16"/>
        <v>166</v>
      </c>
      <c r="W36" s="818">
        <f t="shared" si="17"/>
        <v>166</v>
      </c>
      <c r="X36" s="689" t="str">
        <f t="shared" si="18"/>
        <v/>
      </c>
      <c r="Y36" s="677"/>
      <c r="Z36" s="686"/>
      <c r="AA36" s="838"/>
      <c r="AB36" s="839"/>
    </row>
    <row r="37" spans="2:28" ht="13.15">
      <c r="B37" s="819" t="s">
        <v>421</v>
      </c>
      <c r="C37" s="819" t="s">
        <v>422</v>
      </c>
      <c r="D37" s="379" t="s">
        <v>336</v>
      </c>
      <c r="E37" s="818" t="s">
        <v>337</v>
      </c>
      <c r="F37" s="820">
        <v>-5.7040858999999999E-2</v>
      </c>
      <c r="G37" s="821">
        <v>-20.923727759999998</v>
      </c>
      <c r="H37" s="822">
        <v>204077.3132</v>
      </c>
      <c r="I37" s="819"/>
      <c r="J37" s="820">
        <v>-0.35801939599999999</v>
      </c>
      <c r="K37" s="819">
        <f t="shared" si="8"/>
        <v>1640</v>
      </c>
      <c r="L37" s="819">
        <f t="shared" si="9"/>
        <v>1481</v>
      </c>
      <c r="M37" s="819">
        <f t="shared" si="1"/>
        <v>1640</v>
      </c>
      <c r="N37" s="819">
        <f t="shared" si="2"/>
        <v>364</v>
      </c>
      <c r="O37" s="819">
        <f t="shared" si="3"/>
        <v>1778</v>
      </c>
      <c r="P37" s="819">
        <f t="shared" si="10"/>
        <v>242</v>
      </c>
      <c r="Q37" s="819">
        <f t="shared" si="11"/>
        <v>1058</v>
      </c>
      <c r="R37" s="819">
        <f t="shared" si="12"/>
        <v>1558</v>
      </c>
      <c r="S37" s="819">
        <f t="shared" si="13"/>
        <v>338</v>
      </c>
      <c r="T37" s="819">
        <f t="shared" si="14"/>
        <v>1756</v>
      </c>
      <c r="U37" s="819">
        <f t="shared" si="15"/>
        <v>4952</v>
      </c>
      <c r="V37" s="819">
        <f t="shared" si="16"/>
        <v>1783</v>
      </c>
      <c r="W37" s="818">
        <f t="shared" si="17"/>
        <v>1783</v>
      </c>
      <c r="X37" s="689" t="str">
        <f t="shared" si="18"/>
        <v/>
      </c>
      <c r="Y37" s="677"/>
      <c r="Z37" s="686"/>
      <c r="AA37" s="838"/>
      <c r="AB37" s="839"/>
    </row>
    <row r="38" spans="2:28" ht="13.15">
      <c r="B38" s="819" t="s">
        <v>423</v>
      </c>
      <c r="C38" s="819" t="s">
        <v>424</v>
      </c>
      <c r="D38" s="379" t="s">
        <v>336</v>
      </c>
      <c r="E38" s="818" t="s">
        <v>425</v>
      </c>
      <c r="F38" s="820">
        <v>2.9897242209999999</v>
      </c>
      <c r="G38" s="821">
        <v>4.769038654</v>
      </c>
      <c r="H38" s="822">
        <v>961400826.57887399</v>
      </c>
      <c r="I38" s="819">
        <v>0.28000000000000003</v>
      </c>
      <c r="J38" s="820">
        <v>9.9523941000000005E-2</v>
      </c>
      <c r="K38" s="819">
        <f t="shared" si="8"/>
        <v>225</v>
      </c>
      <c r="L38" s="819">
        <f t="shared" si="9"/>
        <v>396</v>
      </c>
      <c r="M38" s="819">
        <f t="shared" si="1"/>
        <v>225</v>
      </c>
      <c r="N38" s="819">
        <f t="shared" si="2"/>
        <v>193</v>
      </c>
      <c r="O38" s="819">
        <f t="shared" si="3"/>
        <v>43</v>
      </c>
      <c r="P38" s="819">
        <f t="shared" si="10"/>
        <v>1173</v>
      </c>
      <c r="Q38" s="819">
        <f t="shared" si="11"/>
        <v>27</v>
      </c>
      <c r="R38" s="819">
        <f t="shared" si="12"/>
        <v>143</v>
      </c>
      <c r="S38" s="819">
        <f t="shared" si="13"/>
        <v>167</v>
      </c>
      <c r="T38" s="819">
        <f t="shared" si="14"/>
        <v>21</v>
      </c>
      <c r="U38" s="819">
        <f t="shared" si="15"/>
        <v>1531</v>
      </c>
      <c r="V38" s="819">
        <f t="shared" si="16"/>
        <v>55</v>
      </c>
      <c r="W38" s="818">
        <f t="shared" si="17"/>
        <v>55</v>
      </c>
      <c r="X38" s="689" t="str">
        <f t="shared" si="18"/>
        <v/>
      </c>
      <c r="Y38" s="677"/>
      <c r="Z38" s="686"/>
      <c r="AA38" s="838"/>
      <c r="AB38" s="839"/>
    </row>
    <row r="39" spans="2:28" ht="13.15">
      <c r="B39" s="819" t="s">
        <v>426</v>
      </c>
      <c r="C39" s="819" t="s">
        <v>427</v>
      </c>
      <c r="D39" s="379" t="s">
        <v>336</v>
      </c>
      <c r="E39" s="818" t="s">
        <v>409</v>
      </c>
      <c r="F39" s="820"/>
      <c r="G39" s="821"/>
      <c r="H39" s="822">
        <v>85128101.607427806</v>
      </c>
      <c r="I39" s="819">
        <v>-3.89</v>
      </c>
      <c r="J39" s="820">
        <v>0</v>
      </c>
      <c r="K39" s="819">
        <f t="shared" si="8"/>
        <v>755</v>
      </c>
      <c r="L39" s="819">
        <f t="shared" si="9"/>
        <v>1084</v>
      </c>
      <c r="M39" s="819">
        <f t="shared" si="1"/>
        <v>755</v>
      </c>
      <c r="N39" s="819">
        <f t="shared" si="2"/>
        <v>387</v>
      </c>
      <c r="O39" s="819">
        <f t="shared" si="3"/>
        <v>492</v>
      </c>
      <c r="P39" s="819">
        <f t="shared" si="10"/>
        <v>643</v>
      </c>
      <c r="Q39" s="819">
        <f t="shared" si="11"/>
        <v>661</v>
      </c>
      <c r="R39" s="819">
        <f t="shared" si="12"/>
        <v>673</v>
      </c>
      <c r="S39" s="819">
        <f t="shared" si="13"/>
        <v>361</v>
      </c>
      <c r="T39" s="819">
        <f t="shared" si="14"/>
        <v>470</v>
      </c>
      <c r="U39" s="819">
        <f t="shared" si="15"/>
        <v>2808</v>
      </c>
      <c r="V39" s="819">
        <f t="shared" si="16"/>
        <v>643</v>
      </c>
      <c r="W39" s="818">
        <f t="shared" si="17"/>
        <v>643</v>
      </c>
      <c r="X39" s="689" t="str">
        <f t="shared" si="18"/>
        <v/>
      </c>
      <c r="Y39" s="677"/>
      <c r="Z39" s="686"/>
      <c r="AA39" s="838"/>
      <c r="AB39" s="839"/>
    </row>
    <row r="40" spans="2:28" ht="13.15">
      <c r="B40" s="819" t="s">
        <v>428</v>
      </c>
      <c r="C40" s="819" t="s">
        <v>429</v>
      </c>
      <c r="D40" s="379" t="s">
        <v>336</v>
      </c>
      <c r="E40" s="818" t="s">
        <v>430</v>
      </c>
      <c r="F40" s="820">
        <v>2.5440307610000001</v>
      </c>
      <c r="G40" s="821">
        <v>1.967873534</v>
      </c>
      <c r="H40" s="822">
        <v>4982701477.0451603</v>
      </c>
      <c r="I40" s="819">
        <v>1.38</v>
      </c>
      <c r="J40" s="820">
        <v>7.9744664000000007E-2</v>
      </c>
      <c r="K40" s="819">
        <f t="shared" si="8"/>
        <v>76</v>
      </c>
      <c r="L40" s="819">
        <f t="shared" si="9"/>
        <v>678</v>
      </c>
      <c r="M40" s="819">
        <f t="shared" si="1"/>
        <v>76</v>
      </c>
      <c r="N40" s="819">
        <f t="shared" si="2"/>
        <v>99</v>
      </c>
      <c r="O40" s="819">
        <f t="shared" si="3"/>
        <v>60</v>
      </c>
      <c r="P40" s="819">
        <f t="shared" si="10"/>
        <v>1322</v>
      </c>
      <c r="Q40" s="819">
        <f t="shared" si="11"/>
        <v>255</v>
      </c>
      <c r="R40" s="819">
        <f t="shared" si="12"/>
        <v>6</v>
      </c>
      <c r="S40" s="819">
        <f t="shared" si="13"/>
        <v>73</v>
      </c>
      <c r="T40" s="819">
        <f t="shared" si="14"/>
        <v>38</v>
      </c>
      <c r="U40" s="819">
        <f t="shared" si="15"/>
        <v>1694</v>
      </c>
      <c r="V40" s="819">
        <f t="shared" si="16"/>
        <v>90</v>
      </c>
      <c r="W40" s="818">
        <f t="shared" si="17"/>
        <v>90</v>
      </c>
      <c r="X40" s="689" t="str">
        <f t="shared" si="18"/>
        <v/>
      </c>
      <c r="Y40" s="677"/>
      <c r="Z40" s="686"/>
      <c r="AA40" s="838"/>
      <c r="AB40" s="839"/>
    </row>
    <row r="41" spans="2:28" ht="13.15">
      <c r="B41" s="819" t="s">
        <v>431</v>
      </c>
      <c r="C41" s="819" t="s">
        <v>432</v>
      </c>
      <c r="D41" s="379" t="s">
        <v>336</v>
      </c>
      <c r="E41" s="818" t="s">
        <v>337</v>
      </c>
      <c r="F41" s="820">
        <v>2.7237759829999999</v>
      </c>
      <c r="G41" s="821">
        <v>2.0481891669999999</v>
      </c>
      <c r="H41" s="822">
        <v>40000957042.839996</v>
      </c>
      <c r="I41" s="819">
        <v>9.59</v>
      </c>
      <c r="J41" s="820">
        <v>6.1945910999999999E-2</v>
      </c>
      <c r="K41" s="819">
        <f t="shared" si="8"/>
        <v>5</v>
      </c>
      <c r="L41" s="819">
        <f t="shared" si="9"/>
        <v>665</v>
      </c>
      <c r="M41" s="819">
        <f t="shared" si="1"/>
        <v>5</v>
      </c>
      <c r="N41" s="819">
        <f t="shared" si="2"/>
        <v>34</v>
      </c>
      <c r="O41" s="819">
        <f t="shared" si="3"/>
        <v>81</v>
      </c>
      <c r="P41" s="819">
        <f t="shared" si="10"/>
        <v>1393</v>
      </c>
      <c r="Q41" s="819">
        <f t="shared" si="11"/>
        <v>242</v>
      </c>
      <c r="R41" s="819">
        <f t="shared" si="12"/>
        <v>77</v>
      </c>
      <c r="S41" s="819">
        <f t="shared" si="13"/>
        <v>8</v>
      </c>
      <c r="T41" s="819">
        <f t="shared" si="14"/>
        <v>59</v>
      </c>
      <c r="U41" s="819">
        <f t="shared" si="15"/>
        <v>1779</v>
      </c>
      <c r="V41" s="819">
        <f t="shared" si="16"/>
        <v>107</v>
      </c>
      <c r="W41" s="818">
        <f t="shared" si="17"/>
        <v>107</v>
      </c>
      <c r="X41" s="689" t="str">
        <f t="shared" si="18"/>
        <v/>
      </c>
      <c r="Y41" s="677"/>
      <c r="Z41" s="686"/>
      <c r="AA41" s="838"/>
      <c r="AB41" s="839"/>
    </row>
    <row r="42" spans="2:28" ht="13.15">
      <c r="B42" s="819" t="s">
        <v>433</v>
      </c>
      <c r="C42" s="819" t="s">
        <v>434</v>
      </c>
      <c r="D42" s="379" t="s">
        <v>336</v>
      </c>
      <c r="E42" s="818" t="s">
        <v>337</v>
      </c>
      <c r="F42" s="820">
        <v>1.5656354299999999</v>
      </c>
      <c r="G42" s="821">
        <v>3.0868526159999998</v>
      </c>
      <c r="H42" s="822">
        <v>19399094012.759998</v>
      </c>
      <c r="I42" s="819">
        <v>1.59</v>
      </c>
      <c r="J42" s="820">
        <v>5.7689485999999998E-2</v>
      </c>
      <c r="K42" s="819">
        <f t="shared" si="8"/>
        <v>19</v>
      </c>
      <c r="L42" s="819">
        <f t="shared" si="9"/>
        <v>540</v>
      </c>
      <c r="M42" s="819">
        <f t="shared" si="1"/>
        <v>19</v>
      </c>
      <c r="N42" s="819">
        <f t="shared" si="2"/>
        <v>93</v>
      </c>
      <c r="O42" s="819">
        <f t="shared" si="3"/>
        <v>88</v>
      </c>
      <c r="P42" s="819">
        <f t="shared" si="10"/>
        <v>1379</v>
      </c>
      <c r="Q42" s="819">
        <f t="shared" si="11"/>
        <v>117</v>
      </c>
      <c r="R42" s="819">
        <f t="shared" si="12"/>
        <v>63</v>
      </c>
      <c r="S42" s="819">
        <f t="shared" si="13"/>
        <v>67</v>
      </c>
      <c r="T42" s="819">
        <f t="shared" si="14"/>
        <v>66</v>
      </c>
      <c r="U42" s="819">
        <f t="shared" si="15"/>
        <v>1692</v>
      </c>
      <c r="V42" s="819">
        <f t="shared" si="16"/>
        <v>88</v>
      </c>
      <c r="W42" s="818">
        <f t="shared" si="17"/>
        <v>88</v>
      </c>
      <c r="X42" s="689" t="str">
        <f t="shared" si="18"/>
        <v/>
      </c>
      <c r="Y42" s="677"/>
      <c r="Z42" s="686"/>
      <c r="AA42" s="838"/>
      <c r="AB42" s="839"/>
    </row>
    <row r="43" spans="2:28" ht="13.15">
      <c r="B43" s="819" t="s">
        <v>435</v>
      </c>
      <c r="C43" s="819" t="s">
        <v>436</v>
      </c>
      <c r="D43" s="379" t="s">
        <v>336</v>
      </c>
      <c r="E43" s="818" t="s">
        <v>337</v>
      </c>
      <c r="F43" s="820"/>
      <c r="G43" s="821"/>
      <c r="H43" s="822">
        <v>189187305.5</v>
      </c>
      <c r="I43" s="819"/>
      <c r="J43" s="820">
        <v>0</v>
      </c>
      <c r="K43" s="819">
        <f t="shared" si="8"/>
        <v>584</v>
      </c>
      <c r="L43" s="819">
        <f t="shared" si="9"/>
        <v>1084</v>
      </c>
      <c r="M43" s="819">
        <f t="shared" si="1"/>
        <v>584</v>
      </c>
      <c r="N43" s="819">
        <f t="shared" si="2"/>
        <v>364</v>
      </c>
      <c r="O43" s="819">
        <f t="shared" si="3"/>
        <v>492</v>
      </c>
      <c r="P43" s="819">
        <f t="shared" si="10"/>
        <v>814</v>
      </c>
      <c r="Q43" s="819">
        <f t="shared" si="11"/>
        <v>661</v>
      </c>
      <c r="R43" s="819">
        <f t="shared" si="12"/>
        <v>502</v>
      </c>
      <c r="S43" s="819">
        <f t="shared" si="13"/>
        <v>338</v>
      </c>
      <c r="T43" s="819">
        <f t="shared" si="14"/>
        <v>470</v>
      </c>
      <c r="U43" s="819">
        <f t="shared" si="15"/>
        <v>2785</v>
      </c>
      <c r="V43" s="819">
        <f t="shared" si="16"/>
        <v>463</v>
      </c>
      <c r="W43" s="818">
        <f t="shared" si="17"/>
        <v>463</v>
      </c>
      <c r="X43" s="689" t="str">
        <f t="shared" si="18"/>
        <v/>
      </c>
      <c r="Y43" s="677"/>
      <c r="Z43" s="686"/>
      <c r="AA43" s="838"/>
      <c r="AB43" s="839"/>
    </row>
    <row r="44" spans="2:28" ht="13.15">
      <c r="B44" s="819" t="s">
        <v>437</v>
      </c>
      <c r="C44" s="819" t="s">
        <v>438</v>
      </c>
      <c r="D44" s="379" t="s">
        <v>336</v>
      </c>
      <c r="E44" s="818" t="s">
        <v>189</v>
      </c>
      <c r="F44" s="820">
        <v>2.7559615609999999</v>
      </c>
      <c r="G44" s="821">
        <v>0.85263879399999998</v>
      </c>
      <c r="H44" s="822">
        <v>2845087936.9990001</v>
      </c>
      <c r="I44" s="819">
        <v>2.99</v>
      </c>
      <c r="J44" s="820">
        <v>6.4692848999999997E-2</v>
      </c>
      <c r="K44" s="819">
        <f t="shared" si="8"/>
        <v>114</v>
      </c>
      <c r="L44" s="819">
        <f t="shared" si="9"/>
        <v>835</v>
      </c>
      <c r="M44" s="819">
        <f t="shared" si="1"/>
        <v>114</v>
      </c>
      <c r="N44" s="819">
        <f t="shared" si="2"/>
        <v>66</v>
      </c>
      <c r="O44" s="819">
        <f t="shared" si="3"/>
        <v>79</v>
      </c>
      <c r="P44" s="819">
        <f t="shared" si="10"/>
        <v>1284</v>
      </c>
      <c r="Q44" s="819">
        <f t="shared" si="11"/>
        <v>412</v>
      </c>
      <c r="R44" s="819">
        <f t="shared" si="12"/>
        <v>32</v>
      </c>
      <c r="S44" s="819">
        <f t="shared" si="13"/>
        <v>40</v>
      </c>
      <c r="T44" s="819">
        <f t="shared" si="14"/>
        <v>57</v>
      </c>
      <c r="U44" s="819">
        <f t="shared" si="15"/>
        <v>1825</v>
      </c>
      <c r="V44" s="819">
        <f t="shared" si="16"/>
        <v>124</v>
      </c>
      <c r="W44" s="818">
        <f t="shared" si="17"/>
        <v>124</v>
      </c>
      <c r="X44" s="689" t="str">
        <f t="shared" si="18"/>
        <v/>
      </c>
      <c r="Y44" s="677"/>
      <c r="Z44" s="686"/>
      <c r="AA44" s="838"/>
      <c r="AB44" s="839"/>
    </row>
    <row r="45" spans="2:28" ht="13.15">
      <c r="B45" s="819" t="s">
        <v>439</v>
      </c>
      <c r="C45" s="819" t="s">
        <v>440</v>
      </c>
      <c r="D45" s="379" t="s">
        <v>336</v>
      </c>
      <c r="E45" s="818" t="s">
        <v>441</v>
      </c>
      <c r="F45" s="820">
        <v>2.47943055</v>
      </c>
      <c r="G45" s="821">
        <v>5.7415461719999996</v>
      </c>
      <c r="H45" s="822">
        <v>2971894472.96032</v>
      </c>
      <c r="I45" s="819"/>
      <c r="J45" s="820">
        <v>4.6554244000000002E-2</v>
      </c>
      <c r="K45" s="819">
        <f t="shared" si="8"/>
        <v>108</v>
      </c>
      <c r="L45" s="819">
        <f t="shared" si="9"/>
        <v>335</v>
      </c>
      <c r="M45" s="819">
        <f t="shared" si="1"/>
        <v>108</v>
      </c>
      <c r="N45" s="819">
        <f t="shared" si="2"/>
        <v>364</v>
      </c>
      <c r="O45" s="819">
        <f t="shared" si="3"/>
        <v>100</v>
      </c>
      <c r="P45" s="819">
        <f t="shared" si="10"/>
        <v>1290</v>
      </c>
      <c r="Q45" s="819">
        <f t="shared" si="11"/>
        <v>88</v>
      </c>
      <c r="R45" s="819">
        <f t="shared" si="12"/>
        <v>26</v>
      </c>
      <c r="S45" s="819">
        <f t="shared" si="13"/>
        <v>338</v>
      </c>
      <c r="T45" s="819">
        <f t="shared" si="14"/>
        <v>78</v>
      </c>
      <c r="U45" s="819">
        <f t="shared" si="15"/>
        <v>1820</v>
      </c>
      <c r="V45" s="819">
        <f t="shared" si="16"/>
        <v>121</v>
      </c>
      <c r="W45" s="818">
        <f t="shared" si="17"/>
        <v>121</v>
      </c>
      <c r="X45" s="689" t="str">
        <f t="shared" si="18"/>
        <v/>
      </c>
      <c r="Y45" s="677"/>
      <c r="Z45" s="686"/>
      <c r="AA45" s="838"/>
      <c r="AB45" s="839"/>
    </row>
    <row r="46" spans="2:28" ht="13.15">
      <c r="B46" s="819" t="s">
        <v>442</v>
      </c>
      <c r="C46" s="819" t="s">
        <v>443</v>
      </c>
      <c r="D46" s="379" t="s">
        <v>336</v>
      </c>
      <c r="E46" s="818" t="s">
        <v>444</v>
      </c>
      <c r="F46" s="820">
        <v>1.439967934</v>
      </c>
      <c r="G46" s="821">
        <v>0.57937772300000001</v>
      </c>
      <c r="H46" s="822">
        <v>475276754.65554202</v>
      </c>
      <c r="I46" s="819">
        <v>0.11</v>
      </c>
      <c r="J46" s="820">
        <v>0.13196991599999999</v>
      </c>
      <c r="K46" s="819">
        <f t="shared" si="8"/>
        <v>367</v>
      </c>
      <c r="L46" s="819">
        <f t="shared" si="9"/>
        <v>903</v>
      </c>
      <c r="M46" s="819">
        <f t="shared" si="1"/>
        <v>367</v>
      </c>
      <c r="N46" s="819">
        <f t="shared" si="2"/>
        <v>258</v>
      </c>
      <c r="O46" s="819">
        <f t="shared" si="3"/>
        <v>33</v>
      </c>
      <c r="P46" s="819">
        <f t="shared" si="10"/>
        <v>1031</v>
      </c>
      <c r="Q46" s="819">
        <f t="shared" si="11"/>
        <v>480</v>
      </c>
      <c r="R46" s="819">
        <f t="shared" si="12"/>
        <v>285</v>
      </c>
      <c r="S46" s="819">
        <f t="shared" si="13"/>
        <v>232</v>
      </c>
      <c r="T46" s="819">
        <f t="shared" si="14"/>
        <v>11</v>
      </c>
      <c r="U46" s="819">
        <f t="shared" si="15"/>
        <v>2039</v>
      </c>
      <c r="V46" s="819">
        <f t="shared" si="16"/>
        <v>178</v>
      </c>
      <c r="W46" s="818">
        <f t="shared" si="17"/>
        <v>178</v>
      </c>
      <c r="X46" s="689" t="str">
        <f t="shared" si="18"/>
        <v/>
      </c>
      <c r="Y46" s="677"/>
      <c r="Z46" s="686"/>
      <c r="AA46" s="838"/>
      <c r="AB46" s="839"/>
    </row>
    <row r="47" spans="2:28" ht="13.15">
      <c r="B47" s="819" t="s">
        <v>445</v>
      </c>
      <c r="C47" s="819" t="s">
        <v>446</v>
      </c>
      <c r="D47" s="379" t="s">
        <v>336</v>
      </c>
      <c r="E47" s="818" t="s">
        <v>378</v>
      </c>
      <c r="F47" s="820">
        <v>2.8499728850000001</v>
      </c>
      <c r="G47" s="821">
        <v>6.0767741260000001</v>
      </c>
      <c r="H47" s="822">
        <v>1955244416.3989401</v>
      </c>
      <c r="I47" s="819">
        <v>0.15</v>
      </c>
      <c r="J47" s="820">
        <v>0.92874909900000002</v>
      </c>
      <c r="K47" s="819">
        <f t="shared" si="8"/>
        <v>148</v>
      </c>
      <c r="L47" s="819">
        <f t="shared" si="9"/>
        <v>320</v>
      </c>
      <c r="M47" s="819">
        <f t="shared" si="1"/>
        <v>148</v>
      </c>
      <c r="N47" s="819">
        <f t="shared" si="2"/>
        <v>235</v>
      </c>
      <c r="O47" s="819">
        <f t="shared" si="3"/>
        <v>6</v>
      </c>
      <c r="P47" s="819">
        <f t="shared" si="10"/>
        <v>1250</v>
      </c>
      <c r="Q47" s="819">
        <f t="shared" si="11"/>
        <v>103</v>
      </c>
      <c r="R47" s="819">
        <f t="shared" si="12"/>
        <v>66</v>
      </c>
      <c r="S47" s="819">
        <f t="shared" si="13"/>
        <v>209</v>
      </c>
      <c r="T47" s="819">
        <f t="shared" si="14"/>
        <v>16</v>
      </c>
      <c r="U47" s="819">
        <f t="shared" si="15"/>
        <v>1644</v>
      </c>
      <c r="V47" s="819">
        <f t="shared" si="16"/>
        <v>78</v>
      </c>
      <c r="W47" s="818">
        <f t="shared" si="17"/>
        <v>78</v>
      </c>
      <c r="X47" s="689" t="str">
        <f t="shared" si="18"/>
        <v/>
      </c>
      <c r="Y47" s="677"/>
      <c r="Z47" s="686"/>
      <c r="AA47" s="838"/>
      <c r="AB47" s="839"/>
    </row>
    <row r="48" spans="2:28" ht="13.15">
      <c r="B48" s="819" t="s">
        <v>447</v>
      </c>
      <c r="C48" s="819" t="s">
        <v>448</v>
      </c>
      <c r="D48" s="379" t="s">
        <v>336</v>
      </c>
      <c r="E48" s="818" t="s">
        <v>337</v>
      </c>
      <c r="F48" s="820">
        <v>0.78564095499999997</v>
      </c>
      <c r="G48" s="821">
        <v>-4.7792515399999997</v>
      </c>
      <c r="H48" s="822">
        <v>22164239004.41</v>
      </c>
      <c r="I48" s="819">
        <v>3.62</v>
      </c>
      <c r="J48" s="820">
        <v>-9.8888762000000005E-2</v>
      </c>
      <c r="K48" s="819">
        <f t="shared" si="8"/>
        <v>14</v>
      </c>
      <c r="L48" s="819">
        <f t="shared" si="9"/>
        <v>1404</v>
      </c>
      <c r="M48" s="819">
        <f t="shared" si="1"/>
        <v>14</v>
      </c>
      <c r="N48" s="819">
        <f t="shared" si="2"/>
        <v>56</v>
      </c>
      <c r="O48" s="819">
        <f t="shared" si="3"/>
        <v>1750</v>
      </c>
      <c r="P48" s="819">
        <f t="shared" si="10"/>
        <v>1384</v>
      </c>
      <c r="Q48" s="819">
        <f t="shared" si="11"/>
        <v>981</v>
      </c>
      <c r="R48" s="819">
        <f t="shared" si="12"/>
        <v>68</v>
      </c>
      <c r="S48" s="819">
        <f t="shared" si="13"/>
        <v>30</v>
      </c>
      <c r="T48" s="819">
        <f t="shared" si="14"/>
        <v>1728</v>
      </c>
      <c r="U48" s="819">
        <f t="shared" si="15"/>
        <v>4191</v>
      </c>
      <c r="V48" s="819">
        <f t="shared" si="16"/>
        <v>1757</v>
      </c>
      <c r="W48" s="818">
        <f t="shared" si="17"/>
        <v>1757</v>
      </c>
      <c r="X48" s="689" t="str">
        <f t="shared" si="18"/>
        <v/>
      </c>
      <c r="Y48" s="677"/>
      <c r="Z48" s="686"/>
      <c r="AA48" s="838"/>
      <c r="AB48" s="839"/>
    </row>
    <row r="49" spans="2:28" ht="13.15">
      <c r="B49" s="819" t="s">
        <v>449</v>
      </c>
      <c r="C49" s="819" t="s">
        <v>450</v>
      </c>
      <c r="D49" s="379" t="s">
        <v>336</v>
      </c>
      <c r="E49" s="818" t="s">
        <v>430</v>
      </c>
      <c r="F49" s="820">
        <v>1.2298621439999999</v>
      </c>
      <c r="G49" s="821">
        <v>2.9015775029999999</v>
      </c>
      <c r="H49" s="822">
        <v>15318663447.241899</v>
      </c>
      <c r="I49" s="819">
        <v>4.96</v>
      </c>
      <c r="J49" s="820">
        <v>6.5369958000000006E-2</v>
      </c>
      <c r="K49" s="819">
        <f t="shared" si="8"/>
        <v>21</v>
      </c>
      <c r="L49" s="819">
        <f t="shared" si="9"/>
        <v>559</v>
      </c>
      <c r="M49" s="819">
        <f t="shared" si="1"/>
        <v>21</v>
      </c>
      <c r="N49" s="819">
        <f t="shared" si="2"/>
        <v>47</v>
      </c>
      <c r="O49" s="819">
        <f t="shared" si="3"/>
        <v>77</v>
      </c>
      <c r="P49" s="819">
        <f t="shared" si="10"/>
        <v>1377</v>
      </c>
      <c r="Q49" s="819">
        <f t="shared" si="11"/>
        <v>136</v>
      </c>
      <c r="R49" s="819">
        <f t="shared" si="12"/>
        <v>61</v>
      </c>
      <c r="S49" s="819">
        <f t="shared" si="13"/>
        <v>21</v>
      </c>
      <c r="T49" s="819">
        <f t="shared" si="14"/>
        <v>55</v>
      </c>
      <c r="U49" s="819">
        <f t="shared" si="15"/>
        <v>1650</v>
      </c>
      <c r="V49" s="819">
        <f t="shared" si="16"/>
        <v>80</v>
      </c>
      <c r="W49" s="818">
        <f t="shared" si="17"/>
        <v>80</v>
      </c>
      <c r="X49" s="689" t="str">
        <f t="shared" si="18"/>
        <v/>
      </c>
      <c r="Y49" s="677"/>
      <c r="Z49" s="686"/>
      <c r="AA49" s="838"/>
      <c r="AB49" s="839"/>
    </row>
    <row r="50" spans="2:28" ht="13.15">
      <c r="B50" s="819" t="s">
        <v>451</v>
      </c>
      <c r="C50" s="819" t="s">
        <v>452</v>
      </c>
      <c r="D50" s="379" t="s">
        <v>336</v>
      </c>
      <c r="E50" s="818" t="s">
        <v>453</v>
      </c>
      <c r="F50" s="820">
        <v>6.2347744829999998</v>
      </c>
      <c r="G50" s="821">
        <v>1.939724102</v>
      </c>
      <c r="H50" s="822">
        <v>95574076.0710489</v>
      </c>
      <c r="I50" s="819"/>
      <c r="J50" s="820">
        <v>0.14159470599999999</v>
      </c>
      <c r="K50" s="819">
        <f t="shared" si="8"/>
        <v>734</v>
      </c>
      <c r="L50" s="819">
        <f t="shared" si="9"/>
        <v>685</v>
      </c>
      <c r="M50" s="819">
        <f t="shared" si="1"/>
        <v>734</v>
      </c>
      <c r="N50" s="819">
        <f t="shared" si="2"/>
        <v>364</v>
      </c>
      <c r="O50" s="819">
        <f t="shared" si="3"/>
        <v>28</v>
      </c>
      <c r="P50" s="819">
        <f t="shared" si="10"/>
        <v>664</v>
      </c>
      <c r="Q50" s="819">
        <f t="shared" si="11"/>
        <v>262</v>
      </c>
      <c r="R50" s="819">
        <f t="shared" si="12"/>
        <v>652</v>
      </c>
      <c r="S50" s="819">
        <f t="shared" si="13"/>
        <v>338</v>
      </c>
      <c r="T50" s="819">
        <f t="shared" si="14"/>
        <v>6</v>
      </c>
      <c r="U50" s="819">
        <f t="shared" si="15"/>
        <v>1922</v>
      </c>
      <c r="V50" s="819">
        <f t="shared" si="16"/>
        <v>151</v>
      </c>
      <c r="W50" s="818">
        <f t="shared" si="17"/>
        <v>151</v>
      </c>
      <c r="X50" s="689" t="str">
        <f t="shared" si="18"/>
        <v/>
      </c>
      <c r="Y50" s="677"/>
      <c r="Z50" s="686"/>
      <c r="AA50" s="838"/>
      <c r="AB50" s="839"/>
    </row>
    <row r="51" spans="2:28" ht="13.15">
      <c r="B51" s="819" t="s">
        <v>454</v>
      </c>
      <c r="C51" s="819" t="s">
        <v>455</v>
      </c>
      <c r="D51" s="379" t="s">
        <v>336</v>
      </c>
      <c r="E51" s="818" t="s">
        <v>337</v>
      </c>
      <c r="F51" s="820">
        <v>1.7101461520000001</v>
      </c>
      <c r="G51" s="821">
        <v>0.25384868199999999</v>
      </c>
      <c r="H51" s="822">
        <v>2665116559.4400001</v>
      </c>
      <c r="I51" s="819">
        <v>5.16</v>
      </c>
      <c r="J51" s="820">
        <v>4.1990846999999998E-2</v>
      </c>
      <c r="K51" s="819">
        <f t="shared" si="8"/>
        <v>121</v>
      </c>
      <c r="L51" s="819">
        <f t="shared" si="9"/>
        <v>968</v>
      </c>
      <c r="M51" s="819">
        <f t="shared" si="1"/>
        <v>121</v>
      </c>
      <c r="N51" s="819">
        <f t="shared" si="2"/>
        <v>46</v>
      </c>
      <c r="O51" s="819">
        <f t="shared" si="3"/>
        <v>103</v>
      </c>
      <c r="P51" s="819">
        <f t="shared" si="10"/>
        <v>1277</v>
      </c>
      <c r="Q51" s="819">
        <f t="shared" si="11"/>
        <v>545</v>
      </c>
      <c r="R51" s="819">
        <f t="shared" si="12"/>
        <v>39</v>
      </c>
      <c r="S51" s="819">
        <f t="shared" si="13"/>
        <v>20</v>
      </c>
      <c r="T51" s="819">
        <f t="shared" si="14"/>
        <v>81</v>
      </c>
      <c r="U51" s="819">
        <f t="shared" si="15"/>
        <v>1962</v>
      </c>
      <c r="V51" s="819">
        <f t="shared" si="16"/>
        <v>164</v>
      </c>
      <c r="W51" s="818">
        <f t="shared" si="17"/>
        <v>164</v>
      </c>
      <c r="X51" s="689" t="str">
        <f t="shared" si="18"/>
        <v/>
      </c>
      <c r="Y51" s="677"/>
      <c r="Z51" s="686"/>
      <c r="AA51" s="838"/>
      <c r="AB51" s="839"/>
    </row>
    <row r="52" spans="2:28" ht="13.15">
      <c r="B52" s="819" t="s">
        <v>456</v>
      </c>
      <c r="C52" s="819" t="s">
        <v>457</v>
      </c>
      <c r="D52" s="379" t="s">
        <v>336</v>
      </c>
      <c r="E52" s="818" t="s">
        <v>337</v>
      </c>
      <c r="F52" s="820">
        <v>4.1329133860000002</v>
      </c>
      <c r="G52" s="821">
        <v>3.9023255809999999</v>
      </c>
      <c r="H52" s="822">
        <v>20943004633.919998</v>
      </c>
      <c r="I52" s="819">
        <v>3.57</v>
      </c>
      <c r="J52" s="820">
        <v>7.9460217E-2</v>
      </c>
      <c r="K52" s="819">
        <f t="shared" si="8"/>
        <v>16</v>
      </c>
      <c r="L52" s="819">
        <f t="shared" si="9"/>
        <v>460</v>
      </c>
      <c r="M52" s="819">
        <f t="shared" si="1"/>
        <v>16</v>
      </c>
      <c r="N52" s="819">
        <f t="shared" si="2"/>
        <v>57</v>
      </c>
      <c r="O52" s="819">
        <f t="shared" si="3"/>
        <v>61</v>
      </c>
      <c r="P52" s="819">
        <f t="shared" si="10"/>
        <v>1382</v>
      </c>
      <c r="Q52" s="819">
        <f t="shared" si="11"/>
        <v>37</v>
      </c>
      <c r="R52" s="819">
        <f t="shared" si="12"/>
        <v>66</v>
      </c>
      <c r="S52" s="819">
        <f t="shared" si="13"/>
        <v>31</v>
      </c>
      <c r="T52" s="819">
        <f t="shared" si="14"/>
        <v>39</v>
      </c>
      <c r="U52" s="819">
        <f t="shared" si="15"/>
        <v>1555</v>
      </c>
      <c r="V52" s="819">
        <f t="shared" si="16"/>
        <v>59</v>
      </c>
      <c r="W52" s="818">
        <f t="shared" si="17"/>
        <v>59</v>
      </c>
      <c r="X52" s="689" t="str">
        <f t="shared" si="18"/>
        <v/>
      </c>
      <c r="Y52" s="677"/>
      <c r="Z52" s="686"/>
      <c r="AA52" s="838"/>
      <c r="AB52" s="839"/>
    </row>
    <row r="53" spans="2:28" ht="13.15">
      <c r="B53" s="819" t="s">
        <v>458</v>
      </c>
      <c r="C53" s="819" t="s">
        <v>459</v>
      </c>
      <c r="D53" s="379" t="s">
        <v>336</v>
      </c>
      <c r="E53" s="818" t="s">
        <v>460</v>
      </c>
      <c r="F53" s="820">
        <v>-4.1679480000000003E-3</v>
      </c>
      <c r="G53" s="821">
        <v>-17.127027229999999</v>
      </c>
      <c r="H53" s="822">
        <v>3402169.3533888701</v>
      </c>
      <c r="I53" s="819"/>
      <c r="J53" s="820">
        <v>-1.1277607789999999</v>
      </c>
      <c r="K53" s="819">
        <f t="shared" si="8"/>
        <v>1433</v>
      </c>
      <c r="L53" s="819">
        <f t="shared" si="9"/>
        <v>1476</v>
      </c>
      <c r="M53" s="819">
        <f t="shared" si="1"/>
        <v>1433</v>
      </c>
      <c r="N53" s="819">
        <f t="shared" si="2"/>
        <v>364</v>
      </c>
      <c r="O53" s="819">
        <f t="shared" si="3"/>
        <v>1782</v>
      </c>
      <c r="P53" s="819">
        <f t="shared" si="10"/>
        <v>35</v>
      </c>
      <c r="Q53" s="819">
        <f t="shared" si="11"/>
        <v>1053</v>
      </c>
      <c r="R53" s="819">
        <f t="shared" si="12"/>
        <v>1351</v>
      </c>
      <c r="S53" s="819">
        <f t="shared" si="13"/>
        <v>338</v>
      </c>
      <c r="T53" s="819">
        <f t="shared" si="14"/>
        <v>1760</v>
      </c>
      <c r="U53" s="819">
        <f t="shared" si="15"/>
        <v>4537</v>
      </c>
      <c r="V53" s="819">
        <f t="shared" si="16"/>
        <v>1781</v>
      </c>
      <c r="W53" s="818">
        <f t="shared" si="17"/>
        <v>1781</v>
      </c>
      <c r="X53" s="689" t="str">
        <f t="shared" si="18"/>
        <v/>
      </c>
      <c r="Y53" s="677"/>
      <c r="Z53" s="686"/>
      <c r="AA53" s="838"/>
      <c r="AB53" s="839"/>
    </row>
    <row r="54" spans="2:28" ht="13.15">
      <c r="B54" s="819" t="s">
        <v>461</v>
      </c>
      <c r="C54" s="819" t="s">
        <v>462</v>
      </c>
      <c r="D54" s="379" t="s">
        <v>336</v>
      </c>
      <c r="E54" s="818" t="s">
        <v>460</v>
      </c>
      <c r="F54" s="820">
        <v>-4.3439301999999999E-2</v>
      </c>
      <c r="G54" s="821">
        <v>-28.636977819999998</v>
      </c>
      <c r="H54" s="822">
        <v>328258.16455866903</v>
      </c>
      <c r="I54" s="819"/>
      <c r="J54" s="820">
        <v>-13.60836145</v>
      </c>
      <c r="K54" s="819">
        <f t="shared" si="8"/>
        <v>1621</v>
      </c>
      <c r="L54" s="819">
        <f t="shared" si="9"/>
        <v>1491</v>
      </c>
      <c r="M54" s="819">
        <f t="shared" si="1"/>
        <v>1621</v>
      </c>
      <c r="N54" s="819">
        <f t="shared" si="2"/>
        <v>364</v>
      </c>
      <c r="O54" s="819">
        <f t="shared" si="3"/>
        <v>1784</v>
      </c>
      <c r="P54" s="819">
        <f t="shared" si="10"/>
        <v>223</v>
      </c>
      <c r="Q54" s="819">
        <f t="shared" si="11"/>
        <v>1068</v>
      </c>
      <c r="R54" s="819">
        <f t="shared" si="12"/>
        <v>1539</v>
      </c>
      <c r="S54" s="819">
        <f t="shared" si="13"/>
        <v>338</v>
      </c>
      <c r="T54" s="819">
        <f t="shared" si="14"/>
        <v>1762</v>
      </c>
      <c r="U54" s="819">
        <f t="shared" si="15"/>
        <v>4930</v>
      </c>
      <c r="V54" s="819">
        <f t="shared" si="16"/>
        <v>1782</v>
      </c>
      <c r="W54" s="818">
        <f t="shared" si="17"/>
        <v>1782</v>
      </c>
      <c r="X54" s="689" t="str">
        <f t="shared" si="18"/>
        <v/>
      </c>
      <c r="Y54" s="677"/>
      <c r="Z54" s="686"/>
      <c r="AA54" s="838"/>
      <c r="AB54" s="839"/>
    </row>
    <row r="55" spans="2:28" ht="13.15">
      <c r="B55" s="819" t="s">
        <v>463</v>
      </c>
      <c r="C55" s="819" t="s">
        <v>464</v>
      </c>
      <c r="D55" s="379" t="s">
        <v>336</v>
      </c>
      <c r="E55" s="818" t="s">
        <v>337</v>
      </c>
      <c r="F55" s="820">
        <v>2.113645773</v>
      </c>
      <c r="G55" s="821">
        <v>2.9673234E-2</v>
      </c>
      <c r="H55" s="822">
        <v>5283264000</v>
      </c>
      <c r="I55" s="819">
        <v>6.24</v>
      </c>
      <c r="J55" s="820">
        <v>2.6223534999999999E-2</v>
      </c>
      <c r="K55" s="819">
        <f t="shared" si="8"/>
        <v>72</v>
      </c>
      <c r="L55" s="819">
        <f t="shared" si="9"/>
        <v>1051</v>
      </c>
      <c r="M55" s="819">
        <f t="shared" si="1"/>
        <v>72</v>
      </c>
      <c r="N55" s="819">
        <f t="shared" si="2"/>
        <v>39</v>
      </c>
      <c r="O55" s="819">
        <f t="shared" si="3"/>
        <v>112</v>
      </c>
      <c r="P55" s="819">
        <f t="shared" si="10"/>
        <v>1326</v>
      </c>
      <c r="Q55" s="819">
        <f t="shared" si="11"/>
        <v>628</v>
      </c>
      <c r="R55" s="819">
        <f t="shared" si="12"/>
        <v>10</v>
      </c>
      <c r="S55" s="819">
        <f t="shared" si="13"/>
        <v>13</v>
      </c>
      <c r="T55" s="819">
        <f t="shared" si="14"/>
        <v>90</v>
      </c>
      <c r="U55" s="819">
        <f t="shared" si="15"/>
        <v>2067</v>
      </c>
      <c r="V55" s="819">
        <f t="shared" si="16"/>
        <v>184</v>
      </c>
      <c r="W55" s="818">
        <f t="shared" si="17"/>
        <v>184</v>
      </c>
      <c r="X55" s="689" t="str">
        <f t="shared" si="18"/>
        <v/>
      </c>
      <c r="Y55" s="677"/>
      <c r="Z55" s="686"/>
      <c r="AA55" s="838"/>
      <c r="AB55" s="839"/>
    </row>
    <row r="56" spans="2:28" ht="13.15">
      <c r="B56" s="819" t="s">
        <v>465</v>
      </c>
      <c r="C56" s="819" t="s">
        <v>466</v>
      </c>
      <c r="D56" s="379" t="s">
        <v>336</v>
      </c>
      <c r="E56" s="818" t="s">
        <v>189</v>
      </c>
      <c r="F56" s="820">
        <v>1.4726661059999999</v>
      </c>
      <c r="G56" s="821">
        <v>3.6377551019999999</v>
      </c>
      <c r="H56" s="822">
        <v>3297979949.7181902</v>
      </c>
      <c r="I56" s="819">
        <v>0.68</v>
      </c>
      <c r="J56" s="820">
        <v>7.7771126999999995E-2</v>
      </c>
      <c r="K56" s="819">
        <f t="shared" si="8"/>
        <v>98</v>
      </c>
      <c r="L56" s="819">
        <f t="shared" si="9"/>
        <v>482</v>
      </c>
      <c r="M56" s="819">
        <f t="shared" si="1"/>
        <v>98</v>
      </c>
      <c r="N56" s="819">
        <f t="shared" si="2"/>
        <v>154</v>
      </c>
      <c r="O56" s="819">
        <f t="shared" si="3"/>
        <v>63</v>
      </c>
      <c r="P56" s="819">
        <f t="shared" si="10"/>
        <v>1300</v>
      </c>
      <c r="Q56" s="819">
        <f t="shared" si="11"/>
        <v>59</v>
      </c>
      <c r="R56" s="819">
        <f t="shared" si="12"/>
        <v>16</v>
      </c>
      <c r="S56" s="819">
        <f t="shared" si="13"/>
        <v>128</v>
      </c>
      <c r="T56" s="819">
        <f t="shared" si="14"/>
        <v>41</v>
      </c>
      <c r="U56" s="819">
        <f t="shared" si="15"/>
        <v>1544</v>
      </c>
      <c r="V56" s="819">
        <f t="shared" si="16"/>
        <v>56</v>
      </c>
      <c r="W56" s="818">
        <f t="shared" si="17"/>
        <v>56</v>
      </c>
      <c r="X56" s="689" t="str">
        <f t="shared" si="18"/>
        <v/>
      </c>
      <c r="Y56" s="677"/>
      <c r="Z56" s="686"/>
      <c r="AA56" s="838"/>
      <c r="AB56" s="839"/>
    </row>
    <row r="57" spans="2:28" ht="13.15">
      <c r="B57" s="819" t="s">
        <v>467</v>
      </c>
      <c r="C57" s="819" t="s">
        <v>468</v>
      </c>
      <c r="D57" s="379" t="s">
        <v>336</v>
      </c>
      <c r="E57" s="818" t="s">
        <v>191</v>
      </c>
      <c r="F57" s="820">
        <v>2.5092394069999999</v>
      </c>
      <c r="G57" s="821">
        <v>1.562534138</v>
      </c>
      <c r="H57" s="822">
        <v>718211615.08225405</v>
      </c>
      <c r="I57" s="819">
        <v>11.04</v>
      </c>
      <c r="J57" s="820">
        <v>0.14123049900000001</v>
      </c>
      <c r="K57" s="819">
        <f t="shared" si="8"/>
        <v>281</v>
      </c>
      <c r="L57" s="819">
        <f t="shared" si="9"/>
        <v>735</v>
      </c>
      <c r="M57" s="819">
        <f t="shared" si="1"/>
        <v>281</v>
      </c>
      <c r="N57" s="819">
        <f t="shared" si="2"/>
        <v>28</v>
      </c>
      <c r="O57" s="819">
        <f t="shared" si="3"/>
        <v>29</v>
      </c>
      <c r="P57" s="819">
        <f t="shared" si="10"/>
        <v>1117</v>
      </c>
      <c r="Q57" s="819">
        <f t="shared" si="11"/>
        <v>312</v>
      </c>
      <c r="R57" s="819">
        <f t="shared" si="12"/>
        <v>199</v>
      </c>
      <c r="S57" s="819">
        <f t="shared" si="13"/>
        <v>2</v>
      </c>
      <c r="T57" s="819">
        <f t="shared" si="14"/>
        <v>7</v>
      </c>
      <c r="U57" s="819">
        <f t="shared" si="15"/>
        <v>1637</v>
      </c>
      <c r="V57" s="819">
        <f t="shared" si="16"/>
        <v>76</v>
      </c>
      <c r="W57" s="818">
        <f t="shared" si="17"/>
        <v>76</v>
      </c>
      <c r="X57" s="689" t="str">
        <f t="shared" si="18"/>
        <v/>
      </c>
      <c r="Y57" s="677"/>
      <c r="Z57" s="686"/>
      <c r="AA57" s="838"/>
      <c r="AB57" s="839"/>
    </row>
    <row r="58" spans="2:28" ht="13.15">
      <c r="B58" s="819" t="s">
        <v>469</v>
      </c>
      <c r="C58" s="819" t="s">
        <v>470</v>
      </c>
      <c r="D58" s="379" t="s">
        <v>336</v>
      </c>
      <c r="E58" s="818" t="s">
        <v>189</v>
      </c>
      <c r="F58" s="820">
        <v>1.0739620830000001</v>
      </c>
      <c r="G58" s="821">
        <v>0.770676951</v>
      </c>
      <c r="H58" s="822">
        <v>364810274.54909801</v>
      </c>
      <c r="I58" s="819">
        <v>0.3</v>
      </c>
      <c r="J58" s="820">
        <v>4.9304183000000001E-2</v>
      </c>
      <c r="K58" s="819">
        <f t="shared" si="8"/>
        <v>427</v>
      </c>
      <c r="L58" s="819">
        <f t="shared" si="9"/>
        <v>858</v>
      </c>
      <c r="M58" s="819">
        <f t="shared" si="1"/>
        <v>427</v>
      </c>
      <c r="N58" s="819">
        <f t="shared" si="2"/>
        <v>188</v>
      </c>
      <c r="O58" s="819">
        <f t="shared" si="3"/>
        <v>96</v>
      </c>
      <c r="P58" s="819">
        <f t="shared" si="10"/>
        <v>971</v>
      </c>
      <c r="Q58" s="819">
        <f t="shared" si="11"/>
        <v>435</v>
      </c>
      <c r="R58" s="819">
        <f t="shared" si="12"/>
        <v>345</v>
      </c>
      <c r="S58" s="819">
        <f t="shared" si="13"/>
        <v>162</v>
      </c>
      <c r="T58" s="819">
        <f t="shared" si="14"/>
        <v>74</v>
      </c>
      <c r="U58" s="819">
        <f t="shared" si="15"/>
        <v>1987</v>
      </c>
      <c r="V58" s="819">
        <f t="shared" si="16"/>
        <v>169</v>
      </c>
      <c r="W58" s="818">
        <f t="shared" si="17"/>
        <v>169</v>
      </c>
      <c r="X58" s="689" t="str">
        <f t="shared" si="18"/>
        <v/>
      </c>
      <c r="Y58" s="677"/>
      <c r="Z58" s="686"/>
      <c r="AA58" s="838"/>
      <c r="AB58" s="839"/>
    </row>
    <row r="59" spans="2:28" ht="13.15">
      <c r="B59" s="819" t="s">
        <v>471</v>
      </c>
      <c r="C59" s="819" t="s">
        <v>472</v>
      </c>
      <c r="D59" s="379" t="s">
        <v>336</v>
      </c>
      <c r="E59" s="818" t="s">
        <v>337</v>
      </c>
      <c r="F59" s="820">
        <v>1.942610105</v>
      </c>
      <c r="G59" s="821">
        <v>0.77276310599999998</v>
      </c>
      <c r="H59" s="822">
        <v>95884022.515200004</v>
      </c>
      <c r="I59" s="819"/>
      <c r="J59" s="820">
        <v>5.0225121999999997E-2</v>
      </c>
      <c r="K59" s="819">
        <f t="shared" si="8"/>
        <v>733</v>
      </c>
      <c r="L59" s="819">
        <f t="shared" si="9"/>
        <v>856</v>
      </c>
      <c r="M59" s="819">
        <f t="shared" si="1"/>
        <v>733</v>
      </c>
      <c r="N59" s="819">
        <f t="shared" si="2"/>
        <v>364</v>
      </c>
      <c r="O59" s="819">
        <f t="shared" si="3"/>
        <v>94</v>
      </c>
      <c r="P59" s="819">
        <f t="shared" si="10"/>
        <v>665</v>
      </c>
      <c r="Q59" s="819">
        <f t="shared" si="11"/>
        <v>433</v>
      </c>
      <c r="R59" s="819">
        <f t="shared" si="12"/>
        <v>651</v>
      </c>
      <c r="S59" s="819">
        <f t="shared" si="13"/>
        <v>338</v>
      </c>
      <c r="T59" s="819">
        <f t="shared" si="14"/>
        <v>72</v>
      </c>
      <c r="U59" s="819">
        <f t="shared" si="15"/>
        <v>2159</v>
      </c>
      <c r="V59" s="819">
        <f t="shared" si="16"/>
        <v>198</v>
      </c>
      <c r="W59" s="818">
        <f t="shared" si="17"/>
        <v>198</v>
      </c>
      <c r="X59" s="689" t="str">
        <f t="shared" si="18"/>
        <v/>
      </c>
      <c r="Y59" s="677"/>
      <c r="Z59" s="686"/>
      <c r="AA59" s="838"/>
      <c r="AB59" s="839"/>
    </row>
    <row r="60" spans="2:28" ht="13.15">
      <c r="B60" s="819" t="s">
        <v>473</v>
      </c>
      <c r="C60" s="819" t="s">
        <v>474</v>
      </c>
      <c r="D60" s="379" t="s">
        <v>336</v>
      </c>
      <c r="E60" s="818" t="s">
        <v>460</v>
      </c>
      <c r="F60" s="820">
        <v>3.0506389280000001</v>
      </c>
      <c r="G60" s="821">
        <v>15.0517862</v>
      </c>
      <c r="H60" s="822">
        <v>26449707.6718404</v>
      </c>
      <c r="I60" s="819"/>
      <c r="J60" s="820">
        <v>0.13628652199999999</v>
      </c>
      <c r="K60" s="819">
        <f t="shared" si="8"/>
        <v>1033</v>
      </c>
      <c r="L60" s="819">
        <f t="shared" si="9"/>
        <v>125</v>
      </c>
      <c r="M60" s="819">
        <f t="shared" si="1"/>
        <v>1033</v>
      </c>
      <c r="N60" s="819">
        <f t="shared" si="2"/>
        <v>364</v>
      </c>
      <c r="O60" s="819">
        <f t="shared" si="3"/>
        <v>30</v>
      </c>
      <c r="P60" s="819">
        <f t="shared" si="10"/>
        <v>365</v>
      </c>
      <c r="Q60" s="819">
        <f t="shared" si="11"/>
        <v>298</v>
      </c>
      <c r="R60" s="819">
        <f t="shared" si="12"/>
        <v>951</v>
      </c>
      <c r="S60" s="819">
        <f t="shared" si="13"/>
        <v>338</v>
      </c>
      <c r="T60" s="819">
        <f t="shared" si="14"/>
        <v>8</v>
      </c>
      <c r="U60" s="819">
        <f t="shared" si="15"/>
        <v>1960</v>
      </c>
      <c r="V60" s="819">
        <f t="shared" si="16"/>
        <v>162</v>
      </c>
      <c r="W60" s="818">
        <f t="shared" si="17"/>
        <v>162</v>
      </c>
      <c r="X60" s="689" t="str">
        <f t="shared" si="18"/>
        <v/>
      </c>
      <c r="Y60" s="677"/>
      <c r="Z60" s="686"/>
      <c r="AA60" s="838"/>
      <c r="AB60" s="839"/>
    </row>
    <row r="61" spans="2:28" ht="13.15">
      <c r="B61" s="819" t="s">
        <v>475</v>
      </c>
      <c r="C61" s="819" t="s">
        <v>476</v>
      </c>
      <c r="D61" s="379" t="s">
        <v>336</v>
      </c>
      <c r="E61" s="818" t="s">
        <v>460</v>
      </c>
      <c r="F61" s="820">
        <v>-97.321234619999998</v>
      </c>
      <c r="G61" s="821">
        <v>1.831230583</v>
      </c>
      <c r="H61" s="822">
        <v>51921224.452567898</v>
      </c>
      <c r="I61" s="819"/>
      <c r="J61" s="820">
        <v>1.2011425920000001</v>
      </c>
      <c r="K61" s="819">
        <f t="shared" si="8"/>
        <v>866</v>
      </c>
      <c r="L61" s="819">
        <f t="shared" si="9"/>
        <v>698</v>
      </c>
      <c r="M61" s="819">
        <f t="shared" si="1"/>
        <v>866</v>
      </c>
      <c r="N61" s="819">
        <f t="shared" si="2"/>
        <v>364</v>
      </c>
      <c r="O61" s="819">
        <f t="shared" si="3"/>
        <v>5</v>
      </c>
      <c r="P61" s="819">
        <f t="shared" si="10"/>
        <v>532</v>
      </c>
      <c r="Q61" s="819">
        <f t="shared" si="11"/>
        <v>275</v>
      </c>
      <c r="R61" s="819">
        <f t="shared" si="12"/>
        <v>784</v>
      </c>
      <c r="S61" s="819">
        <f t="shared" si="13"/>
        <v>338</v>
      </c>
      <c r="T61" s="819">
        <f t="shared" si="14"/>
        <v>17</v>
      </c>
      <c r="U61" s="819">
        <f t="shared" si="15"/>
        <v>1946</v>
      </c>
      <c r="V61" s="819">
        <f t="shared" si="16"/>
        <v>156</v>
      </c>
      <c r="W61" s="818">
        <f t="shared" si="17"/>
        <v>156</v>
      </c>
      <c r="X61" s="379" t="str">
        <f t="shared" si="18"/>
        <v/>
      </c>
      <c r="Y61" s="677"/>
      <c r="Z61" s="689"/>
      <c r="AA61" s="838"/>
      <c r="AB61" s="839"/>
    </row>
    <row r="62" spans="2:28" ht="13.15">
      <c r="B62" s="819" t="s">
        <v>477</v>
      </c>
      <c r="C62" s="819" t="s">
        <v>478</v>
      </c>
      <c r="D62" s="379" t="s">
        <v>336</v>
      </c>
      <c r="E62" s="818" t="s">
        <v>337</v>
      </c>
      <c r="F62" s="820">
        <v>2.6494638959999999</v>
      </c>
      <c r="G62" s="821">
        <v>0.16081200400000001</v>
      </c>
      <c r="H62" s="822">
        <v>352583688</v>
      </c>
      <c r="I62" s="819">
        <v>1.06</v>
      </c>
      <c r="J62" s="820">
        <v>5.5939638999999999E-2</v>
      </c>
      <c r="K62" s="819">
        <f t="shared" si="8"/>
        <v>437</v>
      </c>
      <c r="L62" s="819">
        <f t="shared" si="9"/>
        <v>995</v>
      </c>
      <c r="M62" s="819">
        <f t="shared" si="1"/>
        <v>437</v>
      </c>
      <c r="N62" s="819">
        <f t="shared" si="2"/>
        <v>130</v>
      </c>
      <c r="O62" s="819">
        <f t="shared" si="3"/>
        <v>89</v>
      </c>
      <c r="P62" s="819">
        <f t="shared" si="10"/>
        <v>961</v>
      </c>
      <c r="Q62" s="819">
        <f t="shared" si="11"/>
        <v>572</v>
      </c>
      <c r="R62" s="819">
        <f t="shared" si="12"/>
        <v>355</v>
      </c>
      <c r="S62" s="819">
        <f t="shared" si="13"/>
        <v>104</v>
      </c>
      <c r="T62" s="819">
        <f t="shared" si="14"/>
        <v>67</v>
      </c>
      <c r="U62" s="819">
        <f t="shared" si="15"/>
        <v>2059</v>
      </c>
      <c r="V62" s="819">
        <f t="shared" si="16"/>
        <v>183</v>
      </c>
      <c r="W62" s="818">
        <f t="shared" si="17"/>
        <v>183</v>
      </c>
      <c r="X62" s="689" t="str">
        <f t="shared" si="18"/>
        <v/>
      </c>
      <c r="Y62" s="686"/>
      <c r="Z62" s="686"/>
      <c r="AA62" s="838"/>
      <c r="AB62" s="839"/>
    </row>
    <row r="63" spans="2:28" ht="13.15">
      <c r="B63" s="819" t="s">
        <v>479</v>
      </c>
      <c r="C63" s="819" t="s">
        <v>480</v>
      </c>
      <c r="D63" s="379" t="s">
        <v>336</v>
      </c>
      <c r="E63" s="818" t="s">
        <v>481</v>
      </c>
      <c r="F63" s="820">
        <v>2.9954877240000002</v>
      </c>
      <c r="G63" s="821">
        <v>7.4559805709999996</v>
      </c>
      <c r="H63" s="822">
        <v>1812790002.18484</v>
      </c>
      <c r="I63" s="819">
        <v>25.36</v>
      </c>
      <c r="J63" s="820">
        <v>0.101100382</v>
      </c>
      <c r="K63" s="819">
        <f t="shared" si="8"/>
        <v>161</v>
      </c>
      <c r="L63" s="819">
        <f t="shared" si="9"/>
        <v>276</v>
      </c>
      <c r="M63" s="819">
        <f t="shared" si="1"/>
        <v>161</v>
      </c>
      <c r="N63" s="819">
        <f t="shared" si="2"/>
        <v>22</v>
      </c>
      <c r="O63" s="819">
        <f t="shared" si="3"/>
        <v>42</v>
      </c>
      <c r="P63" s="819">
        <f t="shared" si="10"/>
        <v>1237</v>
      </c>
      <c r="Q63" s="819">
        <f t="shared" si="11"/>
        <v>147</v>
      </c>
      <c r="R63" s="819">
        <f t="shared" si="12"/>
        <v>79</v>
      </c>
      <c r="S63" s="819">
        <f t="shared" si="13"/>
        <v>4</v>
      </c>
      <c r="T63" s="819">
        <f t="shared" si="14"/>
        <v>20</v>
      </c>
      <c r="U63" s="819">
        <f t="shared" si="15"/>
        <v>1487</v>
      </c>
      <c r="V63" s="819">
        <f t="shared" si="16"/>
        <v>49</v>
      </c>
      <c r="W63" s="818">
        <f t="shared" si="17"/>
        <v>49</v>
      </c>
      <c r="X63" s="689" t="str">
        <f t="shared" si="18"/>
        <v/>
      </c>
      <c r="Y63" s="686"/>
      <c r="Z63" s="686"/>
      <c r="AA63" s="838"/>
      <c r="AB63" s="839"/>
    </row>
    <row r="64" spans="2:28" ht="13.15">
      <c r="B64" s="819" t="s">
        <v>482</v>
      </c>
      <c r="C64" s="819" t="s">
        <v>483</v>
      </c>
      <c r="D64" s="379" t="s">
        <v>336</v>
      </c>
      <c r="E64" s="818" t="s">
        <v>481</v>
      </c>
      <c r="F64" s="820">
        <v>1.2216272079999999</v>
      </c>
      <c r="G64" s="821">
        <v>1.72893863</v>
      </c>
      <c r="H64" s="822">
        <v>27516840725.366001</v>
      </c>
      <c r="I64" s="819">
        <v>3192.34</v>
      </c>
      <c r="J64" s="820">
        <v>3.6158612999999999E-2</v>
      </c>
      <c r="K64" s="819">
        <f t="shared" si="8"/>
        <v>10</v>
      </c>
      <c r="L64" s="819">
        <f t="shared" si="9"/>
        <v>717</v>
      </c>
      <c r="M64" s="819">
        <f t="shared" si="1"/>
        <v>10</v>
      </c>
      <c r="N64" s="819">
        <f t="shared" si="2"/>
        <v>1</v>
      </c>
      <c r="O64" s="819">
        <f t="shared" si="3"/>
        <v>109</v>
      </c>
      <c r="P64" s="819">
        <f t="shared" si="10"/>
        <v>1388</v>
      </c>
      <c r="Q64" s="819">
        <f t="shared" si="11"/>
        <v>294</v>
      </c>
      <c r="R64" s="819">
        <f t="shared" si="12"/>
        <v>72</v>
      </c>
      <c r="S64" s="819">
        <f t="shared" si="13"/>
        <v>25</v>
      </c>
      <c r="T64" s="819">
        <f t="shared" si="14"/>
        <v>87</v>
      </c>
      <c r="U64" s="819">
        <f t="shared" si="15"/>
        <v>1866</v>
      </c>
      <c r="V64" s="819">
        <f t="shared" si="16"/>
        <v>133</v>
      </c>
      <c r="W64" s="818">
        <f t="shared" si="17"/>
        <v>133</v>
      </c>
      <c r="X64" s="689" t="str">
        <f t="shared" si="18"/>
        <v/>
      </c>
      <c r="Y64" s="686"/>
      <c r="Z64" s="686"/>
      <c r="AA64" s="838"/>
      <c r="AB64" s="839"/>
    </row>
    <row r="65" spans="2:28" ht="13.15">
      <c r="B65" s="819" t="s">
        <v>484</v>
      </c>
      <c r="C65" s="819" t="s">
        <v>485</v>
      </c>
      <c r="D65" s="379" t="s">
        <v>336</v>
      </c>
      <c r="E65" s="818" t="s">
        <v>481</v>
      </c>
      <c r="F65" s="820">
        <v>1.2991224459999999</v>
      </c>
      <c r="G65" s="821">
        <v>0.67866429500000003</v>
      </c>
      <c r="H65" s="822">
        <v>95171509.722525701</v>
      </c>
      <c r="I65" s="819"/>
      <c r="J65" s="820">
        <v>8.9739253000000005E-2</v>
      </c>
      <c r="K65" s="819">
        <f t="shared" si="8"/>
        <v>736</v>
      </c>
      <c r="L65" s="819">
        <f t="shared" si="9"/>
        <v>880</v>
      </c>
      <c r="M65" s="819">
        <f t="shared" si="1"/>
        <v>736</v>
      </c>
      <c r="N65" s="819">
        <f t="shared" si="2"/>
        <v>364</v>
      </c>
      <c r="O65" s="819">
        <f t="shared" si="3"/>
        <v>52</v>
      </c>
      <c r="P65" s="819">
        <f t="shared" si="10"/>
        <v>662</v>
      </c>
      <c r="Q65" s="819">
        <f t="shared" si="11"/>
        <v>457</v>
      </c>
      <c r="R65" s="819">
        <f t="shared" si="12"/>
        <v>654</v>
      </c>
      <c r="S65" s="819">
        <f t="shared" si="13"/>
        <v>338</v>
      </c>
      <c r="T65" s="819">
        <f t="shared" si="14"/>
        <v>30</v>
      </c>
      <c r="U65" s="819">
        <f t="shared" si="15"/>
        <v>2141</v>
      </c>
      <c r="V65" s="819">
        <f t="shared" si="16"/>
        <v>195</v>
      </c>
      <c r="W65" s="818">
        <f t="shared" si="17"/>
        <v>195</v>
      </c>
      <c r="X65" s="689" t="str">
        <f t="shared" si="18"/>
        <v/>
      </c>
      <c r="Y65" s="686"/>
      <c r="Z65" s="686"/>
      <c r="AA65" s="838"/>
      <c r="AB65" s="839"/>
    </row>
    <row r="66" spans="2:28" ht="13.15">
      <c r="B66" s="819" t="s">
        <v>486</v>
      </c>
      <c r="C66" s="819" t="s">
        <v>487</v>
      </c>
      <c r="D66" s="379" t="s">
        <v>336</v>
      </c>
      <c r="E66" s="818" t="s">
        <v>481</v>
      </c>
      <c r="F66" s="820">
        <v>2.6019249059999998</v>
      </c>
      <c r="G66" s="821">
        <v>3.9281092229999999</v>
      </c>
      <c r="H66" s="822">
        <v>262801398295.827</v>
      </c>
      <c r="I66" s="819">
        <v>5.51</v>
      </c>
      <c r="J66" s="820">
        <v>6.1846775E-2</v>
      </c>
      <c r="K66" s="819">
        <f t="shared" si="8"/>
        <v>1</v>
      </c>
      <c r="L66" s="819">
        <f t="shared" si="9"/>
        <v>454</v>
      </c>
      <c r="M66" s="819">
        <f t="shared" si="1"/>
        <v>1</v>
      </c>
      <c r="N66" s="819">
        <f t="shared" si="2"/>
        <v>45</v>
      </c>
      <c r="O66" s="819">
        <f t="shared" si="3"/>
        <v>83</v>
      </c>
      <c r="P66" s="819">
        <f t="shared" si="10"/>
        <v>1397</v>
      </c>
      <c r="Q66" s="819">
        <f t="shared" si="11"/>
        <v>31</v>
      </c>
      <c r="R66" s="819">
        <f t="shared" si="12"/>
        <v>81</v>
      </c>
      <c r="S66" s="819">
        <f t="shared" si="13"/>
        <v>19</v>
      </c>
      <c r="T66" s="819">
        <f t="shared" si="14"/>
        <v>61</v>
      </c>
      <c r="U66" s="819">
        <f t="shared" si="15"/>
        <v>1589</v>
      </c>
      <c r="V66" s="819">
        <f t="shared" si="16"/>
        <v>67</v>
      </c>
      <c r="W66" s="818">
        <f t="shared" si="17"/>
        <v>67</v>
      </c>
      <c r="X66" s="689" t="str">
        <f t="shared" si="18"/>
        <v/>
      </c>
      <c r="Y66" s="686"/>
      <c r="Z66" s="686"/>
      <c r="AA66" s="838"/>
      <c r="AB66" s="839"/>
    </row>
    <row r="67" spans="2:28" ht="13.15">
      <c r="B67" s="819" t="s">
        <v>488</v>
      </c>
      <c r="C67" s="819" t="s">
        <v>489</v>
      </c>
      <c r="D67" s="379" t="s">
        <v>336</v>
      </c>
      <c r="E67" s="818" t="s">
        <v>191</v>
      </c>
      <c r="F67" s="820">
        <v>3.2136225810000001</v>
      </c>
      <c r="G67" s="821">
        <v>259.07269630000002</v>
      </c>
      <c r="H67" s="822">
        <v>2093198409.33178</v>
      </c>
      <c r="I67" s="819">
        <v>0.71</v>
      </c>
      <c r="J67" s="820">
        <v>3.066165E-3</v>
      </c>
      <c r="K67" s="819">
        <f t="shared" si="8"/>
        <v>142</v>
      </c>
      <c r="L67" s="819">
        <f t="shared" si="9"/>
        <v>7</v>
      </c>
      <c r="M67" s="819">
        <f t="shared" si="1"/>
        <v>142</v>
      </c>
      <c r="N67" s="819">
        <f t="shared" si="2"/>
        <v>150</v>
      </c>
      <c r="O67" s="819">
        <f t="shared" si="3"/>
        <v>156</v>
      </c>
      <c r="P67" s="819">
        <f t="shared" si="10"/>
        <v>1256</v>
      </c>
      <c r="Q67" s="819">
        <f t="shared" si="11"/>
        <v>416</v>
      </c>
      <c r="R67" s="819">
        <f t="shared" si="12"/>
        <v>60</v>
      </c>
      <c r="S67" s="819">
        <f t="shared" si="13"/>
        <v>124</v>
      </c>
      <c r="T67" s="819">
        <f t="shared" si="14"/>
        <v>134</v>
      </c>
      <c r="U67" s="819">
        <f t="shared" si="15"/>
        <v>1990</v>
      </c>
      <c r="V67" s="819">
        <f t="shared" si="16"/>
        <v>170</v>
      </c>
      <c r="W67" s="818">
        <f t="shared" si="17"/>
        <v>170</v>
      </c>
      <c r="X67" s="689" t="str">
        <f t="shared" si="18"/>
        <v/>
      </c>
      <c r="Y67" s="686"/>
      <c r="Z67" s="686"/>
      <c r="AA67" s="838"/>
      <c r="AB67" s="839"/>
    </row>
    <row r="68" spans="2:28" ht="13.15">
      <c r="B68" s="819" t="s">
        <v>490</v>
      </c>
      <c r="C68" s="819" t="s">
        <v>491</v>
      </c>
      <c r="D68" s="379" t="s">
        <v>336</v>
      </c>
      <c r="E68" s="818" t="s">
        <v>425</v>
      </c>
      <c r="F68" s="820">
        <v>4.3644286890000004</v>
      </c>
      <c r="G68" s="821">
        <v>0.69274329400000001</v>
      </c>
      <c r="H68" s="822">
        <v>719538475.14606297</v>
      </c>
      <c r="I68" s="819"/>
      <c r="J68" s="820">
        <v>6.9025634000000002E-2</v>
      </c>
      <c r="K68" s="819">
        <f t="shared" si="8"/>
        <v>280</v>
      </c>
      <c r="L68" s="819">
        <f t="shared" si="9"/>
        <v>875</v>
      </c>
      <c r="M68" s="819">
        <f t="shared" ref="M68:M131" si="19">IFERROR(_xlfn.RANK.EQ(H68,H$3:H$1787),"N/A")</f>
        <v>280</v>
      </c>
      <c r="N68" s="819">
        <f t="shared" ref="N68:N131" si="20">IFERROR(_xlfn.RANK.EQ(I68,I$3:I$1787),"N/A")</f>
        <v>364</v>
      </c>
      <c r="O68" s="819">
        <f t="shared" ref="O68:O131" si="21">IFERROR(_xlfn.RANK.EQ(J68,J$3:J$1787),"N/A")</f>
        <v>71</v>
      </c>
      <c r="P68" s="819">
        <f t="shared" si="10"/>
        <v>1118</v>
      </c>
      <c r="Q68" s="819">
        <f t="shared" si="11"/>
        <v>452</v>
      </c>
      <c r="R68" s="819">
        <f t="shared" si="12"/>
        <v>198</v>
      </c>
      <c r="S68" s="819">
        <f t="shared" si="13"/>
        <v>338</v>
      </c>
      <c r="T68" s="819">
        <f t="shared" si="14"/>
        <v>49</v>
      </c>
      <c r="U68" s="819">
        <f t="shared" si="15"/>
        <v>2155</v>
      </c>
      <c r="V68" s="819">
        <f t="shared" si="16"/>
        <v>197</v>
      </c>
      <c r="W68" s="818">
        <f t="shared" si="17"/>
        <v>197</v>
      </c>
      <c r="X68" s="689" t="str">
        <f t="shared" si="18"/>
        <v/>
      </c>
      <c r="Y68" s="686"/>
      <c r="Z68" s="686"/>
      <c r="AA68" s="838"/>
      <c r="AB68" s="839"/>
    </row>
    <row r="69" spans="2:28" ht="13.15">
      <c r="B69" s="819" t="s">
        <v>492</v>
      </c>
      <c r="C69" s="819" t="s">
        <v>493</v>
      </c>
      <c r="D69" s="379" t="s">
        <v>336</v>
      </c>
      <c r="E69" s="818" t="s">
        <v>418</v>
      </c>
      <c r="F69" s="820">
        <v>0.66787589199999997</v>
      </c>
      <c r="G69" s="821">
        <v>23.903163549999999</v>
      </c>
      <c r="H69" s="822">
        <v>184746096.97675899</v>
      </c>
      <c r="I69" s="819"/>
      <c r="J69" s="820">
        <v>9.7935869999999994E-3</v>
      </c>
      <c r="K69" s="819">
        <f t="shared" ref="K69:K132" si="22">IFERROR(_xlfn.RANK.EQ(H69,H$3:H$1787),"N/A")</f>
        <v>591</v>
      </c>
      <c r="L69" s="819">
        <f t="shared" ref="L69:L132" si="23">IFERROR(_xlfn.RANK.EQ(G69,G$3:G$1787),"N/A")</f>
        <v>80</v>
      </c>
      <c r="M69" s="819">
        <f t="shared" si="19"/>
        <v>591</v>
      </c>
      <c r="N69" s="819">
        <f t="shared" si="20"/>
        <v>364</v>
      </c>
      <c r="O69" s="819">
        <f t="shared" si="21"/>
        <v>136</v>
      </c>
      <c r="P69" s="819">
        <f t="shared" ref="P69:P132" si="24">IFERROR(ABS(K$3-K69),"N/A")</f>
        <v>807</v>
      </c>
      <c r="Q69" s="819">
        <f t="shared" ref="Q69:Q132" si="25">IFERROR(ABS(L$3-L69),"N/A")</f>
        <v>343</v>
      </c>
      <c r="R69" s="819">
        <f t="shared" ref="R69:R132" si="26">IFERROR(ABS(M$3-M69),"N/A")</f>
        <v>509</v>
      </c>
      <c r="S69" s="819">
        <f t="shared" ref="S69:S132" si="27">IFERROR(ABS(N$3-N69),"N/A")</f>
        <v>338</v>
      </c>
      <c r="T69" s="819">
        <f t="shared" ref="T69:T132" si="28">IFERROR(ABS(O$3-O69),"N/A")</f>
        <v>114</v>
      </c>
      <c r="U69" s="819">
        <f t="shared" ref="U69:U132" si="29">SUM(P69:T69)</f>
        <v>2111</v>
      </c>
      <c r="V69" s="819">
        <f t="shared" ref="V69:V132" si="30">_xlfn.RANK.EQ(U69,$U$4:$U$1787,1)</f>
        <v>188</v>
      </c>
      <c r="W69" s="818">
        <f t="shared" ref="W69:W132" si="31">IF(Y69="Not suitable","-",V69)</f>
        <v>188</v>
      </c>
      <c r="X69" s="689" t="str">
        <f t="shared" si="18"/>
        <v/>
      </c>
      <c r="Y69" s="686"/>
      <c r="Z69" s="686"/>
      <c r="AA69" s="838"/>
      <c r="AB69" s="839"/>
    </row>
    <row r="70" spans="2:28" ht="13.15">
      <c r="B70" s="819" t="s">
        <v>494</v>
      </c>
      <c r="C70" s="819" t="s">
        <v>495</v>
      </c>
      <c r="D70" s="379" t="s">
        <v>336</v>
      </c>
      <c r="E70" s="818" t="s">
        <v>441</v>
      </c>
      <c r="F70" s="820">
        <v>1.8263641850000001</v>
      </c>
      <c r="G70" s="821">
        <v>-2.0046715119999998</v>
      </c>
      <c r="H70" s="822">
        <v>484543211.93768001</v>
      </c>
      <c r="I70" s="819"/>
      <c r="J70" s="820">
        <v>-0.323257446</v>
      </c>
      <c r="K70" s="819">
        <f t="shared" si="22"/>
        <v>361</v>
      </c>
      <c r="L70" s="819">
        <f t="shared" si="23"/>
        <v>1344</v>
      </c>
      <c r="M70" s="819">
        <f t="shared" si="19"/>
        <v>361</v>
      </c>
      <c r="N70" s="819">
        <f t="shared" si="20"/>
        <v>364</v>
      </c>
      <c r="O70" s="819">
        <f t="shared" si="21"/>
        <v>1776</v>
      </c>
      <c r="P70" s="819">
        <f t="shared" si="24"/>
        <v>1037</v>
      </c>
      <c r="Q70" s="819">
        <f t="shared" si="25"/>
        <v>921</v>
      </c>
      <c r="R70" s="819">
        <f t="shared" si="26"/>
        <v>279</v>
      </c>
      <c r="S70" s="819">
        <f t="shared" si="27"/>
        <v>338</v>
      </c>
      <c r="T70" s="819">
        <f t="shared" si="28"/>
        <v>1754</v>
      </c>
      <c r="U70" s="819">
        <f t="shared" si="29"/>
        <v>4329</v>
      </c>
      <c r="V70" s="819">
        <f t="shared" si="30"/>
        <v>1768</v>
      </c>
      <c r="W70" s="818">
        <f t="shared" si="31"/>
        <v>1768</v>
      </c>
      <c r="X70" s="689" t="str">
        <f t="shared" ref="X70:X133" si="32">IF(L70="N/A","Y","")</f>
        <v/>
      </c>
      <c r="Y70" s="686"/>
      <c r="Z70" s="686"/>
      <c r="AA70" s="838"/>
      <c r="AB70" s="839"/>
    </row>
    <row r="71" spans="2:28" ht="13.15">
      <c r="B71" s="819" t="s">
        <v>496</v>
      </c>
      <c r="C71" s="819" t="s">
        <v>497</v>
      </c>
      <c r="D71" s="379" t="s">
        <v>336</v>
      </c>
      <c r="E71" s="818" t="s">
        <v>337</v>
      </c>
      <c r="F71" s="820">
        <v>1.316458197</v>
      </c>
      <c r="G71" s="821">
        <v>4.5866084430000003</v>
      </c>
      <c r="H71" s="822">
        <v>20180531171.619999</v>
      </c>
      <c r="I71" s="819">
        <v>2.87</v>
      </c>
      <c r="J71" s="820">
        <v>4.9923534999999998E-2</v>
      </c>
      <c r="K71" s="819">
        <f t="shared" si="22"/>
        <v>17</v>
      </c>
      <c r="L71" s="819">
        <f t="shared" si="23"/>
        <v>408</v>
      </c>
      <c r="M71" s="819">
        <f t="shared" si="19"/>
        <v>17</v>
      </c>
      <c r="N71" s="819">
        <f t="shared" si="20"/>
        <v>68</v>
      </c>
      <c r="O71" s="819">
        <f t="shared" si="21"/>
        <v>95</v>
      </c>
      <c r="P71" s="819">
        <f t="shared" si="24"/>
        <v>1381</v>
      </c>
      <c r="Q71" s="819">
        <f t="shared" si="25"/>
        <v>15</v>
      </c>
      <c r="R71" s="819">
        <f t="shared" si="26"/>
        <v>65</v>
      </c>
      <c r="S71" s="819">
        <f t="shared" si="27"/>
        <v>42</v>
      </c>
      <c r="T71" s="819">
        <f t="shared" si="28"/>
        <v>73</v>
      </c>
      <c r="U71" s="819">
        <f t="shared" si="29"/>
        <v>1576</v>
      </c>
      <c r="V71" s="819">
        <f t="shared" si="30"/>
        <v>64</v>
      </c>
      <c r="W71" s="818">
        <f t="shared" si="31"/>
        <v>64</v>
      </c>
      <c r="X71" s="689" t="str">
        <f t="shared" si="32"/>
        <v/>
      </c>
      <c r="Y71" s="686"/>
      <c r="Z71" s="686"/>
      <c r="AA71" s="838"/>
      <c r="AB71" s="839"/>
    </row>
    <row r="72" spans="2:28" ht="13.15">
      <c r="B72" s="819" t="s">
        <v>498</v>
      </c>
      <c r="C72" s="819" t="s">
        <v>499</v>
      </c>
      <c r="D72" s="379" t="s">
        <v>336</v>
      </c>
      <c r="E72" s="818" t="s">
        <v>418</v>
      </c>
      <c r="F72" s="820">
        <v>2.534457744</v>
      </c>
      <c r="G72" s="821">
        <v>19.016077169999999</v>
      </c>
      <c r="H72" s="822">
        <v>61176927.558749303</v>
      </c>
      <c r="I72" s="819"/>
      <c r="J72" s="820">
        <v>7.3790025999999995E-2</v>
      </c>
      <c r="K72" s="819">
        <f t="shared" si="22"/>
        <v>837</v>
      </c>
      <c r="L72" s="819">
        <f t="shared" si="23"/>
        <v>98</v>
      </c>
      <c r="M72" s="819">
        <f t="shared" si="19"/>
        <v>837</v>
      </c>
      <c r="N72" s="819">
        <f t="shared" si="20"/>
        <v>364</v>
      </c>
      <c r="O72" s="819">
        <f t="shared" si="21"/>
        <v>65</v>
      </c>
      <c r="P72" s="819">
        <f t="shared" si="24"/>
        <v>561</v>
      </c>
      <c r="Q72" s="819">
        <f t="shared" si="25"/>
        <v>325</v>
      </c>
      <c r="R72" s="819">
        <f t="shared" si="26"/>
        <v>755</v>
      </c>
      <c r="S72" s="819">
        <f t="shared" si="27"/>
        <v>338</v>
      </c>
      <c r="T72" s="819">
        <f t="shared" si="28"/>
        <v>43</v>
      </c>
      <c r="U72" s="819">
        <f t="shared" si="29"/>
        <v>2022</v>
      </c>
      <c r="V72" s="819">
        <f t="shared" si="30"/>
        <v>173</v>
      </c>
      <c r="W72" s="818">
        <f t="shared" si="31"/>
        <v>173</v>
      </c>
      <c r="X72" s="689" t="str">
        <f t="shared" si="32"/>
        <v/>
      </c>
      <c r="Y72" s="686"/>
      <c r="Z72" s="686"/>
      <c r="AA72" s="838"/>
      <c r="AB72" s="839"/>
    </row>
    <row r="73" spans="2:28" ht="13.15">
      <c r="B73" s="819" t="s">
        <v>500</v>
      </c>
      <c r="C73" s="819" t="s">
        <v>501</v>
      </c>
      <c r="D73" s="379" t="s">
        <v>336</v>
      </c>
      <c r="E73" s="818" t="s">
        <v>418</v>
      </c>
      <c r="F73" s="820">
        <v>1.2667971840000001</v>
      </c>
      <c r="G73" s="821">
        <v>1.9173826060000001</v>
      </c>
      <c r="H73" s="822">
        <v>1835491320.1851499</v>
      </c>
      <c r="I73" s="819">
        <v>1.35</v>
      </c>
      <c r="J73" s="820">
        <v>6.3370095000000001E-2</v>
      </c>
      <c r="K73" s="819">
        <f t="shared" si="22"/>
        <v>158</v>
      </c>
      <c r="L73" s="819">
        <f t="shared" si="23"/>
        <v>687</v>
      </c>
      <c r="M73" s="819">
        <f t="shared" si="19"/>
        <v>158</v>
      </c>
      <c r="N73" s="819">
        <f t="shared" si="20"/>
        <v>102</v>
      </c>
      <c r="O73" s="819">
        <f t="shared" si="21"/>
        <v>80</v>
      </c>
      <c r="P73" s="819">
        <f t="shared" si="24"/>
        <v>1240</v>
      </c>
      <c r="Q73" s="819">
        <f t="shared" si="25"/>
        <v>264</v>
      </c>
      <c r="R73" s="819">
        <f t="shared" si="26"/>
        <v>76</v>
      </c>
      <c r="S73" s="819">
        <f t="shared" si="27"/>
        <v>76</v>
      </c>
      <c r="T73" s="819">
        <f t="shared" si="28"/>
        <v>58</v>
      </c>
      <c r="U73" s="819">
        <f t="shared" si="29"/>
        <v>1714</v>
      </c>
      <c r="V73" s="819">
        <f t="shared" si="30"/>
        <v>96</v>
      </c>
      <c r="W73" s="818">
        <f t="shared" si="31"/>
        <v>96</v>
      </c>
      <c r="X73" s="689" t="str">
        <f t="shared" si="32"/>
        <v/>
      </c>
      <c r="Y73" s="686"/>
      <c r="Z73" s="686"/>
      <c r="AA73" s="838"/>
      <c r="AB73" s="839"/>
    </row>
    <row r="74" spans="2:28" ht="13.15">
      <c r="B74" s="819" t="s">
        <v>502</v>
      </c>
      <c r="C74" s="819" t="s">
        <v>503</v>
      </c>
      <c r="D74" s="379" t="s">
        <v>336</v>
      </c>
      <c r="E74" s="818" t="s">
        <v>418</v>
      </c>
      <c r="F74" s="820">
        <v>4.2572854610000004</v>
      </c>
      <c r="G74" s="821">
        <v>7.8366935480000004</v>
      </c>
      <c r="H74" s="822">
        <v>34409485.9843335</v>
      </c>
      <c r="I74" s="819"/>
      <c r="J74" s="820">
        <v>0.114206076</v>
      </c>
      <c r="K74" s="819">
        <f t="shared" si="22"/>
        <v>961</v>
      </c>
      <c r="L74" s="819">
        <f t="shared" si="23"/>
        <v>259</v>
      </c>
      <c r="M74" s="819">
        <f t="shared" si="19"/>
        <v>961</v>
      </c>
      <c r="N74" s="819">
        <f t="shared" si="20"/>
        <v>364</v>
      </c>
      <c r="O74" s="819">
        <f t="shared" si="21"/>
        <v>39</v>
      </c>
      <c r="P74" s="819">
        <f t="shared" si="24"/>
        <v>437</v>
      </c>
      <c r="Q74" s="819">
        <f t="shared" si="25"/>
        <v>164</v>
      </c>
      <c r="R74" s="819">
        <f t="shared" si="26"/>
        <v>879</v>
      </c>
      <c r="S74" s="819">
        <f t="shared" si="27"/>
        <v>338</v>
      </c>
      <c r="T74" s="819">
        <f t="shared" si="28"/>
        <v>17</v>
      </c>
      <c r="U74" s="819">
        <f t="shared" si="29"/>
        <v>1835</v>
      </c>
      <c r="V74" s="819">
        <f t="shared" si="30"/>
        <v>126</v>
      </c>
      <c r="W74" s="818">
        <f t="shared" si="31"/>
        <v>126</v>
      </c>
      <c r="X74" s="689" t="str">
        <f t="shared" si="32"/>
        <v/>
      </c>
      <c r="Y74" s="686"/>
      <c r="Z74" s="686"/>
      <c r="AA74" s="838"/>
      <c r="AB74" s="839"/>
    </row>
    <row r="75" spans="2:28" ht="13.15">
      <c r="B75" s="819" t="s">
        <v>504</v>
      </c>
      <c r="C75" s="819" t="s">
        <v>505</v>
      </c>
      <c r="D75" s="379" t="s">
        <v>336</v>
      </c>
      <c r="E75" s="818" t="s">
        <v>418</v>
      </c>
      <c r="F75" s="820">
        <v>2.7482989839999998</v>
      </c>
      <c r="G75" s="821">
        <v>16.322662789999999</v>
      </c>
      <c r="H75" s="822">
        <v>1343274765.4463699</v>
      </c>
      <c r="I75" s="819">
        <v>0.71</v>
      </c>
      <c r="J75" s="820">
        <v>6.1080814999999997E-2</v>
      </c>
      <c r="K75" s="819">
        <f t="shared" si="22"/>
        <v>185</v>
      </c>
      <c r="L75" s="819">
        <f t="shared" si="23"/>
        <v>112</v>
      </c>
      <c r="M75" s="819">
        <f t="shared" si="19"/>
        <v>185</v>
      </c>
      <c r="N75" s="819">
        <f t="shared" si="20"/>
        <v>150</v>
      </c>
      <c r="O75" s="819">
        <f t="shared" si="21"/>
        <v>84</v>
      </c>
      <c r="P75" s="819">
        <f t="shared" si="24"/>
        <v>1213</v>
      </c>
      <c r="Q75" s="819">
        <f t="shared" si="25"/>
        <v>311</v>
      </c>
      <c r="R75" s="819">
        <f t="shared" si="26"/>
        <v>103</v>
      </c>
      <c r="S75" s="819">
        <f t="shared" si="27"/>
        <v>124</v>
      </c>
      <c r="T75" s="819">
        <f t="shared" si="28"/>
        <v>62</v>
      </c>
      <c r="U75" s="819">
        <f t="shared" si="29"/>
        <v>1813</v>
      </c>
      <c r="V75" s="819">
        <f t="shared" si="30"/>
        <v>118</v>
      </c>
      <c r="W75" s="818">
        <f t="shared" si="31"/>
        <v>118</v>
      </c>
      <c r="X75" s="689" t="str">
        <f t="shared" si="32"/>
        <v/>
      </c>
      <c r="Y75" s="686"/>
      <c r="Z75" s="686"/>
      <c r="AA75" s="838"/>
      <c r="AB75" s="839"/>
    </row>
    <row r="76" spans="2:28" ht="13.15">
      <c r="B76" s="819" t="s">
        <v>506</v>
      </c>
      <c r="C76" s="819" t="s">
        <v>507</v>
      </c>
      <c r="D76" s="379" t="s">
        <v>336</v>
      </c>
      <c r="E76" s="818" t="s">
        <v>418</v>
      </c>
      <c r="F76" s="820">
        <v>1.8866919339999999</v>
      </c>
      <c r="G76" s="821">
        <v>1.2046396020000001</v>
      </c>
      <c r="H76" s="822">
        <v>411800050.19097602</v>
      </c>
      <c r="I76" s="819"/>
      <c r="J76" s="820">
        <v>2.0403524999999999E-2</v>
      </c>
      <c r="K76" s="819">
        <f t="shared" si="22"/>
        <v>400</v>
      </c>
      <c r="L76" s="819">
        <f t="shared" si="23"/>
        <v>782</v>
      </c>
      <c r="M76" s="819">
        <f t="shared" si="19"/>
        <v>400</v>
      </c>
      <c r="N76" s="819">
        <f t="shared" si="20"/>
        <v>364</v>
      </c>
      <c r="O76" s="819">
        <f t="shared" si="21"/>
        <v>119</v>
      </c>
      <c r="P76" s="819">
        <f t="shared" si="24"/>
        <v>998</v>
      </c>
      <c r="Q76" s="819">
        <f t="shared" si="25"/>
        <v>359</v>
      </c>
      <c r="R76" s="819">
        <f t="shared" si="26"/>
        <v>318</v>
      </c>
      <c r="S76" s="819">
        <f t="shared" si="27"/>
        <v>338</v>
      </c>
      <c r="T76" s="819">
        <f t="shared" si="28"/>
        <v>97</v>
      </c>
      <c r="U76" s="819">
        <f t="shared" si="29"/>
        <v>2110</v>
      </c>
      <c r="V76" s="819">
        <f t="shared" si="30"/>
        <v>187</v>
      </c>
      <c r="W76" s="818">
        <f t="shared" si="31"/>
        <v>187</v>
      </c>
      <c r="X76" s="689" t="str">
        <f t="shared" si="32"/>
        <v/>
      </c>
      <c r="Y76" s="686"/>
      <c r="Z76" s="686"/>
      <c r="AA76" s="838"/>
      <c r="AB76" s="839"/>
    </row>
    <row r="77" spans="2:28" ht="13.15">
      <c r="B77" s="819" t="s">
        <v>508</v>
      </c>
      <c r="C77" s="819" t="s">
        <v>509</v>
      </c>
      <c r="D77" s="379" t="s">
        <v>336</v>
      </c>
      <c r="E77" s="818" t="s">
        <v>418</v>
      </c>
      <c r="F77" s="820">
        <v>11.178715759999999</v>
      </c>
      <c r="G77" s="821">
        <v>-5.29539749</v>
      </c>
      <c r="H77" s="822">
        <v>32311775.749336399</v>
      </c>
      <c r="I77" s="819"/>
      <c r="J77" s="820">
        <v>-0.27505344500000001</v>
      </c>
      <c r="K77" s="819">
        <f t="shared" si="22"/>
        <v>983</v>
      </c>
      <c r="L77" s="819">
        <f t="shared" si="23"/>
        <v>1412</v>
      </c>
      <c r="M77" s="819">
        <f t="shared" si="19"/>
        <v>983</v>
      </c>
      <c r="N77" s="819">
        <f t="shared" si="20"/>
        <v>364</v>
      </c>
      <c r="O77" s="819">
        <f t="shared" si="21"/>
        <v>1771</v>
      </c>
      <c r="P77" s="819">
        <f t="shared" si="24"/>
        <v>415</v>
      </c>
      <c r="Q77" s="819">
        <f t="shared" si="25"/>
        <v>989</v>
      </c>
      <c r="R77" s="819">
        <f t="shared" si="26"/>
        <v>901</v>
      </c>
      <c r="S77" s="819">
        <f t="shared" si="27"/>
        <v>338</v>
      </c>
      <c r="T77" s="819">
        <f t="shared" si="28"/>
        <v>1749</v>
      </c>
      <c r="U77" s="819">
        <f t="shared" si="29"/>
        <v>4392</v>
      </c>
      <c r="V77" s="819">
        <f t="shared" si="30"/>
        <v>1777</v>
      </c>
      <c r="W77" s="818">
        <f t="shared" si="31"/>
        <v>1777</v>
      </c>
      <c r="X77" s="689" t="str">
        <f t="shared" si="32"/>
        <v/>
      </c>
      <c r="Y77" s="686"/>
      <c r="Z77" s="686"/>
      <c r="AA77" s="838"/>
      <c r="AB77" s="839"/>
    </row>
    <row r="78" spans="2:28" ht="13.15">
      <c r="B78" s="819" t="s">
        <v>510</v>
      </c>
      <c r="C78" s="819" t="s">
        <v>511</v>
      </c>
      <c r="D78" s="379" t="s">
        <v>336</v>
      </c>
      <c r="E78" s="818" t="s">
        <v>337</v>
      </c>
      <c r="F78" s="820">
        <v>-9.5584905659999997</v>
      </c>
      <c r="G78" s="821">
        <v>-31.25</v>
      </c>
      <c r="H78" s="822">
        <v>36.631787000000003</v>
      </c>
      <c r="I78" s="819"/>
      <c r="J78" s="820">
        <v>-655.16869269999995</v>
      </c>
      <c r="K78" s="819">
        <f t="shared" si="22"/>
        <v>1693</v>
      </c>
      <c r="L78" s="819">
        <f t="shared" si="23"/>
        <v>1495</v>
      </c>
      <c r="M78" s="819">
        <f t="shared" si="19"/>
        <v>1693</v>
      </c>
      <c r="N78" s="819">
        <f t="shared" si="20"/>
        <v>364</v>
      </c>
      <c r="O78" s="819">
        <f t="shared" si="21"/>
        <v>1785</v>
      </c>
      <c r="P78" s="819">
        <f t="shared" si="24"/>
        <v>295</v>
      </c>
      <c r="Q78" s="819">
        <f t="shared" si="25"/>
        <v>1072</v>
      </c>
      <c r="R78" s="819">
        <f t="shared" si="26"/>
        <v>1611</v>
      </c>
      <c r="S78" s="819">
        <f t="shared" si="27"/>
        <v>338</v>
      </c>
      <c r="T78" s="819">
        <f t="shared" si="28"/>
        <v>1763</v>
      </c>
      <c r="U78" s="819">
        <f t="shared" si="29"/>
        <v>5079</v>
      </c>
      <c r="V78" s="819">
        <f t="shared" si="30"/>
        <v>1784</v>
      </c>
      <c r="W78" s="818">
        <f t="shared" si="31"/>
        <v>1784</v>
      </c>
      <c r="X78" s="689" t="str">
        <f t="shared" si="32"/>
        <v/>
      </c>
      <c r="Y78" s="686"/>
      <c r="Z78" s="686"/>
      <c r="AA78" s="838"/>
      <c r="AB78" s="839"/>
    </row>
    <row r="79" spans="2:28" ht="13.15">
      <c r="B79" s="819" t="s">
        <v>512</v>
      </c>
      <c r="C79" s="819" t="s">
        <v>513</v>
      </c>
      <c r="D79" s="379" t="s">
        <v>336</v>
      </c>
      <c r="E79" s="818" t="s">
        <v>337</v>
      </c>
      <c r="F79" s="820">
        <v>2.2806877440000002</v>
      </c>
      <c r="G79" s="821">
        <v>5.6407574790000004</v>
      </c>
      <c r="H79" s="822">
        <v>2488983415.5</v>
      </c>
      <c r="I79" s="819">
        <v>2.1800000000000002</v>
      </c>
      <c r="J79" s="820">
        <v>8.8589556E-2</v>
      </c>
      <c r="K79" s="819">
        <f t="shared" si="22"/>
        <v>127</v>
      </c>
      <c r="L79" s="819">
        <f t="shared" si="23"/>
        <v>341</v>
      </c>
      <c r="M79" s="819">
        <f t="shared" si="19"/>
        <v>127</v>
      </c>
      <c r="N79" s="819">
        <f t="shared" si="20"/>
        <v>79</v>
      </c>
      <c r="O79" s="819">
        <f t="shared" si="21"/>
        <v>53</v>
      </c>
      <c r="P79" s="819">
        <f t="shared" si="24"/>
        <v>1271</v>
      </c>
      <c r="Q79" s="819">
        <f t="shared" si="25"/>
        <v>82</v>
      </c>
      <c r="R79" s="819">
        <f t="shared" si="26"/>
        <v>45</v>
      </c>
      <c r="S79" s="819">
        <f t="shared" si="27"/>
        <v>53</v>
      </c>
      <c r="T79" s="819">
        <f t="shared" si="28"/>
        <v>31</v>
      </c>
      <c r="U79" s="819">
        <f t="shared" si="29"/>
        <v>1482</v>
      </c>
      <c r="V79" s="819">
        <f t="shared" si="30"/>
        <v>48</v>
      </c>
      <c r="W79" s="818">
        <f t="shared" si="31"/>
        <v>48</v>
      </c>
      <c r="X79" s="689" t="str">
        <f t="shared" si="32"/>
        <v/>
      </c>
      <c r="Y79" s="686"/>
      <c r="Z79" s="686"/>
      <c r="AA79" s="838"/>
      <c r="AB79" s="839"/>
    </row>
    <row r="80" spans="2:28" ht="13.15">
      <c r="B80" s="819" t="s">
        <v>514</v>
      </c>
      <c r="C80" s="819" t="s">
        <v>515</v>
      </c>
      <c r="D80" s="379" t="s">
        <v>336</v>
      </c>
      <c r="E80" s="818" t="s">
        <v>418</v>
      </c>
      <c r="F80" s="820">
        <v>1.0101915269999999</v>
      </c>
      <c r="G80" s="821">
        <v>0.68339000400000005</v>
      </c>
      <c r="H80" s="822">
        <v>2037579704.0202</v>
      </c>
      <c r="I80" s="819">
        <v>1.19</v>
      </c>
      <c r="J80" s="820">
        <v>5.8226563000000002E-2</v>
      </c>
      <c r="K80" s="819">
        <f t="shared" si="22"/>
        <v>146</v>
      </c>
      <c r="L80" s="819">
        <f t="shared" si="23"/>
        <v>877</v>
      </c>
      <c r="M80" s="819">
        <f t="shared" si="19"/>
        <v>146</v>
      </c>
      <c r="N80" s="819">
        <f t="shared" si="20"/>
        <v>116</v>
      </c>
      <c r="O80" s="819">
        <f t="shared" si="21"/>
        <v>86</v>
      </c>
      <c r="P80" s="819">
        <f t="shared" si="24"/>
        <v>1252</v>
      </c>
      <c r="Q80" s="819">
        <f t="shared" si="25"/>
        <v>454</v>
      </c>
      <c r="R80" s="819">
        <f t="shared" si="26"/>
        <v>64</v>
      </c>
      <c r="S80" s="819">
        <f t="shared" si="27"/>
        <v>90</v>
      </c>
      <c r="T80" s="819">
        <f t="shared" si="28"/>
        <v>64</v>
      </c>
      <c r="U80" s="819">
        <f t="shared" si="29"/>
        <v>1924</v>
      </c>
      <c r="V80" s="819">
        <f t="shared" si="30"/>
        <v>152</v>
      </c>
      <c r="W80" s="818">
        <f t="shared" si="31"/>
        <v>152</v>
      </c>
      <c r="X80" s="689" t="str">
        <f t="shared" si="32"/>
        <v/>
      </c>
      <c r="Y80" s="686"/>
      <c r="Z80" s="686"/>
      <c r="AA80" s="838"/>
      <c r="AB80" s="839"/>
    </row>
    <row r="81" spans="2:28" ht="13.15">
      <c r="B81" s="819" t="s">
        <v>516</v>
      </c>
      <c r="C81" s="819" t="s">
        <v>517</v>
      </c>
      <c r="D81" s="379" t="s">
        <v>336</v>
      </c>
      <c r="E81" s="818" t="s">
        <v>418</v>
      </c>
      <c r="F81" s="820">
        <v>2.3955877999999999</v>
      </c>
      <c r="G81" s="821">
        <v>1.7619499190000001</v>
      </c>
      <c r="H81" s="822">
        <v>209250430.50430501</v>
      </c>
      <c r="I81" s="819"/>
      <c r="J81" s="820">
        <v>8.1474620999999997E-2</v>
      </c>
      <c r="K81" s="819">
        <f t="shared" si="22"/>
        <v>553</v>
      </c>
      <c r="L81" s="819">
        <f t="shared" si="23"/>
        <v>711</v>
      </c>
      <c r="M81" s="819">
        <f t="shared" si="19"/>
        <v>553</v>
      </c>
      <c r="N81" s="819">
        <f t="shared" si="20"/>
        <v>364</v>
      </c>
      <c r="O81" s="819">
        <f t="shared" si="21"/>
        <v>59</v>
      </c>
      <c r="P81" s="819">
        <f t="shared" si="24"/>
        <v>845</v>
      </c>
      <c r="Q81" s="819">
        <f t="shared" si="25"/>
        <v>288</v>
      </c>
      <c r="R81" s="819">
        <f t="shared" si="26"/>
        <v>471</v>
      </c>
      <c r="S81" s="819">
        <f t="shared" si="27"/>
        <v>338</v>
      </c>
      <c r="T81" s="819">
        <f t="shared" si="28"/>
        <v>37</v>
      </c>
      <c r="U81" s="819">
        <f t="shared" si="29"/>
        <v>1979</v>
      </c>
      <c r="V81" s="819">
        <f t="shared" si="30"/>
        <v>167</v>
      </c>
      <c r="W81" s="818">
        <f t="shared" si="31"/>
        <v>167</v>
      </c>
      <c r="X81" s="689" t="str">
        <f t="shared" si="32"/>
        <v/>
      </c>
      <c r="Y81" s="686"/>
      <c r="Z81" s="686"/>
      <c r="AA81" s="838"/>
      <c r="AB81" s="839"/>
    </row>
    <row r="82" spans="2:28" ht="13.15">
      <c r="B82" s="819" t="s">
        <v>518</v>
      </c>
      <c r="C82" s="819" t="s">
        <v>519</v>
      </c>
      <c r="D82" s="379" t="s">
        <v>336</v>
      </c>
      <c r="E82" s="818" t="s">
        <v>418</v>
      </c>
      <c r="F82" s="820">
        <v>3.3200114169999999</v>
      </c>
      <c r="G82" s="821">
        <v>8.6216298630000008</v>
      </c>
      <c r="H82" s="822">
        <v>38100861.0086101</v>
      </c>
      <c r="I82" s="819"/>
      <c r="J82" s="820">
        <v>4.3194419999999997E-2</v>
      </c>
      <c r="K82" s="819">
        <f t="shared" si="22"/>
        <v>939</v>
      </c>
      <c r="L82" s="819">
        <f t="shared" si="23"/>
        <v>237</v>
      </c>
      <c r="M82" s="819">
        <f t="shared" si="19"/>
        <v>939</v>
      </c>
      <c r="N82" s="819">
        <f t="shared" si="20"/>
        <v>364</v>
      </c>
      <c r="O82" s="819">
        <f t="shared" si="21"/>
        <v>101</v>
      </c>
      <c r="P82" s="819">
        <f t="shared" si="24"/>
        <v>459</v>
      </c>
      <c r="Q82" s="819">
        <f t="shared" si="25"/>
        <v>186</v>
      </c>
      <c r="R82" s="819">
        <f t="shared" si="26"/>
        <v>857</v>
      </c>
      <c r="S82" s="819">
        <f t="shared" si="27"/>
        <v>338</v>
      </c>
      <c r="T82" s="819">
        <f t="shared" si="28"/>
        <v>79</v>
      </c>
      <c r="U82" s="819">
        <f t="shared" si="29"/>
        <v>1919</v>
      </c>
      <c r="V82" s="819">
        <f t="shared" si="30"/>
        <v>149</v>
      </c>
      <c r="W82" s="818">
        <f t="shared" si="31"/>
        <v>149</v>
      </c>
      <c r="X82" s="689" t="str">
        <f t="shared" si="32"/>
        <v/>
      </c>
      <c r="Y82" s="686"/>
      <c r="Z82" s="686"/>
      <c r="AA82" s="838"/>
      <c r="AB82" s="839"/>
    </row>
    <row r="83" spans="2:28" ht="13.15">
      <c r="B83" s="819" t="s">
        <v>520</v>
      </c>
      <c r="C83" s="819" t="s">
        <v>521</v>
      </c>
      <c r="D83" s="379" t="s">
        <v>336</v>
      </c>
      <c r="E83" s="818" t="s">
        <v>522</v>
      </c>
      <c r="F83" s="820">
        <v>4.0720249E-2</v>
      </c>
      <c r="G83" s="821">
        <v>3.2733887730000002</v>
      </c>
      <c r="H83" s="822">
        <v>3556025.7858674601</v>
      </c>
      <c r="I83" s="819"/>
      <c r="J83" s="820">
        <v>1.5956512999999999E-2</v>
      </c>
      <c r="K83" s="819">
        <f t="shared" si="22"/>
        <v>1427</v>
      </c>
      <c r="L83" s="819">
        <f t="shared" si="23"/>
        <v>526</v>
      </c>
      <c r="M83" s="819">
        <f t="shared" si="19"/>
        <v>1427</v>
      </c>
      <c r="N83" s="819">
        <f t="shared" si="20"/>
        <v>364</v>
      </c>
      <c r="O83" s="819">
        <f t="shared" si="21"/>
        <v>127</v>
      </c>
      <c r="P83" s="819">
        <f t="shared" si="24"/>
        <v>29</v>
      </c>
      <c r="Q83" s="819">
        <f t="shared" si="25"/>
        <v>103</v>
      </c>
      <c r="R83" s="819">
        <f t="shared" si="26"/>
        <v>1345</v>
      </c>
      <c r="S83" s="819">
        <f t="shared" si="27"/>
        <v>338</v>
      </c>
      <c r="T83" s="819">
        <f t="shared" si="28"/>
        <v>105</v>
      </c>
      <c r="U83" s="819">
        <f t="shared" si="29"/>
        <v>1920</v>
      </c>
      <c r="V83" s="819">
        <f t="shared" si="30"/>
        <v>150</v>
      </c>
      <c r="W83" s="818">
        <f t="shared" si="31"/>
        <v>150</v>
      </c>
      <c r="X83" s="689" t="str">
        <f t="shared" si="32"/>
        <v/>
      </c>
      <c r="Y83" s="686"/>
      <c r="Z83" s="686"/>
      <c r="AA83" s="838"/>
      <c r="AB83" s="839"/>
    </row>
    <row r="84" spans="2:28" ht="13.15">
      <c r="B84" s="819" t="s">
        <v>523</v>
      </c>
      <c r="C84" s="819" t="s">
        <v>524</v>
      </c>
      <c r="D84" s="379" t="s">
        <v>336</v>
      </c>
      <c r="E84" s="818" t="s">
        <v>418</v>
      </c>
      <c r="F84" s="820">
        <v>1.6990889499999999</v>
      </c>
      <c r="G84" s="821">
        <v>3.7078754580000002</v>
      </c>
      <c r="H84" s="822">
        <v>2394148077.5296202</v>
      </c>
      <c r="I84" s="819">
        <v>1.38</v>
      </c>
      <c r="J84" s="820">
        <v>5.3952548000000003E-2</v>
      </c>
      <c r="K84" s="819">
        <f t="shared" si="22"/>
        <v>130</v>
      </c>
      <c r="L84" s="819">
        <f t="shared" si="23"/>
        <v>476</v>
      </c>
      <c r="M84" s="819">
        <f t="shared" si="19"/>
        <v>130</v>
      </c>
      <c r="N84" s="819">
        <f t="shared" si="20"/>
        <v>99</v>
      </c>
      <c r="O84" s="819">
        <f t="shared" si="21"/>
        <v>91</v>
      </c>
      <c r="P84" s="819">
        <f t="shared" si="24"/>
        <v>1268</v>
      </c>
      <c r="Q84" s="819">
        <f t="shared" si="25"/>
        <v>53</v>
      </c>
      <c r="R84" s="819">
        <f t="shared" si="26"/>
        <v>48</v>
      </c>
      <c r="S84" s="819">
        <f t="shared" si="27"/>
        <v>73</v>
      </c>
      <c r="T84" s="819">
        <f t="shared" si="28"/>
        <v>69</v>
      </c>
      <c r="U84" s="819">
        <f t="shared" si="29"/>
        <v>1511</v>
      </c>
      <c r="V84" s="819">
        <f t="shared" si="30"/>
        <v>53</v>
      </c>
      <c r="W84" s="818">
        <f t="shared" si="31"/>
        <v>53</v>
      </c>
      <c r="X84" s="689" t="str">
        <f t="shared" si="32"/>
        <v/>
      </c>
      <c r="Y84" s="686"/>
      <c r="Z84" s="686"/>
      <c r="AA84" s="838"/>
      <c r="AB84" s="839"/>
    </row>
    <row r="85" spans="2:28" ht="13.15">
      <c r="B85" s="819" t="s">
        <v>525</v>
      </c>
      <c r="C85" s="819" t="s">
        <v>526</v>
      </c>
      <c r="D85" s="379" t="s">
        <v>336</v>
      </c>
      <c r="E85" s="818" t="s">
        <v>418</v>
      </c>
      <c r="F85" s="820">
        <v>1.464682754</v>
      </c>
      <c r="G85" s="821">
        <v>14.304744530000001</v>
      </c>
      <c r="H85" s="822">
        <v>593112308.21518695</v>
      </c>
      <c r="I85" s="819">
        <v>0.9</v>
      </c>
      <c r="J85" s="820">
        <v>2.0439049000000001E-2</v>
      </c>
      <c r="K85" s="819">
        <f t="shared" si="22"/>
        <v>317</v>
      </c>
      <c r="L85" s="819">
        <f t="shared" si="23"/>
        <v>135</v>
      </c>
      <c r="M85" s="819">
        <f t="shared" si="19"/>
        <v>317</v>
      </c>
      <c r="N85" s="819">
        <f t="shared" si="20"/>
        <v>137</v>
      </c>
      <c r="O85" s="819">
        <f t="shared" si="21"/>
        <v>118</v>
      </c>
      <c r="P85" s="819">
        <f t="shared" si="24"/>
        <v>1081</v>
      </c>
      <c r="Q85" s="819">
        <f t="shared" si="25"/>
        <v>288</v>
      </c>
      <c r="R85" s="819">
        <f t="shared" si="26"/>
        <v>235</v>
      </c>
      <c r="S85" s="819">
        <f t="shared" si="27"/>
        <v>111</v>
      </c>
      <c r="T85" s="819">
        <f t="shared" si="28"/>
        <v>96</v>
      </c>
      <c r="U85" s="819">
        <f t="shared" si="29"/>
        <v>1811</v>
      </c>
      <c r="V85" s="819">
        <f t="shared" si="30"/>
        <v>117</v>
      </c>
      <c r="W85" s="818">
        <f t="shared" si="31"/>
        <v>117</v>
      </c>
      <c r="X85" s="689" t="str">
        <f t="shared" si="32"/>
        <v/>
      </c>
      <c r="Y85" s="686"/>
      <c r="Z85" s="686"/>
      <c r="AA85" s="838"/>
      <c r="AB85" s="839"/>
    </row>
    <row r="86" spans="2:28" ht="13.15">
      <c r="B86" s="819" t="s">
        <v>527</v>
      </c>
      <c r="C86" s="819" t="s">
        <v>528</v>
      </c>
      <c r="D86" s="379" t="s">
        <v>336</v>
      </c>
      <c r="E86" s="818" t="s">
        <v>418</v>
      </c>
      <c r="F86" s="820">
        <v>1.9964259419999999</v>
      </c>
      <c r="G86" s="821">
        <v>4.9008947999999997E-2</v>
      </c>
      <c r="H86" s="822">
        <v>218723521.874798</v>
      </c>
      <c r="I86" s="819">
        <v>1.31</v>
      </c>
      <c r="J86" s="820">
        <v>8.3064480999999996E-2</v>
      </c>
      <c r="K86" s="819">
        <f t="shared" si="22"/>
        <v>541</v>
      </c>
      <c r="L86" s="819">
        <f t="shared" si="23"/>
        <v>1043</v>
      </c>
      <c r="M86" s="819">
        <f t="shared" si="19"/>
        <v>541</v>
      </c>
      <c r="N86" s="819">
        <f t="shared" si="20"/>
        <v>105</v>
      </c>
      <c r="O86" s="819">
        <f t="shared" si="21"/>
        <v>58</v>
      </c>
      <c r="P86" s="819">
        <f t="shared" si="24"/>
        <v>857</v>
      </c>
      <c r="Q86" s="819">
        <f t="shared" si="25"/>
        <v>620</v>
      </c>
      <c r="R86" s="819">
        <f t="shared" si="26"/>
        <v>459</v>
      </c>
      <c r="S86" s="819">
        <f t="shared" si="27"/>
        <v>79</v>
      </c>
      <c r="T86" s="819">
        <f t="shared" si="28"/>
        <v>36</v>
      </c>
      <c r="U86" s="819">
        <f t="shared" si="29"/>
        <v>2051</v>
      </c>
      <c r="V86" s="819">
        <f t="shared" si="30"/>
        <v>180</v>
      </c>
      <c r="W86" s="818">
        <f t="shared" si="31"/>
        <v>180</v>
      </c>
      <c r="X86" s="689" t="str">
        <f t="shared" si="32"/>
        <v/>
      </c>
      <c r="Y86" s="686"/>
      <c r="Z86" s="686"/>
      <c r="AA86" s="838"/>
      <c r="AB86" s="839"/>
    </row>
    <row r="87" spans="2:28" ht="13.15">
      <c r="B87" s="819" t="s">
        <v>529</v>
      </c>
      <c r="C87" s="819" t="s">
        <v>530</v>
      </c>
      <c r="D87" s="379" t="s">
        <v>336</v>
      </c>
      <c r="E87" s="818" t="s">
        <v>418</v>
      </c>
      <c r="F87" s="820">
        <v>1.5076233880000001</v>
      </c>
      <c r="G87" s="821">
        <v>0.78973620200000005</v>
      </c>
      <c r="H87" s="822">
        <v>11967866453.486099</v>
      </c>
      <c r="I87" s="819">
        <v>0.36</v>
      </c>
      <c r="J87" s="820">
        <v>4.0256277E-2</v>
      </c>
      <c r="K87" s="819">
        <f t="shared" si="22"/>
        <v>33</v>
      </c>
      <c r="L87" s="819">
        <f t="shared" si="23"/>
        <v>853</v>
      </c>
      <c r="M87" s="819">
        <f t="shared" si="19"/>
        <v>33</v>
      </c>
      <c r="N87" s="819">
        <f t="shared" si="20"/>
        <v>177</v>
      </c>
      <c r="O87" s="819">
        <f t="shared" si="21"/>
        <v>106</v>
      </c>
      <c r="P87" s="819">
        <f t="shared" si="24"/>
        <v>1365</v>
      </c>
      <c r="Q87" s="819">
        <f t="shared" si="25"/>
        <v>430</v>
      </c>
      <c r="R87" s="819">
        <f t="shared" si="26"/>
        <v>49</v>
      </c>
      <c r="S87" s="819">
        <f t="shared" si="27"/>
        <v>151</v>
      </c>
      <c r="T87" s="819">
        <f t="shared" si="28"/>
        <v>84</v>
      </c>
      <c r="U87" s="819">
        <f t="shared" si="29"/>
        <v>2079</v>
      </c>
      <c r="V87" s="819">
        <f t="shared" si="30"/>
        <v>186</v>
      </c>
      <c r="W87" s="818">
        <f t="shared" si="31"/>
        <v>186</v>
      </c>
      <c r="X87" s="689" t="str">
        <f t="shared" si="32"/>
        <v/>
      </c>
      <c r="Y87" s="686"/>
      <c r="Z87" s="686"/>
      <c r="AA87" s="838"/>
      <c r="AB87" s="839"/>
    </row>
    <row r="88" spans="2:28" ht="13.15">
      <c r="B88" s="819" t="s">
        <v>531</v>
      </c>
      <c r="C88" s="819" t="s">
        <v>532</v>
      </c>
      <c r="D88" s="379" t="s">
        <v>336</v>
      </c>
      <c r="E88" s="818" t="s">
        <v>191</v>
      </c>
      <c r="F88" s="820">
        <v>2.7998476120000002</v>
      </c>
      <c r="G88" s="821">
        <v>4.2057589279999998</v>
      </c>
      <c r="H88" s="822">
        <v>318978515.83927798</v>
      </c>
      <c r="I88" s="819">
        <v>1.26</v>
      </c>
      <c r="J88" s="820">
        <v>0.191063859</v>
      </c>
      <c r="K88" s="819">
        <f t="shared" si="22"/>
        <v>461</v>
      </c>
      <c r="L88" s="819">
        <f t="shared" si="23"/>
        <v>433</v>
      </c>
      <c r="M88" s="819">
        <f t="shared" si="19"/>
        <v>461</v>
      </c>
      <c r="N88" s="819">
        <f t="shared" si="20"/>
        <v>110</v>
      </c>
      <c r="O88" s="819">
        <f t="shared" si="21"/>
        <v>18</v>
      </c>
      <c r="P88" s="819">
        <f t="shared" si="24"/>
        <v>937</v>
      </c>
      <c r="Q88" s="819">
        <f t="shared" si="25"/>
        <v>10</v>
      </c>
      <c r="R88" s="819">
        <f t="shared" si="26"/>
        <v>379</v>
      </c>
      <c r="S88" s="819">
        <f t="shared" si="27"/>
        <v>84</v>
      </c>
      <c r="T88" s="819">
        <f t="shared" si="28"/>
        <v>4</v>
      </c>
      <c r="U88" s="819">
        <f t="shared" si="29"/>
        <v>1414</v>
      </c>
      <c r="V88" s="819">
        <f t="shared" si="30"/>
        <v>13</v>
      </c>
      <c r="W88" s="818">
        <f t="shared" si="31"/>
        <v>13</v>
      </c>
      <c r="X88" s="689" t="str">
        <f t="shared" si="32"/>
        <v/>
      </c>
      <c r="Y88" s="686"/>
      <c r="Z88" s="686"/>
      <c r="AA88" s="838"/>
      <c r="AB88" s="839"/>
    </row>
    <row r="89" spans="2:28" ht="13.15">
      <c r="B89" s="819" t="s">
        <v>533</v>
      </c>
      <c r="C89" s="819" t="s">
        <v>534</v>
      </c>
      <c r="D89" s="379" t="s">
        <v>336</v>
      </c>
      <c r="E89" s="818" t="s">
        <v>418</v>
      </c>
      <c r="F89" s="820">
        <v>5.7248900950000001</v>
      </c>
      <c r="G89" s="821">
        <v>8.6940627760000009</v>
      </c>
      <c r="H89" s="822">
        <v>281490378.71431297</v>
      </c>
      <c r="I89" s="819"/>
      <c r="J89" s="820">
        <v>0.20601770999999999</v>
      </c>
      <c r="K89" s="819">
        <f t="shared" si="22"/>
        <v>487</v>
      </c>
      <c r="L89" s="819">
        <f t="shared" si="23"/>
        <v>234</v>
      </c>
      <c r="M89" s="819">
        <f t="shared" si="19"/>
        <v>487</v>
      </c>
      <c r="N89" s="819">
        <f t="shared" si="20"/>
        <v>364</v>
      </c>
      <c r="O89" s="819">
        <f t="shared" si="21"/>
        <v>16</v>
      </c>
      <c r="P89" s="819">
        <f t="shared" si="24"/>
        <v>911</v>
      </c>
      <c r="Q89" s="819">
        <f t="shared" si="25"/>
        <v>189</v>
      </c>
      <c r="R89" s="819">
        <f t="shared" si="26"/>
        <v>405</v>
      </c>
      <c r="S89" s="819">
        <f t="shared" si="27"/>
        <v>338</v>
      </c>
      <c r="T89" s="819">
        <f t="shared" si="28"/>
        <v>6</v>
      </c>
      <c r="U89" s="819">
        <f t="shared" si="29"/>
        <v>1849</v>
      </c>
      <c r="V89" s="819">
        <f t="shared" si="30"/>
        <v>130</v>
      </c>
      <c r="W89" s="818">
        <f t="shared" si="31"/>
        <v>130</v>
      </c>
      <c r="X89" s="689" t="str">
        <f t="shared" si="32"/>
        <v/>
      </c>
      <c r="Y89" s="686"/>
      <c r="Z89" s="686"/>
      <c r="AA89" s="838"/>
      <c r="AB89" s="839"/>
    </row>
    <row r="90" spans="2:28" ht="13.15">
      <c r="B90" s="819" t="s">
        <v>535</v>
      </c>
      <c r="C90" s="819" t="s">
        <v>536</v>
      </c>
      <c r="D90" s="379" t="s">
        <v>336</v>
      </c>
      <c r="E90" s="818" t="s">
        <v>337</v>
      </c>
      <c r="F90" s="820">
        <v>2.8905996439999999</v>
      </c>
      <c r="G90" s="821">
        <v>0</v>
      </c>
      <c r="H90" s="822">
        <v>364713402.18000001</v>
      </c>
      <c r="I90" s="819">
        <v>0.84</v>
      </c>
      <c r="J90" s="820">
        <v>5.2380501000000003E-2</v>
      </c>
      <c r="K90" s="819">
        <f t="shared" si="22"/>
        <v>428</v>
      </c>
      <c r="L90" s="819">
        <f t="shared" si="23"/>
        <v>1084</v>
      </c>
      <c r="M90" s="819">
        <f t="shared" si="19"/>
        <v>428</v>
      </c>
      <c r="N90" s="819">
        <f t="shared" si="20"/>
        <v>142</v>
      </c>
      <c r="O90" s="819">
        <f t="shared" si="21"/>
        <v>92</v>
      </c>
      <c r="P90" s="819">
        <f t="shared" si="24"/>
        <v>970</v>
      </c>
      <c r="Q90" s="819">
        <f t="shared" si="25"/>
        <v>661</v>
      </c>
      <c r="R90" s="819">
        <f t="shared" si="26"/>
        <v>346</v>
      </c>
      <c r="S90" s="819">
        <f t="shared" si="27"/>
        <v>116</v>
      </c>
      <c r="T90" s="819">
        <f t="shared" si="28"/>
        <v>70</v>
      </c>
      <c r="U90" s="819">
        <f t="shared" si="29"/>
        <v>2163</v>
      </c>
      <c r="V90" s="819">
        <f t="shared" si="30"/>
        <v>199</v>
      </c>
      <c r="W90" s="818">
        <f t="shared" si="31"/>
        <v>199</v>
      </c>
      <c r="X90" s="689" t="str">
        <f t="shared" si="32"/>
        <v/>
      </c>
      <c r="Y90" s="686"/>
      <c r="Z90" s="686"/>
      <c r="AA90" s="838"/>
      <c r="AB90" s="839"/>
    </row>
    <row r="91" spans="2:28" ht="13.15">
      <c r="B91" s="819" t="s">
        <v>537</v>
      </c>
      <c r="C91" s="819" t="s">
        <v>538</v>
      </c>
      <c r="D91" s="379" t="s">
        <v>336</v>
      </c>
      <c r="E91" s="818" t="s">
        <v>418</v>
      </c>
      <c r="F91" s="820">
        <v>3.248536557</v>
      </c>
      <c r="G91" s="821">
        <v>-5.0676006229999997</v>
      </c>
      <c r="H91" s="822">
        <v>275574306.247168</v>
      </c>
      <c r="I91" s="819"/>
      <c r="J91" s="820">
        <v>-0.11890827599999999</v>
      </c>
      <c r="K91" s="819">
        <f t="shared" si="22"/>
        <v>491</v>
      </c>
      <c r="L91" s="819">
        <f t="shared" si="23"/>
        <v>1409</v>
      </c>
      <c r="M91" s="819">
        <f t="shared" si="19"/>
        <v>491</v>
      </c>
      <c r="N91" s="819">
        <f t="shared" si="20"/>
        <v>364</v>
      </c>
      <c r="O91" s="819">
        <f t="shared" si="21"/>
        <v>1752</v>
      </c>
      <c r="P91" s="819">
        <f t="shared" si="24"/>
        <v>907</v>
      </c>
      <c r="Q91" s="819">
        <f t="shared" si="25"/>
        <v>986</v>
      </c>
      <c r="R91" s="819">
        <f t="shared" si="26"/>
        <v>409</v>
      </c>
      <c r="S91" s="819">
        <f t="shared" si="27"/>
        <v>338</v>
      </c>
      <c r="T91" s="819">
        <f t="shared" si="28"/>
        <v>1730</v>
      </c>
      <c r="U91" s="819">
        <f t="shared" si="29"/>
        <v>4370</v>
      </c>
      <c r="V91" s="819">
        <f t="shared" si="30"/>
        <v>1773</v>
      </c>
      <c r="W91" s="818">
        <f t="shared" si="31"/>
        <v>1773</v>
      </c>
      <c r="X91" s="689" t="str">
        <f t="shared" si="32"/>
        <v/>
      </c>
      <c r="Y91" s="686"/>
      <c r="Z91" s="686"/>
      <c r="AA91" s="838"/>
      <c r="AB91" s="839"/>
    </row>
    <row r="92" spans="2:28" ht="13.15">
      <c r="B92" s="819" t="s">
        <v>539</v>
      </c>
      <c r="C92" s="819" t="s">
        <v>540</v>
      </c>
      <c r="D92" s="379" t="s">
        <v>336</v>
      </c>
      <c r="E92" s="818" t="s">
        <v>337</v>
      </c>
      <c r="F92" s="820">
        <v>1.4052055670000001</v>
      </c>
      <c r="G92" s="821">
        <v>8.4026375630000008</v>
      </c>
      <c r="H92" s="822">
        <v>14748235806.65</v>
      </c>
      <c r="I92" s="819">
        <v>2.63</v>
      </c>
      <c r="J92" s="820">
        <v>7.8468347999999993E-2</v>
      </c>
      <c r="K92" s="819">
        <f t="shared" si="22"/>
        <v>24</v>
      </c>
      <c r="L92" s="819">
        <f t="shared" si="23"/>
        <v>247</v>
      </c>
      <c r="M92" s="819">
        <f t="shared" si="19"/>
        <v>24</v>
      </c>
      <c r="N92" s="819">
        <f t="shared" si="20"/>
        <v>72</v>
      </c>
      <c r="O92" s="819">
        <f t="shared" si="21"/>
        <v>62</v>
      </c>
      <c r="P92" s="819">
        <f t="shared" si="24"/>
        <v>1374</v>
      </c>
      <c r="Q92" s="819">
        <f t="shared" si="25"/>
        <v>176</v>
      </c>
      <c r="R92" s="819">
        <f t="shared" si="26"/>
        <v>58</v>
      </c>
      <c r="S92" s="819">
        <f t="shared" si="27"/>
        <v>46</v>
      </c>
      <c r="T92" s="819">
        <f t="shared" si="28"/>
        <v>40</v>
      </c>
      <c r="U92" s="819">
        <f t="shared" si="29"/>
        <v>1694</v>
      </c>
      <c r="V92" s="819">
        <f t="shared" si="30"/>
        <v>90</v>
      </c>
      <c r="W92" s="818">
        <f t="shared" si="31"/>
        <v>90</v>
      </c>
      <c r="X92" s="689" t="str">
        <f t="shared" si="32"/>
        <v/>
      </c>
      <c r="Y92" s="686"/>
      <c r="Z92" s="686"/>
      <c r="AA92" s="838"/>
      <c r="AB92" s="839"/>
    </row>
    <row r="93" spans="2:28" ht="13.15">
      <c r="B93" s="819" t="s">
        <v>541</v>
      </c>
      <c r="C93" s="819" t="s">
        <v>542</v>
      </c>
      <c r="D93" s="379" t="s">
        <v>336</v>
      </c>
      <c r="E93" s="818" t="s">
        <v>418</v>
      </c>
      <c r="F93" s="820">
        <v>0.50915160100000001</v>
      </c>
      <c r="G93" s="821">
        <v>-77.27857143</v>
      </c>
      <c r="H93" s="822">
        <v>199207311.60095799</v>
      </c>
      <c r="I93" s="819"/>
      <c r="J93" s="820">
        <v>-5.2873110000000003E-3</v>
      </c>
      <c r="K93" s="819">
        <f t="shared" si="22"/>
        <v>570</v>
      </c>
      <c r="L93" s="819">
        <f t="shared" si="23"/>
        <v>1518</v>
      </c>
      <c r="M93" s="819">
        <f t="shared" si="19"/>
        <v>570</v>
      </c>
      <c r="N93" s="819">
        <f t="shared" si="20"/>
        <v>364</v>
      </c>
      <c r="O93" s="819">
        <f t="shared" si="21"/>
        <v>1607</v>
      </c>
      <c r="P93" s="819">
        <f t="shared" si="24"/>
        <v>828</v>
      </c>
      <c r="Q93" s="819">
        <f t="shared" si="25"/>
        <v>1095</v>
      </c>
      <c r="R93" s="819">
        <f t="shared" si="26"/>
        <v>488</v>
      </c>
      <c r="S93" s="819">
        <f t="shared" si="27"/>
        <v>338</v>
      </c>
      <c r="T93" s="819">
        <f t="shared" si="28"/>
        <v>1585</v>
      </c>
      <c r="U93" s="819">
        <f t="shared" si="29"/>
        <v>4334</v>
      </c>
      <c r="V93" s="819">
        <f t="shared" si="30"/>
        <v>1770</v>
      </c>
      <c r="W93" s="818">
        <f t="shared" si="31"/>
        <v>1770</v>
      </c>
      <c r="X93" s="689" t="str">
        <f t="shared" si="32"/>
        <v/>
      </c>
      <c r="Y93" s="686"/>
      <c r="Z93" s="686"/>
      <c r="AA93" s="838"/>
      <c r="AB93" s="839"/>
    </row>
    <row r="94" spans="2:28" ht="13.15">
      <c r="B94" s="819" t="s">
        <v>543</v>
      </c>
      <c r="C94" s="819" t="s">
        <v>544</v>
      </c>
      <c r="D94" s="379" t="s">
        <v>336</v>
      </c>
      <c r="E94" s="818" t="s">
        <v>545</v>
      </c>
      <c r="F94" s="820">
        <v>7.1386015939999998</v>
      </c>
      <c r="G94" s="821">
        <v>2.4216555290000001</v>
      </c>
      <c r="H94" s="822">
        <v>249956109.97127599</v>
      </c>
      <c r="I94" s="819"/>
      <c r="J94" s="820">
        <v>0.19018531899999999</v>
      </c>
      <c r="K94" s="819">
        <f t="shared" si="22"/>
        <v>514</v>
      </c>
      <c r="L94" s="819">
        <f t="shared" si="23"/>
        <v>613</v>
      </c>
      <c r="M94" s="819">
        <f t="shared" si="19"/>
        <v>514</v>
      </c>
      <c r="N94" s="819">
        <f t="shared" si="20"/>
        <v>364</v>
      </c>
      <c r="O94" s="819">
        <f t="shared" si="21"/>
        <v>19</v>
      </c>
      <c r="P94" s="819">
        <f t="shared" si="24"/>
        <v>884</v>
      </c>
      <c r="Q94" s="819">
        <f t="shared" si="25"/>
        <v>190</v>
      </c>
      <c r="R94" s="819">
        <f t="shared" si="26"/>
        <v>432</v>
      </c>
      <c r="S94" s="819">
        <f t="shared" si="27"/>
        <v>338</v>
      </c>
      <c r="T94" s="819">
        <f t="shared" si="28"/>
        <v>3</v>
      </c>
      <c r="U94" s="819">
        <f t="shared" si="29"/>
        <v>1847</v>
      </c>
      <c r="V94" s="819">
        <f t="shared" si="30"/>
        <v>128</v>
      </c>
      <c r="W94" s="818">
        <f t="shared" si="31"/>
        <v>128</v>
      </c>
      <c r="X94" s="689" t="str">
        <f t="shared" si="32"/>
        <v/>
      </c>
      <c r="Y94" s="686"/>
      <c r="Z94" s="686"/>
      <c r="AA94" s="838"/>
      <c r="AB94" s="839"/>
    </row>
    <row r="95" spans="2:28" ht="13.15">
      <c r="B95" s="819" t="s">
        <v>546</v>
      </c>
      <c r="C95" s="819" t="s">
        <v>547</v>
      </c>
      <c r="D95" s="379" t="s">
        <v>336</v>
      </c>
      <c r="E95" s="818" t="s">
        <v>418</v>
      </c>
      <c r="F95" s="820">
        <v>1.9936188319999999</v>
      </c>
      <c r="G95" s="821">
        <v>5.4819333649999997</v>
      </c>
      <c r="H95" s="822">
        <v>83004967.825467706</v>
      </c>
      <c r="I95" s="819"/>
      <c r="J95" s="820">
        <v>0.17816488999999999</v>
      </c>
      <c r="K95" s="819">
        <f t="shared" si="22"/>
        <v>763</v>
      </c>
      <c r="L95" s="819">
        <f t="shared" si="23"/>
        <v>352</v>
      </c>
      <c r="M95" s="819">
        <f t="shared" si="19"/>
        <v>763</v>
      </c>
      <c r="N95" s="819">
        <f t="shared" si="20"/>
        <v>364</v>
      </c>
      <c r="O95" s="819">
        <f t="shared" si="21"/>
        <v>20</v>
      </c>
      <c r="P95" s="819">
        <f t="shared" si="24"/>
        <v>635</v>
      </c>
      <c r="Q95" s="819">
        <f t="shared" si="25"/>
        <v>71</v>
      </c>
      <c r="R95" s="819">
        <f t="shared" si="26"/>
        <v>681</v>
      </c>
      <c r="S95" s="819">
        <f t="shared" si="27"/>
        <v>338</v>
      </c>
      <c r="T95" s="819">
        <f t="shared" si="28"/>
        <v>2</v>
      </c>
      <c r="U95" s="819">
        <f t="shared" si="29"/>
        <v>1727</v>
      </c>
      <c r="V95" s="819">
        <f t="shared" si="30"/>
        <v>101</v>
      </c>
      <c r="W95" s="818">
        <f t="shared" si="31"/>
        <v>101</v>
      </c>
      <c r="X95" s="689" t="str">
        <f t="shared" si="32"/>
        <v/>
      </c>
      <c r="Y95" s="686"/>
      <c r="Z95" s="686"/>
      <c r="AA95" s="838"/>
      <c r="AB95" s="839"/>
    </row>
    <row r="96" spans="2:28" ht="13.15">
      <c r="B96" s="819" t="s">
        <v>548</v>
      </c>
      <c r="C96" s="819" t="s">
        <v>549</v>
      </c>
      <c r="D96" s="379" t="s">
        <v>336</v>
      </c>
      <c r="E96" s="818" t="s">
        <v>418</v>
      </c>
      <c r="F96" s="820">
        <v>1.560401715</v>
      </c>
      <c r="G96" s="821">
        <v>1.406744666</v>
      </c>
      <c r="H96" s="822">
        <v>1526935875.39328</v>
      </c>
      <c r="I96" s="819">
        <v>1.04</v>
      </c>
      <c r="J96" s="820">
        <v>7.0170567000000003E-2</v>
      </c>
      <c r="K96" s="819">
        <f t="shared" si="22"/>
        <v>178</v>
      </c>
      <c r="L96" s="819">
        <f t="shared" si="23"/>
        <v>754</v>
      </c>
      <c r="M96" s="819">
        <f t="shared" si="19"/>
        <v>178</v>
      </c>
      <c r="N96" s="819">
        <f t="shared" si="20"/>
        <v>132</v>
      </c>
      <c r="O96" s="819">
        <f t="shared" si="21"/>
        <v>67</v>
      </c>
      <c r="P96" s="819">
        <f t="shared" si="24"/>
        <v>1220</v>
      </c>
      <c r="Q96" s="819">
        <f t="shared" si="25"/>
        <v>331</v>
      </c>
      <c r="R96" s="819">
        <f t="shared" si="26"/>
        <v>96</v>
      </c>
      <c r="S96" s="819">
        <f t="shared" si="27"/>
        <v>106</v>
      </c>
      <c r="T96" s="819">
        <f t="shared" si="28"/>
        <v>45</v>
      </c>
      <c r="U96" s="819">
        <f t="shared" si="29"/>
        <v>1798</v>
      </c>
      <c r="V96" s="819">
        <f t="shared" si="30"/>
        <v>113</v>
      </c>
      <c r="W96" s="818">
        <f t="shared" si="31"/>
        <v>113</v>
      </c>
      <c r="X96" s="689" t="str">
        <f t="shared" si="32"/>
        <v/>
      </c>
      <c r="Y96" s="686"/>
      <c r="Z96" s="686"/>
      <c r="AA96" s="838"/>
      <c r="AB96" s="839"/>
    </row>
    <row r="97" spans="1:28" ht="13.15">
      <c r="B97" s="819" t="s">
        <v>550</v>
      </c>
      <c r="C97" s="819" t="s">
        <v>551</v>
      </c>
      <c r="D97" s="379" t="s">
        <v>336</v>
      </c>
      <c r="E97" s="818" t="s">
        <v>418</v>
      </c>
      <c r="F97" s="820">
        <v>2.356678788</v>
      </c>
      <c r="G97" s="821">
        <v>4.4385743289999997</v>
      </c>
      <c r="H97" s="822">
        <v>1838128659.81744</v>
      </c>
      <c r="I97" s="819">
        <v>4.72</v>
      </c>
      <c r="J97" s="820">
        <v>9.0431159999999997E-2</v>
      </c>
      <c r="K97" s="819">
        <f t="shared" si="22"/>
        <v>157</v>
      </c>
      <c r="L97" s="819">
        <f t="shared" si="23"/>
        <v>418</v>
      </c>
      <c r="M97" s="819">
        <f t="shared" si="19"/>
        <v>157</v>
      </c>
      <c r="N97" s="819">
        <f t="shared" si="20"/>
        <v>49</v>
      </c>
      <c r="O97" s="819">
        <f t="shared" si="21"/>
        <v>50</v>
      </c>
      <c r="P97" s="819">
        <f t="shared" si="24"/>
        <v>1241</v>
      </c>
      <c r="Q97" s="819">
        <f t="shared" si="25"/>
        <v>5</v>
      </c>
      <c r="R97" s="819">
        <f t="shared" si="26"/>
        <v>75</v>
      </c>
      <c r="S97" s="819">
        <f t="shared" si="27"/>
        <v>23</v>
      </c>
      <c r="T97" s="819">
        <f t="shared" si="28"/>
        <v>28</v>
      </c>
      <c r="U97" s="819">
        <f t="shared" si="29"/>
        <v>1372</v>
      </c>
      <c r="V97" s="819">
        <f t="shared" si="30"/>
        <v>5</v>
      </c>
      <c r="W97" s="818">
        <f t="shared" si="31"/>
        <v>5</v>
      </c>
      <c r="X97" s="689" t="str">
        <f t="shared" si="32"/>
        <v/>
      </c>
      <c r="Y97" s="686"/>
      <c r="Z97" s="686"/>
      <c r="AA97" s="838"/>
      <c r="AB97" s="839"/>
    </row>
    <row r="98" spans="1:28" ht="13.15">
      <c r="B98" s="819" t="s">
        <v>552</v>
      </c>
      <c r="C98" s="819" t="s">
        <v>553</v>
      </c>
      <c r="D98" s="379" t="s">
        <v>336</v>
      </c>
      <c r="E98" s="818" t="s">
        <v>418</v>
      </c>
      <c r="F98" s="820">
        <v>0.99710323000000001</v>
      </c>
      <c r="G98" s="821">
        <v>0.88576449899999998</v>
      </c>
      <c r="H98" s="822">
        <v>65203923.0918625</v>
      </c>
      <c r="I98" s="819"/>
      <c r="J98" s="820">
        <v>6.5183190000000002E-2</v>
      </c>
      <c r="K98" s="819">
        <f t="shared" si="22"/>
        <v>821</v>
      </c>
      <c r="L98" s="819">
        <f t="shared" si="23"/>
        <v>832</v>
      </c>
      <c r="M98" s="819">
        <f t="shared" si="19"/>
        <v>821</v>
      </c>
      <c r="N98" s="819">
        <f t="shared" si="20"/>
        <v>364</v>
      </c>
      <c r="O98" s="819">
        <f t="shared" si="21"/>
        <v>78</v>
      </c>
      <c r="P98" s="819">
        <f t="shared" si="24"/>
        <v>577</v>
      </c>
      <c r="Q98" s="819">
        <f t="shared" si="25"/>
        <v>409</v>
      </c>
      <c r="R98" s="819">
        <f t="shared" si="26"/>
        <v>739</v>
      </c>
      <c r="S98" s="819">
        <f t="shared" si="27"/>
        <v>338</v>
      </c>
      <c r="T98" s="819">
        <f t="shared" si="28"/>
        <v>56</v>
      </c>
      <c r="U98" s="819">
        <f t="shared" si="29"/>
        <v>2119</v>
      </c>
      <c r="V98" s="819">
        <f t="shared" si="30"/>
        <v>190</v>
      </c>
      <c r="W98" s="818">
        <f t="shared" si="31"/>
        <v>190</v>
      </c>
      <c r="X98" s="689" t="str">
        <f t="shared" si="32"/>
        <v/>
      </c>
      <c r="Y98" s="686"/>
      <c r="Z98" s="686"/>
      <c r="AA98" s="838"/>
      <c r="AB98" s="839"/>
    </row>
    <row r="99" spans="1:28" ht="13.15">
      <c r="B99" s="819" t="s">
        <v>554</v>
      </c>
      <c r="C99" s="819" t="s">
        <v>555</v>
      </c>
      <c r="D99" s="379" t="s">
        <v>336</v>
      </c>
      <c r="E99" s="818" t="s">
        <v>418</v>
      </c>
      <c r="F99" s="820">
        <v>2.9401320339999999</v>
      </c>
      <c r="G99" s="821">
        <v>6.6011480599999999</v>
      </c>
      <c r="H99" s="822">
        <v>291534719.74493402</v>
      </c>
      <c r="I99" s="819"/>
      <c r="J99" s="820">
        <v>0.13434698</v>
      </c>
      <c r="K99" s="819">
        <f t="shared" si="22"/>
        <v>480</v>
      </c>
      <c r="L99" s="819">
        <f t="shared" si="23"/>
        <v>302</v>
      </c>
      <c r="M99" s="819">
        <f t="shared" si="19"/>
        <v>480</v>
      </c>
      <c r="N99" s="819">
        <f t="shared" si="20"/>
        <v>364</v>
      </c>
      <c r="O99" s="819">
        <f t="shared" si="21"/>
        <v>31</v>
      </c>
      <c r="P99" s="819">
        <f t="shared" si="24"/>
        <v>918</v>
      </c>
      <c r="Q99" s="819">
        <f t="shared" si="25"/>
        <v>121</v>
      </c>
      <c r="R99" s="819">
        <f t="shared" si="26"/>
        <v>398</v>
      </c>
      <c r="S99" s="819">
        <f t="shared" si="27"/>
        <v>338</v>
      </c>
      <c r="T99" s="819">
        <f t="shared" si="28"/>
        <v>9</v>
      </c>
      <c r="U99" s="819">
        <f t="shared" si="29"/>
        <v>1784</v>
      </c>
      <c r="V99" s="819">
        <f t="shared" si="30"/>
        <v>109</v>
      </c>
      <c r="W99" s="818">
        <f t="shared" si="31"/>
        <v>109</v>
      </c>
      <c r="X99" s="689" t="str">
        <f t="shared" si="32"/>
        <v/>
      </c>
      <c r="Y99" s="686"/>
      <c r="Z99" s="686"/>
      <c r="AA99" s="838"/>
      <c r="AB99" s="839"/>
    </row>
    <row r="100" spans="1:28" ht="13.15">
      <c r="A100" s="817"/>
      <c r="B100" s="819" t="s">
        <v>556</v>
      </c>
      <c r="C100" s="819" t="s">
        <v>557</v>
      </c>
      <c r="D100" s="379" t="s">
        <v>336</v>
      </c>
      <c r="E100" s="818" t="s">
        <v>545</v>
      </c>
      <c r="F100" s="820">
        <v>0.44196234000000001</v>
      </c>
      <c r="G100" s="821">
        <v>0.19790289699999999</v>
      </c>
      <c r="H100" s="822">
        <v>3594583.50430858</v>
      </c>
      <c r="I100" s="819"/>
      <c r="J100" s="820">
        <v>5.7992359E-2</v>
      </c>
      <c r="K100" s="819">
        <f t="shared" si="22"/>
        <v>1423</v>
      </c>
      <c r="L100" s="819">
        <f t="shared" si="23"/>
        <v>985</v>
      </c>
      <c r="M100" s="819">
        <f t="shared" si="19"/>
        <v>1423</v>
      </c>
      <c r="N100" s="819">
        <f t="shared" si="20"/>
        <v>364</v>
      </c>
      <c r="O100" s="819">
        <f t="shared" si="21"/>
        <v>87</v>
      </c>
      <c r="P100" s="819">
        <f t="shared" si="24"/>
        <v>25</v>
      </c>
      <c r="Q100" s="819">
        <f t="shared" si="25"/>
        <v>562</v>
      </c>
      <c r="R100" s="819">
        <f t="shared" si="26"/>
        <v>1341</v>
      </c>
      <c r="S100" s="819">
        <f t="shared" si="27"/>
        <v>338</v>
      </c>
      <c r="T100" s="819">
        <f t="shared" si="28"/>
        <v>65</v>
      </c>
      <c r="U100" s="819">
        <f t="shared" si="29"/>
        <v>2331</v>
      </c>
      <c r="V100" s="819">
        <f t="shared" si="30"/>
        <v>222</v>
      </c>
      <c r="W100" s="379">
        <f t="shared" si="31"/>
        <v>222</v>
      </c>
      <c r="X100" s="819" t="str">
        <f t="shared" si="32"/>
        <v/>
      </c>
      <c r="Y100" s="836"/>
      <c r="Z100" s="686"/>
      <c r="AA100" s="838"/>
      <c r="AB100" s="839"/>
    </row>
    <row r="101" spans="1:28" ht="13.15">
      <c r="B101" s="819" t="s">
        <v>558</v>
      </c>
      <c r="C101" s="819" t="s">
        <v>559</v>
      </c>
      <c r="D101" s="379" t="s">
        <v>336</v>
      </c>
      <c r="E101" s="818" t="s">
        <v>418</v>
      </c>
      <c r="F101" s="820">
        <v>1.381176739</v>
      </c>
      <c r="G101" s="821">
        <v>-20.305948319999999</v>
      </c>
      <c r="H101" s="822">
        <v>121675177.86625201</v>
      </c>
      <c r="I101" s="819"/>
      <c r="J101" s="820">
        <v>-2.0800338000000002E-2</v>
      </c>
      <c r="K101" s="819">
        <f t="shared" si="22"/>
        <v>667</v>
      </c>
      <c r="L101" s="819">
        <f t="shared" si="23"/>
        <v>1480</v>
      </c>
      <c r="M101" s="819">
        <f t="shared" si="19"/>
        <v>667</v>
      </c>
      <c r="N101" s="819">
        <f t="shared" si="20"/>
        <v>364</v>
      </c>
      <c r="O101" s="819">
        <f t="shared" si="21"/>
        <v>1695</v>
      </c>
      <c r="P101" s="819">
        <f t="shared" si="24"/>
        <v>731</v>
      </c>
      <c r="Q101" s="819">
        <f t="shared" si="25"/>
        <v>1057</v>
      </c>
      <c r="R101" s="819">
        <f t="shared" si="26"/>
        <v>585</v>
      </c>
      <c r="S101" s="819">
        <f t="shared" si="27"/>
        <v>338</v>
      </c>
      <c r="T101" s="819">
        <f t="shared" si="28"/>
        <v>1673</v>
      </c>
      <c r="U101" s="819">
        <f t="shared" si="29"/>
        <v>4384</v>
      </c>
      <c r="V101" s="819">
        <f t="shared" si="30"/>
        <v>1776</v>
      </c>
      <c r="W101" s="379">
        <f t="shared" si="31"/>
        <v>1776</v>
      </c>
      <c r="X101" s="819" t="str">
        <f t="shared" si="32"/>
        <v/>
      </c>
      <c r="Y101" s="837"/>
      <c r="Z101" s="839"/>
      <c r="AA101" s="838"/>
      <c r="AB101" s="839"/>
    </row>
    <row r="102" spans="1:28" ht="13.15">
      <c r="B102" s="819" t="s">
        <v>560</v>
      </c>
      <c r="C102" s="819" t="s">
        <v>561</v>
      </c>
      <c r="D102" s="379" t="s">
        <v>336</v>
      </c>
      <c r="E102" s="818" t="s">
        <v>418</v>
      </c>
      <c r="F102" s="820">
        <v>5.2663289459999998</v>
      </c>
      <c r="G102" s="821">
        <v>13.273028740000001</v>
      </c>
      <c r="H102" s="822">
        <v>119849058.069528</v>
      </c>
      <c r="I102" s="819"/>
      <c r="J102" s="820">
        <v>0.157565338</v>
      </c>
      <c r="K102" s="819">
        <f t="shared" si="22"/>
        <v>671</v>
      </c>
      <c r="L102" s="819">
        <f t="shared" si="23"/>
        <v>147</v>
      </c>
      <c r="M102" s="819">
        <f t="shared" si="19"/>
        <v>671</v>
      </c>
      <c r="N102" s="819">
        <f t="shared" si="20"/>
        <v>364</v>
      </c>
      <c r="O102" s="819">
        <f t="shared" si="21"/>
        <v>26</v>
      </c>
      <c r="P102" s="819">
        <f t="shared" si="24"/>
        <v>727</v>
      </c>
      <c r="Q102" s="819">
        <f t="shared" si="25"/>
        <v>276</v>
      </c>
      <c r="R102" s="819">
        <f t="shared" si="26"/>
        <v>589</v>
      </c>
      <c r="S102" s="819">
        <f t="shared" si="27"/>
        <v>338</v>
      </c>
      <c r="T102" s="819">
        <f t="shared" si="28"/>
        <v>4</v>
      </c>
      <c r="U102" s="819">
        <f t="shared" si="29"/>
        <v>1934</v>
      </c>
      <c r="V102" s="819">
        <f t="shared" si="30"/>
        <v>155</v>
      </c>
      <c r="W102" s="379">
        <f t="shared" si="31"/>
        <v>155</v>
      </c>
      <c r="X102" s="819" t="str">
        <f t="shared" si="32"/>
        <v/>
      </c>
      <c r="Y102" s="837"/>
      <c r="Z102" s="839"/>
      <c r="AA102" s="838"/>
      <c r="AB102" s="839"/>
    </row>
    <row r="103" spans="1:28" ht="13.15">
      <c r="B103" s="819" t="s">
        <v>562</v>
      </c>
      <c r="C103" s="819" t="s">
        <v>563</v>
      </c>
      <c r="D103" s="379" t="s">
        <v>336</v>
      </c>
      <c r="E103" s="818" t="s">
        <v>418</v>
      </c>
      <c r="F103" s="820">
        <v>2.9504328489999998</v>
      </c>
      <c r="G103" s="821">
        <v>3.6304731299999999</v>
      </c>
      <c r="H103" s="822">
        <v>3450189141.5808902</v>
      </c>
      <c r="I103" s="819">
        <v>1.29</v>
      </c>
      <c r="J103" s="820">
        <v>6.6808195000000001E-2</v>
      </c>
      <c r="K103" s="819">
        <f t="shared" si="22"/>
        <v>94</v>
      </c>
      <c r="L103" s="819">
        <f t="shared" si="23"/>
        <v>484</v>
      </c>
      <c r="M103" s="819">
        <f t="shared" si="19"/>
        <v>94</v>
      </c>
      <c r="N103" s="819">
        <f t="shared" si="20"/>
        <v>108</v>
      </c>
      <c r="O103" s="819">
        <f t="shared" si="21"/>
        <v>74</v>
      </c>
      <c r="P103" s="819">
        <f t="shared" si="24"/>
        <v>1304</v>
      </c>
      <c r="Q103" s="819">
        <f t="shared" si="25"/>
        <v>61</v>
      </c>
      <c r="R103" s="819">
        <f t="shared" si="26"/>
        <v>12</v>
      </c>
      <c r="S103" s="819">
        <f t="shared" si="27"/>
        <v>82</v>
      </c>
      <c r="T103" s="819">
        <f t="shared" si="28"/>
        <v>52</v>
      </c>
      <c r="U103" s="819">
        <f t="shared" si="29"/>
        <v>1511</v>
      </c>
      <c r="V103" s="819">
        <f t="shared" si="30"/>
        <v>53</v>
      </c>
      <c r="W103" s="379">
        <f t="shared" si="31"/>
        <v>53</v>
      </c>
      <c r="X103" s="819" t="str">
        <f t="shared" si="32"/>
        <v/>
      </c>
      <c r="Y103" s="837"/>
      <c r="Z103" s="839"/>
      <c r="AA103" s="838"/>
      <c r="AB103" s="839"/>
    </row>
    <row r="104" spans="1:28" ht="13.15">
      <c r="B104" s="819" t="s">
        <v>564</v>
      </c>
      <c r="C104" s="819" t="s">
        <v>565</v>
      </c>
      <c r="D104" s="379" t="s">
        <v>336</v>
      </c>
      <c r="E104" s="818" t="s">
        <v>418</v>
      </c>
      <c r="F104" s="820">
        <v>3.5466124909999999</v>
      </c>
      <c r="G104" s="821">
        <v>40.708128780000003</v>
      </c>
      <c r="H104" s="822">
        <v>32961443.3870655</v>
      </c>
      <c r="I104" s="819"/>
      <c r="J104" s="820">
        <v>1.5183291999999999E-2</v>
      </c>
      <c r="K104" s="819">
        <f t="shared" si="22"/>
        <v>972</v>
      </c>
      <c r="L104" s="819">
        <f t="shared" si="23"/>
        <v>45</v>
      </c>
      <c r="M104" s="819">
        <f t="shared" si="19"/>
        <v>972</v>
      </c>
      <c r="N104" s="819">
        <f t="shared" si="20"/>
        <v>364</v>
      </c>
      <c r="O104" s="819">
        <f t="shared" si="21"/>
        <v>130</v>
      </c>
      <c r="P104" s="819">
        <f t="shared" si="24"/>
        <v>426</v>
      </c>
      <c r="Q104" s="819">
        <f t="shared" si="25"/>
        <v>378</v>
      </c>
      <c r="R104" s="819">
        <f t="shared" si="26"/>
        <v>890</v>
      </c>
      <c r="S104" s="819">
        <f t="shared" si="27"/>
        <v>338</v>
      </c>
      <c r="T104" s="819">
        <f t="shared" si="28"/>
        <v>108</v>
      </c>
      <c r="U104" s="819">
        <f t="shared" si="29"/>
        <v>2140</v>
      </c>
      <c r="V104" s="819">
        <f t="shared" si="30"/>
        <v>194</v>
      </c>
      <c r="W104" s="379">
        <f t="shared" si="31"/>
        <v>194</v>
      </c>
      <c r="X104" s="819" t="str">
        <f t="shared" si="32"/>
        <v/>
      </c>
      <c r="Y104" s="837"/>
      <c r="Z104" s="839"/>
      <c r="AA104" s="838"/>
      <c r="AB104" s="839"/>
    </row>
    <row r="105" spans="1:28" ht="13.15">
      <c r="B105" s="819" t="s">
        <v>566</v>
      </c>
      <c r="C105" s="819" t="s">
        <v>567</v>
      </c>
      <c r="D105" s="379" t="s">
        <v>336</v>
      </c>
      <c r="E105" s="818" t="s">
        <v>568</v>
      </c>
      <c r="F105" s="820">
        <v>3.6448216850000001</v>
      </c>
      <c r="G105" s="821">
        <v>9.8530724930000009</v>
      </c>
      <c r="H105" s="822">
        <v>42939935.575293198</v>
      </c>
      <c r="I105" s="819"/>
      <c r="J105" s="820">
        <v>0.58470207100000005</v>
      </c>
      <c r="K105" s="819">
        <f t="shared" si="22"/>
        <v>912</v>
      </c>
      <c r="L105" s="819">
        <f t="shared" si="23"/>
        <v>199</v>
      </c>
      <c r="M105" s="819">
        <f t="shared" si="19"/>
        <v>912</v>
      </c>
      <c r="N105" s="819">
        <f t="shared" si="20"/>
        <v>364</v>
      </c>
      <c r="O105" s="819">
        <f t="shared" si="21"/>
        <v>9</v>
      </c>
      <c r="P105" s="819">
        <f t="shared" si="24"/>
        <v>486</v>
      </c>
      <c r="Q105" s="819">
        <f t="shared" si="25"/>
        <v>224</v>
      </c>
      <c r="R105" s="819">
        <f t="shared" si="26"/>
        <v>830</v>
      </c>
      <c r="S105" s="819">
        <f t="shared" si="27"/>
        <v>338</v>
      </c>
      <c r="T105" s="819">
        <f t="shared" si="28"/>
        <v>13</v>
      </c>
      <c r="U105" s="819">
        <f t="shared" si="29"/>
        <v>1891</v>
      </c>
      <c r="V105" s="819">
        <f t="shared" si="30"/>
        <v>142</v>
      </c>
      <c r="W105" s="379">
        <f t="shared" si="31"/>
        <v>142</v>
      </c>
      <c r="X105" s="819" t="str">
        <f t="shared" si="32"/>
        <v/>
      </c>
      <c r="Y105" s="837"/>
      <c r="Z105" s="839"/>
      <c r="AA105" s="838"/>
      <c r="AB105" s="839"/>
    </row>
    <row r="106" spans="1:28" ht="13.15">
      <c r="B106" s="819" t="s">
        <v>569</v>
      </c>
      <c r="C106" s="819" t="s">
        <v>570</v>
      </c>
      <c r="D106" s="379" t="s">
        <v>336</v>
      </c>
      <c r="E106" s="818" t="s">
        <v>418</v>
      </c>
      <c r="F106" s="820">
        <v>1.057221422</v>
      </c>
      <c r="G106" s="821">
        <v>1.2401096490000001</v>
      </c>
      <c r="H106" s="822">
        <v>191041719.42772099</v>
      </c>
      <c r="I106" s="819"/>
      <c r="J106" s="820">
        <v>6.9995072000000005E-2</v>
      </c>
      <c r="K106" s="819">
        <f t="shared" si="22"/>
        <v>580</v>
      </c>
      <c r="L106" s="819">
        <f t="shared" si="23"/>
        <v>775</v>
      </c>
      <c r="M106" s="819">
        <f t="shared" si="19"/>
        <v>580</v>
      </c>
      <c r="N106" s="819">
        <f t="shared" si="20"/>
        <v>364</v>
      </c>
      <c r="O106" s="819">
        <f t="shared" si="21"/>
        <v>68</v>
      </c>
      <c r="P106" s="819">
        <f t="shared" si="24"/>
        <v>818</v>
      </c>
      <c r="Q106" s="819">
        <f t="shared" si="25"/>
        <v>352</v>
      </c>
      <c r="R106" s="819">
        <f t="shared" si="26"/>
        <v>498</v>
      </c>
      <c r="S106" s="819">
        <f t="shared" si="27"/>
        <v>338</v>
      </c>
      <c r="T106" s="819">
        <f t="shared" si="28"/>
        <v>46</v>
      </c>
      <c r="U106" s="819">
        <f t="shared" si="29"/>
        <v>2052</v>
      </c>
      <c r="V106" s="819">
        <f t="shared" si="30"/>
        <v>182</v>
      </c>
      <c r="W106" s="379">
        <f t="shared" si="31"/>
        <v>182</v>
      </c>
      <c r="X106" s="819" t="str">
        <f t="shared" si="32"/>
        <v/>
      </c>
      <c r="Y106" s="837"/>
      <c r="Z106" s="839"/>
      <c r="AA106" s="838"/>
      <c r="AB106" s="839"/>
    </row>
    <row r="107" spans="1:28" ht="13.15">
      <c r="B107" s="819" t="s">
        <v>571</v>
      </c>
      <c r="C107" s="819" t="s">
        <v>572</v>
      </c>
      <c r="D107" s="379" t="s">
        <v>336</v>
      </c>
      <c r="E107" s="818" t="s">
        <v>418</v>
      </c>
      <c r="F107" s="820">
        <v>3.3271564159999998</v>
      </c>
      <c r="G107" s="821">
        <v>16.838678720000001</v>
      </c>
      <c r="H107" s="822">
        <v>23401400.854534902</v>
      </c>
      <c r="I107" s="819"/>
      <c r="J107" s="820">
        <v>1.9291749E-2</v>
      </c>
      <c r="K107" s="819">
        <f t="shared" si="22"/>
        <v>1066</v>
      </c>
      <c r="L107" s="819">
        <f t="shared" si="23"/>
        <v>109</v>
      </c>
      <c r="M107" s="819">
        <f t="shared" si="19"/>
        <v>1066</v>
      </c>
      <c r="N107" s="819">
        <f t="shared" si="20"/>
        <v>364</v>
      </c>
      <c r="O107" s="819">
        <f t="shared" si="21"/>
        <v>122</v>
      </c>
      <c r="P107" s="819">
        <f t="shared" si="24"/>
        <v>332</v>
      </c>
      <c r="Q107" s="819">
        <f t="shared" si="25"/>
        <v>314</v>
      </c>
      <c r="R107" s="819">
        <f t="shared" si="26"/>
        <v>984</v>
      </c>
      <c r="S107" s="819">
        <f t="shared" si="27"/>
        <v>338</v>
      </c>
      <c r="T107" s="819">
        <f t="shared" si="28"/>
        <v>100</v>
      </c>
      <c r="U107" s="819">
        <f t="shared" si="29"/>
        <v>2068</v>
      </c>
      <c r="V107" s="819">
        <f t="shared" si="30"/>
        <v>185</v>
      </c>
      <c r="W107" s="379">
        <f t="shared" si="31"/>
        <v>185</v>
      </c>
      <c r="X107" s="819" t="str">
        <f t="shared" si="32"/>
        <v/>
      </c>
      <c r="Y107" s="837"/>
      <c r="Z107" s="839"/>
      <c r="AA107" s="838"/>
      <c r="AB107" s="839"/>
    </row>
    <row r="108" spans="1:28" ht="13.15">
      <c r="B108" s="819" t="s">
        <v>573</v>
      </c>
      <c r="C108" s="819" t="s">
        <v>574</v>
      </c>
      <c r="D108" s="379" t="s">
        <v>336</v>
      </c>
      <c r="E108" s="818" t="s">
        <v>418</v>
      </c>
      <c r="F108" s="820">
        <v>0.95419320799999996</v>
      </c>
      <c r="G108" s="821">
        <v>14.64820593</v>
      </c>
      <c r="H108" s="822">
        <v>196642859.09237999</v>
      </c>
      <c r="I108" s="819"/>
      <c r="J108" s="820">
        <v>4.7991186999999998E-2</v>
      </c>
      <c r="K108" s="819">
        <f t="shared" si="22"/>
        <v>574</v>
      </c>
      <c r="L108" s="819">
        <f t="shared" si="23"/>
        <v>131</v>
      </c>
      <c r="M108" s="819">
        <f t="shared" si="19"/>
        <v>574</v>
      </c>
      <c r="N108" s="819">
        <f t="shared" si="20"/>
        <v>364</v>
      </c>
      <c r="O108" s="819">
        <f t="shared" si="21"/>
        <v>98</v>
      </c>
      <c r="P108" s="819">
        <f t="shared" si="24"/>
        <v>824</v>
      </c>
      <c r="Q108" s="819">
        <f t="shared" si="25"/>
        <v>292</v>
      </c>
      <c r="R108" s="819">
        <f t="shared" si="26"/>
        <v>492</v>
      </c>
      <c r="S108" s="819">
        <f t="shared" si="27"/>
        <v>338</v>
      </c>
      <c r="T108" s="819">
        <f t="shared" si="28"/>
        <v>76</v>
      </c>
      <c r="U108" s="819">
        <f t="shared" si="29"/>
        <v>2022</v>
      </c>
      <c r="V108" s="819">
        <f t="shared" si="30"/>
        <v>173</v>
      </c>
      <c r="W108" s="379">
        <f t="shared" si="31"/>
        <v>173</v>
      </c>
      <c r="X108" s="819" t="str">
        <f t="shared" si="32"/>
        <v/>
      </c>
      <c r="Y108" s="837"/>
      <c r="Z108" s="839"/>
      <c r="AA108" s="838"/>
      <c r="AB108" s="839"/>
    </row>
    <row r="109" spans="1:28" ht="13.15">
      <c r="B109" s="819" t="s">
        <v>575</v>
      </c>
      <c r="C109" s="819" t="s">
        <v>576</v>
      </c>
      <c r="D109" s="379" t="s">
        <v>336</v>
      </c>
      <c r="E109" s="818" t="s">
        <v>444</v>
      </c>
      <c r="F109" s="820">
        <v>7.5946797070000001</v>
      </c>
      <c r="G109" s="821">
        <v>9.6719761559999995</v>
      </c>
      <c r="H109" s="822">
        <v>146484127.77966499</v>
      </c>
      <c r="I109" s="819"/>
      <c r="J109" s="820">
        <v>1.668922499</v>
      </c>
      <c r="K109" s="819">
        <f t="shared" si="22"/>
        <v>628</v>
      </c>
      <c r="L109" s="819">
        <f t="shared" si="23"/>
        <v>205</v>
      </c>
      <c r="M109" s="819">
        <f t="shared" si="19"/>
        <v>628</v>
      </c>
      <c r="N109" s="819">
        <f t="shared" si="20"/>
        <v>364</v>
      </c>
      <c r="O109" s="819">
        <f t="shared" si="21"/>
        <v>3</v>
      </c>
      <c r="P109" s="819">
        <f t="shared" si="24"/>
        <v>770</v>
      </c>
      <c r="Q109" s="819">
        <f t="shared" si="25"/>
        <v>218</v>
      </c>
      <c r="R109" s="819">
        <f t="shared" si="26"/>
        <v>546</v>
      </c>
      <c r="S109" s="819">
        <f t="shared" si="27"/>
        <v>338</v>
      </c>
      <c r="T109" s="819">
        <f t="shared" si="28"/>
        <v>19</v>
      </c>
      <c r="U109" s="819">
        <f t="shared" si="29"/>
        <v>1891</v>
      </c>
      <c r="V109" s="819">
        <f t="shared" si="30"/>
        <v>142</v>
      </c>
      <c r="W109" s="379">
        <f t="shared" si="31"/>
        <v>142</v>
      </c>
      <c r="X109" s="819" t="str">
        <f t="shared" si="32"/>
        <v/>
      </c>
      <c r="Y109" s="837"/>
      <c r="Z109" s="839"/>
      <c r="AA109" s="838"/>
      <c r="AB109" s="839"/>
    </row>
    <row r="110" spans="1:28" ht="13.15">
      <c r="B110" s="819" t="s">
        <v>577</v>
      </c>
      <c r="C110" s="819" t="s">
        <v>578</v>
      </c>
      <c r="D110" s="379" t="s">
        <v>336</v>
      </c>
      <c r="E110" s="818" t="s">
        <v>418</v>
      </c>
      <c r="F110" s="820">
        <v>1.9348751280000001</v>
      </c>
      <c r="G110" s="821">
        <v>5.6042900040000001</v>
      </c>
      <c r="H110" s="822">
        <v>1241017607.8720801</v>
      </c>
      <c r="I110" s="819"/>
      <c r="J110" s="820">
        <v>6.9863512000000003E-2</v>
      </c>
      <c r="K110" s="819">
        <f t="shared" si="22"/>
        <v>194</v>
      </c>
      <c r="L110" s="819">
        <f t="shared" si="23"/>
        <v>343</v>
      </c>
      <c r="M110" s="819">
        <f t="shared" si="19"/>
        <v>194</v>
      </c>
      <c r="N110" s="819">
        <f t="shared" si="20"/>
        <v>364</v>
      </c>
      <c r="O110" s="819">
        <f t="shared" si="21"/>
        <v>69</v>
      </c>
      <c r="P110" s="819">
        <f t="shared" si="24"/>
        <v>1204</v>
      </c>
      <c r="Q110" s="819">
        <f t="shared" si="25"/>
        <v>80</v>
      </c>
      <c r="R110" s="819">
        <f t="shared" si="26"/>
        <v>112</v>
      </c>
      <c r="S110" s="819">
        <f t="shared" si="27"/>
        <v>338</v>
      </c>
      <c r="T110" s="819">
        <f t="shared" si="28"/>
        <v>47</v>
      </c>
      <c r="U110" s="819">
        <f t="shared" si="29"/>
        <v>1781</v>
      </c>
      <c r="V110" s="819">
        <f t="shared" si="30"/>
        <v>108</v>
      </c>
      <c r="W110" s="379">
        <f t="shared" si="31"/>
        <v>108</v>
      </c>
      <c r="X110" s="819" t="str">
        <f t="shared" si="32"/>
        <v/>
      </c>
      <c r="Y110" s="837"/>
      <c r="Z110" s="839"/>
      <c r="AA110" s="838"/>
      <c r="AB110" s="839"/>
    </row>
    <row r="111" spans="1:28" ht="13.15">
      <c r="B111" s="819" t="s">
        <v>579</v>
      </c>
      <c r="C111" s="819" t="s">
        <v>580</v>
      </c>
      <c r="D111" s="379" t="s">
        <v>336</v>
      </c>
      <c r="E111" s="818" t="s">
        <v>418</v>
      </c>
      <c r="F111" s="820">
        <v>2.555810052</v>
      </c>
      <c r="G111" s="821">
        <v>27.600342080000001</v>
      </c>
      <c r="H111" s="822">
        <v>3456625080.23564</v>
      </c>
      <c r="I111" s="819">
        <v>1.93</v>
      </c>
      <c r="J111" s="820">
        <v>1.9080759999999999E-2</v>
      </c>
      <c r="K111" s="819">
        <f t="shared" si="22"/>
        <v>93</v>
      </c>
      <c r="L111" s="819">
        <f t="shared" si="23"/>
        <v>69</v>
      </c>
      <c r="M111" s="819">
        <f t="shared" si="19"/>
        <v>93</v>
      </c>
      <c r="N111" s="819">
        <f t="shared" si="20"/>
        <v>83</v>
      </c>
      <c r="O111" s="819">
        <f t="shared" si="21"/>
        <v>124</v>
      </c>
      <c r="P111" s="819">
        <f t="shared" si="24"/>
        <v>1305</v>
      </c>
      <c r="Q111" s="819">
        <f t="shared" si="25"/>
        <v>354</v>
      </c>
      <c r="R111" s="819">
        <f t="shared" si="26"/>
        <v>11</v>
      </c>
      <c r="S111" s="819">
        <f t="shared" si="27"/>
        <v>57</v>
      </c>
      <c r="T111" s="819">
        <f t="shared" si="28"/>
        <v>102</v>
      </c>
      <c r="U111" s="819">
        <f t="shared" si="29"/>
        <v>1829</v>
      </c>
      <c r="V111" s="819">
        <f t="shared" si="30"/>
        <v>125</v>
      </c>
      <c r="W111" s="379">
        <f t="shared" si="31"/>
        <v>125</v>
      </c>
      <c r="X111" s="819" t="str">
        <f t="shared" si="32"/>
        <v/>
      </c>
      <c r="Y111" s="837"/>
      <c r="Z111" s="839"/>
      <c r="AA111" s="838"/>
      <c r="AB111" s="839"/>
    </row>
    <row r="112" spans="1:28" ht="13.15">
      <c r="B112" s="819" t="s">
        <v>581</v>
      </c>
      <c r="C112" s="819" t="s">
        <v>582</v>
      </c>
      <c r="D112" s="379" t="s">
        <v>336</v>
      </c>
      <c r="E112" s="818" t="s">
        <v>418</v>
      </c>
      <c r="F112" s="820">
        <v>3.5425676639999999</v>
      </c>
      <c r="G112" s="821">
        <v>8.5804481480000003</v>
      </c>
      <c r="H112" s="822">
        <v>1939871034.3153999</v>
      </c>
      <c r="I112" s="819">
        <v>0.51</v>
      </c>
      <c r="J112" s="820">
        <v>9.5649425999999996E-2</v>
      </c>
      <c r="K112" s="819">
        <f t="shared" si="22"/>
        <v>150</v>
      </c>
      <c r="L112" s="819">
        <f t="shared" si="23"/>
        <v>238</v>
      </c>
      <c r="M112" s="819">
        <f t="shared" si="19"/>
        <v>150</v>
      </c>
      <c r="N112" s="819">
        <f t="shared" si="20"/>
        <v>164</v>
      </c>
      <c r="O112" s="819">
        <f t="shared" si="21"/>
        <v>45</v>
      </c>
      <c r="P112" s="819">
        <f t="shared" si="24"/>
        <v>1248</v>
      </c>
      <c r="Q112" s="819">
        <f t="shared" si="25"/>
        <v>185</v>
      </c>
      <c r="R112" s="819">
        <f t="shared" si="26"/>
        <v>68</v>
      </c>
      <c r="S112" s="819">
        <f t="shared" si="27"/>
        <v>138</v>
      </c>
      <c r="T112" s="819">
        <f t="shared" si="28"/>
        <v>23</v>
      </c>
      <c r="U112" s="819">
        <f t="shared" si="29"/>
        <v>1662</v>
      </c>
      <c r="V112" s="819">
        <f t="shared" si="30"/>
        <v>82</v>
      </c>
      <c r="W112" s="379">
        <f t="shared" si="31"/>
        <v>82</v>
      </c>
      <c r="X112" s="819" t="str">
        <f t="shared" si="32"/>
        <v/>
      </c>
      <c r="Y112" s="837"/>
      <c r="Z112" s="839"/>
      <c r="AA112" s="838"/>
      <c r="AB112" s="839"/>
    </row>
    <row r="113" spans="2:28" ht="13.15">
      <c r="B113" s="819" t="s">
        <v>583</v>
      </c>
      <c r="C113" s="819" t="s">
        <v>584</v>
      </c>
      <c r="D113" s="379" t="s">
        <v>336</v>
      </c>
      <c r="E113" s="818" t="s">
        <v>418</v>
      </c>
      <c r="F113" s="820">
        <v>1.884223762</v>
      </c>
      <c r="G113" s="821">
        <v>-3.6590123870000002</v>
      </c>
      <c r="H113" s="822">
        <v>4114062772.1110902</v>
      </c>
      <c r="I113" s="819">
        <v>0.76</v>
      </c>
      <c r="J113" s="820">
        <v>-4.3047949000000002E-2</v>
      </c>
      <c r="K113" s="819">
        <f t="shared" si="22"/>
        <v>84</v>
      </c>
      <c r="L113" s="819">
        <f t="shared" si="23"/>
        <v>1382</v>
      </c>
      <c r="M113" s="819">
        <f t="shared" si="19"/>
        <v>84</v>
      </c>
      <c r="N113" s="819">
        <f t="shared" si="20"/>
        <v>145</v>
      </c>
      <c r="O113" s="819">
        <f t="shared" si="21"/>
        <v>1729</v>
      </c>
      <c r="P113" s="819">
        <f t="shared" si="24"/>
        <v>1314</v>
      </c>
      <c r="Q113" s="819">
        <f t="shared" si="25"/>
        <v>959</v>
      </c>
      <c r="R113" s="819">
        <f t="shared" si="26"/>
        <v>2</v>
      </c>
      <c r="S113" s="819">
        <f t="shared" si="27"/>
        <v>119</v>
      </c>
      <c r="T113" s="819">
        <f t="shared" si="28"/>
        <v>1707</v>
      </c>
      <c r="U113" s="819">
        <f t="shared" si="29"/>
        <v>4101</v>
      </c>
      <c r="V113" s="819">
        <f t="shared" si="30"/>
        <v>1753</v>
      </c>
      <c r="W113" s="379">
        <f t="shared" si="31"/>
        <v>1753</v>
      </c>
      <c r="X113" s="819" t="str">
        <f t="shared" si="32"/>
        <v/>
      </c>
      <c r="Y113" s="837"/>
      <c r="Z113" s="839"/>
      <c r="AA113" s="838"/>
      <c r="AB113" s="839"/>
    </row>
    <row r="114" spans="2:28" ht="13.15">
      <c r="B114" s="819" t="s">
        <v>585</v>
      </c>
      <c r="C114" s="819" t="s">
        <v>586</v>
      </c>
      <c r="D114" s="379" t="s">
        <v>336</v>
      </c>
      <c r="E114" s="818" t="s">
        <v>418</v>
      </c>
      <c r="F114" s="820">
        <v>3.4237722920000002</v>
      </c>
      <c r="G114" s="821">
        <v>8.1164985119999997</v>
      </c>
      <c r="H114" s="822">
        <v>1100083739.75529</v>
      </c>
      <c r="I114" s="819">
        <v>2.79</v>
      </c>
      <c r="J114" s="820">
        <v>9.2483710999999996E-2</v>
      </c>
      <c r="K114" s="819">
        <f t="shared" si="22"/>
        <v>208</v>
      </c>
      <c r="L114" s="819">
        <f t="shared" si="23"/>
        <v>254</v>
      </c>
      <c r="M114" s="819">
        <f t="shared" si="19"/>
        <v>208</v>
      </c>
      <c r="N114" s="819">
        <f t="shared" si="20"/>
        <v>69</v>
      </c>
      <c r="O114" s="819">
        <f t="shared" si="21"/>
        <v>49</v>
      </c>
      <c r="P114" s="819">
        <f t="shared" si="24"/>
        <v>1190</v>
      </c>
      <c r="Q114" s="819">
        <f t="shared" si="25"/>
        <v>169</v>
      </c>
      <c r="R114" s="819">
        <f t="shared" si="26"/>
        <v>126</v>
      </c>
      <c r="S114" s="819">
        <f t="shared" si="27"/>
        <v>43</v>
      </c>
      <c r="T114" s="819">
        <f t="shared" si="28"/>
        <v>27</v>
      </c>
      <c r="U114" s="819">
        <f t="shared" si="29"/>
        <v>1555</v>
      </c>
      <c r="V114" s="819">
        <f t="shared" si="30"/>
        <v>59</v>
      </c>
      <c r="W114" s="379">
        <f t="shared" si="31"/>
        <v>59</v>
      </c>
      <c r="X114" s="819" t="str">
        <f t="shared" si="32"/>
        <v/>
      </c>
      <c r="Y114" s="837"/>
      <c r="Z114" s="839"/>
      <c r="AA114" s="838"/>
      <c r="AB114" s="839"/>
    </row>
    <row r="115" spans="2:28" ht="13.15">
      <c r="B115" s="819" t="s">
        <v>587</v>
      </c>
      <c r="C115" s="819" t="s">
        <v>588</v>
      </c>
      <c r="D115" s="379" t="s">
        <v>336</v>
      </c>
      <c r="E115" s="818" t="s">
        <v>418</v>
      </c>
      <c r="F115" s="820">
        <v>1.5548466990000001</v>
      </c>
      <c r="G115" s="821">
        <v>0.99031202799999996</v>
      </c>
      <c r="H115" s="822">
        <v>8410311031.2682104</v>
      </c>
      <c r="I115" s="819">
        <v>1.21</v>
      </c>
      <c r="J115" s="820">
        <v>5.0747207000000003E-2</v>
      </c>
      <c r="K115" s="819">
        <f t="shared" si="22"/>
        <v>42</v>
      </c>
      <c r="L115" s="819">
        <f t="shared" si="23"/>
        <v>814</v>
      </c>
      <c r="M115" s="819">
        <f t="shared" si="19"/>
        <v>42</v>
      </c>
      <c r="N115" s="819">
        <f t="shared" si="20"/>
        <v>115</v>
      </c>
      <c r="O115" s="819">
        <f t="shared" si="21"/>
        <v>93</v>
      </c>
      <c r="P115" s="819">
        <f t="shared" si="24"/>
        <v>1356</v>
      </c>
      <c r="Q115" s="819">
        <f t="shared" si="25"/>
        <v>391</v>
      </c>
      <c r="R115" s="819">
        <f t="shared" si="26"/>
        <v>40</v>
      </c>
      <c r="S115" s="819">
        <f t="shared" si="27"/>
        <v>89</v>
      </c>
      <c r="T115" s="819">
        <f t="shared" si="28"/>
        <v>71</v>
      </c>
      <c r="U115" s="819">
        <f t="shared" si="29"/>
        <v>1947</v>
      </c>
      <c r="V115" s="819">
        <f t="shared" si="30"/>
        <v>158</v>
      </c>
      <c r="W115" s="379">
        <f t="shared" si="31"/>
        <v>158</v>
      </c>
      <c r="X115" s="819" t="str">
        <f t="shared" si="32"/>
        <v/>
      </c>
      <c r="Y115" s="837"/>
      <c r="Z115" s="839"/>
      <c r="AA115" s="838"/>
      <c r="AB115" s="839"/>
    </row>
    <row r="116" spans="2:28" ht="13.15">
      <c r="B116" s="819" t="s">
        <v>589</v>
      </c>
      <c r="C116" s="819" t="s">
        <v>590</v>
      </c>
      <c r="D116" s="379" t="s">
        <v>336</v>
      </c>
      <c r="E116" s="818" t="s">
        <v>418</v>
      </c>
      <c r="F116" s="820">
        <v>1.5283852389999999</v>
      </c>
      <c r="G116" s="821">
        <v>0.11639000200000001</v>
      </c>
      <c r="H116" s="822">
        <v>323213264.452645</v>
      </c>
      <c r="I116" s="819"/>
      <c r="J116" s="820">
        <v>0.12468725</v>
      </c>
      <c r="K116" s="819">
        <f t="shared" si="22"/>
        <v>456</v>
      </c>
      <c r="L116" s="819">
        <f t="shared" si="23"/>
        <v>1007</v>
      </c>
      <c r="M116" s="819">
        <f t="shared" si="19"/>
        <v>456</v>
      </c>
      <c r="N116" s="819">
        <f t="shared" si="20"/>
        <v>364</v>
      </c>
      <c r="O116" s="819">
        <f t="shared" si="21"/>
        <v>35</v>
      </c>
      <c r="P116" s="819">
        <f t="shared" si="24"/>
        <v>942</v>
      </c>
      <c r="Q116" s="819">
        <f t="shared" si="25"/>
        <v>584</v>
      </c>
      <c r="R116" s="819">
        <f t="shared" si="26"/>
        <v>374</v>
      </c>
      <c r="S116" s="819">
        <f t="shared" si="27"/>
        <v>338</v>
      </c>
      <c r="T116" s="819">
        <f t="shared" si="28"/>
        <v>13</v>
      </c>
      <c r="U116" s="819">
        <f t="shared" si="29"/>
        <v>2251</v>
      </c>
      <c r="V116" s="819">
        <f t="shared" si="30"/>
        <v>210</v>
      </c>
      <c r="W116" s="379">
        <f t="shared" si="31"/>
        <v>210</v>
      </c>
      <c r="X116" s="819" t="str">
        <f t="shared" si="32"/>
        <v/>
      </c>
      <c r="Y116" s="837"/>
      <c r="Z116" s="839"/>
      <c r="AA116" s="838"/>
      <c r="AB116" s="839"/>
    </row>
    <row r="117" spans="2:28" ht="13.15">
      <c r="B117" s="819" t="s">
        <v>591</v>
      </c>
      <c r="C117" s="819" t="s">
        <v>592</v>
      </c>
      <c r="D117" s="379" t="s">
        <v>336</v>
      </c>
      <c r="E117" s="818" t="s">
        <v>441</v>
      </c>
      <c r="F117" s="820">
        <v>1.960077895</v>
      </c>
      <c r="G117" s="821">
        <v>1.408000903</v>
      </c>
      <c r="H117" s="822">
        <v>4381570820.8450203</v>
      </c>
      <c r="I117" s="819">
        <v>0.16</v>
      </c>
      <c r="J117" s="820">
        <v>0.124865924</v>
      </c>
      <c r="K117" s="819">
        <f t="shared" si="22"/>
        <v>81</v>
      </c>
      <c r="L117" s="819">
        <f t="shared" si="23"/>
        <v>752</v>
      </c>
      <c r="M117" s="819">
        <f t="shared" si="19"/>
        <v>81</v>
      </c>
      <c r="N117" s="819">
        <f t="shared" si="20"/>
        <v>230</v>
      </c>
      <c r="O117" s="819">
        <f t="shared" si="21"/>
        <v>34</v>
      </c>
      <c r="P117" s="819">
        <f t="shared" si="24"/>
        <v>1317</v>
      </c>
      <c r="Q117" s="819">
        <f t="shared" si="25"/>
        <v>329</v>
      </c>
      <c r="R117" s="819">
        <f t="shared" si="26"/>
        <v>1</v>
      </c>
      <c r="S117" s="819">
        <f t="shared" si="27"/>
        <v>204</v>
      </c>
      <c r="T117" s="819">
        <f t="shared" si="28"/>
        <v>12</v>
      </c>
      <c r="U117" s="819">
        <f t="shared" si="29"/>
        <v>1863</v>
      </c>
      <c r="V117" s="819">
        <f t="shared" si="30"/>
        <v>132</v>
      </c>
      <c r="W117" s="379">
        <f t="shared" si="31"/>
        <v>132</v>
      </c>
      <c r="X117" s="819" t="str">
        <f t="shared" si="32"/>
        <v/>
      </c>
      <c r="Y117" s="837"/>
      <c r="Z117" s="839"/>
      <c r="AA117" s="838"/>
      <c r="AB117" s="839"/>
    </row>
    <row r="118" spans="2:28" ht="13.15">
      <c r="B118" s="819" t="s">
        <v>593</v>
      </c>
      <c r="C118" s="819" t="s">
        <v>594</v>
      </c>
      <c r="D118" s="379" t="s">
        <v>336</v>
      </c>
      <c r="E118" s="818" t="s">
        <v>595</v>
      </c>
      <c r="F118" s="820">
        <v>1.6700692559999999</v>
      </c>
      <c r="G118" s="821">
        <v>17.16407774</v>
      </c>
      <c r="H118" s="822">
        <v>18479081.8076577</v>
      </c>
      <c r="I118" s="819"/>
      <c r="J118" s="820">
        <v>6.9707169999999999E-2</v>
      </c>
      <c r="K118" s="819">
        <f t="shared" si="22"/>
        <v>1116</v>
      </c>
      <c r="L118" s="819">
        <f t="shared" si="23"/>
        <v>105</v>
      </c>
      <c r="M118" s="819">
        <f t="shared" si="19"/>
        <v>1116</v>
      </c>
      <c r="N118" s="819">
        <f t="shared" si="20"/>
        <v>364</v>
      </c>
      <c r="O118" s="819">
        <f t="shared" si="21"/>
        <v>70</v>
      </c>
      <c r="P118" s="819">
        <f t="shared" si="24"/>
        <v>282</v>
      </c>
      <c r="Q118" s="819">
        <f t="shared" si="25"/>
        <v>318</v>
      </c>
      <c r="R118" s="819">
        <f t="shared" si="26"/>
        <v>1034</v>
      </c>
      <c r="S118" s="819">
        <f t="shared" si="27"/>
        <v>338</v>
      </c>
      <c r="T118" s="819">
        <f t="shared" si="28"/>
        <v>48</v>
      </c>
      <c r="U118" s="819">
        <f t="shared" si="29"/>
        <v>2020</v>
      </c>
      <c r="V118" s="819">
        <f t="shared" si="30"/>
        <v>172</v>
      </c>
      <c r="W118" s="379">
        <f t="shared" si="31"/>
        <v>172</v>
      </c>
      <c r="X118" s="819" t="str">
        <f t="shared" si="32"/>
        <v/>
      </c>
      <c r="Y118" s="837"/>
      <c r="Z118" s="839"/>
      <c r="AA118" s="838"/>
      <c r="AB118" s="839"/>
    </row>
    <row r="119" spans="2:28" ht="13.15">
      <c r="B119" s="819" t="s">
        <v>596</v>
      </c>
      <c r="C119" s="819" t="s">
        <v>597</v>
      </c>
      <c r="D119" s="379" t="s">
        <v>336</v>
      </c>
      <c r="E119" s="818" t="s">
        <v>460</v>
      </c>
      <c r="F119" s="820"/>
      <c r="G119" s="821"/>
      <c r="H119" s="822">
        <v>269469.567517524</v>
      </c>
      <c r="I119" s="819"/>
      <c r="J119" s="820">
        <v>0</v>
      </c>
      <c r="K119" s="819">
        <f t="shared" si="22"/>
        <v>1632</v>
      </c>
      <c r="L119" s="819">
        <f t="shared" si="23"/>
        <v>1084</v>
      </c>
      <c r="M119" s="819">
        <f t="shared" si="19"/>
        <v>1632</v>
      </c>
      <c r="N119" s="819">
        <f t="shared" si="20"/>
        <v>364</v>
      </c>
      <c r="O119" s="819">
        <f t="shared" si="21"/>
        <v>492</v>
      </c>
      <c r="P119" s="819">
        <f t="shared" si="24"/>
        <v>234</v>
      </c>
      <c r="Q119" s="819">
        <f t="shared" si="25"/>
        <v>661</v>
      </c>
      <c r="R119" s="819">
        <f t="shared" si="26"/>
        <v>1550</v>
      </c>
      <c r="S119" s="819">
        <f t="shared" si="27"/>
        <v>338</v>
      </c>
      <c r="T119" s="819">
        <f t="shared" si="28"/>
        <v>470</v>
      </c>
      <c r="U119" s="819">
        <f t="shared" si="29"/>
        <v>3253</v>
      </c>
      <c r="V119" s="819">
        <f t="shared" si="30"/>
        <v>1276</v>
      </c>
      <c r="W119" s="379">
        <f t="shared" si="31"/>
        <v>1276</v>
      </c>
      <c r="X119" s="819" t="str">
        <f t="shared" si="32"/>
        <v/>
      </c>
      <c r="Y119" s="837"/>
      <c r="Z119" s="839"/>
      <c r="AA119" s="838"/>
      <c r="AB119" s="839"/>
    </row>
    <row r="120" spans="2:28" ht="13.15">
      <c r="B120" s="819" t="s">
        <v>598</v>
      </c>
      <c r="C120" s="819" t="s">
        <v>599</v>
      </c>
      <c r="D120" s="379" t="s">
        <v>336</v>
      </c>
      <c r="E120" s="818" t="s">
        <v>600</v>
      </c>
      <c r="F120" s="820">
        <v>0.50058441200000003</v>
      </c>
      <c r="G120" s="821">
        <v>-2.8181617349999999</v>
      </c>
      <c r="H120" s="822">
        <v>270927842.43514103</v>
      </c>
      <c r="I120" s="819">
        <v>0.04</v>
      </c>
      <c r="J120" s="820">
        <v>-0.290405097</v>
      </c>
      <c r="K120" s="819">
        <f t="shared" si="22"/>
        <v>496</v>
      </c>
      <c r="L120" s="819">
        <f t="shared" si="23"/>
        <v>1367</v>
      </c>
      <c r="M120" s="819">
        <f t="shared" si="19"/>
        <v>496</v>
      </c>
      <c r="N120" s="819">
        <f t="shared" si="20"/>
        <v>309</v>
      </c>
      <c r="O120" s="819">
        <f t="shared" si="21"/>
        <v>1773</v>
      </c>
      <c r="P120" s="819">
        <f t="shared" si="24"/>
        <v>902</v>
      </c>
      <c r="Q120" s="819">
        <f t="shared" si="25"/>
        <v>944</v>
      </c>
      <c r="R120" s="819">
        <f t="shared" si="26"/>
        <v>414</v>
      </c>
      <c r="S120" s="819">
        <f t="shared" si="27"/>
        <v>283</v>
      </c>
      <c r="T120" s="819">
        <f t="shared" si="28"/>
        <v>1751</v>
      </c>
      <c r="U120" s="819">
        <f t="shared" si="29"/>
        <v>4294</v>
      </c>
      <c r="V120" s="819">
        <f t="shared" si="30"/>
        <v>1764</v>
      </c>
      <c r="W120" s="379">
        <f t="shared" si="31"/>
        <v>1764</v>
      </c>
      <c r="X120" s="819" t="str">
        <f t="shared" si="32"/>
        <v/>
      </c>
      <c r="Y120" s="837"/>
      <c r="Z120" s="839"/>
      <c r="AA120" s="838"/>
      <c r="AB120" s="839"/>
    </row>
    <row r="121" spans="2:28" ht="13.15">
      <c r="B121" s="819" t="s">
        <v>601</v>
      </c>
      <c r="C121" s="819" t="s">
        <v>602</v>
      </c>
      <c r="D121" s="379" t="s">
        <v>336</v>
      </c>
      <c r="E121" s="818" t="s">
        <v>191</v>
      </c>
      <c r="F121" s="820">
        <v>-0.78896799399999995</v>
      </c>
      <c r="G121" s="821">
        <v>-7.7968219000000005E-2</v>
      </c>
      <c r="H121" s="822">
        <v>2687846.3791968399</v>
      </c>
      <c r="I121" s="819"/>
      <c r="J121" s="820">
        <v>-1.969304647</v>
      </c>
      <c r="K121" s="819">
        <f t="shared" si="22"/>
        <v>1460</v>
      </c>
      <c r="L121" s="819">
        <f t="shared" si="23"/>
        <v>1215</v>
      </c>
      <c r="M121" s="819">
        <f t="shared" si="19"/>
        <v>1460</v>
      </c>
      <c r="N121" s="819">
        <f t="shared" si="20"/>
        <v>364</v>
      </c>
      <c r="O121" s="819">
        <f t="shared" si="21"/>
        <v>1783</v>
      </c>
      <c r="P121" s="819">
        <f t="shared" si="24"/>
        <v>62</v>
      </c>
      <c r="Q121" s="819">
        <f t="shared" si="25"/>
        <v>792</v>
      </c>
      <c r="R121" s="819">
        <f t="shared" si="26"/>
        <v>1378</v>
      </c>
      <c r="S121" s="819">
        <f t="shared" si="27"/>
        <v>338</v>
      </c>
      <c r="T121" s="819">
        <f t="shared" si="28"/>
        <v>1761</v>
      </c>
      <c r="U121" s="819">
        <f t="shared" si="29"/>
        <v>4331</v>
      </c>
      <c r="V121" s="819">
        <f t="shared" si="30"/>
        <v>1769</v>
      </c>
      <c r="W121" s="379">
        <f t="shared" si="31"/>
        <v>1769</v>
      </c>
      <c r="X121" s="819" t="str">
        <f t="shared" si="32"/>
        <v/>
      </c>
      <c r="Y121" s="837"/>
      <c r="Z121" s="839"/>
      <c r="AA121" s="838"/>
      <c r="AB121" s="839"/>
    </row>
    <row r="122" spans="2:28" ht="13.15">
      <c r="B122" s="819" t="s">
        <v>603</v>
      </c>
      <c r="C122" s="819" t="s">
        <v>604</v>
      </c>
      <c r="D122" s="379" t="s">
        <v>336</v>
      </c>
      <c r="E122" s="818" t="s">
        <v>373</v>
      </c>
      <c r="F122" s="820">
        <v>3.299804457</v>
      </c>
      <c r="G122" s="821">
        <v>0.109553287</v>
      </c>
      <c r="H122" s="822">
        <v>460875420.87542099</v>
      </c>
      <c r="I122" s="819">
        <v>0.26</v>
      </c>
      <c r="J122" s="820">
        <v>4.8266049999999998E-2</v>
      </c>
      <c r="K122" s="819">
        <f t="shared" si="22"/>
        <v>372</v>
      </c>
      <c r="L122" s="819">
        <f t="shared" si="23"/>
        <v>1009</v>
      </c>
      <c r="M122" s="819">
        <f t="shared" si="19"/>
        <v>372</v>
      </c>
      <c r="N122" s="819">
        <f t="shared" si="20"/>
        <v>203</v>
      </c>
      <c r="O122" s="819">
        <f t="shared" si="21"/>
        <v>97</v>
      </c>
      <c r="P122" s="819">
        <f t="shared" si="24"/>
        <v>1026</v>
      </c>
      <c r="Q122" s="819">
        <f t="shared" si="25"/>
        <v>586</v>
      </c>
      <c r="R122" s="819">
        <f t="shared" si="26"/>
        <v>290</v>
      </c>
      <c r="S122" s="819">
        <f t="shared" si="27"/>
        <v>177</v>
      </c>
      <c r="T122" s="819">
        <f t="shared" si="28"/>
        <v>75</v>
      </c>
      <c r="U122" s="819">
        <f t="shared" si="29"/>
        <v>2154</v>
      </c>
      <c r="V122" s="819">
        <f t="shared" si="30"/>
        <v>196</v>
      </c>
      <c r="W122" s="379">
        <f t="shared" si="31"/>
        <v>196</v>
      </c>
      <c r="X122" s="819" t="str">
        <f t="shared" si="32"/>
        <v/>
      </c>
      <c r="Y122" s="837"/>
      <c r="Z122" s="839"/>
      <c r="AA122" s="838"/>
      <c r="AB122" s="839"/>
    </row>
    <row r="123" spans="2:28" ht="13.15">
      <c r="B123" s="819" t="s">
        <v>605</v>
      </c>
      <c r="C123" s="819" t="s">
        <v>606</v>
      </c>
      <c r="D123" s="379" t="s">
        <v>336</v>
      </c>
      <c r="E123" s="818" t="s">
        <v>607</v>
      </c>
      <c r="F123" s="820">
        <v>1.4977135660000001</v>
      </c>
      <c r="G123" s="821">
        <v>3.332370869</v>
      </c>
      <c r="H123" s="822">
        <v>6863033489.4346104</v>
      </c>
      <c r="I123" s="819">
        <v>0.55000000000000004</v>
      </c>
      <c r="J123" s="820">
        <v>8.6360474000000007E-2</v>
      </c>
      <c r="K123" s="819">
        <f t="shared" si="22"/>
        <v>54</v>
      </c>
      <c r="L123" s="819">
        <f t="shared" si="23"/>
        <v>522</v>
      </c>
      <c r="M123" s="819">
        <f t="shared" si="19"/>
        <v>54</v>
      </c>
      <c r="N123" s="819">
        <f t="shared" si="20"/>
        <v>162</v>
      </c>
      <c r="O123" s="819">
        <f t="shared" si="21"/>
        <v>56</v>
      </c>
      <c r="P123" s="819">
        <f t="shared" si="24"/>
        <v>1344</v>
      </c>
      <c r="Q123" s="819">
        <f t="shared" si="25"/>
        <v>99</v>
      </c>
      <c r="R123" s="819">
        <f t="shared" si="26"/>
        <v>28</v>
      </c>
      <c r="S123" s="819">
        <f t="shared" si="27"/>
        <v>136</v>
      </c>
      <c r="T123" s="819">
        <f t="shared" si="28"/>
        <v>34</v>
      </c>
      <c r="U123" s="819">
        <f t="shared" si="29"/>
        <v>1641</v>
      </c>
      <c r="V123" s="819">
        <f t="shared" si="30"/>
        <v>77</v>
      </c>
      <c r="W123" s="379">
        <f t="shared" si="31"/>
        <v>77</v>
      </c>
      <c r="X123" s="819" t="str">
        <f t="shared" si="32"/>
        <v/>
      </c>
      <c r="Y123" s="837"/>
      <c r="Z123" s="839"/>
      <c r="AA123" s="838"/>
      <c r="AB123" s="839"/>
    </row>
    <row r="124" spans="2:28" ht="13.15">
      <c r="B124" s="819" t="s">
        <v>608</v>
      </c>
      <c r="C124" s="819" t="s">
        <v>609</v>
      </c>
      <c r="D124" s="379" t="s">
        <v>336</v>
      </c>
      <c r="E124" s="818" t="s">
        <v>418</v>
      </c>
      <c r="F124" s="820">
        <v>0.78691946199999996</v>
      </c>
      <c r="G124" s="821">
        <v>7.7787380000000003E-3</v>
      </c>
      <c r="H124" s="822">
        <v>369628031.98031998</v>
      </c>
      <c r="I124" s="819">
        <v>0.34</v>
      </c>
      <c r="J124" s="820">
        <v>2.3268301000000002E-2</v>
      </c>
      <c r="K124" s="819">
        <f t="shared" si="22"/>
        <v>424</v>
      </c>
      <c r="L124" s="819">
        <f t="shared" si="23"/>
        <v>1072</v>
      </c>
      <c r="M124" s="819">
        <f t="shared" si="19"/>
        <v>424</v>
      </c>
      <c r="N124" s="819">
        <f t="shared" si="20"/>
        <v>180</v>
      </c>
      <c r="O124" s="819">
        <f t="shared" si="21"/>
        <v>115</v>
      </c>
      <c r="P124" s="819">
        <f t="shared" si="24"/>
        <v>974</v>
      </c>
      <c r="Q124" s="819">
        <f t="shared" si="25"/>
        <v>649</v>
      </c>
      <c r="R124" s="819">
        <f t="shared" si="26"/>
        <v>342</v>
      </c>
      <c r="S124" s="819">
        <f t="shared" si="27"/>
        <v>154</v>
      </c>
      <c r="T124" s="819">
        <f t="shared" si="28"/>
        <v>93</v>
      </c>
      <c r="U124" s="819">
        <f t="shared" si="29"/>
        <v>2212</v>
      </c>
      <c r="V124" s="819">
        <f t="shared" si="30"/>
        <v>207</v>
      </c>
      <c r="W124" s="379">
        <f t="shared" si="31"/>
        <v>207</v>
      </c>
      <c r="X124" s="819" t="str">
        <f t="shared" si="32"/>
        <v/>
      </c>
      <c r="Y124" s="837"/>
      <c r="Z124" s="839"/>
      <c r="AA124" s="838"/>
      <c r="AB124" s="839"/>
    </row>
    <row r="125" spans="2:28" ht="13.15">
      <c r="B125" s="819" t="s">
        <v>610</v>
      </c>
      <c r="C125" s="819" t="s">
        <v>611</v>
      </c>
      <c r="D125" s="379" t="s">
        <v>336</v>
      </c>
      <c r="E125" s="818" t="s">
        <v>612</v>
      </c>
      <c r="F125" s="820">
        <v>1.5620459710000001</v>
      </c>
      <c r="G125" s="821">
        <v>1.9586140519999999</v>
      </c>
      <c r="H125" s="822">
        <v>11013559.1459297</v>
      </c>
      <c r="I125" s="819"/>
      <c r="J125" s="820">
        <v>6.6209170999999997E-2</v>
      </c>
      <c r="K125" s="819">
        <f t="shared" si="22"/>
        <v>1232</v>
      </c>
      <c r="L125" s="819">
        <f t="shared" si="23"/>
        <v>680</v>
      </c>
      <c r="M125" s="819">
        <f t="shared" si="19"/>
        <v>1232</v>
      </c>
      <c r="N125" s="819">
        <f t="shared" si="20"/>
        <v>364</v>
      </c>
      <c r="O125" s="819">
        <f t="shared" si="21"/>
        <v>75</v>
      </c>
      <c r="P125" s="819">
        <f t="shared" si="24"/>
        <v>166</v>
      </c>
      <c r="Q125" s="819">
        <f t="shared" si="25"/>
        <v>257</v>
      </c>
      <c r="R125" s="819">
        <f t="shared" si="26"/>
        <v>1150</v>
      </c>
      <c r="S125" s="819">
        <f t="shared" si="27"/>
        <v>338</v>
      </c>
      <c r="T125" s="819">
        <f t="shared" si="28"/>
        <v>53</v>
      </c>
      <c r="U125" s="819">
        <f t="shared" si="29"/>
        <v>1964</v>
      </c>
      <c r="V125" s="819">
        <f t="shared" si="30"/>
        <v>165</v>
      </c>
      <c r="W125" s="379">
        <f t="shared" si="31"/>
        <v>165</v>
      </c>
      <c r="X125" s="819" t="str">
        <f t="shared" si="32"/>
        <v/>
      </c>
      <c r="Y125" s="837"/>
      <c r="Z125" s="839"/>
      <c r="AA125" s="838"/>
      <c r="AB125" s="839"/>
    </row>
    <row r="126" spans="2:28" ht="13.15">
      <c r="B126" s="819" t="s">
        <v>613</v>
      </c>
      <c r="C126" s="819" t="s">
        <v>614</v>
      </c>
      <c r="D126" s="379" t="s">
        <v>336</v>
      </c>
      <c r="E126" s="818" t="s">
        <v>612</v>
      </c>
      <c r="F126" s="820">
        <v>2.8307591940000001</v>
      </c>
      <c r="G126" s="821">
        <v>-1.670541292</v>
      </c>
      <c r="H126" s="822">
        <v>24120729.256065201</v>
      </c>
      <c r="I126" s="819"/>
      <c r="J126" s="820">
        <v>-0.31764287200000002</v>
      </c>
      <c r="K126" s="819">
        <f t="shared" si="22"/>
        <v>1056</v>
      </c>
      <c r="L126" s="819">
        <f t="shared" si="23"/>
        <v>1331</v>
      </c>
      <c r="M126" s="819">
        <f t="shared" si="19"/>
        <v>1056</v>
      </c>
      <c r="N126" s="819">
        <f t="shared" si="20"/>
        <v>364</v>
      </c>
      <c r="O126" s="819">
        <f t="shared" si="21"/>
        <v>1775</v>
      </c>
      <c r="P126" s="819">
        <f t="shared" si="24"/>
        <v>342</v>
      </c>
      <c r="Q126" s="819">
        <f t="shared" si="25"/>
        <v>908</v>
      </c>
      <c r="R126" s="819">
        <f t="shared" si="26"/>
        <v>974</v>
      </c>
      <c r="S126" s="819">
        <f t="shared" si="27"/>
        <v>338</v>
      </c>
      <c r="T126" s="819">
        <f t="shared" si="28"/>
        <v>1753</v>
      </c>
      <c r="U126" s="819">
        <f t="shared" si="29"/>
        <v>4315</v>
      </c>
      <c r="V126" s="819">
        <f t="shared" si="30"/>
        <v>1766</v>
      </c>
      <c r="W126" s="379">
        <f t="shared" si="31"/>
        <v>1766</v>
      </c>
      <c r="X126" s="819" t="str">
        <f t="shared" si="32"/>
        <v/>
      </c>
      <c r="Y126" s="837"/>
      <c r="Z126" s="839"/>
      <c r="AA126" s="838"/>
      <c r="AB126" s="839"/>
    </row>
    <row r="127" spans="2:28" ht="13.15">
      <c r="B127" s="819" t="s">
        <v>615</v>
      </c>
      <c r="C127" s="819" t="s">
        <v>616</v>
      </c>
      <c r="D127" s="379" t="s">
        <v>336</v>
      </c>
      <c r="E127" s="818" t="s">
        <v>612</v>
      </c>
      <c r="F127" s="820"/>
      <c r="G127" s="821"/>
      <c r="H127" s="822">
        <v>188191594.36853901</v>
      </c>
      <c r="I127" s="819"/>
      <c r="J127" s="820">
        <v>0</v>
      </c>
      <c r="K127" s="819">
        <f t="shared" si="22"/>
        <v>586</v>
      </c>
      <c r="L127" s="819">
        <f t="shared" si="23"/>
        <v>1084</v>
      </c>
      <c r="M127" s="819">
        <f t="shared" si="19"/>
        <v>586</v>
      </c>
      <c r="N127" s="819">
        <f t="shared" si="20"/>
        <v>364</v>
      </c>
      <c r="O127" s="819">
        <f t="shared" si="21"/>
        <v>492</v>
      </c>
      <c r="P127" s="819">
        <f t="shared" si="24"/>
        <v>812</v>
      </c>
      <c r="Q127" s="819">
        <f t="shared" si="25"/>
        <v>661</v>
      </c>
      <c r="R127" s="819">
        <f t="shared" si="26"/>
        <v>504</v>
      </c>
      <c r="S127" s="819">
        <f t="shared" si="27"/>
        <v>338</v>
      </c>
      <c r="T127" s="819">
        <f t="shared" si="28"/>
        <v>470</v>
      </c>
      <c r="U127" s="819">
        <f t="shared" si="29"/>
        <v>2785</v>
      </c>
      <c r="V127" s="819">
        <f t="shared" si="30"/>
        <v>463</v>
      </c>
      <c r="W127" s="379">
        <f t="shared" si="31"/>
        <v>463</v>
      </c>
      <c r="X127" s="819" t="str">
        <f t="shared" si="32"/>
        <v/>
      </c>
      <c r="Y127" s="837"/>
      <c r="Z127" s="839"/>
      <c r="AA127" s="838"/>
      <c r="AB127" s="839"/>
    </row>
    <row r="128" spans="2:28" ht="13.15">
      <c r="B128" s="819" t="s">
        <v>617</v>
      </c>
      <c r="C128" s="819" t="s">
        <v>618</v>
      </c>
      <c r="D128" s="379" t="s">
        <v>336</v>
      </c>
      <c r="E128" s="818" t="s">
        <v>373</v>
      </c>
      <c r="F128" s="820">
        <v>1.0223285200000001</v>
      </c>
      <c r="G128" s="821">
        <v>2.4787827670000002</v>
      </c>
      <c r="H128" s="822">
        <v>5409609404.36658</v>
      </c>
      <c r="I128" s="819">
        <v>0.04</v>
      </c>
      <c r="J128" s="820">
        <v>6.1869762000000002E-2</v>
      </c>
      <c r="K128" s="819">
        <f t="shared" si="22"/>
        <v>67</v>
      </c>
      <c r="L128" s="819">
        <f t="shared" si="23"/>
        <v>605</v>
      </c>
      <c r="M128" s="819">
        <f t="shared" si="19"/>
        <v>67</v>
      </c>
      <c r="N128" s="819">
        <f t="shared" si="20"/>
        <v>309</v>
      </c>
      <c r="O128" s="819">
        <f t="shared" si="21"/>
        <v>82</v>
      </c>
      <c r="P128" s="819">
        <f t="shared" si="24"/>
        <v>1331</v>
      </c>
      <c r="Q128" s="819">
        <f t="shared" si="25"/>
        <v>182</v>
      </c>
      <c r="R128" s="819">
        <f t="shared" si="26"/>
        <v>15</v>
      </c>
      <c r="S128" s="819">
        <f t="shared" si="27"/>
        <v>283</v>
      </c>
      <c r="T128" s="819">
        <f t="shared" si="28"/>
        <v>60</v>
      </c>
      <c r="U128" s="819">
        <f t="shared" si="29"/>
        <v>1871</v>
      </c>
      <c r="V128" s="819">
        <f t="shared" si="30"/>
        <v>136</v>
      </c>
      <c r="W128" s="379">
        <f t="shared" si="31"/>
        <v>136</v>
      </c>
      <c r="X128" s="819" t="str">
        <f t="shared" si="32"/>
        <v/>
      </c>
      <c r="Y128" s="837"/>
      <c r="Z128" s="839"/>
      <c r="AA128" s="838"/>
      <c r="AB128" s="839"/>
    </row>
    <row r="129" spans="2:28" ht="13.15">
      <c r="B129" s="819" t="s">
        <v>619</v>
      </c>
      <c r="C129" s="819" t="s">
        <v>620</v>
      </c>
      <c r="D129" s="379" t="s">
        <v>336</v>
      </c>
      <c r="E129" s="818" t="s">
        <v>430</v>
      </c>
      <c r="F129" s="820">
        <v>4.1620269680000002</v>
      </c>
      <c r="G129" s="821">
        <v>4.7803030299999998</v>
      </c>
      <c r="H129" s="822">
        <v>778487378.99799597</v>
      </c>
      <c r="I129" s="819">
        <v>0.12</v>
      </c>
      <c r="J129" s="820">
        <v>0.10279091899999999</v>
      </c>
      <c r="K129" s="819">
        <f t="shared" si="22"/>
        <v>261</v>
      </c>
      <c r="L129" s="819">
        <f t="shared" si="23"/>
        <v>395</v>
      </c>
      <c r="M129" s="819">
        <f t="shared" si="19"/>
        <v>261</v>
      </c>
      <c r="N129" s="819">
        <f t="shared" si="20"/>
        <v>250</v>
      </c>
      <c r="O129" s="819">
        <f t="shared" si="21"/>
        <v>41</v>
      </c>
      <c r="P129" s="819">
        <f t="shared" si="24"/>
        <v>1137</v>
      </c>
      <c r="Q129" s="819">
        <f t="shared" si="25"/>
        <v>28</v>
      </c>
      <c r="R129" s="819">
        <f t="shared" si="26"/>
        <v>179</v>
      </c>
      <c r="S129" s="819">
        <f t="shared" si="27"/>
        <v>224</v>
      </c>
      <c r="T129" s="819">
        <f t="shared" si="28"/>
        <v>19</v>
      </c>
      <c r="U129" s="819">
        <f t="shared" si="29"/>
        <v>1587</v>
      </c>
      <c r="V129" s="819">
        <f t="shared" si="30"/>
        <v>66</v>
      </c>
      <c r="W129" s="379">
        <f t="shared" si="31"/>
        <v>66</v>
      </c>
      <c r="X129" s="819" t="str">
        <f t="shared" si="32"/>
        <v/>
      </c>
      <c r="Y129" s="837"/>
      <c r="Z129" s="839"/>
      <c r="AA129" s="838"/>
      <c r="AB129" s="839"/>
    </row>
    <row r="130" spans="2:28" ht="13.15">
      <c r="B130" s="819" t="s">
        <v>621</v>
      </c>
      <c r="C130" s="819" t="s">
        <v>622</v>
      </c>
      <c r="D130" s="379" t="s">
        <v>336</v>
      </c>
      <c r="E130" s="818" t="s">
        <v>460</v>
      </c>
      <c r="F130" s="820">
        <v>5.1130177249999997</v>
      </c>
      <c r="G130" s="821">
        <v>31.731039859999999</v>
      </c>
      <c r="H130" s="822">
        <v>33834147.822256804</v>
      </c>
      <c r="I130" s="819"/>
      <c r="J130" s="820">
        <v>1.6318391000000002E-2</v>
      </c>
      <c r="K130" s="819">
        <f t="shared" si="22"/>
        <v>966</v>
      </c>
      <c r="L130" s="819">
        <f t="shared" si="23"/>
        <v>57</v>
      </c>
      <c r="M130" s="819">
        <f t="shared" si="19"/>
        <v>966</v>
      </c>
      <c r="N130" s="819">
        <f t="shared" si="20"/>
        <v>364</v>
      </c>
      <c r="O130" s="819">
        <f t="shared" si="21"/>
        <v>126</v>
      </c>
      <c r="P130" s="819">
        <f t="shared" si="24"/>
        <v>432</v>
      </c>
      <c r="Q130" s="819">
        <f t="shared" si="25"/>
        <v>366</v>
      </c>
      <c r="R130" s="819">
        <f t="shared" si="26"/>
        <v>884</v>
      </c>
      <c r="S130" s="819">
        <f t="shared" si="27"/>
        <v>338</v>
      </c>
      <c r="T130" s="819">
        <f t="shared" si="28"/>
        <v>104</v>
      </c>
      <c r="U130" s="819">
        <f t="shared" si="29"/>
        <v>2124</v>
      </c>
      <c r="V130" s="819">
        <f t="shared" si="30"/>
        <v>192</v>
      </c>
      <c r="W130" s="379">
        <f t="shared" si="31"/>
        <v>192</v>
      </c>
      <c r="X130" s="819" t="str">
        <f t="shared" si="32"/>
        <v/>
      </c>
      <c r="Y130" s="837"/>
      <c r="Z130" s="839"/>
      <c r="AA130" s="838"/>
      <c r="AB130" s="839"/>
    </row>
    <row r="131" spans="2:28" ht="13.15">
      <c r="B131" s="819" t="s">
        <v>623</v>
      </c>
      <c r="C131" s="819" t="s">
        <v>624</v>
      </c>
      <c r="D131" s="379" t="s">
        <v>336</v>
      </c>
      <c r="E131" s="818" t="s">
        <v>625</v>
      </c>
      <c r="F131" s="820">
        <v>3.9015874080000001</v>
      </c>
      <c r="G131" s="821">
        <v>2.7627543000000001</v>
      </c>
      <c r="H131" s="822">
        <v>639054148.18294203</v>
      </c>
      <c r="I131" s="819"/>
      <c r="J131" s="820">
        <v>0.59553148300000003</v>
      </c>
      <c r="K131" s="819">
        <f t="shared" si="22"/>
        <v>302</v>
      </c>
      <c r="L131" s="819">
        <f t="shared" si="23"/>
        <v>574</v>
      </c>
      <c r="M131" s="819">
        <f t="shared" si="19"/>
        <v>302</v>
      </c>
      <c r="N131" s="819">
        <f t="shared" si="20"/>
        <v>364</v>
      </c>
      <c r="O131" s="819">
        <f t="shared" si="21"/>
        <v>8</v>
      </c>
      <c r="P131" s="819">
        <f t="shared" si="24"/>
        <v>1096</v>
      </c>
      <c r="Q131" s="819">
        <f t="shared" si="25"/>
        <v>151</v>
      </c>
      <c r="R131" s="819">
        <f t="shared" si="26"/>
        <v>220</v>
      </c>
      <c r="S131" s="819">
        <f t="shared" si="27"/>
        <v>338</v>
      </c>
      <c r="T131" s="819">
        <f t="shared" si="28"/>
        <v>14</v>
      </c>
      <c r="U131" s="819">
        <f t="shared" si="29"/>
        <v>1819</v>
      </c>
      <c r="V131" s="819">
        <f t="shared" si="30"/>
        <v>120</v>
      </c>
      <c r="W131" s="379">
        <f t="shared" si="31"/>
        <v>120</v>
      </c>
      <c r="X131" s="819" t="str">
        <f t="shared" si="32"/>
        <v/>
      </c>
      <c r="Y131" s="837"/>
      <c r="Z131" s="839"/>
      <c r="AA131" s="838"/>
      <c r="AB131" s="839"/>
    </row>
    <row r="132" spans="2:28" ht="13.15">
      <c r="B132" s="819" t="s">
        <v>626</v>
      </c>
      <c r="C132" s="819" t="s">
        <v>627</v>
      </c>
      <c r="D132" s="379" t="s">
        <v>336</v>
      </c>
      <c r="E132" s="818" t="s">
        <v>460</v>
      </c>
      <c r="F132" s="820">
        <v>0</v>
      </c>
      <c r="G132" s="821">
        <v>-1.5758839600000001</v>
      </c>
      <c r="H132" s="822">
        <v>17552028.345418599</v>
      </c>
      <c r="I132" s="819"/>
      <c r="J132" s="820">
        <v>-2.1185790000000002E-3</v>
      </c>
      <c r="K132" s="819">
        <f t="shared" si="22"/>
        <v>1131</v>
      </c>
      <c r="L132" s="819">
        <f t="shared" si="23"/>
        <v>1328</v>
      </c>
      <c r="M132" s="819">
        <f t="shared" ref="M132:M195" si="33">IFERROR(_xlfn.RANK.EQ(H132,H$3:H$1787),"N/A")</f>
        <v>1131</v>
      </c>
      <c r="N132" s="819">
        <f t="shared" ref="N132:N195" si="34">IFERROR(_xlfn.RANK.EQ(I132,I$3:I$1787),"N/A")</f>
        <v>364</v>
      </c>
      <c r="O132" s="819">
        <f t="shared" ref="O132:O195" si="35">IFERROR(_xlfn.RANK.EQ(J132,J$3:J$1787),"N/A")</f>
        <v>1501</v>
      </c>
      <c r="P132" s="819">
        <f t="shared" si="24"/>
        <v>267</v>
      </c>
      <c r="Q132" s="819">
        <f t="shared" si="25"/>
        <v>905</v>
      </c>
      <c r="R132" s="819">
        <f t="shared" si="26"/>
        <v>1049</v>
      </c>
      <c r="S132" s="819">
        <f t="shared" si="27"/>
        <v>338</v>
      </c>
      <c r="T132" s="819">
        <f t="shared" si="28"/>
        <v>1479</v>
      </c>
      <c r="U132" s="819">
        <f t="shared" si="29"/>
        <v>4038</v>
      </c>
      <c r="V132" s="819">
        <f t="shared" si="30"/>
        <v>1748</v>
      </c>
      <c r="W132" s="379">
        <f t="shared" si="31"/>
        <v>1748</v>
      </c>
      <c r="X132" s="819" t="str">
        <f t="shared" si="32"/>
        <v/>
      </c>
      <c r="Y132" s="837"/>
      <c r="Z132" s="839"/>
      <c r="AA132" s="838"/>
      <c r="AB132" s="839"/>
    </row>
    <row r="133" spans="2:28" ht="13.15">
      <c r="B133" s="819" t="s">
        <v>628</v>
      </c>
      <c r="C133" s="819" t="s">
        <v>629</v>
      </c>
      <c r="D133" s="379" t="s">
        <v>336</v>
      </c>
      <c r="E133" s="818" t="s">
        <v>460</v>
      </c>
      <c r="F133" s="820">
        <v>9.255572914</v>
      </c>
      <c r="G133" s="821">
        <v>-5.1383133389999998</v>
      </c>
      <c r="H133" s="822">
        <v>13500383.094624599</v>
      </c>
      <c r="I133" s="819"/>
      <c r="J133" s="820">
        <v>-0.16556685400000001</v>
      </c>
      <c r="K133" s="819">
        <f t="shared" ref="K133:K196" si="36">IFERROR(_xlfn.RANK.EQ(H133,H$3:H$1787),"N/A")</f>
        <v>1189</v>
      </c>
      <c r="L133" s="819">
        <f t="shared" ref="L133:L196" si="37">IFERROR(_xlfn.RANK.EQ(G133,G$3:G$1787),"N/A")</f>
        <v>1410</v>
      </c>
      <c r="M133" s="819">
        <f t="shared" si="33"/>
        <v>1189</v>
      </c>
      <c r="N133" s="819">
        <f t="shared" si="34"/>
        <v>364</v>
      </c>
      <c r="O133" s="819">
        <f t="shared" si="35"/>
        <v>1762</v>
      </c>
      <c r="P133" s="819">
        <f t="shared" ref="P133:P196" si="38">IFERROR(ABS(K$3-K133),"N/A")</f>
        <v>209</v>
      </c>
      <c r="Q133" s="819">
        <f t="shared" ref="Q133:Q196" si="39">IFERROR(ABS(L$3-L133),"N/A")</f>
        <v>987</v>
      </c>
      <c r="R133" s="819">
        <f t="shared" ref="R133:R196" si="40">IFERROR(ABS(M$3-M133),"N/A")</f>
        <v>1107</v>
      </c>
      <c r="S133" s="819">
        <f t="shared" ref="S133:S196" si="41">IFERROR(ABS(N$3-N133),"N/A")</f>
        <v>338</v>
      </c>
      <c r="T133" s="819">
        <f t="shared" ref="T133:T196" si="42">IFERROR(ABS(O$3-O133),"N/A")</f>
        <v>1740</v>
      </c>
      <c r="U133" s="819">
        <f t="shared" ref="U133:U196" si="43">SUM(P133:T133)</f>
        <v>4381</v>
      </c>
      <c r="V133" s="819">
        <f t="shared" ref="V133:V196" si="44">_xlfn.RANK.EQ(U133,$U$4:$U$1787,1)</f>
        <v>1775</v>
      </c>
      <c r="W133" s="379">
        <f t="shared" ref="W133:W196" si="45">IF(Y133="Not suitable","-",V133)</f>
        <v>1775</v>
      </c>
      <c r="X133" s="819" t="str">
        <f t="shared" si="32"/>
        <v/>
      </c>
      <c r="Y133" s="837"/>
      <c r="Z133" s="839"/>
      <c r="AA133" s="838"/>
      <c r="AB133" s="839"/>
    </row>
    <row r="134" spans="2:28" ht="13.15">
      <c r="B134" s="819" t="s">
        <v>630</v>
      </c>
      <c r="C134" s="819" t="s">
        <v>631</v>
      </c>
      <c r="D134" s="379" t="s">
        <v>336</v>
      </c>
      <c r="E134" s="818" t="s">
        <v>418</v>
      </c>
      <c r="F134" s="820">
        <v>1.818883078</v>
      </c>
      <c r="G134" s="821">
        <v>4.0528541230000004</v>
      </c>
      <c r="H134" s="822">
        <v>422663947.69210899</v>
      </c>
      <c r="I134" s="819">
        <v>0.69</v>
      </c>
      <c r="J134" s="820">
        <v>2.4971294000000002E-2</v>
      </c>
      <c r="K134" s="819">
        <f t="shared" si="36"/>
        <v>394</v>
      </c>
      <c r="L134" s="819">
        <f t="shared" si="37"/>
        <v>444</v>
      </c>
      <c r="M134" s="819">
        <f t="shared" si="33"/>
        <v>394</v>
      </c>
      <c r="N134" s="819">
        <f t="shared" si="34"/>
        <v>153</v>
      </c>
      <c r="O134" s="819">
        <f t="shared" si="35"/>
        <v>113</v>
      </c>
      <c r="P134" s="819">
        <f t="shared" si="38"/>
        <v>1004</v>
      </c>
      <c r="Q134" s="819">
        <f t="shared" si="39"/>
        <v>21</v>
      </c>
      <c r="R134" s="819">
        <f t="shared" si="40"/>
        <v>312</v>
      </c>
      <c r="S134" s="819">
        <f t="shared" si="41"/>
        <v>127</v>
      </c>
      <c r="T134" s="819">
        <f t="shared" si="42"/>
        <v>91</v>
      </c>
      <c r="U134" s="819">
        <f t="shared" si="43"/>
        <v>1555</v>
      </c>
      <c r="V134" s="819">
        <f t="shared" si="44"/>
        <v>59</v>
      </c>
      <c r="W134" s="379">
        <f t="shared" si="45"/>
        <v>59</v>
      </c>
      <c r="X134" s="819" t="str">
        <f t="shared" ref="X134:X197" si="46">IF(L134="N/A","Y","")</f>
        <v/>
      </c>
      <c r="Y134" s="837"/>
      <c r="Z134" s="839"/>
      <c r="AA134" s="838"/>
      <c r="AB134" s="839"/>
    </row>
    <row r="135" spans="2:28" ht="13.15">
      <c r="B135" s="819" t="s">
        <v>632</v>
      </c>
      <c r="C135" s="819" t="s">
        <v>633</v>
      </c>
      <c r="D135" s="379" t="s">
        <v>336</v>
      </c>
      <c r="E135" s="818" t="s">
        <v>373</v>
      </c>
      <c r="F135" s="820">
        <v>0.87469985100000003</v>
      </c>
      <c r="G135" s="821">
        <v>0.70210527099999998</v>
      </c>
      <c r="H135" s="822">
        <v>291443212.400042</v>
      </c>
      <c r="I135" s="819"/>
      <c r="J135" s="820">
        <v>9.8013138E-2</v>
      </c>
      <c r="K135" s="819">
        <f t="shared" si="36"/>
        <v>481</v>
      </c>
      <c r="L135" s="819">
        <f t="shared" si="37"/>
        <v>874</v>
      </c>
      <c r="M135" s="819">
        <f t="shared" si="33"/>
        <v>481</v>
      </c>
      <c r="N135" s="819">
        <f t="shared" si="34"/>
        <v>364</v>
      </c>
      <c r="O135" s="819">
        <f t="shared" si="35"/>
        <v>44</v>
      </c>
      <c r="P135" s="819">
        <f t="shared" si="38"/>
        <v>917</v>
      </c>
      <c r="Q135" s="819">
        <f t="shared" si="39"/>
        <v>451</v>
      </c>
      <c r="R135" s="819">
        <f t="shared" si="40"/>
        <v>399</v>
      </c>
      <c r="S135" s="819">
        <f t="shared" si="41"/>
        <v>338</v>
      </c>
      <c r="T135" s="819">
        <f t="shared" si="42"/>
        <v>22</v>
      </c>
      <c r="U135" s="819">
        <f t="shared" si="43"/>
        <v>2127</v>
      </c>
      <c r="V135" s="819">
        <f t="shared" si="44"/>
        <v>193</v>
      </c>
      <c r="W135" s="379">
        <f t="shared" si="45"/>
        <v>193</v>
      </c>
      <c r="X135" s="819" t="str">
        <f t="shared" si="46"/>
        <v/>
      </c>
      <c r="Y135" s="837"/>
      <c r="Z135" s="839"/>
      <c r="AA135" s="838"/>
      <c r="AB135" s="839"/>
    </row>
    <row r="136" spans="2:28" ht="13.15">
      <c r="B136" s="819" t="s">
        <v>634</v>
      </c>
      <c r="C136" s="819" t="s">
        <v>635</v>
      </c>
      <c r="D136" s="379" t="s">
        <v>336</v>
      </c>
      <c r="E136" s="818" t="s">
        <v>625</v>
      </c>
      <c r="F136" s="820">
        <v>3.8589076009999999</v>
      </c>
      <c r="G136" s="821">
        <v>0</v>
      </c>
      <c r="H136" s="822">
        <v>67847651.421507999</v>
      </c>
      <c r="I136" s="819"/>
      <c r="J136" s="820">
        <v>0.17203278399999999</v>
      </c>
      <c r="K136" s="819">
        <f t="shared" si="36"/>
        <v>808</v>
      </c>
      <c r="L136" s="819">
        <f t="shared" si="37"/>
        <v>1084</v>
      </c>
      <c r="M136" s="819">
        <f t="shared" si="33"/>
        <v>808</v>
      </c>
      <c r="N136" s="819">
        <f t="shared" si="34"/>
        <v>364</v>
      </c>
      <c r="O136" s="819">
        <f t="shared" si="35"/>
        <v>21</v>
      </c>
      <c r="P136" s="819">
        <f t="shared" si="38"/>
        <v>590</v>
      </c>
      <c r="Q136" s="819">
        <f t="shared" si="39"/>
        <v>661</v>
      </c>
      <c r="R136" s="819">
        <f t="shared" si="40"/>
        <v>726</v>
      </c>
      <c r="S136" s="819">
        <f t="shared" si="41"/>
        <v>338</v>
      </c>
      <c r="T136" s="819">
        <f t="shared" si="42"/>
        <v>1</v>
      </c>
      <c r="U136" s="819">
        <f t="shared" si="43"/>
        <v>2316</v>
      </c>
      <c r="V136" s="819">
        <f t="shared" si="44"/>
        <v>219</v>
      </c>
      <c r="W136" s="379">
        <f t="shared" si="45"/>
        <v>219</v>
      </c>
      <c r="X136" s="819" t="str">
        <f t="shared" si="46"/>
        <v/>
      </c>
      <c r="Y136" s="837"/>
      <c r="Z136" s="839"/>
      <c r="AA136" s="838"/>
      <c r="AB136" s="839"/>
    </row>
    <row r="137" spans="2:28" ht="13.15">
      <c r="B137" s="819" t="s">
        <v>636</v>
      </c>
      <c r="C137" s="819" t="s">
        <v>637</v>
      </c>
      <c r="D137" s="379" t="s">
        <v>336</v>
      </c>
      <c r="E137" s="818" t="s">
        <v>337</v>
      </c>
      <c r="F137" s="820">
        <v>2.1177460789999998</v>
      </c>
      <c r="G137" s="821">
        <v>0</v>
      </c>
      <c r="H137" s="822">
        <v>22734932.399999999</v>
      </c>
      <c r="I137" s="819"/>
      <c r="J137" s="820">
        <v>-0.217549148</v>
      </c>
      <c r="K137" s="819">
        <f t="shared" si="36"/>
        <v>1075</v>
      </c>
      <c r="L137" s="819">
        <f t="shared" si="37"/>
        <v>1084</v>
      </c>
      <c r="M137" s="819">
        <f t="shared" si="33"/>
        <v>1075</v>
      </c>
      <c r="N137" s="819">
        <f t="shared" si="34"/>
        <v>364</v>
      </c>
      <c r="O137" s="819">
        <f t="shared" si="35"/>
        <v>1766</v>
      </c>
      <c r="P137" s="819">
        <f t="shared" si="38"/>
        <v>323</v>
      </c>
      <c r="Q137" s="819">
        <f t="shared" si="39"/>
        <v>661</v>
      </c>
      <c r="R137" s="819">
        <f t="shared" si="40"/>
        <v>993</v>
      </c>
      <c r="S137" s="819">
        <f t="shared" si="41"/>
        <v>338</v>
      </c>
      <c r="T137" s="819">
        <f t="shared" si="42"/>
        <v>1744</v>
      </c>
      <c r="U137" s="819">
        <f t="shared" si="43"/>
        <v>4059</v>
      </c>
      <c r="V137" s="819">
        <f t="shared" si="44"/>
        <v>1750</v>
      </c>
      <c r="W137" s="379">
        <f t="shared" si="45"/>
        <v>1750</v>
      </c>
      <c r="X137" s="819" t="str">
        <f t="shared" si="46"/>
        <v/>
      </c>
      <c r="Y137" s="837"/>
      <c r="Z137" s="839"/>
      <c r="AA137" s="838"/>
      <c r="AB137" s="839"/>
    </row>
    <row r="138" spans="2:28" ht="13.15">
      <c r="B138" s="819" t="s">
        <v>638</v>
      </c>
      <c r="C138" s="819" t="s">
        <v>639</v>
      </c>
      <c r="D138" s="379" t="s">
        <v>336</v>
      </c>
      <c r="E138" s="818" t="s">
        <v>460</v>
      </c>
      <c r="F138" s="820">
        <v>3.5134931969999998</v>
      </c>
      <c r="G138" s="821">
        <v>6.9480593610000003</v>
      </c>
      <c r="H138" s="822">
        <v>32917590.195960902</v>
      </c>
      <c r="I138" s="819"/>
      <c r="J138" s="820">
        <v>6.8548159999999997E-2</v>
      </c>
      <c r="K138" s="819">
        <f t="shared" si="36"/>
        <v>973</v>
      </c>
      <c r="L138" s="819">
        <f t="shared" si="37"/>
        <v>287</v>
      </c>
      <c r="M138" s="819">
        <f t="shared" si="33"/>
        <v>973</v>
      </c>
      <c r="N138" s="819">
        <f t="shared" si="34"/>
        <v>364</v>
      </c>
      <c r="O138" s="819">
        <f t="shared" si="35"/>
        <v>72</v>
      </c>
      <c r="P138" s="819">
        <f t="shared" si="38"/>
        <v>425</v>
      </c>
      <c r="Q138" s="819">
        <f t="shared" si="39"/>
        <v>136</v>
      </c>
      <c r="R138" s="819">
        <f t="shared" si="40"/>
        <v>891</v>
      </c>
      <c r="S138" s="819">
        <f t="shared" si="41"/>
        <v>338</v>
      </c>
      <c r="T138" s="819">
        <f t="shared" si="42"/>
        <v>50</v>
      </c>
      <c r="U138" s="819">
        <f t="shared" si="43"/>
        <v>1840</v>
      </c>
      <c r="V138" s="819">
        <f t="shared" si="44"/>
        <v>127</v>
      </c>
      <c r="W138" s="379">
        <f t="shared" si="45"/>
        <v>127</v>
      </c>
      <c r="X138" s="819" t="str">
        <f t="shared" si="46"/>
        <v/>
      </c>
      <c r="Y138" s="837"/>
      <c r="Z138" s="839"/>
      <c r="AA138" s="838"/>
      <c r="AB138" s="839"/>
    </row>
    <row r="139" spans="2:28" ht="13.15">
      <c r="B139" s="819" t="s">
        <v>640</v>
      </c>
      <c r="C139" s="819" t="s">
        <v>641</v>
      </c>
      <c r="D139" s="379" t="s">
        <v>336</v>
      </c>
      <c r="E139" s="818" t="s">
        <v>642</v>
      </c>
      <c r="F139" s="820">
        <v>1.6956521739999999</v>
      </c>
      <c r="G139" s="821">
        <v>1.094594595</v>
      </c>
      <c r="H139" s="822">
        <v>96070400.411227405</v>
      </c>
      <c r="I139" s="819">
        <v>1.1000000000000001</v>
      </c>
      <c r="J139" s="820">
        <v>8.6763699E-2</v>
      </c>
      <c r="K139" s="819">
        <f t="shared" si="36"/>
        <v>731</v>
      </c>
      <c r="L139" s="819">
        <f t="shared" si="37"/>
        <v>800</v>
      </c>
      <c r="M139" s="819">
        <f t="shared" si="33"/>
        <v>731</v>
      </c>
      <c r="N139" s="819">
        <f t="shared" si="34"/>
        <v>124</v>
      </c>
      <c r="O139" s="819">
        <f t="shared" si="35"/>
        <v>55</v>
      </c>
      <c r="P139" s="819">
        <f t="shared" si="38"/>
        <v>667</v>
      </c>
      <c r="Q139" s="819">
        <f t="shared" si="39"/>
        <v>377</v>
      </c>
      <c r="R139" s="819">
        <f t="shared" si="40"/>
        <v>649</v>
      </c>
      <c r="S139" s="819">
        <f t="shared" si="41"/>
        <v>98</v>
      </c>
      <c r="T139" s="819">
        <f t="shared" si="42"/>
        <v>33</v>
      </c>
      <c r="U139" s="819">
        <f t="shared" si="43"/>
        <v>1824</v>
      </c>
      <c r="V139" s="819">
        <f t="shared" si="44"/>
        <v>123</v>
      </c>
      <c r="W139" s="379">
        <f t="shared" si="45"/>
        <v>123</v>
      </c>
      <c r="X139" s="819" t="str">
        <f t="shared" si="46"/>
        <v/>
      </c>
      <c r="Y139" s="837"/>
      <c r="Z139" s="839"/>
      <c r="AA139" s="838"/>
      <c r="AB139" s="839"/>
    </row>
    <row r="140" spans="2:28" ht="13.15">
      <c r="B140" s="819" t="s">
        <v>643</v>
      </c>
      <c r="C140" s="819" t="s">
        <v>644</v>
      </c>
      <c r="D140" s="379" t="s">
        <v>336</v>
      </c>
      <c r="E140" s="818" t="s">
        <v>645</v>
      </c>
      <c r="F140" s="820">
        <v>3.4743624500000001</v>
      </c>
      <c r="G140" s="821">
        <v>2.2890384319999999</v>
      </c>
      <c r="H140" s="822">
        <v>4589755366.8458405</v>
      </c>
      <c r="I140" s="819"/>
      <c r="J140" s="820">
        <v>0.16474360699999999</v>
      </c>
      <c r="K140" s="819">
        <f t="shared" si="36"/>
        <v>80</v>
      </c>
      <c r="L140" s="819">
        <f t="shared" si="37"/>
        <v>633</v>
      </c>
      <c r="M140" s="819">
        <f t="shared" si="33"/>
        <v>80</v>
      </c>
      <c r="N140" s="819">
        <f t="shared" si="34"/>
        <v>364</v>
      </c>
      <c r="O140" s="819">
        <f t="shared" si="35"/>
        <v>24</v>
      </c>
      <c r="P140" s="819">
        <f t="shared" si="38"/>
        <v>1318</v>
      </c>
      <c r="Q140" s="819">
        <f t="shared" si="39"/>
        <v>210</v>
      </c>
      <c r="R140" s="819">
        <f t="shared" si="40"/>
        <v>2</v>
      </c>
      <c r="S140" s="819">
        <f t="shared" si="41"/>
        <v>338</v>
      </c>
      <c r="T140" s="819">
        <f t="shared" si="42"/>
        <v>2</v>
      </c>
      <c r="U140" s="819">
        <f t="shared" si="43"/>
        <v>1870</v>
      </c>
      <c r="V140" s="819">
        <f t="shared" si="44"/>
        <v>135</v>
      </c>
      <c r="W140" s="379">
        <f t="shared" si="45"/>
        <v>135</v>
      </c>
      <c r="X140" s="819" t="str">
        <f t="shared" si="46"/>
        <v/>
      </c>
      <c r="Y140" s="837"/>
      <c r="Z140" s="839"/>
      <c r="AA140" s="838"/>
      <c r="AB140" s="839"/>
    </row>
    <row r="141" spans="2:28" ht="13.15">
      <c r="B141" s="819" t="s">
        <v>646</v>
      </c>
      <c r="C141" s="819" t="s">
        <v>647</v>
      </c>
      <c r="D141" s="379" t="s">
        <v>336</v>
      </c>
      <c r="E141" s="818" t="s">
        <v>337</v>
      </c>
      <c r="F141" s="820">
        <v>2.0714904679999999</v>
      </c>
      <c r="G141" s="821">
        <v>-16.080459770000001</v>
      </c>
      <c r="H141" s="822">
        <v>3180108019.5</v>
      </c>
      <c r="I141" s="819"/>
      <c r="J141" s="820">
        <v>-2.8882237000000002E-2</v>
      </c>
      <c r="K141" s="819">
        <f t="shared" si="36"/>
        <v>102</v>
      </c>
      <c r="L141" s="819">
        <f t="shared" si="37"/>
        <v>1475</v>
      </c>
      <c r="M141" s="819">
        <f t="shared" si="33"/>
        <v>102</v>
      </c>
      <c r="N141" s="819">
        <f t="shared" si="34"/>
        <v>364</v>
      </c>
      <c r="O141" s="819">
        <f t="shared" si="35"/>
        <v>1709</v>
      </c>
      <c r="P141" s="819">
        <f t="shared" si="38"/>
        <v>1296</v>
      </c>
      <c r="Q141" s="819">
        <f t="shared" si="39"/>
        <v>1052</v>
      </c>
      <c r="R141" s="819">
        <f t="shared" si="40"/>
        <v>20</v>
      </c>
      <c r="S141" s="819">
        <f t="shared" si="41"/>
        <v>338</v>
      </c>
      <c r="T141" s="819">
        <f t="shared" si="42"/>
        <v>1687</v>
      </c>
      <c r="U141" s="819">
        <f t="shared" si="43"/>
        <v>4393</v>
      </c>
      <c r="V141" s="819">
        <f t="shared" si="44"/>
        <v>1778</v>
      </c>
      <c r="W141" s="379">
        <f t="shared" si="45"/>
        <v>1778</v>
      </c>
      <c r="X141" s="819" t="str">
        <f t="shared" si="46"/>
        <v/>
      </c>
      <c r="Y141" s="837"/>
      <c r="Z141" s="839"/>
      <c r="AA141" s="838"/>
      <c r="AB141" s="839"/>
    </row>
    <row r="142" spans="2:28" ht="13.15">
      <c r="B142" s="819" t="s">
        <v>648</v>
      </c>
      <c r="C142" s="819" t="s">
        <v>649</v>
      </c>
      <c r="D142" s="379" t="s">
        <v>336</v>
      </c>
      <c r="E142" s="818" t="s">
        <v>341</v>
      </c>
      <c r="F142" s="820">
        <v>3.181056259</v>
      </c>
      <c r="G142" s="821">
        <v>4.8243772969999998</v>
      </c>
      <c r="H142" s="822">
        <v>479443080.31055498</v>
      </c>
      <c r="I142" s="819">
        <v>7.0000000000000007E-2</v>
      </c>
      <c r="J142" s="820">
        <v>9.0330734999999995E-2</v>
      </c>
      <c r="K142" s="819">
        <f t="shared" si="36"/>
        <v>365</v>
      </c>
      <c r="L142" s="819">
        <f t="shared" si="37"/>
        <v>390</v>
      </c>
      <c r="M142" s="819">
        <f t="shared" si="33"/>
        <v>365</v>
      </c>
      <c r="N142" s="819">
        <f t="shared" si="34"/>
        <v>293</v>
      </c>
      <c r="O142" s="819">
        <f t="shared" si="35"/>
        <v>51</v>
      </c>
      <c r="P142" s="819">
        <f t="shared" si="38"/>
        <v>1033</v>
      </c>
      <c r="Q142" s="819">
        <f t="shared" si="39"/>
        <v>33</v>
      </c>
      <c r="R142" s="819">
        <f t="shared" si="40"/>
        <v>283</v>
      </c>
      <c r="S142" s="819">
        <f t="shared" si="41"/>
        <v>267</v>
      </c>
      <c r="T142" s="819">
        <f t="shared" si="42"/>
        <v>29</v>
      </c>
      <c r="U142" s="819">
        <f t="shared" si="43"/>
        <v>1645</v>
      </c>
      <c r="V142" s="819">
        <f t="shared" si="44"/>
        <v>79</v>
      </c>
      <c r="W142" s="379">
        <f t="shared" si="45"/>
        <v>79</v>
      </c>
      <c r="X142" s="819" t="str">
        <f t="shared" si="46"/>
        <v/>
      </c>
      <c r="Y142" s="837"/>
      <c r="Z142" s="839"/>
      <c r="AA142" s="838"/>
      <c r="AB142" s="839"/>
    </row>
    <row r="143" spans="2:28" ht="13.15">
      <c r="B143" s="819" t="s">
        <v>650</v>
      </c>
      <c r="C143" s="819" t="s">
        <v>651</v>
      </c>
      <c r="D143" s="379" t="s">
        <v>336</v>
      </c>
      <c r="E143" s="818" t="s">
        <v>460</v>
      </c>
      <c r="F143" s="820">
        <v>3.6622461350000002</v>
      </c>
      <c r="G143" s="821">
        <v>-10.829089919999999</v>
      </c>
      <c r="H143" s="822">
        <v>4278779.8885359904</v>
      </c>
      <c r="I143" s="819"/>
      <c r="J143" s="820">
        <v>-3.3156798000000001E-2</v>
      </c>
      <c r="K143" s="819">
        <f t="shared" si="36"/>
        <v>1394</v>
      </c>
      <c r="L143" s="819">
        <f t="shared" si="37"/>
        <v>1453</v>
      </c>
      <c r="M143" s="819">
        <f t="shared" si="33"/>
        <v>1394</v>
      </c>
      <c r="N143" s="819">
        <f t="shared" si="34"/>
        <v>364</v>
      </c>
      <c r="O143" s="819">
        <f t="shared" si="35"/>
        <v>1717</v>
      </c>
      <c r="P143" s="819">
        <f t="shared" si="38"/>
        <v>4</v>
      </c>
      <c r="Q143" s="819">
        <f t="shared" si="39"/>
        <v>1030</v>
      </c>
      <c r="R143" s="819">
        <f t="shared" si="40"/>
        <v>1312</v>
      </c>
      <c r="S143" s="819">
        <f t="shared" si="41"/>
        <v>338</v>
      </c>
      <c r="T143" s="819">
        <f t="shared" si="42"/>
        <v>1695</v>
      </c>
      <c r="U143" s="819">
        <f t="shared" si="43"/>
        <v>4379</v>
      </c>
      <c r="V143" s="819">
        <f t="shared" si="44"/>
        <v>1774</v>
      </c>
      <c r="W143" s="379">
        <f t="shared" si="45"/>
        <v>1774</v>
      </c>
      <c r="X143" s="819" t="str">
        <f t="shared" si="46"/>
        <v/>
      </c>
      <c r="Y143" s="837"/>
      <c r="Z143" s="839"/>
      <c r="AA143" s="838"/>
      <c r="AB143" s="839"/>
    </row>
    <row r="144" spans="2:28" ht="13.15">
      <c r="B144" s="819" t="s">
        <v>652</v>
      </c>
      <c r="C144" s="819" t="s">
        <v>653</v>
      </c>
      <c r="D144" s="379" t="s">
        <v>336</v>
      </c>
      <c r="E144" s="818" t="s">
        <v>645</v>
      </c>
      <c r="F144" s="820">
        <v>1.413550707</v>
      </c>
      <c r="G144" s="821"/>
      <c r="H144" s="822">
        <v>190499172.20714599</v>
      </c>
      <c r="I144" s="819"/>
      <c r="J144" s="820">
        <v>0</v>
      </c>
      <c r="K144" s="819">
        <f t="shared" si="36"/>
        <v>583</v>
      </c>
      <c r="L144" s="819">
        <f t="shared" si="37"/>
        <v>1084</v>
      </c>
      <c r="M144" s="819">
        <f t="shared" si="33"/>
        <v>583</v>
      </c>
      <c r="N144" s="819">
        <f t="shared" si="34"/>
        <v>364</v>
      </c>
      <c r="O144" s="819">
        <f t="shared" si="35"/>
        <v>492</v>
      </c>
      <c r="P144" s="819">
        <f t="shared" si="38"/>
        <v>815</v>
      </c>
      <c r="Q144" s="819">
        <f t="shared" si="39"/>
        <v>661</v>
      </c>
      <c r="R144" s="819">
        <f t="shared" si="40"/>
        <v>501</v>
      </c>
      <c r="S144" s="819">
        <f t="shared" si="41"/>
        <v>338</v>
      </c>
      <c r="T144" s="819">
        <f t="shared" si="42"/>
        <v>470</v>
      </c>
      <c r="U144" s="819">
        <f t="shared" si="43"/>
        <v>2785</v>
      </c>
      <c r="V144" s="819">
        <f t="shared" si="44"/>
        <v>463</v>
      </c>
      <c r="W144" s="379">
        <f t="shared" si="45"/>
        <v>463</v>
      </c>
      <c r="X144" s="819" t="str">
        <f t="shared" si="46"/>
        <v/>
      </c>
      <c r="Y144" s="837"/>
      <c r="Z144" s="839"/>
      <c r="AA144" s="838"/>
      <c r="AB144" s="839"/>
    </row>
    <row r="145" spans="2:28" ht="13.15">
      <c r="B145" s="819" t="s">
        <v>654</v>
      </c>
      <c r="C145" s="819" t="s">
        <v>655</v>
      </c>
      <c r="D145" s="379" t="s">
        <v>336</v>
      </c>
      <c r="E145" s="818" t="s">
        <v>418</v>
      </c>
      <c r="F145" s="820">
        <v>1.713707603</v>
      </c>
      <c r="G145" s="821">
        <v>1.139581929</v>
      </c>
      <c r="H145" s="822">
        <v>265338152.65099999</v>
      </c>
      <c r="I145" s="819">
        <v>0.25</v>
      </c>
      <c r="J145" s="820">
        <v>3.7989462000000002E-2</v>
      </c>
      <c r="K145" s="819">
        <f t="shared" si="36"/>
        <v>501</v>
      </c>
      <c r="L145" s="819">
        <f t="shared" si="37"/>
        <v>791</v>
      </c>
      <c r="M145" s="819">
        <f t="shared" si="33"/>
        <v>501</v>
      </c>
      <c r="N145" s="819">
        <f t="shared" si="34"/>
        <v>206</v>
      </c>
      <c r="O145" s="819">
        <f t="shared" si="35"/>
        <v>107</v>
      </c>
      <c r="P145" s="819">
        <f t="shared" si="38"/>
        <v>897</v>
      </c>
      <c r="Q145" s="819">
        <f t="shared" si="39"/>
        <v>368</v>
      </c>
      <c r="R145" s="819">
        <f t="shared" si="40"/>
        <v>419</v>
      </c>
      <c r="S145" s="819">
        <f t="shared" si="41"/>
        <v>180</v>
      </c>
      <c r="T145" s="819">
        <f t="shared" si="42"/>
        <v>85</v>
      </c>
      <c r="U145" s="819">
        <f t="shared" si="43"/>
        <v>1949</v>
      </c>
      <c r="V145" s="819">
        <f t="shared" si="44"/>
        <v>159</v>
      </c>
      <c r="W145" s="379">
        <f t="shared" si="45"/>
        <v>159</v>
      </c>
      <c r="X145" s="819" t="str">
        <f t="shared" si="46"/>
        <v/>
      </c>
      <c r="Y145" s="837"/>
      <c r="Z145" s="839"/>
      <c r="AA145" s="838"/>
      <c r="AB145" s="839"/>
    </row>
    <row r="146" spans="2:28" ht="13.15">
      <c r="B146" s="819" t="s">
        <v>656</v>
      </c>
      <c r="C146" s="819" t="s">
        <v>657</v>
      </c>
      <c r="D146" s="379" t="s">
        <v>336</v>
      </c>
      <c r="E146" s="818" t="s">
        <v>460</v>
      </c>
      <c r="F146" s="820"/>
      <c r="G146" s="821"/>
      <c r="H146" s="822">
        <v>2142880.0862947199</v>
      </c>
      <c r="I146" s="819"/>
      <c r="J146" s="820">
        <v>0</v>
      </c>
      <c r="K146" s="819">
        <f t="shared" si="36"/>
        <v>1487</v>
      </c>
      <c r="L146" s="819">
        <f t="shared" si="37"/>
        <v>1084</v>
      </c>
      <c r="M146" s="819">
        <f t="shared" si="33"/>
        <v>1487</v>
      </c>
      <c r="N146" s="819">
        <f t="shared" si="34"/>
        <v>364</v>
      </c>
      <c r="O146" s="819">
        <f t="shared" si="35"/>
        <v>492</v>
      </c>
      <c r="P146" s="819">
        <f t="shared" si="38"/>
        <v>89</v>
      </c>
      <c r="Q146" s="819">
        <f t="shared" si="39"/>
        <v>661</v>
      </c>
      <c r="R146" s="819">
        <f t="shared" si="40"/>
        <v>1405</v>
      </c>
      <c r="S146" s="819">
        <f t="shared" si="41"/>
        <v>338</v>
      </c>
      <c r="T146" s="819">
        <f t="shared" si="42"/>
        <v>470</v>
      </c>
      <c r="U146" s="819">
        <f t="shared" si="43"/>
        <v>2963</v>
      </c>
      <c r="V146" s="819">
        <f t="shared" si="44"/>
        <v>883</v>
      </c>
      <c r="W146" s="379">
        <f t="shared" si="45"/>
        <v>883</v>
      </c>
      <c r="X146" s="819" t="str">
        <f t="shared" si="46"/>
        <v/>
      </c>
      <c r="Y146" s="837"/>
      <c r="Z146" s="839"/>
      <c r="AA146" s="838"/>
      <c r="AB146" s="839"/>
    </row>
    <row r="147" spans="2:28" ht="13.15">
      <c r="B147" s="819" t="s">
        <v>658</v>
      </c>
      <c r="C147" s="819" t="s">
        <v>659</v>
      </c>
      <c r="D147" s="379" t="s">
        <v>336</v>
      </c>
      <c r="E147" s="818" t="s">
        <v>418</v>
      </c>
      <c r="F147" s="820">
        <v>1.91223766</v>
      </c>
      <c r="G147" s="821">
        <v>11.87768267</v>
      </c>
      <c r="H147" s="822">
        <v>203387821.64821699</v>
      </c>
      <c r="I147" s="819">
        <v>0.73</v>
      </c>
      <c r="J147" s="820">
        <v>2.2655543E-2</v>
      </c>
      <c r="K147" s="819">
        <f t="shared" si="36"/>
        <v>565</v>
      </c>
      <c r="L147" s="819">
        <f t="shared" si="37"/>
        <v>164</v>
      </c>
      <c r="M147" s="819">
        <f t="shared" si="33"/>
        <v>565</v>
      </c>
      <c r="N147" s="819">
        <f t="shared" si="34"/>
        <v>148</v>
      </c>
      <c r="O147" s="819">
        <f t="shared" si="35"/>
        <v>117</v>
      </c>
      <c r="P147" s="819">
        <f t="shared" si="38"/>
        <v>833</v>
      </c>
      <c r="Q147" s="819">
        <f t="shared" si="39"/>
        <v>259</v>
      </c>
      <c r="R147" s="819">
        <f t="shared" si="40"/>
        <v>483</v>
      </c>
      <c r="S147" s="819">
        <f t="shared" si="41"/>
        <v>122</v>
      </c>
      <c r="T147" s="819">
        <f t="shared" si="42"/>
        <v>95</v>
      </c>
      <c r="U147" s="819">
        <f t="shared" si="43"/>
        <v>1792</v>
      </c>
      <c r="V147" s="819">
        <f t="shared" si="44"/>
        <v>111</v>
      </c>
      <c r="W147" s="379">
        <f t="shared" si="45"/>
        <v>111</v>
      </c>
      <c r="X147" s="819" t="str">
        <f t="shared" si="46"/>
        <v/>
      </c>
      <c r="Y147" s="837"/>
      <c r="Z147" s="839"/>
      <c r="AA147" s="838"/>
      <c r="AB147" s="839"/>
    </row>
    <row r="148" spans="2:28" ht="13.15">
      <c r="B148" s="819" t="s">
        <v>660</v>
      </c>
      <c r="C148" s="819" t="s">
        <v>661</v>
      </c>
      <c r="D148" s="379" t="s">
        <v>336</v>
      </c>
      <c r="E148" s="818" t="s">
        <v>460</v>
      </c>
      <c r="F148" s="820">
        <v>1.142907374</v>
      </c>
      <c r="G148" s="821">
        <v>0.28472182699999998</v>
      </c>
      <c r="H148" s="822">
        <v>797349399.050758</v>
      </c>
      <c r="I148" s="819"/>
      <c r="J148" s="820">
        <v>0.13258182900000001</v>
      </c>
      <c r="K148" s="819">
        <f t="shared" si="36"/>
        <v>255</v>
      </c>
      <c r="L148" s="819">
        <f t="shared" si="37"/>
        <v>961</v>
      </c>
      <c r="M148" s="819">
        <f t="shared" si="33"/>
        <v>255</v>
      </c>
      <c r="N148" s="819">
        <f t="shared" si="34"/>
        <v>364</v>
      </c>
      <c r="O148" s="819">
        <f t="shared" si="35"/>
        <v>32</v>
      </c>
      <c r="P148" s="819">
        <f t="shared" si="38"/>
        <v>1143</v>
      </c>
      <c r="Q148" s="819">
        <f t="shared" si="39"/>
        <v>538</v>
      </c>
      <c r="R148" s="819">
        <f t="shared" si="40"/>
        <v>173</v>
      </c>
      <c r="S148" s="819">
        <f t="shared" si="41"/>
        <v>338</v>
      </c>
      <c r="T148" s="819">
        <f t="shared" si="42"/>
        <v>10</v>
      </c>
      <c r="U148" s="819">
        <f t="shared" si="43"/>
        <v>2202</v>
      </c>
      <c r="V148" s="819">
        <f t="shared" si="44"/>
        <v>205</v>
      </c>
      <c r="W148" s="379">
        <f t="shared" si="45"/>
        <v>205</v>
      </c>
      <c r="X148" s="819" t="str">
        <f t="shared" si="46"/>
        <v/>
      </c>
      <c r="Y148" s="837"/>
      <c r="Z148" s="839"/>
      <c r="AA148" s="838"/>
      <c r="AB148" s="839"/>
    </row>
    <row r="149" spans="2:28" ht="13.15">
      <c r="B149" s="819" t="s">
        <v>662</v>
      </c>
      <c r="C149" s="819" t="s">
        <v>663</v>
      </c>
      <c r="D149" s="379" t="s">
        <v>336</v>
      </c>
      <c r="E149" s="818" t="s">
        <v>460</v>
      </c>
      <c r="F149" s="820">
        <v>1.3973845789999999</v>
      </c>
      <c r="G149" s="821">
        <v>2.848843445</v>
      </c>
      <c r="H149" s="822">
        <v>940784895.691257</v>
      </c>
      <c r="I149" s="819">
        <v>0.24</v>
      </c>
      <c r="J149" s="820">
        <v>4.2641514999999998E-2</v>
      </c>
      <c r="K149" s="819">
        <f t="shared" si="36"/>
        <v>230</v>
      </c>
      <c r="L149" s="819">
        <f t="shared" si="37"/>
        <v>565</v>
      </c>
      <c r="M149" s="819">
        <f t="shared" si="33"/>
        <v>230</v>
      </c>
      <c r="N149" s="819">
        <f t="shared" si="34"/>
        <v>209</v>
      </c>
      <c r="O149" s="819">
        <f t="shared" si="35"/>
        <v>102</v>
      </c>
      <c r="P149" s="819">
        <f t="shared" si="38"/>
        <v>1168</v>
      </c>
      <c r="Q149" s="819">
        <f t="shared" si="39"/>
        <v>142</v>
      </c>
      <c r="R149" s="819">
        <f t="shared" si="40"/>
        <v>148</v>
      </c>
      <c r="S149" s="819">
        <f t="shared" si="41"/>
        <v>183</v>
      </c>
      <c r="T149" s="819">
        <f t="shared" si="42"/>
        <v>80</v>
      </c>
      <c r="U149" s="819">
        <f t="shared" si="43"/>
        <v>1721</v>
      </c>
      <c r="V149" s="819">
        <f t="shared" si="44"/>
        <v>98</v>
      </c>
      <c r="W149" s="379">
        <f t="shared" si="45"/>
        <v>98</v>
      </c>
      <c r="X149" s="819" t="str">
        <f t="shared" si="46"/>
        <v/>
      </c>
      <c r="Y149" s="837"/>
      <c r="Z149" s="839"/>
      <c r="AA149" s="838"/>
      <c r="AB149" s="839"/>
    </row>
    <row r="150" spans="2:28" ht="13.15">
      <c r="B150" s="819" t="s">
        <v>664</v>
      </c>
      <c r="C150" s="819" t="s">
        <v>665</v>
      </c>
      <c r="D150" s="379" t="s">
        <v>336</v>
      </c>
      <c r="E150" s="818" t="s">
        <v>460</v>
      </c>
      <c r="F150" s="820">
        <v>6.0760158679999998</v>
      </c>
      <c r="G150" s="821">
        <v>0</v>
      </c>
      <c r="H150" s="822">
        <v>4158326.8412536699</v>
      </c>
      <c r="I150" s="819"/>
      <c r="J150" s="820">
        <v>2.3120082E-2</v>
      </c>
      <c r="K150" s="819">
        <f t="shared" si="36"/>
        <v>1397</v>
      </c>
      <c r="L150" s="819">
        <f t="shared" si="37"/>
        <v>1084</v>
      </c>
      <c r="M150" s="819">
        <f t="shared" si="33"/>
        <v>1397</v>
      </c>
      <c r="N150" s="819">
        <f t="shared" si="34"/>
        <v>364</v>
      </c>
      <c r="O150" s="819">
        <f t="shared" si="35"/>
        <v>116</v>
      </c>
      <c r="P150" s="819">
        <f t="shared" si="38"/>
        <v>1</v>
      </c>
      <c r="Q150" s="819">
        <f t="shared" si="39"/>
        <v>661</v>
      </c>
      <c r="R150" s="819">
        <f t="shared" si="40"/>
        <v>1315</v>
      </c>
      <c r="S150" s="819">
        <f t="shared" si="41"/>
        <v>338</v>
      </c>
      <c r="T150" s="819">
        <f t="shared" si="42"/>
        <v>94</v>
      </c>
      <c r="U150" s="819">
        <f t="shared" si="43"/>
        <v>2409</v>
      </c>
      <c r="V150" s="819">
        <f t="shared" si="44"/>
        <v>230</v>
      </c>
      <c r="W150" s="379">
        <f t="shared" si="45"/>
        <v>230</v>
      </c>
      <c r="X150" s="819" t="str">
        <f t="shared" si="46"/>
        <v/>
      </c>
      <c r="Y150" s="837"/>
      <c r="Z150" s="839"/>
      <c r="AA150" s="838"/>
      <c r="AB150" s="839"/>
    </row>
    <row r="151" spans="2:28" ht="13.15">
      <c r="B151" s="819" t="s">
        <v>666</v>
      </c>
      <c r="C151" s="819" t="s">
        <v>667</v>
      </c>
      <c r="D151" s="379" t="s">
        <v>336</v>
      </c>
      <c r="E151" s="818" t="s">
        <v>441</v>
      </c>
      <c r="F151" s="820">
        <v>0.94107903199999998</v>
      </c>
      <c r="G151" s="821">
        <v>22.67563444</v>
      </c>
      <c r="H151" s="822">
        <v>975210307.35072696</v>
      </c>
      <c r="I151" s="819">
        <v>0.04</v>
      </c>
      <c r="J151" s="820">
        <v>1.3457769E-2</v>
      </c>
      <c r="K151" s="819">
        <f t="shared" si="36"/>
        <v>224</v>
      </c>
      <c r="L151" s="819">
        <f t="shared" si="37"/>
        <v>87</v>
      </c>
      <c r="M151" s="819">
        <f t="shared" si="33"/>
        <v>224</v>
      </c>
      <c r="N151" s="819">
        <f t="shared" si="34"/>
        <v>309</v>
      </c>
      <c r="O151" s="819">
        <f t="shared" si="35"/>
        <v>132</v>
      </c>
      <c r="P151" s="819">
        <f t="shared" si="38"/>
        <v>1174</v>
      </c>
      <c r="Q151" s="819">
        <f t="shared" si="39"/>
        <v>336</v>
      </c>
      <c r="R151" s="819">
        <f t="shared" si="40"/>
        <v>142</v>
      </c>
      <c r="S151" s="819">
        <f t="shared" si="41"/>
        <v>283</v>
      </c>
      <c r="T151" s="819">
        <f t="shared" si="42"/>
        <v>110</v>
      </c>
      <c r="U151" s="819">
        <f t="shared" si="43"/>
        <v>2045</v>
      </c>
      <c r="V151" s="819">
        <f t="shared" si="44"/>
        <v>179</v>
      </c>
      <c r="W151" s="379">
        <f t="shared" si="45"/>
        <v>179</v>
      </c>
      <c r="X151" s="819" t="str">
        <f t="shared" si="46"/>
        <v/>
      </c>
      <c r="Y151" s="837"/>
      <c r="Z151" s="839"/>
      <c r="AA151" s="838"/>
      <c r="AB151" s="839"/>
    </row>
    <row r="152" spans="2:28" ht="13.15">
      <c r="B152" s="819" t="s">
        <v>668</v>
      </c>
      <c r="C152" s="819" t="s">
        <v>669</v>
      </c>
      <c r="D152" s="379" t="s">
        <v>336</v>
      </c>
      <c r="E152" s="818" t="s">
        <v>378</v>
      </c>
      <c r="F152" s="820">
        <v>-0.15983887799999999</v>
      </c>
      <c r="G152" s="821">
        <v>-26.667428279999999</v>
      </c>
      <c r="H152" s="822">
        <v>41508651.298526801</v>
      </c>
      <c r="I152" s="819"/>
      <c r="J152" s="820">
        <v>-7.2170749000000006E-2</v>
      </c>
      <c r="K152" s="819">
        <f t="shared" si="36"/>
        <v>921</v>
      </c>
      <c r="L152" s="819">
        <f t="shared" si="37"/>
        <v>1489</v>
      </c>
      <c r="M152" s="819">
        <f t="shared" si="33"/>
        <v>921</v>
      </c>
      <c r="N152" s="819">
        <f t="shared" si="34"/>
        <v>364</v>
      </c>
      <c r="O152" s="819">
        <f t="shared" si="35"/>
        <v>1741</v>
      </c>
      <c r="P152" s="819">
        <f t="shared" si="38"/>
        <v>477</v>
      </c>
      <c r="Q152" s="819">
        <f t="shared" si="39"/>
        <v>1066</v>
      </c>
      <c r="R152" s="819">
        <f t="shared" si="40"/>
        <v>839</v>
      </c>
      <c r="S152" s="819">
        <f t="shared" si="41"/>
        <v>338</v>
      </c>
      <c r="T152" s="819">
        <f t="shared" si="42"/>
        <v>1719</v>
      </c>
      <c r="U152" s="819">
        <f t="shared" si="43"/>
        <v>4439</v>
      </c>
      <c r="V152" s="819">
        <f t="shared" si="44"/>
        <v>1780</v>
      </c>
      <c r="W152" s="379">
        <f t="shared" si="45"/>
        <v>1780</v>
      </c>
      <c r="X152" s="819" t="str">
        <f t="shared" si="46"/>
        <v/>
      </c>
      <c r="Y152" s="837"/>
      <c r="Z152" s="839"/>
      <c r="AA152" s="838"/>
      <c r="AB152" s="839"/>
    </row>
    <row r="153" spans="2:28" ht="13.15">
      <c r="B153" s="819" t="s">
        <v>670</v>
      </c>
      <c r="C153" s="819" t="s">
        <v>671</v>
      </c>
      <c r="D153" s="379" t="s">
        <v>336</v>
      </c>
      <c r="E153" s="818" t="s">
        <v>460</v>
      </c>
      <c r="F153" s="820">
        <v>1.1500203879999999</v>
      </c>
      <c r="G153" s="821">
        <v>158.95218180000001</v>
      </c>
      <c r="H153" s="822">
        <v>19532630.1911668</v>
      </c>
      <c r="I153" s="819"/>
      <c r="J153" s="820">
        <v>1.1038533E-2</v>
      </c>
      <c r="K153" s="819">
        <f t="shared" si="36"/>
        <v>1107</v>
      </c>
      <c r="L153" s="819">
        <f t="shared" si="37"/>
        <v>10</v>
      </c>
      <c r="M153" s="819">
        <f t="shared" si="33"/>
        <v>1107</v>
      </c>
      <c r="N153" s="819">
        <f t="shared" si="34"/>
        <v>364</v>
      </c>
      <c r="O153" s="819">
        <f t="shared" si="35"/>
        <v>133</v>
      </c>
      <c r="P153" s="819">
        <f t="shared" si="38"/>
        <v>291</v>
      </c>
      <c r="Q153" s="819">
        <f t="shared" si="39"/>
        <v>413</v>
      </c>
      <c r="R153" s="819">
        <f t="shared" si="40"/>
        <v>1025</v>
      </c>
      <c r="S153" s="819">
        <f t="shared" si="41"/>
        <v>338</v>
      </c>
      <c r="T153" s="819">
        <f t="shared" si="42"/>
        <v>111</v>
      </c>
      <c r="U153" s="819">
        <f t="shared" si="43"/>
        <v>2178</v>
      </c>
      <c r="V153" s="819">
        <f t="shared" si="44"/>
        <v>201</v>
      </c>
      <c r="W153" s="379">
        <f t="shared" si="45"/>
        <v>201</v>
      </c>
      <c r="X153" s="819" t="str">
        <f t="shared" si="46"/>
        <v/>
      </c>
      <c r="Y153" s="837"/>
      <c r="Z153" s="839"/>
      <c r="AA153" s="838"/>
      <c r="AB153" s="839"/>
    </row>
    <row r="154" spans="2:28" ht="13.15">
      <c r="B154" s="819" t="s">
        <v>672</v>
      </c>
      <c r="C154" s="819" t="s">
        <v>673</v>
      </c>
      <c r="D154" s="379" t="s">
        <v>336</v>
      </c>
      <c r="E154" s="818" t="s">
        <v>337</v>
      </c>
      <c r="F154" s="820">
        <v>3.590740255</v>
      </c>
      <c r="G154" s="821">
        <v>39.38195691</v>
      </c>
      <c r="H154" s="822">
        <v>650556008.60214996</v>
      </c>
      <c r="I154" s="819">
        <v>0.14000000000000001</v>
      </c>
      <c r="J154" s="820">
        <v>9.3888370000000006E-3</v>
      </c>
      <c r="K154" s="819">
        <f t="shared" si="36"/>
        <v>298</v>
      </c>
      <c r="L154" s="819">
        <f t="shared" si="37"/>
        <v>46</v>
      </c>
      <c r="M154" s="819">
        <f t="shared" si="33"/>
        <v>298</v>
      </c>
      <c r="N154" s="819">
        <f t="shared" si="34"/>
        <v>241</v>
      </c>
      <c r="O154" s="819">
        <f t="shared" si="35"/>
        <v>137</v>
      </c>
      <c r="P154" s="819">
        <f t="shared" si="38"/>
        <v>1100</v>
      </c>
      <c r="Q154" s="819">
        <f t="shared" si="39"/>
        <v>377</v>
      </c>
      <c r="R154" s="819">
        <f t="shared" si="40"/>
        <v>216</v>
      </c>
      <c r="S154" s="819">
        <f t="shared" si="41"/>
        <v>215</v>
      </c>
      <c r="T154" s="819">
        <f t="shared" si="42"/>
        <v>115</v>
      </c>
      <c r="U154" s="819">
        <f t="shared" si="43"/>
        <v>2023</v>
      </c>
      <c r="V154" s="819">
        <f t="shared" si="44"/>
        <v>175</v>
      </c>
      <c r="W154" s="379">
        <f t="shared" si="45"/>
        <v>175</v>
      </c>
      <c r="X154" s="819" t="str">
        <f t="shared" si="46"/>
        <v/>
      </c>
      <c r="Y154" s="837"/>
      <c r="Z154" s="839"/>
      <c r="AA154" s="838"/>
      <c r="AB154" s="839"/>
    </row>
    <row r="155" spans="2:28" ht="13.15">
      <c r="B155" s="819" t="s">
        <v>674</v>
      </c>
      <c r="C155" s="819" t="s">
        <v>675</v>
      </c>
      <c r="D155" s="379" t="s">
        <v>336</v>
      </c>
      <c r="E155" s="818" t="s">
        <v>676</v>
      </c>
      <c r="F155" s="820">
        <v>0.78531297899999997</v>
      </c>
      <c r="G155" s="821">
        <v>5.4809767709999999</v>
      </c>
      <c r="H155" s="822">
        <v>103039345.42220999</v>
      </c>
      <c r="I155" s="819"/>
      <c r="J155" s="820">
        <v>6.6177308000000004E-2</v>
      </c>
      <c r="K155" s="819">
        <f t="shared" si="36"/>
        <v>718</v>
      </c>
      <c r="L155" s="819">
        <f t="shared" si="37"/>
        <v>353</v>
      </c>
      <c r="M155" s="819">
        <f t="shared" si="33"/>
        <v>718</v>
      </c>
      <c r="N155" s="819">
        <f t="shared" si="34"/>
        <v>364</v>
      </c>
      <c r="O155" s="819">
        <f t="shared" si="35"/>
        <v>76</v>
      </c>
      <c r="P155" s="819">
        <f t="shared" si="38"/>
        <v>680</v>
      </c>
      <c r="Q155" s="819">
        <f t="shared" si="39"/>
        <v>70</v>
      </c>
      <c r="R155" s="819">
        <f t="shared" si="40"/>
        <v>636</v>
      </c>
      <c r="S155" s="819">
        <f t="shared" si="41"/>
        <v>338</v>
      </c>
      <c r="T155" s="819">
        <f t="shared" si="42"/>
        <v>54</v>
      </c>
      <c r="U155" s="819">
        <f t="shared" si="43"/>
        <v>1778</v>
      </c>
      <c r="V155" s="819">
        <f t="shared" si="44"/>
        <v>106</v>
      </c>
      <c r="W155" s="379">
        <f t="shared" si="45"/>
        <v>106</v>
      </c>
      <c r="X155" s="819" t="str">
        <f t="shared" si="46"/>
        <v/>
      </c>
      <c r="Y155" s="837"/>
      <c r="Z155" s="839"/>
      <c r="AA155" s="838"/>
      <c r="AB155" s="839"/>
    </row>
    <row r="156" spans="2:28" ht="13.15">
      <c r="B156" s="819" t="s">
        <v>677</v>
      </c>
      <c r="C156" s="819" t="s">
        <v>678</v>
      </c>
      <c r="D156" s="379" t="s">
        <v>336</v>
      </c>
      <c r="E156" s="818" t="s">
        <v>676</v>
      </c>
      <c r="F156" s="820">
        <v>3.3952316539999998</v>
      </c>
      <c r="G156" s="821">
        <v>1.1185914999999999E-2</v>
      </c>
      <c r="H156" s="822">
        <v>492674815.61770302</v>
      </c>
      <c r="I156" s="819">
        <v>0.04</v>
      </c>
      <c r="J156" s="820">
        <v>5.8397496E-2</v>
      </c>
      <c r="K156" s="819">
        <f t="shared" si="36"/>
        <v>356</v>
      </c>
      <c r="L156" s="819">
        <f t="shared" si="37"/>
        <v>1068</v>
      </c>
      <c r="M156" s="819">
        <f t="shared" si="33"/>
        <v>356</v>
      </c>
      <c r="N156" s="819">
        <f t="shared" si="34"/>
        <v>309</v>
      </c>
      <c r="O156" s="819">
        <f t="shared" si="35"/>
        <v>85</v>
      </c>
      <c r="P156" s="819">
        <f t="shared" si="38"/>
        <v>1042</v>
      </c>
      <c r="Q156" s="819">
        <f t="shared" si="39"/>
        <v>645</v>
      </c>
      <c r="R156" s="819">
        <f t="shared" si="40"/>
        <v>274</v>
      </c>
      <c r="S156" s="819">
        <f t="shared" si="41"/>
        <v>283</v>
      </c>
      <c r="T156" s="819">
        <f t="shared" si="42"/>
        <v>63</v>
      </c>
      <c r="U156" s="819">
        <f t="shared" si="43"/>
        <v>2307</v>
      </c>
      <c r="V156" s="819">
        <f t="shared" si="44"/>
        <v>218</v>
      </c>
      <c r="W156" s="379">
        <f t="shared" si="45"/>
        <v>218</v>
      </c>
      <c r="X156" s="819" t="str">
        <f t="shared" si="46"/>
        <v/>
      </c>
      <c r="Y156" s="837"/>
      <c r="Z156" s="839"/>
      <c r="AA156" s="838"/>
      <c r="AB156" s="839"/>
    </row>
    <row r="157" spans="2:28" ht="13.15">
      <c r="B157" s="819" t="s">
        <v>679</v>
      </c>
      <c r="C157" s="819" t="s">
        <v>680</v>
      </c>
      <c r="D157" s="379" t="s">
        <v>336</v>
      </c>
      <c r="E157" s="818" t="s">
        <v>460</v>
      </c>
      <c r="F157" s="820">
        <v>0.51348103599999995</v>
      </c>
      <c r="G157" s="821">
        <v>0</v>
      </c>
      <c r="H157" s="822">
        <v>16952277.6407982</v>
      </c>
      <c r="I157" s="819"/>
      <c r="J157" s="820">
        <v>-0.42147852299999999</v>
      </c>
      <c r="K157" s="819">
        <f t="shared" si="36"/>
        <v>1139</v>
      </c>
      <c r="L157" s="819">
        <f t="shared" si="37"/>
        <v>1084</v>
      </c>
      <c r="M157" s="819">
        <f t="shared" si="33"/>
        <v>1139</v>
      </c>
      <c r="N157" s="819">
        <f t="shared" si="34"/>
        <v>364</v>
      </c>
      <c r="O157" s="819">
        <f t="shared" si="35"/>
        <v>1780</v>
      </c>
      <c r="P157" s="819">
        <f t="shared" si="38"/>
        <v>259</v>
      </c>
      <c r="Q157" s="819">
        <f t="shared" si="39"/>
        <v>661</v>
      </c>
      <c r="R157" s="819">
        <f t="shared" si="40"/>
        <v>1057</v>
      </c>
      <c r="S157" s="819">
        <f t="shared" si="41"/>
        <v>338</v>
      </c>
      <c r="T157" s="819">
        <f t="shared" si="42"/>
        <v>1758</v>
      </c>
      <c r="U157" s="819">
        <f t="shared" si="43"/>
        <v>4073</v>
      </c>
      <c r="V157" s="819">
        <f t="shared" si="44"/>
        <v>1752</v>
      </c>
      <c r="W157" s="379">
        <f t="shared" si="45"/>
        <v>1752</v>
      </c>
      <c r="X157" s="819" t="str">
        <f t="shared" si="46"/>
        <v/>
      </c>
      <c r="Y157" s="837"/>
      <c r="Z157" s="839"/>
      <c r="AA157" s="838"/>
      <c r="AB157" s="839"/>
    </row>
    <row r="158" spans="2:28" ht="13.15">
      <c r="B158" s="819" t="s">
        <v>681</v>
      </c>
      <c r="C158" s="819" t="s">
        <v>682</v>
      </c>
      <c r="D158" s="379" t="s">
        <v>336</v>
      </c>
      <c r="E158" s="818" t="s">
        <v>676</v>
      </c>
      <c r="F158" s="820">
        <v>2.7179372220000002</v>
      </c>
      <c r="G158" s="821">
        <v>9.7861468429999992</v>
      </c>
      <c r="H158" s="822">
        <v>45562029.649742097</v>
      </c>
      <c r="I158" s="819"/>
      <c r="J158" s="820">
        <v>0.119128043</v>
      </c>
      <c r="K158" s="819">
        <f t="shared" si="36"/>
        <v>897</v>
      </c>
      <c r="L158" s="819">
        <f t="shared" si="37"/>
        <v>202</v>
      </c>
      <c r="M158" s="819">
        <f t="shared" si="33"/>
        <v>897</v>
      </c>
      <c r="N158" s="819">
        <f t="shared" si="34"/>
        <v>364</v>
      </c>
      <c r="O158" s="819">
        <f t="shared" si="35"/>
        <v>38</v>
      </c>
      <c r="P158" s="819">
        <f t="shared" si="38"/>
        <v>501</v>
      </c>
      <c r="Q158" s="819">
        <f t="shared" si="39"/>
        <v>221</v>
      </c>
      <c r="R158" s="819">
        <f t="shared" si="40"/>
        <v>815</v>
      </c>
      <c r="S158" s="819">
        <f t="shared" si="41"/>
        <v>338</v>
      </c>
      <c r="T158" s="819">
        <f t="shared" si="42"/>
        <v>16</v>
      </c>
      <c r="U158" s="819">
        <f t="shared" si="43"/>
        <v>1891</v>
      </c>
      <c r="V158" s="819">
        <f t="shared" si="44"/>
        <v>142</v>
      </c>
      <c r="W158" s="379">
        <f t="shared" si="45"/>
        <v>142</v>
      </c>
      <c r="X158" s="819" t="str">
        <f t="shared" si="46"/>
        <v/>
      </c>
      <c r="Y158" s="837"/>
      <c r="Z158" s="839"/>
      <c r="AA158" s="838"/>
      <c r="AB158" s="839"/>
    </row>
    <row r="159" spans="2:28" ht="13.15">
      <c r="B159" s="819" t="s">
        <v>683</v>
      </c>
      <c r="C159" s="819" t="s">
        <v>684</v>
      </c>
      <c r="D159" s="379" t="s">
        <v>336</v>
      </c>
      <c r="E159" s="818" t="s">
        <v>685</v>
      </c>
      <c r="F159" s="820">
        <v>1.882245612</v>
      </c>
      <c r="G159" s="821">
        <v>1.752519961</v>
      </c>
      <c r="H159" s="822">
        <v>10295975.0757831</v>
      </c>
      <c r="I159" s="819"/>
      <c r="J159" s="820">
        <v>0.42856089000000003</v>
      </c>
      <c r="K159" s="819">
        <f t="shared" si="36"/>
        <v>1249</v>
      </c>
      <c r="L159" s="819">
        <f t="shared" si="37"/>
        <v>714</v>
      </c>
      <c r="M159" s="819">
        <f t="shared" si="33"/>
        <v>1249</v>
      </c>
      <c r="N159" s="819">
        <f t="shared" si="34"/>
        <v>364</v>
      </c>
      <c r="O159" s="819">
        <f t="shared" si="35"/>
        <v>10</v>
      </c>
      <c r="P159" s="819">
        <f t="shared" si="38"/>
        <v>149</v>
      </c>
      <c r="Q159" s="819">
        <f t="shared" si="39"/>
        <v>291</v>
      </c>
      <c r="R159" s="819">
        <f t="shared" si="40"/>
        <v>1167</v>
      </c>
      <c r="S159" s="819">
        <f t="shared" si="41"/>
        <v>338</v>
      </c>
      <c r="T159" s="819">
        <f t="shared" si="42"/>
        <v>12</v>
      </c>
      <c r="U159" s="819">
        <f t="shared" si="43"/>
        <v>1957</v>
      </c>
      <c r="V159" s="819">
        <f t="shared" si="44"/>
        <v>160</v>
      </c>
      <c r="W159" s="379">
        <f t="shared" si="45"/>
        <v>160</v>
      </c>
      <c r="X159" s="819" t="str">
        <f t="shared" si="46"/>
        <v/>
      </c>
      <c r="Y159" s="837"/>
      <c r="Z159" s="839"/>
      <c r="AA159" s="838"/>
      <c r="AB159" s="839"/>
    </row>
    <row r="160" spans="2:28" ht="13.15">
      <c r="B160" s="819" t="s">
        <v>686</v>
      </c>
      <c r="C160" s="819" t="s">
        <v>687</v>
      </c>
      <c r="D160" s="379" t="s">
        <v>336</v>
      </c>
      <c r="E160" s="818" t="s">
        <v>460</v>
      </c>
      <c r="F160" s="820">
        <v>5.0302534980000004</v>
      </c>
      <c r="G160" s="821">
        <v>5.2675516890000003</v>
      </c>
      <c r="H160" s="822">
        <v>2859939858.51261</v>
      </c>
      <c r="I160" s="819">
        <v>0.15</v>
      </c>
      <c r="J160" s="820">
        <v>1.5599877999999999E-2</v>
      </c>
      <c r="K160" s="819">
        <f t="shared" si="36"/>
        <v>113</v>
      </c>
      <c r="L160" s="819">
        <f t="shared" si="37"/>
        <v>366</v>
      </c>
      <c r="M160" s="819">
        <f t="shared" si="33"/>
        <v>113</v>
      </c>
      <c r="N160" s="819">
        <f t="shared" si="34"/>
        <v>235</v>
      </c>
      <c r="O160" s="819">
        <f t="shared" si="35"/>
        <v>128</v>
      </c>
      <c r="P160" s="819">
        <f t="shared" si="38"/>
        <v>1285</v>
      </c>
      <c r="Q160" s="819">
        <f t="shared" si="39"/>
        <v>57</v>
      </c>
      <c r="R160" s="819">
        <f t="shared" si="40"/>
        <v>31</v>
      </c>
      <c r="S160" s="819">
        <f t="shared" si="41"/>
        <v>209</v>
      </c>
      <c r="T160" s="819">
        <f t="shared" si="42"/>
        <v>106</v>
      </c>
      <c r="U160" s="819">
        <f t="shared" si="43"/>
        <v>1688</v>
      </c>
      <c r="V160" s="819">
        <f t="shared" si="44"/>
        <v>87</v>
      </c>
      <c r="W160" s="379">
        <f t="shared" si="45"/>
        <v>87</v>
      </c>
      <c r="X160" s="819" t="str">
        <f t="shared" si="46"/>
        <v/>
      </c>
      <c r="Y160" s="837"/>
      <c r="Z160" s="839"/>
      <c r="AA160" s="838"/>
      <c r="AB160" s="839"/>
    </row>
    <row r="161" spans="2:28" ht="13.15">
      <c r="B161" s="819" t="s">
        <v>688</v>
      </c>
      <c r="C161" s="819" t="s">
        <v>689</v>
      </c>
      <c r="D161" s="379" t="s">
        <v>336</v>
      </c>
      <c r="E161" s="818" t="s">
        <v>441</v>
      </c>
      <c r="F161" s="820">
        <v>0.97446877499999995</v>
      </c>
      <c r="G161" s="821">
        <v>0.556786271</v>
      </c>
      <c r="H161" s="822">
        <v>1260512902.0869901</v>
      </c>
      <c r="I161" s="819">
        <v>0.02</v>
      </c>
      <c r="J161" s="820">
        <v>1.9565991000000001E-2</v>
      </c>
      <c r="K161" s="819">
        <f t="shared" si="36"/>
        <v>191</v>
      </c>
      <c r="L161" s="819">
        <f t="shared" si="37"/>
        <v>909</v>
      </c>
      <c r="M161" s="819">
        <f t="shared" si="33"/>
        <v>191</v>
      </c>
      <c r="N161" s="819">
        <f t="shared" si="34"/>
        <v>337</v>
      </c>
      <c r="O161" s="819">
        <f t="shared" si="35"/>
        <v>121</v>
      </c>
      <c r="P161" s="819">
        <f t="shared" si="38"/>
        <v>1207</v>
      </c>
      <c r="Q161" s="819">
        <f t="shared" si="39"/>
        <v>486</v>
      </c>
      <c r="R161" s="819">
        <f t="shared" si="40"/>
        <v>109</v>
      </c>
      <c r="S161" s="819">
        <f t="shared" si="41"/>
        <v>311</v>
      </c>
      <c r="T161" s="819">
        <f t="shared" si="42"/>
        <v>99</v>
      </c>
      <c r="U161" s="819">
        <f t="shared" si="43"/>
        <v>2212</v>
      </c>
      <c r="V161" s="819">
        <f t="shared" si="44"/>
        <v>207</v>
      </c>
      <c r="W161" s="379">
        <f t="shared" si="45"/>
        <v>207</v>
      </c>
      <c r="X161" s="819" t="str">
        <f t="shared" si="46"/>
        <v/>
      </c>
      <c r="Y161" s="837"/>
      <c r="Z161" s="839"/>
      <c r="AA161" s="838"/>
      <c r="AB161" s="839"/>
    </row>
    <row r="162" spans="2:28" ht="13.15">
      <c r="B162" s="819" t="s">
        <v>690</v>
      </c>
      <c r="C162" s="819" t="s">
        <v>691</v>
      </c>
      <c r="D162" s="379" t="s">
        <v>336</v>
      </c>
      <c r="E162" s="818" t="s">
        <v>337</v>
      </c>
      <c r="F162" s="820">
        <v>2.6550632909999998</v>
      </c>
      <c r="G162" s="821">
        <v>-0.15966386599999999</v>
      </c>
      <c r="H162" s="822">
        <v>4019890.68</v>
      </c>
      <c r="I162" s="819"/>
      <c r="J162" s="820">
        <v>-5.6872365000000001E-2</v>
      </c>
      <c r="K162" s="819">
        <f t="shared" si="36"/>
        <v>1405</v>
      </c>
      <c r="L162" s="819">
        <f t="shared" si="37"/>
        <v>1231</v>
      </c>
      <c r="M162" s="819">
        <f t="shared" si="33"/>
        <v>1405</v>
      </c>
      <c r="N162" s="819">
        <f t="shared" si="34"/>
        <v>364</v>
      </c>
      <c r="O162" s="819">
        <f t="shared" si="35"/>
        <v>1737</v>
      </c>
      <c r="P162" s="819">
        <f t="shared" si="38"/>
        <v>7</v>
      </c>
      <c r="Q162" s="819">
        <f t="shared" si="39"/>
        <v>808</v>
      </c>
      <c r="R162" s="819">
        <f t="shared" si="40"/>
        <v>1323</v>
      </c>
      <c r="S162" s="819">
        <f t="shared" si="41"/>
        <v>338</v>
      </c>
      <c r="T162" s="819">
        <f t="shared" si="42"/>
        <v>1715</v>
      </c>
      <c r="U162" s="819">
        <f t="shared" si="43"/>
        <v>4191</v>
      </c>
      <c r="V162" s="819">
        <f t="shared" si="44"/>
        <v>1757</v>
      </c>
      <c r="W162" s="379">
        <f t="shared" si="45"/>
        <v>1757</v>
      </c>
      <c r="X162" s="819" t="str">
        <f t="shared" si="46"/>
        <v/>
      </c>
      <c r="Y162" s="837"/>
      <c r="Z162" s="839"/>
      <c r="AA162" s="838"/>
      <c r="AB162" s="839"/>
    </row>
    <row r="163" spans="2:28" ht="13.15">
      <c r="B163" s="819" t="s">
        <v>692</v>
      </c>
      <c r="C163" s="819" t="s">
        <v>693</v>
      </c>
      <c r="D163" s="379" t="s">
        <v>336</v>
      </c>
      <c r="E163" s="818" t="s">
        <v>337</v>
      </c>
      <c r="F163" s="820">
        <v>0.93435079499999996</v>
      </c>
      <c r="G163" s="821">
        <v>8.4338295999999993E-2</v>
      </c>
      <c r="H163" s="822">
        <v>2160048044.6799998</v>
      </c>
      <c r="I163" s="819"/>
      <c r="J163" s="820">
        <v>4.6846589000000001E-2</v>
      </c>
      <c r="K163" s="819">
        <f t="shared" si="36"/>
        <v>139</v>
      </c>
      <c r="L163" s="819">
        <f t="shared" si="37"/>
        <v>1024</v>
      </c>
      <c r="M163" s="819">
        <f t="shared" si="33"/>
        <v>139</v>
      </c>
      <c r="N163" s="819">
        <f t="shared" si="34"/>
        <v>364</v>
      </c>
      <c r="O163" s="819">
        <f t="shared" si="35"/>
        <v>99</v>
      </c>
      <c r="P163" s="819">
        <f t="shared" si="38"/>
        <v>1259</v>
      </c>
      <c r="Q163" s="819">
        <f t="shared" si="39"/>
        <v>601</v>
      </c>
      <c r="R163" s="819">
        <f t="shared" si="40"/>
        <v>57</v>
      </c>
      <c r="S163" s="819">
        <f t="shared" si="41"/>
        <v>338</v>
      </c>
      <c r="T163" s="819">
        <f t="shared" si="42"/>
        <v>77</v>
      </c>
      <c r="U163" s="819">
        <f t="shared" si="43"/>
        <v>2332</v>
      </c>
      <c r="V163" s="819">
        <f t="shared" si="44"/>
        <v>223</v>
      </c>
      <c r="W163" s="379">
        <f t="shared" si="45"/>
        <v>223</v>
      </c>
      <c r="X163" s="819" t="str">
        <f t="shared" si="46"/>
        <v/>
      </c>
      <c r="Y163" s="837"/>
      <c r="Z163" s="839"/>
      <c r="AA163" s="838"/>
      <c r="AB163" s="839"/>
    </row>
    <row r="164" spans="2:28" ht="13.15">
      <c r="B164" s="819" t="s">
        <v>694</v>
      </c>
      <c r="C164" s="819" t="s">
        <v>695</v>
      </c>
      <c r="D164" s="379" t="s">
        <v>336</v>
      </c>
      <c r="E164" s="818" t="s">
        <v>460</v>
      </c>
      <c r="F164" s="820">
        <v>3.7875767640000002</v>
      </c>
      <c r="G164" s="821">
        <v>4.1819967140000003</v>
      </c>
      <c r="H164" s="822">
        <v>184754719.242524</v>
      </c>
      <c r="I164" s="819"/>
      <c r="J164" s="820">
        <v>6.7182848000000003E-2</v>
      </c>
      <c r="K164" s="819">
        <f t="shared" si="36"/>
        <v>590</v>
      </c>
      <c r="L164" s="819">
        <f t="shared" si="37"/>
        <v>434</v>
      </c>
      <c r="M164" s="819">
        <f t="shared" si="33"/>
        <v>590</v>
      </c>
      <c r="N164" s="819">
        <f t="shared" si="34"/>
        <v>364</v>
      </c>
      <c r="O164" s="819">
        <f t="shared" si="35"/>
        <v>73</v>
      </c>
      <c r="P164" s="819">
        <f t="shared" si="38"/>
        <v>808</v>
      </c>
      <c r="Q164" s="819">
        <f t="shared" si="39"/>
        <v>11</v>
      </c>
      <c r="R164" s="819">
        <f t="shared" si="40"/>
        <v>508</v>
      </c>
      <c r="S164" s="819">
        <f t="shared" si="41"/>
        <v>338</v>
      </c>
      <c r="T164" s="819">
        <f t="shared" si="42"/>
        <v>51</v>
      </c>
      <c r="U164" s="819">
        <f t="shared" si="43"/>
        <v>1716</v>
      </c>
      <c r="V164" s="819">
        <f t="shared" si="44"/>
        <v>97</v>
      </c>
      <c r="W164" s="379">
        <f t="shared" si="45"/>
        <v>97</v>
      </c>
      <c r="X164" s="819" t="str">
        <f t="shared" si="46"/>
        <v/>
      </c>
      <c r="Y164" s="837"/>
      <c r="Z164" s="839"/>
      <c r="AA164" s="838"/>
      <c r="AB164" s="839"/>
    </row>
    <row r="165" spans="2:28" ht="13.15">
      <c r="B165" s="819" t="s">
        <v>696</v>
      </c>
      <c r="C165" s="819" t="s">
        <v>697</v>
      </c>
      <c r="D165" s="379" t="s">
        <v>336</v>
      </c>
      <c r="E165" s="818" t="s">
        <v>409</v>
      </c>
      <c r="F165" s="820"/>
      <c r="G165" s="821"/>
      <c r="H165" s="822">
        <v>2738450599.1711202</v>
      </c>
      <c r="I165" s="819">
        <v>17.510000000000002</v>
      </c>
      <c r="J165" s="820">
        <v>0</v>
      </c>
      <c r="K165" s="819">
        <f t="shared" si="36"/>
        <v>119</v>
      </c>
      <c r="L165" s="819">
        <f t="shared" si="37"/>
        <v>1084</v>
      </c>
      <c r="M165" s="819">
        <f t="shared" si="33"/>
        <v>119</v>
      </c>
      <c r="N165" s="819">
        <f t="shared" si="34"/>
        <v>25</v>
      </c>
      <c r="O165" s="819">
        <f t="shared" si="35"/>
        <v>492</v>
      </c>
      <c r="P165" s="819">
        <f t="shared" si="38"/>
        <v>1279</v>
      </c>
      <c r="Q165" s="819">
        <f t="shared" si="39"/>
        <v>661</v>
      </c>
      <c r="R165" s="819">
        <f t="shared" si="40"/>
        <v>37</v>
      </c>
      <c r="S165" s="819">
        <f t="shared" si="41"/>
        <v>1</v>
      </c>
      <c r="T165" s="819">
        <f t="shared" si="42"/>
        <v>470</v>
      </c>
      <c r="U165" s="819">
        <f t="shared" si="43"/>
        <v>2448</v>
      </c>
      <c r="V165" s="819">
        <f t="shared" si="44"/>
        <v>233</v>
      </c>
      <c r="W165" s="379">
        <f t="shared" si="45"/>
        <v>233</v>
      </c>
      <c r="X165" s="819" t="str">
        <f t="shared" si="46"/>
        <v/>
      </c>
      <c r="Y165" s="837"/>
      <c r="Z165" s="839"/>
      <c r="AA165" s="838"/>
      <c r="AB165" s="839"/>
    </row>
    <row r="166" spans="2:28" ht="13.15">
      <c r="B166" s="819" t="s">
        <v>698</v>
      </c>
      <c r="C166" s="819" t="s">
        <v>699</v>
      </c>
      <c r="D166" s="379" t="s">
        <v>336</v>
      </c>
      <c r="E166" s="818" t="s">
        <v>337</v>
      </c>
      <c r="F166" s="820">
        <v>2.9162852259999998</v>
      </c>
      <c r="G166" s="821">
        <v>-25.485254690000001</v>
      </c>
      <c r="H166" s="822">
        <v>21719430591.599998</v>
      </c>
      <c r="I166" s="819">
        <v>2.4300000000000002</v>
      </c>
      <c r="J166" s="820">
        <v>-1.8115760000000002E-2</v>
      </c>
      <c r="K166" s="819">
        <f t="shared" si="36"/>
        <v>15</v>
      </c>
      <c r="L166" s="819">
        <f t="shared" si="37"/>
        <v>1486</v>
      </c>
      <c r="M166" s="819">
        <f t="shared" si="33"/>
        <v>15</v>
      </c>
      <c r="N166" s="819">
        <f t="shared" si="34"/>
        <v>73</v>
      </c>
      <c r="O166" s="819">
        <f t="shared" si="35"/>
        <v>1686</v>
      </c>
      <c r="P166" s="819">
        <f t="shared" si="38"/>
        <v>1383</v>
      </c>
      <c r="Q166" s="819">
        <f t="shared" si="39"/>
        <v>1063</v>
      </c>
      <c r="R166" s="819">
        <f t="shared" si="40"/>
        <v>67</v>
      </c>
      <c r="S166" s="819">
        <f t="shared" si="41"/>
        <v>47</v>
      </c>
      <c r="T166" s="819">
        <f t="shared" si="42"/>
        <v>1664</v>
      </c>
      <c r="U166" s="819">
        <f t="shared" si="43"/>
        <v>4224</v>
      </c>
      <c r="V166" s="819">
        <f t="shared" si="44"/>
        <v>1759</v>
      </c>
      <c r="W166" s="379">
        <f t="shared" si="45"/>
        <v>1759</v>
      </c>
      <c r="X166" s="819" t="str">
        <f t="shared" si="46"/>
        <v/>
      </c>
      <c r="Y166" s="837"/>
      <c r="Z166" s="839"/>
      <c r="AA166" s="838"/>
      <c r="AB166" s="839"/>
    </row>
    <row r="167" spans="2:28" ht="13.15">
      <c r="B167" s="819" t="s">
        <v>700</v>
      </c>
      <c r="C167" s="819" t="s">
        <v>701</v>
      </c>
      <c r="D167" s="379" t="s">
        <v>336</v>
      </c>
      <c r="E167" s="818" t="s">
        <v>702</v>
      </c>
      <c r="F167" s="820">
        <v>0.95083494499999999</v>
      </c>
      <c r="G167" s="821">
        <v>0</v>
      </c>
      <c r="H167" s="822">
        <v>13306617.1003717</v>
      </c>
      <c r="I167" s="819"/>
      <c r="J167" s="820">
        <v>0.216142792</v>
      </c>
      <c r="K167" s="819">
        <f t="shared" si="36"/>
        <v>1193</v>
      </c>
      <c r="L167" s="819">
        <f t="shared" si="37"/>
        <v>1084</v>
      </c>
      <c r="M167" s="819">
        <f t="shared" si="33"/>
        <v>1193</v>
      </c>
      <c r="N167" s="819">
        <f t="shared" si="34"/>
        <v>364</v>
      </c>
      <c r="O167" s="819">
        <f t="shared" si="35"/>
        <v>15</v>
      </c>
      <c r="P167" s="819">
        <f t="shared" si="38"/>
        <v>205</v>
      </c>
      <c r="Q167" s="819">
        <f t="shared" si="39"/>
        <v>661</v>
      </c>
      <c r="R167" s="819">
        <f t="shared" si="40"/>
        <v>1111</v>
      </c>
      <c r="S167" s="819">
        <f t="shared" si="41"/>
        <v>338</v>
      </c>
      <c r="T167" s="819">
        <f t="shared" si="42"/>
        <v>7</v>
      </c>
      <c r="U167" s="819">
        <f t="shared" si="43"/>
        <v>2322</v>
      </c>
      <c r="V167" s="819">
        <f t="shared" si="44"/>
        <v>220</v>
      </c>
      <c r="W167" s="379">
        <f t="shared" si="45"/>
        <v>220</v>
      </c>
      <c r="X167" s="819" t="str">
        <f t="shared" si="46"/>
        <v/>
      </c>
      <c r="Y167" s="837"/>
      <c r="Z167" s="839"/>
      <c r="AA167" s="838"/>
      <c r="AB167" s="839"/>
    </row>
    <row r="168" spans="2:28" ht="13.15">
      <c r="B168" s="819" t="s">
        <v>703</v>
      </c>
      <c r="C168" s="819" t="s">
        <v>704</v>
      </c>
      <c r="D168" s="379" t="s">
        <v>336</v>
      </c>
      <c r="E168" s="818" t="s">
        <v>441</v>
      </c>
      <c r="F168" s="820">
        <v>2.3468743E-2</v>
      </c>
      <c r="G168" s="821"/>
      <c r="H168" s="822">
        <v>217094665.22857401</v>
      </c>
      <c r="I168" s="819"/>
      <c r="J168" s="820">
        <v>0</v>
      </c>
      <c r="K168" s="819">
        <f t="shared" si="36"/>
        <v>546</v>
      </c>
      <c r="L168" s="819">
        <f t="shared" si="37"/>
        <v>1084</v>
      </c>
      <c r="M168" s="819">
        <f t="shared" si="33"/>
        <v>546</v>
      </c>
      <c r="N168" s="819">
        <f t="shared" si="34"/>
        <v>364</v>
      </c>
      <c r="O168" s="819">
        <f t="shared" si="35"/>
        <v>492</v>
      </c>
      <c r="P168" s="819">
        <f t="shared" si="38"/>
        <v>852</v>
      </c>
      <c r="Q168" s="819">
        <f t="shared" si="39"/>
        <v>661</v>
      </c>
      <c r="R168" s="819">
        <f t="shared" si="40"/>
        <v>464</v>
      </c>
      <c r="S168" s="819">
        <f t="shared" si="41"/>
        <v>338</v>
      </c>
      <c r="T168" s="819">
        <f t="shared" si="42"/>
        <v>470</v>
      </c>
      <c r="U168" s="819">
        <f t="shared" si="43"/>
        <v>2785</v>
      </c>
      <c r="V168" s="819">
        <f t="shared" si="44"/>
        <v>463</v>
      </c>
      <c r="W168" s="379">
        <f t="shared" si="45"/>
        <v>463</v>
      </c>
      <c r="X168" s="819" t="str">
        <f t="shared" si="46"/>
        <v/>
      </c>
      <c r="Y168" s="837"/>
      <c r="Z168" s="839"/>
      <c r="AA168" s="838"/>
      <c r="AB168" s="839"/>
    </row>
    <row r="169" spans="2:28" ht="13.15">
      <c r="B169" s="819" t="s">
        <v>705</v>
      </c>
      <c r="C169" s="819" t="s">
        <v>706</v>
      </c>
      <c r="D169" s="379" t="s">
        <v>336</v>
      </c>
      <c r="E169" s="818" t="s">
        <v>702</v>
      </c>
      <c r="F169" s="820">
        <v>6.3282009989999999</v>
      </c>
      <c r="G169" s="821">
        <v>-2.5071292060000001</v>
      </c>
      <c r="H169" s="822">
        <v>7598843.8661709996</v>
      </c>
      <c r="I169" s="819"/>
      <c r="J169" s="820">
        <v>-0.36365715500000001</v>
      </c>
      <c r="K169" s="819">
        <f t="shared" si="36"/>
        <v>1305</v>
      </c>
      <c r="L169" s="819">
        <f t="shared" si="37"/>
        <v>1361</v>
      </c>
      <c r="M169" s="819">
        <f t="shared" si="33"/>
        <v>1305</v>
      </c>
      <c r="N169" s="819">
        <f t="shared" si="34"/>
        <v>364</v>
      </c>
      <c r="O169" s="819">
        <f t="shared" si="35"/>
        <v>1779</v>
      </c>
      <c r="P169" s="819">
        <f t="shared" si="38"/>
        <v>93</v>
      </c>
      <c r="Q169" s="819">
        <f t="shared" si="39"/>
        <v>938</v>
      </c>
      <c r="R169" s="819">
        <f t="shared" si="40"/>
        <v>1223</v>
      </c>
      <c r="S169" s="819">
        <f t="shared" si="41"/>
        <v>338</v>
      </c>
      <c r="T169" s="819">
        <f t="shared" si="42"/>
        <v>1757</v>
      </c>
      <c r="U169" s="819">
        <f t="shared" si="43"/>
        <v>4349</v>
      </c>
      <c r="V169" s="819">
        <f t="shared" si="44"/>
        <v>1771</v>
      </c>
      <c r="W169" s="379">
        <f t="shared" si="45"/>
        <v>1771</v>
      </c>
      <c r="X169" s="819" t="str">
        <f t="shared" si="46"/>
        <v/>
      </c>
      <c r="Y169" s="837"/>
      <c r="Z169" s="839"/>
      <c r="AA169" s="838"/>
      <c r="AB169" s="839"/>
    </row>
    <row r="170" spans="2:28" ht="13.15">
      <c r="B170" s="819" t="s">
        <v>707</v>
      </c>
      <c r="C170" s="819" t="s">
        <v>708</v>
      </c>
      <c r="D170" s="379" t="s">
        <v>336</v>
      </c>
      <c r="E170" s="818" t="s">
        <v>418</v>
      </c>
      <c r="F170" s="820">
        <v>0.328483372</v>
      </c>
      <c r="G170" s="821">
        <v>-5.0333923990000002</v>
      </c>
      <c r="H170" s="822">
        <v>200881206.70680401</v>
      </c>
      <c r="I170" s="819"/>
      <c r="J170" s="820">
        <v>-9.3856059999999995E-3</v>
      </c>
      <c r="K170" s="819">
        <f t="shared" si="36"/>
        <v>567</v>
      </c>
      <c r="L170" s="819">
        <f t="shared" si="37"/>
        <v>1408</v>
      </c>
      <c r="M170" s="819">
        <f t="shared" si="33"/>
        <v>567</v>
      </c>
      <c r="N170" s="819">
        <f t="shared" si="34"/>
        <v>364</v>
      </c>
      <c r="O170" s="819">
        <f t="shared" si="35"/>
        <v>1644</v>
      </c>
      <c r="P170" s="819">
        <f t="shared" si="38"/>
        <v>831</v>
      </c>
      <c r="Q170" s="819">
        <f t="shared" si="39"/>
        <v>985</v>
      </c>
      <c r="R170" s="819">
        <f t="shared" si="40"/>
        <v>485</v>
      </c>
      <c r="S170" s="819">
        <f t="shared" si="41"/>
        <v>338</v>
      </c>
      <c r="T170" s="819">
        <f t="shared" si="42"/>
        <v>1622</v>
      </c>
      <c r="U170" s="819">
        <f t="shared" si="43"/>
        <v>4261</v>
      </c>
      <c r="V170" s="819">
        <f t="shared" si="44"/>
        <v>1761</v>
      </c>
      <c r="W170" s="379">
        <f t="shared" si="45"/>
        <v>1761</v>
      </c>
      <c r="X170" s="819" t="str">
        <f t="shared" si="46"/>
        <v/>
      </c>
      <c r="Y170" s="837"/>
      <c r="Z170" s="839"/>
      <c r="AA170" s="838"/>
      <c r="AB170" s="839"/>
    </row>
    <row r="171" spans="2:28" ht="13.15">
      <c r="B171" s="819" t="s">
        <v>709</v>
      </c>
      <c r="C171" s="819" t="s">
        <v>710</v>
      </c>
      <c r="D171" s="379" t="s">
        <v>336</v>
      </c>
      <c r="E171" s="818" t="s">
        <v>711</v>
      </c>
      <c r="F171" s="820">
        <v>-12.34002587</v>
      </c>
      <c r="G171" s="821">
        <v>5.4911409009999996</v>
      </c>
      <c r="H171" s="822">
        <v>22987353.9812815</v>
      </c>
      <c r="I171" s="819"/>
      <c r="J171" s="820">
        <v>0.28794314700000001</v>
      </c>
      <c r="K171" s="819">
        <f t="shared" si="36"/>
        <v>1071</v>
      </c>
      <c r="L171" s="819">
        <f t="shared" si="37"/>
        <v>351</v>
      </c>
      <c r="M171" s="819">
        <f t="shared" si="33"/>
        <v>1071</v>
      </c>
      <c r="N171" s="819">
        <f t="shared" si="34"/>
        <v>364</v>
      </c>
      <c r="O171" s="819">
        <f t="shared" si="35"/>
        <v>13</v>
      </c>
      <c r="P171" s="819">
        <f t="shared" si="38"/>
        <v>327</v>
      </c>
      <c r="Q171" s="819">
        <f t="shared" si="39"/>
        <v>72</v>
      </c>
      <c r="R171" s="819">
        <f t="shared" si="40"/>
        <v>989</v>
      </c>
      <c r="S171" s="819">
        <f t="shared" si="41"/>
        <v>338</v>
      </c>
      <c r="T171" s="819">
        <f t="shared" si="42"/>
        <v>9</v>
      </c>
      <c r="U171" s="819">
        <f t="shared" si="43"/>
        <v>1735</v>
      </c>
      <c r="V171" s="819">
        <f t="shared" si="44"/>
        <v>102</v>
      </c>
      <c r="W171" s="379">
        <f t="shared" si="45"/>
        <v>102</v>
      </c>
      <c r="X171" s="819" t="str">
        <f t="shared" si="46"/>
        <v/>
      </c>
      <c r="Y171" s="837"/>
      <c r="Z171" s="839"/>
      <c r="AA171" s="838"/>
      <c r="AB171" s="839"/>
    </row>
    <row r="172" spans="2:28" ht="13.15">
      <c r="B172" s="819" t="s">
        <v>712</v>
      </c>
      <c r="C172" s="819" t="s">
        <v>713</v>
      </c>
      <c r="D172" s="379" t="s">
        <v>336</v>
      </c>
      <c r="E172" s="818" t="s">
        <v>711</v>
      </c>
      <c r="F172" s="820">
        <v>7.3314316100000001</v>
      </c>
      <c r="G172" s="821">
        <v>4.0934153440000003</v>
      </c>
      <c r="H172" s="822">
        <v>99040846.470662296</v>
      </c>
      <c r="I172" s="819">
        <v>0</v>
      </c>
      <c r="J172" s="820">
        <v>1.764056606</v>
      </c>
      <c r="K172" s="819">
        <f t="shared" si="36"/>
        <v>726</v>
      </c>
      <c r="L172" s="819">
        <f t="shared" si="37"/>
        <v>441</v>
      </c>
      <c r="M172" s="819">
        <f t="shared" si="33"/>
        <v>726</v>
      </c>
      <c r="N172" s="819">
        <f t="shared" si="34"/>
        <v>364</v>
      </c>
      <c r="O172" s="819">
        <f t="shared" si="35"/>
        <v>2</v>
      </c>
      <c r="P172" s="819">
        <f t="shared" si="38"/>
        <v>672</v>
      </c>
      <c r="Q172" s="819">
        <f t="shared" si="39"/>
        <v>18</v>
      </c>
      <c r="R172" s="819">
        <f t="shared" si="40"/>
        <v>644</v>
      </c>
      <c r="S172" s="819">
        <f t="shared" si="41"/>
        <v>338</v>
      </c>
      <c r="T172" s="819">
        <f t="shared" si="42"/>
        <v>20</v>
      </c>
      <c r="U172" s="819">
        <f t="shared" si="43"/>
        <v>1692</v>
      </c>
      <c r="V172" s="819">
        <f t="shared" si="44"/>
        <v>88</v>
      </c>
      <c r="W172" s="379">
        <f t="shared" si="45"/>
        <v>88</v>
      </c>
      <c r="X172" s="819" t="str">
        <f t="shared" si="46"/>
        <v/>
      </c>
      <c r="Y172" s="837"/>
      <c r="Z172" s="839"/>
      <c r="AA172" s="838"/>
      <c r="AB172" s="839"/>
    </row>
    <row r="173" spans="2:28" ht="13.15">
      <c r="B173" s="819" t="s">
        <v>714</v>
      </c>
      <c r="C173" s="819" t="s">
        <v>715</v>
      </c>
      <c r="D173" s="379" t="s">
        <v>336</v>
      </c>
      <c r="E173" s="818" t="s">
        <v>711</v>
      </c>
      <c r="F173" s="820">
        <v>2.37507191</v>
      </c>
      <c r="G173" s="821">
        <v>3.1856686619999999</v>
      </c>
      <c r="H173" s="822">
        <v>31283696.970194399</v>
      </c>
      <c r="I173" s="819"/>
      <c r="J173" s="820">
        <v>0.324483733</v>
      </c>
      <c r="K173" s="819">
        <f t="shared" si="36"/>
        <v>991</v>
      </c>
      <c r="L173" s="819">
        <f t="shared" si="37"/>
        <v>531</v>
      </c>
      <c r="M173" s="819">
        <f t="shared" si="33"/>
        <v>991</v>
      </c>
      <c r="N173" s="819">
        <f t="shared" si="34"/>
        <v>364</v>
      </c>
      <c r="O173" s="819">
        <f t="shared" si="35"/>
        <v>12</v>
      </c>
      <c r="P173" s="819">
        <f t="shared" si="38"/>
        <v>407</v>
      </c>
      <c r="Q173" s="819">
        <f t="shared" si="39"/>
        <v>108</v>
      </c>
      <c r="R173" s="819">
        <f t="shared" si="40"/>
        <v>909</v>
      </c>
      <c r="S173" s="819">
        <f t="shared" si="41"/>
        <v>338</v>
      </c>
      <c r="T173" s="819">
        <f t="shared" si="42"/>
        <v>10</v>
      </c>
      <c r="U173" s="819">
        <f t="shared" si="43"/>
        <v>1772</v>
      </c>
      <c r="V173" s="819">
        <f t="shared" si="44"/>
        <v>105</v>
      </c>
      <c r="W173" s="379">
        <f t="shared" si="45"/>
        <v>105</v>
      </c>
      <c r="X173" s="819" t="str">
        <f t="shared" si="46"/>
        <v/>
      </c>
      <c r="Y173" s="837"/>
      <c r="Z173" s="839"/>
      <c r="AA173" s="838"/>
      <c r="AB173" s="839"/>
    </row>
    <row r="174" spans="2:28" ht="13.15">
      <c r="B174" s="819" t="s">
        <v>716</v>
      </c>
      <c r="C174" s="819" t="s">
        <v>717</v>
      </c>
      <c r="D174" s="379" t="s">
        <v>336</v>
      </c>
      <c r="E174" s="818" t="s">
        <v>460</v>
      </c>
      <c r="F174" s="820"/>
      <c r="G174" s="821"/>
      <c r="H174" s="822"/>
      <c r="I174" s="819"/>
      <c r="J174" s="820">
        <v>0</v>
      </c>
      <c r="K174" s="819" t="str">
        <f t="shared" si="36"/>
        <v>N/A</v>
      </c>
      <c r="L174" s="819">
        <f t="shared" si="37"/>
        <v>1084</v>
      </c>
      <c r="M174" s="819" t="str">
        <f t="shared" si="33"/>
        <v>N/A</v>
      </c>
      <c r="N174" s="819">
        <f t="shared" si="34"/>
        <v>364</v>
      </c>
      <c r="O174" s="819">
        <f t="shared" si="35"/>
        <v>492</v>
      </c>
      <c r="P174" s="819" t="str">
        <f t="shared" si="38"/>
        <v>N/A</v>
      </c>
      <c r="Q174" s="819">
        <f t="shared" si="39"/>
        <v>661</v>
      </c>
      <c r="R174" s="819" t="str">
        <f t="shared" si="40"/>
        <v>N/A</v>
      </c>
      <c r="S174" s="819">
        <f t="shared" si="41"/>
        <v>338</v>
      </c>
      <c r="T174" s="819">
        <f t="shared" si="42"/>
        <v>470</v>
      </c>
      <c r="U174" s="819">
        <f t="shared" si="43"/>
        <v>1469</v>
      </c>
      <c r="V174" s="819">
        <f t="shared" si="44"/>
        <v>22</v>
      </c>
      <c r="W174" s="379">
        <f t="shared" si="45"/>
        <v>22</v>
      </c>
      <c r="X174" s="819" t="str">
        <f t="shared" si="46"/>
        <v/>
      </c>
      <c r="Y174" s="837"/>
      <c r="Z174" s="839"/>
      <c r="AA174" s="838"/>
      <c r="AB174" s="839"/>
    </row>
    <row r="175" spans="2:28" ht="13.15">
      <c r="B175" s="819" t="s">
        <v>718</v>
      </c>
      <c r="C175" s="819" t="s">
        <v>719</v>
      </c>
      <c r="D175" s="379" t="s">
        <v>336</v>
      </c>
      <c r="E175" s="818" t="s">
        <v>418</v>
      </c>
      <c r="F175" s="820">
        <v>8.0537951309999993</v>
      </c>
      <c r="G175" s="821">
        <v>-23.47575247</v>
      </c>
      <c r="H175" s="822">
        <v>41776008.286398597</v>
      </c>
      <c r="I175" s="819"/>
      <c r="J175" s="820">
        <v>-3.0788019999999998E-3</v>
      </c>
      <c r="K175" s="819">
        <f t="shared" si="36"/>
        <v>917</v>
      </c>
      <c r="L175" s="819">
        <f t="shared" si="37"/>
        <v>1482</v>
      </c>
      <c r="M175" s="819">
        <f t="shared" si="33"/>
        <v>917</v>
      </c>
      <c r="N175" s="819">
        <f t="shared" si="34"/>
        <v>364</v>
      </c>
      <c r="O175" s="819">
        <f t="shared" si="35"/>
        <v>1552</v>
      </c>
      <c r="P175" s="819">
        <f t="shared" si="38"/>
        <v>481</v>
      </c>
      <c r="Q175" s="819">
        <f t="shared" si="39"/>
        <v>1059</v>
      </c>
      <c r="R175" s="819">
        <f t="shared" si="40"/>
        <v>835</v>
      </c>
      <c r="S175" s="819">
        <f t="shared" si="41"/>
        <v>338</v>
      </c>
      <c r="T175" s="819">
        <f t="shared" si="42"/>
        <v>1530</v>
      </c>
      <c r="U175" s="819">
        <f t="shared" si="43"/>
        <v>4243</v>
      </c>
      <c r="V175" s="819">
        <f t="shared" si="44"/>
        <v>1760</v>
      </c>
      <c r="W175" s="379">
        <f t="shared" si="45"/>
        <v>1760</v>
      </c>
      <c r="X175" s="819" t="str">
        <f t="shared" si="46"/>
        <v/>
      </c>
      <c r="Y175" s="837"/>
      <c r="Z175" s="839"/>
      <c r="AA175" s="838"/>
      <c r="AB175" s="839"/>
    </row>
    <row r="176" spans="2:28" ht="13.15">
      <c r="B176" s="819" t="s">
        <v>720</v>
      </c>
      <c r="C176" s="819" t="s">
        <v>721</v>
      </c>
      <c r="D176" s="379" t="s">
        <v>336</v>
      </c>
      <c r="E176" s="818" t="s">
        <v>418</v>
      </c>
      <c r="F176" s="820">
        <v>0.67817688799999998</v>
      </c>
      <c r="G176" s="821">
        <v>5.9482522000000003E-2</v>
      </c>
      <c r="H176" s="822">
        <v>106149866.873827</v>
      </c>
      <c r="I176" s="819"/>
      <c r="J176" s="820">
        <v>4.8063330000000003E-3</v>
      </c>
      <c r="K176" s="819">
        <f t="shared" si="36"/>
        <v>709</v>
      </c>
      <c r="L176" s="819">
        <f t="shared" si="37"/>
        <v>1040</v>
      </c>
      <c r="M176" s="819">
        <f t="shared" si="33"/>
        <v>709</v>
      </c>
      <c r="N176" s="819">
        <f t="shared" si="34"/>
        <v>364</v>
      </c>
      <c r="O176" s="819">
        <f t="shared" si="35"/>
        <v>151</v>
      </c>
      <c r="P176" s="819">
        <f t="shared" si="38"/>
        <v>689</v>
      </c>
      <c r="Q176" s="819">
        <f t="shared" si="39"/>
        <v>617</v>
      </c>
      <c r="R176" s="819">
        <f t="shared" si="40"/>
        <v>627</v>
      </c>
      <c r="S176" s="819">
        <f t="shared" si="41"/>
        <v>338</v>
      </c>
      <c r="T176" s="819">
        <f t="shared" si="42"/>
        <v>129</v>
      </c>
      <c r="U176" s="819">
        <f t="shared" si="43"/>
        <v>2400</v>
      </c>
      <c r="V176" s="819">
        <f t="shared" si="44"/>
        <v>229</v>
      </c>
      <c r="W176" s="379">
        <f t="shared" si="45"/>
        <v>229</v>
      </c>
      <c r="X176" s="819" t="str">
        <f t="shared" si="46"/>
        <v/>
      </c>
      <c r="Y176" s="837"/>
      <c r="Z176" s="839"/>
      <c r="AA176" s="838"/>
      <c r="AB176" s="839"/>
    </row>
    <row r="177" spans="2:28" ht="13.15">
      <c r="B177" s="819" t="s">
        <v>722</v>
      </c>
      <c r="C177" s="819" t="s">
        <v>723</v>
      </c>
      <c r="D177" s="379" t="s">
        <v>336</v>
      </c>
      <c r="E177" s="818" t="s">
        <v>191</v>
      </c>
      <c r="F177" s="820">
        <v>0.78333109099999998</v>
      </c>
      <c r="G177" s="821">
        <v>-9.1787793000000006E-2</v>
      </c>
      <c r="H177" s="822">
        <v>3098240.0775363902</v>
      </c>
      <c r="I177" s="819"/>
      <c r="J177" s="820">
        <v>-1.7678279999999999E-3</v>
      </c>
      <c r="K177" s="819">
        <f t="shared" si="36"/>
        <v>1444</v>
      </c>
      <c r="L177" s="819">
        <f t="shared" si="37"/>
        <v>1219</v>
      </c>
      <c r="M177" s="819">
        <f t="shared" si="33"/>
        <v>1444</v>
      </c>
      <c r="N177" s="819">
        <f t="shared" si="34"/>
        <v>364</v>
      </c>
      <c r="O177" s="819">
        <f t="shared" si="35"/>
        <v>1479</v>
      </c>
      <c r="P177" s="819">
        <f t="shared" si="38"/>
        <v>46</v>
      </c>
      <c r="Q177" s="819">
        <f t="shared" si="39"/>
        <v>796</v>
      </c>
      <c r="R177" s="819">
        <f t="shared" si="40"/>
        <v>1362</v>
      </c>
      <c r="S177" s="819">
        <f t="shared" si="41"/>
        <v>338</v>
      </c>
      <c r="T177" s="819">
        <f t="shared" si="42"/>
        <v>1457</v>
      </c>
      <c r="U177" s="819">
        <f t="shared" si="43"/>
        <v>3999</v>
      </c>
      <c r="V177" s="819">
        <f t="shared" si="44"/>
        <v>1747</v>
      </c>
      <c r="W177" s="379">
        <f t="shared" si="45"/>
        <v>1747</v>
      </c>
      <c r="X177" s="819" t="str">
        <f t="shared" si="46"/>
        <v/>
      </c>
      <c r="Y177" s="837"/>
      <c r="Z177" s="839"/>
      <c r="AA177" s="838"/>
      <c r="AB177" s="839"/>
    </row>
    <row r="178" spans="2:28" ht="13.15">
      <c r="B178" s="819" t="s">
        <v>724</v>
      </c>
      <c r="C178" s="819" t="s">
        <v>725</v>
      </c>
      <c r="D178" s="379" t="s">
        <v>336</v>
      </c>
      <c r="E178" s="818" t="s">
        <v>373</v>
      </c>
      <c r="F178" s="820">
        <v>1.5682170870000001</v>
      </c>
      <c r="G178" s="821">
        <v>-0.77684597399999999</v>
      </c>
      <c r="H178" s="822">
        <v>15915849.4981061</v>
      </c>
      <c r="I178" s="819"/>
      <c r="J178" s="820">
        <v>-2.1888853999999999E-2</v>
      </c>
      <c r="K178" s="819">
        <f t="shared" si="36"/>
        <v>1151</v>
      </c>
      <c r="L178" s="819">
        <f t="shared" si="37"/>
        <v>1282</v>
      </c>
      <c r="M178" s="819">
        <f t="shared" si="33"/>
        <v>1151</v>
      </c>
      <c r="N178" s="819">
        <f t="shared" si="34"/>
        <v>364</v>
      </c>
      <c r="O178" s="819">
        <f t="shared" si="35"/>
        <v>1697</v>
      </c>
      <c r="P178" s="819">
        <f t="shared" si="38"/>
        <v>247</v>
      </c>
      <c r="Q178" s="819">
        <f t="shared" si="39"/>
        <v>859</v>
      </c>
      <c r="R178" s="819">
        <f t="shared" si="40"/>
        <v>1069</v>
      </c>
      <c r="S178" s="819">
        <f t="shared" si="41"/>
        <v>338</v>
      </c>
      <c r="T178" s="819">
        <f t="shared" si="42"/>
        <v>1675</v>
      </c>
      <c r="U178" s="819">
        <f t="shared" si="43"/>
        <v>4188</v>
      </c>
      <c r="V178" s="819">
        <f t="shared" si="44"/>
        <v>1755</v>
      </c>
      <c r="W178" s="379">
        <f t="shared" si="45"/>
        <v>1755</v>
      </c>
      <c r="X178" s="819" t="str">
        <f t="shared" si="46"/>
        <v/>
      </c>
      <c r="Y178" s="837"/>
      <c r="Z178" s="839"/>
      <c r="AA178" s="838"/>
      <c r="AB178" s="839"/>
    </row>
    <row r="179" spans="2:28" ht="13.15">
      <c r="B179" s="819" t="s">
        <v>726</v>
      </c>
      <c r="C179" s="819" t="s">
        <v>727</v>
      </c>
      <c r="D179" s="379" t="s">
        <v>336</v>
      </c>
      <c r="E179" s="818" t="s">
        <v>728</v>
      </c>
      <c r="F179" s="820">
        <v>0.24056164999999999</v>
      </c>
      <c r="G179" s="821">
        <v>0</v>
      </c>
      <c r="H179" s="822">
        <v>2812485.88751829</v>
      </c>
      <c r="I179" s="819"/>
      <c r="J179" s="820">
        <v>-8.5291700000000002E-4</v>
      </c>
      <c r="K179" s="819">
        <f t="shared" si="36"/>
        <v>1454</v>
      </c>
      <c r="L179" s="819">
        <f t="shared" si="37"/>
        <v>1084</v>
      </c>
      <c r="M179" s="819">
        <f t="shared" si="33"/>
        <v>1454</v>
      </c>
      <c r="N179" s="819">
        <f t="shared" si="34"/>
        <v>364</v>
      </c>
      <c r="O179" s="819">
        <f t="shared" si="35"/>
        <v>1372</v>
      </c>
      <c r="P179" s="819">
        <f t="shared" si="38"/>
        <v>56</v>
      </c>
      <c r="Q179" s="819">
        <f t="shared" si="39"/>
        <v>661</v>
      </c>
      <c r="R179" s="819">
        <f t="shared" si="40"/>
        <v>1372</v>
      </c>
      <c r="S179" s="819">
        <f t="shared" si="41"/>
        <v>338</v>
      </c>
      <c r="T179" s="819">
        <f t="shared" si="42"/>
        <v>1350</v>
      </c>
      <c r="U179" s="819">
        <f t="shared" si="43"/>
        <v>3777</v>
      </c>
      <c r="V179" s="819">
        <f t="shared" si="44"/>
        <v>1705</v>
      </c>
      <c r="W179" s="379">
        <f t="shared" si="45"/>
        <v>1705</v>
      </c>
      <c r="X179" s="819" t="str">
        <f t="shared" si="46"/>
        <v/>
      </c>
      <c r="Y179" s="837"/>
      <c r="Z179" s="839"/>
      <c r="AA179" s="838"/>
      <c r="AB179" s="839"/>
    </row>
    <row r="180" spans="2:28" ht="13.15">
      <c r="B180" s="819" t="s">
        <v>729</v>
      </c>
      <c r="C180" s="819" t="s">
        <v>730</v>
      </c>
      <c r="D180" s="379" t="s">
        <v>336</v>
      </c>
      <c r="E180" s="818" t="s">
        <v>731</v>
      </c>
      <c r="F180" s="820">
        <v>2.0288573780000001</v>
      </c>
      <c r="G180" s="821">
        <v>13.79190861</v>
      </c>
      <c r="H180" s="822">
        <v>49135619.786033303</v>
      </c>
      <c r="I180" s="819"/>
      <c r="J180" s="820">
        <v>1.9137155999999999E-2</v>
      </c>
      <c r="K180" s="819">
        <f t="shared" si="36"/>
        <v>882</v>
      </c>
      <c r="L180" s="819">
        <f t="shared" si="37"/>
        <v>141</v>
      </c>
      <c r="M180" s="819">
        <f t="shared" si="33"/>
        <v>882</v>
      </c>
      <c r="N180" s="819">
        <f t="shared" si="34"/>
        <v>364</v>
      </c>
      <c r="O180" s="819">
        <f t="shared" si="35"/>
        <v>123</v>
      </c>
      <c r="P180" s="819">
        <f t="shared" si="38"/>
        <v>516</v>
      </c>
      <c r="Q180" s="819">
        <f t="shared" si="39"/>
        <v>282</v>
      </c>
      <c r="R180" s="819">
        <f t="shared" si="40"/>
        <v>800</v>
      </c>
      <c r="S180" s="819">
        <f t="shared" si="41"/>
        <v>338</v>
      </c>
      <c r="T180" s="819">
        <f t="shared" si="42"/>
        <v>101</v>
      </c>
      <c r="U180" s="819">
        <f t="shared" si="43"/>
        <v>2037</v>
      </c>
      <c r="V180" s="819">
        <f t="shared" si="44"/>
        <v>177</v>
      </c>
      <c r="W180" s="379">
        <f t="shared" si="45"/>
        <v>177</v>
      </c>
      <c r="X180" s="819" t="str">
        <f t="shared" si="46"/>
        <v/>
      </c>
      <c r="Y180" s="837"/>
      <c r="Z180" s="839"/>
      <c r="AA180" s="838"/>
      <c r="AB180" s="839"/>
    </row>
    <row r="181" spans="2:28" ht="13.15">
      <c r="B181" s="819" t="s">
        <v>732</v>
      </c>
      <c r="C181" s="819" t="s">
        <v>733</v>
      </c>
      <c r="D181" s="379" t="s">
        <v>336</v>
      </c>
      <c r="E181" s="818" t="s">
        <v>731</v>
      </c>
      <c r="F181" s="820">
        <v>7.4347196899999997</v>
      </c>
      <c r="G181" s="821">
        <v>-30.635292159999999</v>
      </c>
      <c r="H181" s="822">
        <v>4791389.3916191002</v>
      </c>
      <c r="I181" s="819"/>
      <c r="J181" s="820">
        <v>-1.851445E-3</v>
      </c>
      <c r="K181" s="819">
        <f t="shared" si="36"/>
        <v>1373</v>
      </c>
      <c r="L181" s="819">
        <f t="shared" si="37"/>
        <v>1494</v>
      </c>
      <c r="M181" s="819">
        <f t="shared" si="33"/>
        <v>1373</v>
      </c>
      <c r="N181" s="819">
        <f t="shared" si="34"/>
        <v>364</v>
      </c>
      <c r="O181" s="819">
        <f t="shared" si="35"/>
        <v>1485</v>
      </c>
      <c r="P181" s="819">
        <f t="shared" si="38"/>
        <v>25</v>
      </c>
      <c r="Q181" s="819">
        <f t="shared" si="39"/>
        <v>1071</v>
      </c>
      <c r="R181" s="819">
        <f t="shared" si="40"/>
        <v>1291</v>
      </c>
      <c r="S181" s="819">
        <f t="shared" si="41"/>
        <v>338</v>
      </c>
      <c r="T181" s="819">
        <f t="shared" si="42"/>
        <v>1463</v>
      </c>
      <c r="U181" s="819">
        <f t="shared" si="43"/>
        <v>4188</v>
      </c>
      <c r="V181" s="819">
        <f t="shared" si="44"/>
        <v>1755</v>
      </c>
      <c r="W181" s="379">
        <f t="shared" si="45"/>
        <v>1755</v>
      </c>
      <c r="X181" s="819" t="str">
        <f t="shared" si="46"/>
        <v/>
      </c>
      <c r="Y181" s="837"/>
      <c r="Z181" s="839"/>
      <c r="AA181" s="838"/>
      <c r="AB181" s="839"/>
    </row>
    <row r="182" spans="2:28" ht="13.15">
      <c r="B182" s="819" t="s">
        <v>734</v>
      </c>
      <c r="C182" s="819" t="s">
        <v>735</v>
      </c>
      <c r="D182" s="379" t="s">
        <v>336</v>
      </c>
      <c r="E182" s="818" t="s">
        <v>337</v>
      </c>
      <c r="F182" s="820">
        <v>3.5292290309999998</v>
      </c>
      <c r="G182" s="821">
        <v>38.802030459999997</v>
      </c>
      <c r="H182" s="822">
        <v>263385000</v>
      </c>
      <c r="I182" s="819"/>
      <c r="J182" s="820">
        <v>8.3836399999999997E-4</v>
      </c>
      <c r="K182" s="819">
        <f t="shared" si="36"/>
        <v>503</v>
      </c>
      <c r="L182" s="819">
        <f t="shared" si="37"/>
        <v>47</v>
      </c>
      <c r="M182" s="819">
        <f t="shared" si="33"/>
        <v>503</v>
      </c>
      <c r="N182" s="819">
        <f t="shared" si="34"/>
        <v>364</v>
      </c>
      <c r="O182" s="819">
        <f t="shared" si="35"/>
        <v>185</v>
      </c>
      <c r="P182" s="819">
        <f t="shared" si="38"/>
        <v>895</v>
      </c>
      <c r="Q182" s="819">
        <f t="shared" si="39"/>
        <v>376</v>
      </c>
      <c r="R182" s="819">
        <f t="shared" si="40"/>
        <v>421</v>
      </c>
      <c r="S182" s="819">
        <f t="shared" si="41"/>
        <v>338</v>
      </c>
      <c r="T182" s="819">
        <f t="shared" si="42"/>
        <v>163</v>
      </c>
      <c r="U182" s="819">
        <f t="shared" si="43"/>
        <v>2193</v>
      </c>
      <c r="V182" s="819">
        <f t="shared" si="44"/>
        <v>203</v>
      </c>
      <c r="W182" s="379">
        <f t="shared" si="45"/>
        <v>203</v>
      </c>
      <c r="X182" s="819" t="str">
        <f t="shared" si="46"/>
        <v/>
      </c>
      <c r="Y182" s="837"/>
      <c r="Z182" s="839"/>
      <c r="AA182" s="838"/>
      <c r="AB182" s="839"/>
    </row>
    <row r="183" spans="2:28" ht="13.15">
      <c r="B183" s="819" t="s">
        <v>736</v>
      </c>
      <c r="C183" s="819" t="s">
        <v>737</v>
      </c>
      <c r="D183" s="379" t="s">
        <v>336</v>
      </c>
      <c r="E183" s="818" t="s">
        <v>728</v>
      </c>
      <c r="F183" s="820">
        <v>2.6052198729999998</v>
      </c>
      <c r="G183" s="821">
        <v>3.4205469769999999</v>
      </c>
      <c r="H183" s="822">
        <v>18053419.213882498</v>
      </c>
      <c r="I183" s="819"/>
      <c r="J183" s="820">
        <v>5.3002350000000004E-3</v>
      </c>
      <c r="K183" s="819">
        <f t="shared" si="36"/>
        <v>1125</v>
      </c>
      <c r="L183" s="819">
        <f t="shared" si="37"/>
        <v>511</v>
      </c>
      <c r="M183" s="819">
        <f t="shared" si="33"/>
        <v>1125</v>
      </c>
      <c r="N183" s="819">
        <f t="shared" si="34"/>
        <v>364</v>
      </c>
      <c r="O183" s="819">
        <f t="shared" si="35"/>
        <v>146</v>
      </c>
      <c r="P183" s="819">
        <f t="shared" si="38"/>
        <v>273</v>
      </c>
      <c r="Q183" s="819">
        <f t="shared" si="39"/>
        <v>88</v>
      </c>
      <c r="R183" s="819">
        <f t="shared" si="40"/>
        <v>1043</v>
      </c>
      <c r="S183" s="819">
        <f t="shared" si="41"/>
        <v>338</v>
      </c>
      <c r="T183" s="819">
        <f t="shared" si="42"/>
        <v>124</v>
      </c>
      <c r="U183" s="819">
        <f t="shared" si="43"/>
        <v>1866</v>
      </c>
      <c r="V183" s="819">
        <f t="shared" si="44"/>
        <v>133</v>
      </c>
      <c r="W183" s="379">
        <f t="shared" si="45"/>
        <v>133</v>
      </c>
      <c r="X183" s="819" t="str">
        <f t="shared" si="46"/>
        <v/>
      </c>
      <c r="Y183" s="837"/>
      <c r="Z183" s="839"/>
      <c r="AA183" s="838"/>
      <c r="AB183" s="839"/>
    </row>
    <row r="184" spans="2:28" ht="13.15">
      <c r="B184" s="819" t="s">
        <v>738</v>
      </c>
      <c r="C184" s="819" t="s">
        <v>739</v>
      </c>
      <c r="D184" s="379" t="s">
        <v>336</v>
      </c>
      <c r="E184" s="818" t="s">
        <v>740</v>
      </c>
      <c r="F184" s="820">
        <v>5.1947624819999998</v>
      </c>
      <c r="G184" s="821">
        <v>6.3551593100000003</v>
      </c>
      <c r="H184" s="822">
        <v>11669610.3896104</v>
      </c>
      <c r="I184" s="819"/>
      <c r="J184" s="820">
        <v>1.3764525E-2</v>
      </c>
      <c r="K184" s="819">
        <f t="shared" si="36"/>
        <v>1218</v>
      </c>
      <c r="L184" s="819">
        <f t="shared" si="37"/>
        <v>309</v>
      </c>
      <c r="M184" s="819">
        <f t="shared" si="33"/>
        <v>1218</v>
      </c>
      <c r="N184" s="819">
        <f t="shared" si="34"/>
        <v>364</v>
      </c>
      <c r="O184" s="819">
        <f t="shared" si="35"/>
        <v>131</v>
      </c>
      <c r="P184" s="819">
        <f t="shared" si="38"/>
        <v>180</v>
      </c>
      <c r="Q184" s="819">
        <f t="shared" si="39"/>
        <v>114</v>
      </c>
      <c r="R184" s="819">
        <f t="shared" si="40"/>
        <v>1136</v>
      </c>
      <c r="S184" s="819">
        <f t="shared" si="41"/>
        <v>338</v>
      </c>
      <c r="T184" s="819">
        <f t="shared" si="42"/>
        <v>109</v>
      </c>
      <c r="U184" s="819">
        <f t="shared" si="43"/>
        <v>1877</v>
      </c>
      <c r="V184" s="819">
        <f t="shared" si="44"/>
        <v>138</v>
      </c>
      <c r="W184" s="379">
        <f t="shared" si="45"/>
        <v>138</v>
      </c>
      <c r="X184" s="819" t="str">
        <f t="shared" si="46"/>
        <v/>
      </c>
      <c r="Y184" s="837"/>
      <c r="Z184" s="839"/>
      <c r="AA184" s="838"/>
      <c r="AB184" s="839"/>
    </row>
    <row r="185" spans="2:28" ht="13.15">
      <c r="B185" s="819" t="s">
        <v>741</v>
      </c>
      <c r="C185" s="819" t="s">
        <v>742</v>
      </c>
      <c r="D185" s="379" t="s">
        <v>336</v>
      </c>
      <c r="E185" s="818" t="s">
        <v>728</v>
      </c>
      <c r="F185" s="820">
        <v>4.2547070890000001</v>
      </c>
      <c r="G185" s="821">
        <v>0.13598985199999999</v>
      </c>
      <c r="H185" s="822">
        <v>68500333.347271606</v>
      </c>
      <c r="I185" s="819">
        <v>0.08</v>
      </c>
      <c r="J185" s="820">
        <v>0.70512947500000001</v>
      </c>
      <c r="K185" s="819">
        <f t="shared" si="36"/>
        <v>805</v>
      </c>
      <c r="L185" s="819">
        <f t="shared" si="37"/>
        <v>1002</v>
      </c>
      <c r="M185" s="819">
        <f t="shared" si="33"/>
        <v>805</v>
      </c>
      <c r="N185" s="819">
        <f t="shared" si="34"/>
        <v>283</v>
      </c>
      <c r="O185" s="819">
        <f t="shared" si="35"/>
        <v>7</v>
      </c>
      <c r="P185" s="819">
        <f t="shared" si="38"/>
        <v>593</v>
      </c>
      <c r="Q185" s="819">
        <f t="shared" si="39"/>
        <v>579</v>
      </c>
      <c r="R185" s="819">
        <f t="shared" si="40"/>
        <v>723</v>
      </c>
      <c r="S185" s="819">
        <f t="shared" si="41"/>
        <v>257</v>
      </c>
      <c r="T185" s="819">
        <f t="shared" si="42"/>
        <v>15</v>
      </c>
      <c r="U185" s="819">
        <f t="shared" si="43"/>
        <v>2167</v>
      </c>
      <c r="V185" s="819">
        <f t="shared" si="44"/>
        <v>200</v>
      </c>
      <c r="W185" s="379">
        <f t="shared" si="45"/>
        <v>200</v>
      </c>
      <c r="X185" s="819" t="str">
        <f t="shared" si="46"/>
        <v/>
      </c>
      <c r="Y185" s="837"/>
      <c r="Z185" s="839"/>
      <c r="AA185" s="838"/>
      <c r="AB185" s="839"/>
    </row>
    <row r="186" spans="2:28" ht="13.15">
      <c r="B186" s="819" t="s">
        <v>743</v>
      </c>
      <c r="C186" s="819" t="s">
        <v>744</v>
      </c>
      <c r="D186" s="379" t="s">
        <v>336</v>
      </c>
      <c r="E186" s="818" t="s">
        <v>745</v>
      </c>
      <c r="F186" s="820">
        <v>14.47701567</v>
      </c>
      <c r="G186" s="821">
        <v>-4.2706717620000001</v>
      </c>
      <c r="H186" s="822">
        <v>7852261.1603897102</v>
      </c>
      <c r="I186" s="819"/>
      <c r="J186" s="820">
        <v>-9.1740558999999999E-2</v>
      </c>
      <c r="K186" s="819">
        <f t="shared" si="36"/>
        <v>1302</v>
      </c>
      <c r="L186" s="819">
        <f t="shared" si="37"/>
        <v>1396</v>
      </c>
      <c r="M186" s="819">
        <f t="shared" si="33"/>
        <v>1302</v>
      </c>
      <c r="N186" s="819">
        <f t="shared" si="34"/>
        <v>364</v>
      </c>
      <c r="O186" s="819">
        <f t="shared" si="35"/>
        <v>1748</v>
      </c>
      <c r="P186" s="819">
        <f t="shared" si="38"/>
        <v>96</v>
      </c>
      <c r="Q186" s="819">
        <f t="shared" si="39"/>
        <v>973</v>
      </c>
      <c r="R186" s="819">
        <f t="shared" si="40"/>
        <v>1220</v>
      </c>
      <c r="S186" s="819">
        <f t="shared" si="41"/>
        <v>338</v>
      </c>
      <c r="T186" s="819">
        <f t="shared" si="42"/>
        <v>1726</v>
      </c>
      <c r="U186" s="819">
        <f t="shared" si="43"/>
        <v>4353</v>
      </c>
      <c r="V186" s="819">
        <f t="shared" si="44"/>
        <v>1772</v>
      </c>
      <c r="W186" s="379">
        <f t="shared" si="45"/>
        <v>1772</v>
      </c>
      <c r="X186" s="819" t="str">
        <f t="shared" si="46"/>
        <v/>
      </c>
      <c r="Y186" s="837"/>
      <c r="Z186" s="839"/>
      <c r="AA186" s="838"/>
      <c r="AB186" s="839"/>
    </row>
    <row r="187" spans="2:28" ht="13.15">
      <c r="B187" s="819" t="s">
        <v>746</v>
      </c>
      <c r="C187" s="819" t="s">
        <v>747</v>
      </c>
      <c r="D187" s="379" t="s">
        <v>336</v>
      </c>
      <c r="E187" s="818" t="s">
        <v>441</v>
      </c>
      <c r="F187" s="820">
        <v>2.4502930040000002</v>
      </c>
      <c r="G187" s="821">
        <v>3.8447418450000002</v>
      </c>
      <c r="H187" s="822">
        <v>25156293966.941101</v>
      </c>
      <c r="I187" s="819">
        <v>0.23</v>
      </c>
      <c r="J187" s="820">
        <v>92.353407219999994</v>
      </c>
      <c r="K187" s="819">
        <f t="shared" si="36"/>
        <v>11</v>
      </c>
      <c r="L187" s="819">
        <f t="shared" si="37"/>
        <v>465</v>
      </c>
      <c r="M187" s="819">
        <f t="shared" si="33"/>
        <v>11</v>
      </c>
      <c r="N187" s="819">
        <f t="shared" si="34"/>
        <v>211</v>
      </c>
      <c r="O187" s="819">
        <f t="shared" si="35"/>
        <v>1</v>
      </c>
      <c r="P187" s="819">
        <f t="shared" si="38"/>
        <v>1387</v>
      </c>
      <c r="Q187" s="819">
        <f t="shared" si="39"/>
        <v>42</v>
      </c>
      <c r="R187" s="819">
        <f t="shared" si="40"/>
        <v>71</v>
      </c>
      <c r="S187" s="819">
        <f t="shared" si="41"/>
        <v>185</v>
      </c>
      <c r="T187" s="819">
        <f t="shared" si="42"/>
        <v>21</v>
      </c>
      <c r="U187" s="819">
        <f t="shared" si="43"/>
        <v>1706</v>
      </c>
      <c r="V187" s="819">
        <f t="shared" si="44"/>
        <v>93</v>
      </c>
      <c r="W187" s="379">
        <f t="shared" si="45"/>
        <v>93</v>
      </c>
      <c r="X187" s="819" t="str">
        <f t="shared" si="46"/>
        <v/>
      </c>
      <c r="Y187" s="837"/>
      <c r="Z187" s="839"/>
      <c r="AA187" s="838"/>
      <c r="AB187" s="839"/>
    </row>
    <row r="188" spans="2:28" ht="13.15">
      <c r="B188" s="819" t="s">
        <v>748</v>
      </c>
      <c r="C188" s="819" t="s">
        <v>749</v>
      </c>
      <c r="D188" s="379" t="s">
        <v>336</v>
      </c>
      <c r="E188" s="818" t="s">
        <v>460</v>
      </c>
      <c r="F188" s="820"/>
      <c r="G188" s="821"/>
      <c r="H188" s="822">
        <v>540236.73518307705</v>
      </c>
      <c r="I188" s="819"/>
      <c r="J188" s="820">
        <v>0</v>
      </c>
      <c r="K188" s="819">
        <f t="shared" si="36"/>
        <v>1597</v>
      </c>
      <c r="L188" s="819">
        <f t="shared" si="37"/>
        <v>1084</v>
      </c>
      <c r="M188" s="819">
        <f t="shared" si="33"/>
        <v>1597</v>
      </c>
      <c r="N188" s="819">
        <f t="shared" si="34"/>
        <v>364</v>
      </c>
      <c r="O188" s="819">
        <f t="shared" si="35"/>
        <v>492</v>
      </c>
      <c r="P188" s="819">
        <f t="shared" si="38"/>
        <v>199</v>
      </c>
      <c r="Q188" s="819">
        <f t="shared" si="39"/>
        <v>661</v>
      </c>
      <c r="R188" s="819">
        <f t="shared" si="40"/>
        <v>1515</v>
      </c>
      <c r="S188" s="819">
        <f t="shared" si="41"/>
        <v>338</v>
      </c>
      <c r="T188" s="819">
        <f t="shared" si="42"/>
        <v>470</v>
      </c>
      <c r="U188" s="819">
        <f t="shared" si="43"/>
        <v>3183</v>
      </c>
      <c r="V188" s="819">
        <f t="shared" si="44"/>
        <v>1175</v>
      </c>
      <c r="W188" s="379">
        <f t="shared" si="45"/>
        <v>1175</v>
      </c>
      <c r="X188" s="819" t="str">
        <f t="shared" si="46"/>
        <v/>
      </c>
      <c r="Y188" s="837"/>
      <c r="Z188" s="839"/>
      <c r="AA188" s="838"/>
      <c r="AB188" s="839"/>
    </row>
    <row r="189" spans="2:28" ht="13.15">
      <c r="B189" s="819" t="s">
        <v>750</v>
      </c>
      <c r="C189" s="819" t="s">
        <v>751</v>
      </c>
      <c r="D189" s="379" t="s">
        <v>336</v>
      </c>
      <c r="E189" s="818" t="s">
        <v>752</v>
      </c>
      <c r="F189" s="820">
        <v>16.167062009999999</v>
      </c>
      <c r="G189" s="821">
        <v>4.2879229160000003</v>
      </c>
      <c r="H189" s="822">
        <v>68763180.806142002</v>
      </c>
      <c r="I189" s="819"/>
      <c r="J189" s="820">
        <v>-0.59967490199999995</v>
      </c>
      <c r="K189" s="819">
        <f t="shared" si="36"/>
        <v>803</v>
      </c>
      <c r="L189" s="819">
        <f t="shared" si="37"/>
        <v>428</v>
      </c>
      <c r="M189" s="819">
        <f t="shared" si="33"/>
        <v>803</v>
      </c>
      <c r="N189" s="819">
        <f t="shared" si="34"/>
        <v>364</v>
      </c>
      <c r="O189" s="819">
        <f t="shared" si="35"/>
        <v>1781</v>
      </c>
      <c r="P189" s="819">
        <f t="shared" si="38"/>
        <v>595</v>
      </c>
      <c r="Q189" s="819">
        <f t="shared" si="39"/>
        <v>5</v>
      </c>
      <c r="R189" s="819">
        <f t="shared" si="40"/>
        <v>721</v>
      </c>
      <c r="S189" s="819">
        <f t="shared" si="41"/>
        <v>338</v>
      </c>
      <c r="T189" s="819">
        <f t="shared" si="42"/>
        <v>1759</v>
      </c>
      <c r="U189" s="819">
        <f t="shared" si="43"/>
        <v>3418</v>
      </c>
      <c r="V189" s="819">
        <f t="shared" si="44"/>
        <v>1481</v>
      </c>
      <c r="W189" s="379">
        <f t="shared" si="45"/>
        <v>1481</v>
      </c>
      <c r="X189" s="819" t="str">
        <f t="shared" si="46"/>
        <v/>
      </c>
      <c r="Y189" s="837"/>
      <c r="Z189" s="839"/>
      <c r="AA189" s="838"/>
      <c r="AB189" s="839"/>
    </row>
    <row r="190" spans="2:28" ht="13.15">
      <c r="B190" s="819" t="s">
        <v>753</v>
      </c>
      <c r="C190" s="819" t="s">
        <v>754</v>
      </c>
      <c r="D190" s="379" t="s">
        <v>336</v>
      </c>
      <c r="E190" s="818" t="s">
        <v>460</v>
      </c>
      <c r="F190" s="820">
        <v>3.6269268220000002</v>
      </c>
      <c r="G190" s="821">
        <v>5.5859349910000002</v>
      </c>
      <c r="H190" s="822">
        <v>34378476.597351201</v>
      </c>
      <c r="I190" s="819"/>
      <c r="J190" s="820">
        <v>-1.8664936E-2</v>
      </c>
      <c r="K190" s="819">
        <f t="shared" si="36"/>
        <v>962</v>
      </c>
      <c r="L190" s="819">
        <f t="shared" si="37"/>
        <v>344</v>
      </c>
      <c r="M190" s="819">
        <f t="shared" si="33"/>
        <v>962</v>
      </c>
      <c r="N190" s="819">
        <f t="shared" si="34"/>
        <v>364</v>
      </c>
      <c r="O190" s="819">
        <f t="shared" si="35"/>
        <v>1690</v>
      </c>
      <c r="P190" s="819">
        <f t="shared" si="38"/>
        <v>436</v>
      </c>
      <c r="Q190" s="819">
        <f t="shared" si="39"/>
        <v>79</v>
      </c>
      <c r="R190" s="819">
        <f t="shared" si="40"/>
        <v>880</v>
      </c>
      <c r="S190" s="819">
        <f t="shared" si="41"/>
        <v>338</v>
      </c>
      <c r="T190" s="819">
        <f t="shared" si="42"/>
        <v>1668</v>
      </c>
      <c r="U190" s="819">
        <f t="shared" si="43"/>
        <v>3401</v>
      </c>
      <c r="V190" s="819">
        <f t="shared" si="44"/>
        <v>1464</v>
      </c>
      <c r="W190" s="379">
        <f t="shared" si="45"/>
        <v>1464</v>
      </c>
      <c r="X190" s="819" t="str">
        <f t="shared" si="46"/>
        <v/>
      </c>
      <c r="Y190" s="837"/>
      <c r="Z190" s="839"/>
      <c r="AA190" s="838"/>
      <c r="AB190" s="839"/>
    </row>
    <row r="191" spans="2:28" ht="13.15">
      <c r="B191" s="819" t="s">
        <v>755</v>
      </c>
      <c r="C191" s="819" t="s">
        <v>756</v>
      </c>
      <c r="D191" s="379" t="s">
        <v>336</v>
      </c>
      <c r="E191" s="818" t="s">
        <v>460</v>
      </c>
      <c r="F191" s="820">
        <v>1.8123319550000001</v>
      </c>
      <c r="G191" s="821">
        <v>14.14244259</v>
      </c>
      <c r="H191" s="822">
        <v>14522682.327560401</v>
      </c>
      <c r="I191" s="819"/>
      <c r="J191" s="820">
        <v>-2.453205E-3</v>
      </c>
      <c r="K191" s="819">
        <f t="shared" si="36"/>
        <v>1173</v>
      </c>
      <c r="L191" s="819">
        <f t="shared" si="37"/>
        <v>137</v>
      </c>
      <c r="M191" s="819">
        <f t="shared" si="33"/>
        <v>1173</v>
      </c>
      <c r="N191" s="819">
        <f t="shared" si="34"/>
        <v>364</v>
      </c>
      <c r="O191" s="819">
        <f t="shared" si="35"/>
        <v>1524</v>
      </c>
      <c r="P191" s="819">
        <f t="shared" si="38"/>
        <v>225</v>
      </c>
      <c r="Q191" s="819">
        <f t="shared" si="39"/>
        <v>286</v>
      </c>
      <c r="R191" s="819">
        <f t="shared" si="40"/>
        <v>1091</v>
      </c>
      <c r="S191" s="819">
        <f t="shared" si="41"/>
        <v>338</v>
      </c>
      <c r="T191" s="819">
        <f t="shared" si="42"/>
        <v>1502</v>
      </c>
      <c r="U191" s="819">
        <f t="shared" si="43"/>
        <v>3442</v>
      </c>
      <c r="V191" s="819">
        <f t="shared" si="44"/>
        <v>1501</v>
      </c>
      <c r="W191" s="379">
        <f t="shared" si="45"/>
        <v>1501</v>
      </c>
      <c r="X191" s="819" t="str">
        <f t="shared" si="46"/>
        <v/>
      </c>
      <c r="Y191" s="837"/>
      <c r="Z191" s="839"/>
      <c r="AA191" s="838"/>
      <c r="AB191" s="839"/>
    </row>
    <row r="192" spans="2:28" ht="13.15">
      <c r="B192" s="819" t="s">
        <v>757</v>
      </c>
      <c r="C192" s="819" t="s">
        <v>758</v>
      </c>
      <c r="D192" s="379" t="s">
        <v>336</v>
      </c>
      <c r="E192" s="818" t="s">
        <v>522</v>
      </c>
      <c r="F192" s="820">
        <v>3.6992797569999998</v>
      </c>
      <c r="G192" s="821">
        <v>-35.867256640000001</v>
      </c>
      <c r="H192" s="822">
        <v>16131450</v>
      </c>
      <c r="I192" s="819"/>
      <c r="J192" s="820">
        <v>1.687547E-3</v>
      </c>
      <c r="K192" s="819">
        <f t="shared" si="36"/>
        <v>1148</v>
      </c>
      <c r="L192" s="819">
        <f t="shared" si="37"/>
        <v>1499</v>
      </c>
      <c r="M192" s="819">
        <f t="shared" si="33"/>
        <v>1148</v>
      </c>
      <c r="N192" s="819">
        <f t="shared" si="34"/>
        <v>364</v>
      </c>
      <c r="O192" s="819">
        <f t="shared" si="35"/>
        <v>168</v>
      </c>
      <c r="P192" s="819">
        <f t="shared" si="38"/>
        <v>250</v>
      </c>
      <c r="Q192" s="819">
        <f t="shared" si="39"/>
        <v>1076</v>
      </c>
      <c r="R192" s="819">
        <f t="shared" si="40"/>
        <v>1066</v>
      </c>
      <c r="S192" s="819">
        <f t="shared" si="41"/>
        <v>338</v>
      </c>
      <c r="T192" s="819">
        <f t="shared" si="42"/>
        <v>146</v>
      </c>
      <c r="U192" s="819">
        <f t="shared" si="43"/>
        <v>2876</v>
      </c>
      <c r="V192" s="819">
        <f t="shared" si="44"/>
        <v>765</v>
      </c>
      <c r="W192" s="379">
        <f t="shared" si="45"/>
        <v>765</v>
      </c>
      <c r="X192" s="819" t="str">
        <f t="shared" si="46"/>
        <v/>
      </c>
      <c r="Y192" s="837"/>
      <c r="Z192" s="839"/>
      <c r="AA192" s="838"/>
      <c r="AB192" s="839"/>
    </row>
    <row r="193" spans="2:28" ht="13.15">
      <c r="B193" s="819" t="s">
        <v>759</v>
      </c>
      <c r="C193" s="819" t="s">
        <v>760</v>
      </c>
      <c r="D193" s="379" t="s">
        <v>336</v>
      </c>
      <c r="E193" s="818" t="s">
        <v>645</v>
      </c>
      <c r="F193" s="820">
        <v>1.166562646</v>
      </c>
      <c r="G193" s="821">
        <v>-1.0296864699999999</v>
      </c>
      <c r="H193" s="822">
        <v>5427408.4124830402</v>
      </c>
      <c r="I193" s="819"/>
      <c r="J193" s="820">
        <v>2.1629069999999999E-3</v>
      </c>
      <c r="K193" s="819">
        <f t="shared" si="36"/>
        <v>1355</v>
      </c>
      <c r="L193" s="819">
        <f t="shared" si="37"/>
        <v>1295</v>
      </c>
      <c r="M193" s="819">
        <f t="shared" si="33"/>
        <v>1355</v>
      </c>
      <c r="N193" s="819">
        <f t="shared" si="34"/>
        <v>364</v>
      </c>
      <c r="O193" s="819">
        <f t="shared" si="35"/>
        <v>161</v>
      </c>
      <c r="P193" s="819">
        <f t="shared" si="38"/>
        <v>43</v>
      </c>
      <c r="Q193" s="819">
        <f t="shared" si="39"/>
        <v>872</v>
      </c>
      <c r="R193" s="819">
        <f t="shared" si="40"/>
        <v>1273</v>
      </c>
      <c r="S193" s="819">
        <f t="shared" si="41"/>
        <v>338</v>
      </c>
      <c r="T193" s="819">
        <f t="shared" si="42"/>
        <v>139</v>
      </c>
      <c r="U193" s="819">
        <f t="shared" si="43"/>
        <v>2665</v>
      </c>
      <c r="V193" s="819">
        <f t="shared" si="44"/>
        <v>329</v>
      </c>
      <c r="W193" s="379">
        <f t="shared" si="45"/>
        <v>329</v>
      </c>
      <c r="X193" s="819" t="str">
        <f t="shared" si="46"/>
        <v/>
      </c>
      <c r="Y193" s="837"/>
      <c r="Z193" s="839"/>
      <c r="AA193" s="838"/>
      <c r="AB193" s="839"/>
    </row>
    <row r="194" spans="2:28" ht="13.15">
      <c r="B194" s="819" t="s">
        <v>761</v>
      </c>
      <c r="C194" s="819" t="s">
        <v>762</v>
      </c>
      <c r="D194" s="379" t="s">
        <v>336</v>
      </c>
      <c r="E194" s="818" t="s">
        <v>645</v>
      </c>
      <c r="F194" s="820">
        <v>0.42636403099999998</v>
      </c>
      <c r="G194" s="821">
        <v>6.7402957380000004</v>
      </c>
      <c r="H194" s="822">
        <v>45636593.9533104</v>
      </c>
      <c r="I194" s="819"/>
      <c r="J194" s="820">
        <v>-1.4519722000000001E-2</v>
      </c>
      <c r="K194" s="819">
        <f t="shared" si="36"/>
        <v>894</v>
      </c>
      <c r="L194" s="819">
        <f t="shared" si="37"/>
        <v>294</v>
      </c>
      <c r="M194" s="819">
        <f t="shared" si="33"/>
        <v>894</v>
      </c>
      <c r="N194" s="819">
        <f t="shared" si="34"/>
        <v>364</v>
      </c>
      <c r="O194" s="819">
        <f t="shared" si="35"/>
        <v>1671</v>
      </c>
      <c r="P194" s="819">
        <f t="shared" si="38"/>
        <v>504</v>
      </c>
      <c r="Q194" s="819">
        <f t="shared" si="39"/>
        <v>129</v>
      </c>
      <c r="R194" s="819">
        <f t="shared" si="40"/>
        <v>812</v>
      </c>
      <c r="S194" s="819">
        <f t="shared" si="41"/>
        <v>338</v>
      </c>
      <c r="T194" s="819">
        <f t="shared" si="42"/>
        <v>1649</v>
      </c>
      <c r="U194" s="819">
        <f t="shared" si="43"/>
        <v>3432</v>
      </c>
      <c r="V194" s="819">
        <f t="shared" si="44"/>
        <v>1490</v>
      </c>
      <c r="W194" s="379">
        <f t="shared" si="45"/>
        <v>1490</v>
      </c>
      <c r="X194" s="819" t="str">
        <f t="shared" si="46"/>
        <v/>
      </c>
      <c r="Y194" s="837"/>
      <c r="Z194" s="839"/>
      <c r="AA194" s="838"/>
      <c r="AB194" s="839"/>
    </row>
    <row r="195" spans="2:28" ht="13.15">
      <c r="B195" s="819" t="s">
        <v>763</v>
      </c>
      <c r="C195" s="819" t="s">
        <v>764</v>
      </c>
      <c r="D195" s="379" t="s">
        <v>336</v>
      </c>
      <c r="E195" s="818" t="s">
        <v>460</v>
      </c>
      <c r="F195" s="820"/>
      <c r="G195" s="821"/>
      <c r="H195" s="822">
        <v>1810453.7064781</v>
      </c>
      <c r="I195" s="819"/>
      <c r="J195" s="820">
        <v>0</v>
      </c>
      <c r="K195" s="819">
        <f t="shared" si="36"/>
        <v>1512</v>
      </c>
      <c r="L195" s="819">
        <f t="shared" si="37"/>
        <v>1084</v>
      </c>
      <c r="M195" s="819">
        <f t="shared" si="33"/>
        <v>1512</v>
      </c>
      <c r="N195" s="819">
        <f t="shared" si="34"/>
        <v>364</v>
      </c>
      <c r="O195" s="819">
        <f t="shared" si="35"/>
        <v>492</v>
      </c>
      <c r="P195" s="819">
        <f t="shared" si="38"/>
        <v>114</v>
      </c>
      <c r="Q195" s="819">
        <f t="shared" si="39"/>
        <v>661</v>
      </c>
      <c r="R195" s="819">
        <f t="shared" si="40"/>
        <v>1430</v>
      </c>
      <c r="S195" s="819">
        <f t="shared" si="41"/>
        <v>338</v>
      </c>
      <c r="T195" s="819">
        <f t="shared" si="42"/>
        <v>470</v>
      </c>
      <c r="U195" s="819">
        <f t="shared" si="43"/>
        <v>3013</v>
      </c>
      <c r="V195" s="819">
        <f t="shared" si="44"/>
        <v>941</v>
      </c>
      <c r="W195" s="379">
        <f t="shared" si="45"/>
        <v>941</v>
      </c>
      <c r="X195" s="819" t="str">
        <f t="shared" si="46"/>
        <v/>
      </c>
      <c r="Y195" s="837"/>
      <c r="Z195" s="839"/>
      <c r="AA195" s="838"/>
      <c r="AB195" s="839"/>
    </row>
    <row r="196" spans="2:28" ht="13.15">
      <c r="B196" s="819" t="s">
        <v>765</v>
      </c>
      <c r="C196" s="819" t="s">
        <v>766</v>
      </c>
      <c r="D196" s="379" t="s">
        <v>336</v>
      </c>
      <c r="E196" s="818" t="s">
        <v>460</v>
      </c>
      <c r="F196" s="820">
        <v>-2.2527969520000002</v>
      </c>
      <c r="G196" s="821">
        <v>10.408992140000001</v>
      </c>
      <c r="H196" s="822">
        <v>10564999.650026999</v>
      </c>
      <c r="I196" s="819"/>
      <c r="J196" s="820">
        <v>-3.911014E-3</v>
      </c>
      <c r="K196" s="819">
        <f t="shared" si="36"/>
        <v>1243</v>
      </c>
      <c r="L196" s="819">
        <f t="shared" si="37"/>
        <v>188</v>
      </c>
      <c r="M196" s="819">
        <f t="shared" ref="M196:M259" si="47">IFERROR(_xlfn.RANK.EQ(H196,H$3:H$1787),"N/A")</f>
        <v>1243</v>
      </c>
      <c r="N196" s="819">
        <f t="shared" ref="N196:N259" si="48">IFERROR(_xlfn.RANK.EQ(I196,I$3:I$1787),"N/A")</f>
        <v>364</v>
      </c>
      <c r="O196" s="819">
        <f t="shared" ref="O196:O259" si="49">IFERROR(_xlfn.RANK.EQ(J196,J$3:J$1787),"N/A")</f>
        <v>1586</v>
      </c>
      <c r="P196" s="819">
        <f t="shared" si="38"/>
        <v>155</v>
      </c>
      <c r="Q196" s="819">
        <f t="shared" si="39"/>
        <v>235</v>
      </c>
      <c r="R196" s="819">
        <f t="shared" si="40"/>
        <v>1161</v>
      </c>
      <c r="S196" s="819">
        <f t="shared" si="41"/>
        <v>338</v>
      </c>
      <c r="T196" s="819">
        <f t="shared" si="42"/>
        <v>1564</v>
      </c>
      <c r="U196" s="819">
        <f t="shared" si="43"/>
        <v>3453</v>
      </c>
      <c r="V196" s="819">
        <f t="shared" si="44"/>
        <v>1509</v>
      </c>
      <c r="W196" s="379">
        <f t="shared" si="45"/>
        <v>1509</v>
      </c>
      <c r="X196" s="819" t="str">
        <f t="shared" si="46"/>
        <v/>
      </c>
      <c r="Y196" s="837"/>
      <c r="Z196" s="839"/>
      <c r="AA196" s="838"/>
      <c r="AB196" s="839"/>
    </row>
    <row r="197" spans="2:28" ht="13.15">
      <c r="B197" s="819" t="s">
        <v>767</v>
      </c>
      <c r="C197" s="819" t="s">
        <v>768</v>
      </c>
      <c r="D197" s="379" t="s">
        <v>336</v>
      </c>
      <c r="E197" s="818" t="s">
        <v>600</v>
      </c>
      <c r="F197" s="820">
        <v>1.0582595109999999</v>
      </c>
      <c r="G197" s="821">
        <v>0</v>
      </c>
      <c r="H197" s="822">
        <v>29519347.150667101</v>
      </c>
      <c r="I197" s="819"/>
      <c r="J197" s="820">
        <v>-3.6692349999999999E-3</v>
      </c>
      <c r="K197" s="819">
        <f t="shared" ref="K197:K260" si="50">IFERROR(_xlfn.RANK.EQ(H197,H$3:H$1787),"N/A")</f>
        <v>1006</v>
      </c>
      <c r="L197" s="819">
        <f t="shared" ref="L197:L260" si="51">IFERROR(_xlfn.RANK.EQ(G197,G$3:G$1787),"N/A")</f>
        <v>1084</v>
      </c>
      <c r="M197" s="819">
        <f t="shared" si="47"/>
        <v>1006</v>
      </c>
      <c r="N197" s="819">
        <f t="shared" si="48"/>
        <v>364</v>
      </c>
      <c r="O197" s="819">
        <f t="shared" si="49"/>
        <v>1574</v>
      </c>
      <c r="P197" s="819">
        <f t="shared" ref="P197:P260" si="52">IFERROR(ABS(K$3-K197),"N/A")</f>
        <v>392</v>
      </c>
      <c r="Q197" s="819">
        <f t="shared" ref="Q197:Q260" si="53">IFERROR(ABS(L$3-L197),"N/A")</f>
        <v>661</v>
      </c>
      <c r="R197" s="819">
        <f t="shared" ref="R197:R260" si="54">IFERROR(ABS(M$3-M197),"N/A")</f>
        <v>924</v>
      </c>
      <c r="S197" s="819">
        <f t="shared" ref="S197:S260" si="55">IFERROR(ABS(N$3-N197),"N/A")</f>
        <v>338</v>
      </c>
      <c r="T197" s="819">
        <f t="shared" ref="T197:T260" si="56">IFERROR(ABS(O$3-O197),"N/A")</f>
        <v>1552</v>
      </c>
      <c r="U197" s="819">
        <f t="shared" ref="U197:U260" si="57">SUM(P197:T197)</f>
        <v>3867</v>
      </c>
      <c r="V197" s="819">
        <f t="shared" ref="V197:V260" si="58">_xlfn.RANK.EQ(U197,$U$4:$U$1787,1)</f>
        <v>1732</v>
      </c>
      <c r="W197" s="379">
        <f t="shared" ref="W197:W260" si="59">IF(Y197="Not suitable","-",V197)</f>
        <v>1732</v>
      </c>
      <c r="X197" s="819" t="str">
        <f t="shared" si="46"/>
        <v/>
      </c>
      <c r="Y197" s="837"/>
      <c r="Z197" s="839"/>
      <c r="AA197" s="838"/>
      <c r="AB197" s="839"/>
    </row>
    <row r="198" spans="2:28" ht="13.15">
      <c r="B198" s="819" t="s">
        <v>769</v>
      </c>
      <c r="C198" s="819" t="s">
        <v>770</v>
      </c>
      <c r="D198" s="379" t="s">
        <v>336</v>
      </c>
      <c r="E198" s="818" t="s">
        <v>460</v>
      </c>
      <c r="F198" s="820">
        <v>3.106093773</v>
      </c>
      <c r="G198" s="821">
        <v>12.58640269</v>
      </c>
      <c r="H198" s="822">
        <v>2642457.9612872298</v>
      </c>
      <c r="I198" s="819"/>
      <c r="J198" s="820">
        <v>-7.0464099999999999E-4</v>
      </c>
      <c r="K198" s="819">
        <f t="shared" si="50"/>
        <v>1461</v>
      </c>
      <c r="L198" s="819">
        <f t="shared" si="51"/>
        <v>157</v>
      </c>
      <c r="M198" s="819">
        <f t="shared" si="47"/>
        <v>1461</v>
      </c>
      <c r="N198" s="819">
        <f t="shared" si="48"/>
        <v>364</v>
      </c>
      <c r="O198" s="819">
        <f t="shared" si="49"/>
        <v>1344</v>
      </c>
      <c r="P198" s="819">
        <f t="shared" si="52"/>
        <v>63</v>
      </c>
      <c r="Q198" s="819">
        <f t="shared" si="53"/>
        <v>266</v>
      </c>
      <c r="R198" s="819">
        <f t="shared" si="54"/>
        <v>1379</v>
      </c>
      <c r="S198" s="819">
        <f t="shared" si="55"/>
        <v>338</v>
      </c>
      <c r="T198" s="819">
        <f t="shared" si="56"/>
        <v>1322</v>
      </c>
      <c r="U198" s="819">
        <f t="shared" si="57"/>
        <v>3368</v>
      </c>
      <c r="V198" s="819">
        <f t="shared" si="58"/>
        <v>1431</v>
      </c>
      <c r="W198" s="379">
        <f t="shared" si="59"/>
        <v>1431</v>
      </c>
      <c r="X198" s="819" t="str">
        <f t="shared" ref="X198:X261" si="60">IF(L198="N/A","Y","")</f>
        <v/>
      </c>
      <c r="Y198" s="837"/>
      <c r="Z198" s="839"/>
      <c r="AA198" s="838"/>
      <c r="AB198" s="839"/>
    </row>
    <row r="199" spans="2:28" ht="13.15">
      <c r="B199" s="819" t="s">
        <v>771</v>
      </c>
      <c r="C199" s="819" t="s">
        <v>772</v>
      </c>
      <c r="D199" s="379" t="s">
        <v>336</v>
      </c>
      <c r="E199" s="818" t="s">
        <v>460</v>
      </c>
      <c r="F199" s="820">
        <v>-5.1837332999999999E-2</v>
      </c>
      <c r="G199" s="821">
        <v>0</v>
      </c>
      <c r="H199" s="822">
        <v>3940091.4484329098</v>
      </c>
      <c r="I199" s="819"/>
      <c r="J199" s="820">
        <v>5.7343800000000001E-4</v>
      </c>
      <c r="K199" s="819">
        <f t="shared" si="50"/>
        <v>1410</v>
      </c>
      <c r="L199" s="819">
        <f t="shared" si="51"/>
        <v>1084</v>
      </c>
      <c r="M199" s="819">
        <f t="shared" si="47"/>
        <v>1410</v>
      </c>
      <c r="N199" s="819">
        <f t="shared" si="48"/>
        <v>364</v>
      </c>
      <c r="O199" s="819">
        <f t="shared" si="49"/>
        <v>202</v>
      </c>
      <c r="P199" s="819">
        <f t="shared" si="52"/>
        <v>12</v>
      </c>
      <c r="Q199" s="819">
        <f t="shared" si="53"/>
        <v>661</v>
      </c>
      <c r="R199" s="819">
        <f t="shared" si="54"/>
        <v>1328</v>
      </c>
      <c r="S199" s="819">
        <f t="shared" si="55"/>
        <v>338</v>
      </c>
      <c r="T199" s="819">
        <f t="shared" si="56"/>
        <v>180</v>
      </c>
      <c r="U199" s="819">
        <f t="shared" si="57"/>
        <v>2519</v>
      </c>
      <c r="V199" s="819">
        <f t="shared" si="58"/>
        <v>255</v>
      </c>
      <c r="W199" s="379">
        <f t="shared" si="59"/>
        <v>255</v>
      </c>
      <c r="X199" s="819" t="str">
        <f t="shared" si="60"/>
        <v/>
      </c>
      <c r="Y199" s="837"/>
      <c r="Z199" s="839"/>
      <c r="AA199" s="838"/>
      <c r="AB199" s="839"/>
    </row>
    <row r="200" spans="2:28" ht="13.15">
      <c r="B200" s="819" t="s">
        <v>773</v>
      </c>
      <c r="C200" s="819" t="s">
        <v>774</v>
      </c>
      <c r="D200" s="379" t="s">
        <v>336</v>
      </c>
      <c r="E200" s="818" t="s">
        <v>453</v>
      </c>
      <c r="F200" s="820">
        <v>4.209938008</v>
      </c>
      <c r="G200" s="821">
        <v>0.50109433599999997</v>
      </c>
      <c r="H200" s="822">
        <v>9631968943.0468502</v>
      </c>
      <c r="I200" s="819"/>
      <c r="J200" s="820">
        <v>-4.7685790999999998E-2</v>
      </c>
      <c r="K200" s="819">
        <f t="shared" si="50"/>
        <v>36</v>
      </c>
      <c r="L200" s="819">
        <f t="shared" si="51"/>
        <v>923</v>
      </c>
      <c r="M200" s="819">
        <f t="shared" si="47"/>
        <v>36</v>
      </c>
      <c r="N200" s="819">
        <f t="shared" si="48"/>
        <v>364</v>
      </c>
      <c r="O200" s="819">
        <f t="shared" si="49"/>
        <v>1732</v>
      </c>
      <c r="P200" s="819">
        <f t="shared" si="52"/>
        <v>1362</v>
      </c>
      <c r="Q200" s="819">
        <f t="shared" si="53"/>
        <v>500</v>
      </c>
      <c r="R200" s="819">
        <f t="shared" si="54"/>
        <v>46</v>
      </c>
      <c r="S200" s="819">
        <f t="shared" si="55"/>
        <v>338</v>
      </c>
      <c r="T200" s="819">
        <f t="shared" si="56"/>
        <v>1710</v>
      </c>
      <c r="U200" s="819">
        <f t="shared" si="57"/>
        <v>3956</v>
      </c>
      <c r="V200" s="819">
        <f t="shared" si="58"/>
        <v>1744</v>
      </c>
      <c r="W200" s="379">
        <f t="shared" si="59"/>
        <v>1744</v>
      </c>
      <c r="X200" s="819" t="str">
        <f t="shared" si="60"/>
        <v/>
      </c>
      <c r="Y200" s="837"/>
      <c r="Z200" s="839"/>
      <c r="AA200" s="838"/>
      <c r="AB200" s="839"/>
    </row>
    <row r="201" spans="2:28" ht="13.15">
      <c r="B201" s="819" t="s">
        <v>775</v>
      </c>
      <c r="C201" s="819" t="s">
        <v>776</v>
      </c>
      <c r="D201" s="379" t="s">
        <v>336</v>
      </c>
      <c r="E201" s="818" t="s">
        <v>645</v>
      </c>
      <c r="F201" s="820">
        <v>0.69576744300000004</v>
      </c>
      <c r="G201" s="821">
        <v>404.5981615</v>
      </c>
      <c r="H201" s="822">
        <v>37626552.551925696</v>
      </c>
      <c r="I201" s="819"/>
      <c r="J201" s="820">
        <v>-7.5506999999999994E-5</v>
      </c>
      <c r="K201" s="819">
        <f t="shared" si="50"/>
        <v>941</v>
      </c>
      <c r="L201" s="819">
        <f t="shared" si="51"/>
        <v>3</v>
      </c>
      <c r="M201" s="819">
        <f t="shared" si="47"/>
        <v>941</v>
      </c>
      <c r="N201" s="819">
        <f t="shared" si="48"/>
        <v>364</v>
      </c>
      <c r="O201" s="819">
        <f t="shared" si="49"/>
        <v>962</v>
      </c>
      <c r="P201" s="819">
        <f t="shared" si="52"/>
        <v>457</v>
      </c>
      <c r="Q201" s="819">
        <f t="shared" si="53"/>
        <v>420</v>
      </c>
      <c r="R201" s="819">
        <f t="shared" si="54"/>
        <v>859</v>
      </c>
      <c r="S201" s="819">
        <f t="shared" si="55"/>
        <v>338</v>
      </c>
      <c r="T201" s="819">
        <f t="shared" si="56"/>
        <v>940</v>
      </c>
      <c r="U201" s="819">
        <f t="shared" si="57"/>
        <v>3014</v>
      </c>
      <c r="V201" s="819">
        <f t="shared" si="58"/>
        <v>943</v>
      </c>
      <c r="W201" s="379">
        <f t="shared" si="59"/>
        <v>943</v>
      </c>
      <c r="X201" s="819" t="str">
        <f t="shared" si="60"/>
        <v/>
      </c>
      <c r="Y201" s="837"/>
      <c r="Z201" s="839"/>
      <c r="AA201" s="838"/>
      <c r="AB201" s="839"/>
    </row>
    <row r="202" spans="2:28" ht="13.15">
      <c r="B202" s="819" t="s">
        <v>777</v>
      </c>
      <c r="C202" s="819" t="s">
        <v>778</v>
      </c>
      <c r="D202" s="379" t="s">
        <v>336</v>
      </c>
      <c r="E202" s="818" t="s">
        <v>373</v>
      </c>
      <c r="F202" s="820">
        <v>0.73515817699999997</v>
      </c>
      <c r="G202" s="821">
        <v>3.0031948999999999E-2</v>
      </c>
      <c r="H202" s="822">
        <v>147123865.10942799</v>
      </c>
      <c r="I202" s="819"/>
      <c r="J202" s="820">
        <v>-2.3560616999999999E-2</v>
      </c>
      <c r="K202" s="819">
        <f t="shared" si="50"/>
        <v>627</v>
      </c>
      <c r="L202" s="819">
        <f t="shared" si="51"/>
        <v>1050</v>
      </c>
      <c r="M202" s="819">
        <f t="shared" si="47"/>
        <v>627</v>
      </c>
      <c r="N202" s="819">
        <f t="shared" si="48"/>
        <v>364</v>
      </c>
      <c r="O202" s="819">
        <f t="shared" si="49"/>
        <v>1700</v>
      </c>
      <c r="P202" s="819">
        <f t="shared" si="52"/>
        <v>771</v>
      </c>
      <c r="Q202" s="819">
        <f t="shared" si="53"/>
        <v>627</v>
      </c>
      <c r="R202" s="819">
        <f t="shared" si="54"/>
        <v>545</v>
      </c>
      <c r="S202" s="819">
        <f t="shared" si="55"/>
        <v>338</v>
      </c>
      <c r="T202" s="819">
        <f t="shared" si="56"/>
        <v>1678</v>
      </c>
      <c r="U202" s="819">
        <f t="shared" si="57"/>
        <v>3959</v>
      </c>
      <c r="V202" s="819">
        <f t="shared" si="58"/>
        <v>1745</v>
      </c>
      <c r="W202" s="379">
        <f t="shared" si="59"/>
        <v>1745</v>
      </c>
      <c r="X202" s="819" t="str">
        <f t="shared" si="60"/>
        <v/>
      </c>
      <c r="Y202" s="837"/>
      <c r="Z202" s="839"/>
      <c r="AA202" s="838"/>
      <c r="AB202" s="839"/>
    </row>
    <row r="203" spans="2:28" ht="13.15">
      <c r="B203" s="819" t="s">
        <v>779</v>
      </c>
      <c r="C203" s="819" t="s">
        <v>780</v>
      </c>
      <c r="D203" s="379" t="s">
        <v>336</v>
      </c>
      <c r="E203" s="818" t="s">
        <v>337</v>
      </c>
      <c r="F203" s="820"/>
      <c r="G203" s="821"/>
      <c r="H203" s="822">
        <v>2280.5046000000002</v>
      </c>
      <c r="I203" s="819"/>
      <c r="J203" s="820">
        <v>0</v>
      </c>
      <c r="K203" s="819">
        <f t="shared" si="50"/>
        <v>1681</v>
      </c>
      <c r="L203" s="819">
        <f t="shared" si="51"/>
        <v>1084</v>
      </c>
      <c r="M203" s="819">
        <f t="shared" si="47"/>
        <v>1681</v>
      </c>
      <c r="N203" s="819">
        <f t="shared" si="48"/>
        <v>364</v>
      </c>
      <c r="O203" s="819">
        <f t="shared" si="49"/>
        <v>492</v>
      </c>
      <c r="P203" s="819">
        <f t="shared" si="52"/>
        <v>283</v>
      </c>
      <c r="Q203" s="819">
        <f t="shared" si="53"/>
        <v>661</v>
      </c>
      <c r="R203" s="819">
        <f t="shared" si="54"/>
        <v>1599</v>
      </c>
      <c r="S203" s="819">
        <f t="shared" si="55"/>
        <v>338</v>
      </c>
      <c r="T203" s="819">
        <f t="shared" si="56"/>
        <v>470</v>
      </c>
      <c r="U203" s="819">
        <f t="shared" si="57"/>
        <v>3351</v>
      </c>
      <c r="V203" s="819">
        <f t="shared" si="58"/>
        <v>1410</v>
      </c>
      <c r="W203" s="379">
        <f t="shared" si="59"/>
        <v>1410</v>
      </c>
      <c r="X203" s="819" t="str">
        <f t="shared" si="60"/>
        <v/>
      </c>
      <c r="Y203" s="837"/>
      <c r="Z203" s="839"/>
      <c r="AA203" s="838"/>
      <c r="AB203" s="839"/>
    </row>
    <row r="204" spans="2:28" ht="13.15">
      <c r="B204" s="819" t="s">
        <v>781</v>
      </c>
      <c r="C204" s="819" t="s">
        <v>782</v>
      </c>
      <c r="D204" s="379" t="s">
        <v>336</v>
      </c>
      <c r="E204" s="818" t="s">
        <v>481</v>
      </c>
      <c r="F204" s="820">
        <v>4.3601488689999996</v>
      </c>
      <c r="G204" s="821">
        <v>2.7056414919999998</v>
      </c>
      <c r="H204" s="822">
        <v>1906588479.7320199</v>
      </c>
      <c r="I204" s="819">
        <v>0.1</v>
      </c>
      <c r="J204" s="820">
        <v>-0.33507803000000003</v>
      </c>
      <c r="K204" s="819">
        <f t="shared" si="50"/>
        <v>152</v>
      </c>
      <c r="L204" s="819">
        <f t="shared" si="51"/>
        <v>581</v>
      </c>
      <c r="M204" s="819">
        <f t="shared" si="47"/>
        <v>152</v>
      </c>
      <c r="N204" s="819">
        <f t="shared" si="48"/>
        <v>268</v>
      </c>
      <c r="O204" s="819">
        <f t="shared" si="49"/>
        <v>1777</v>
      </c>
      <c r="P204" s="819">
        <f t="shared" si="52"/>
        <v>1246</v>
      </c>
      <c r="Q204" s="819">
        <f t="shared" si="53"/>
        <v>158</v>
      </c>
      <c r="R204" s="819">
        <f t="shared" si="54"/>
        <v>70</v>
      </c>
      <c r="S204" s="819">
        <f t="shared" si="55"/>
        <v>242</v>
      </c>
      <c r="T204" s="819">
        <f t="shared" si="56"/>
        <v>1755</v>
      </c>
      <c r="U204" s="819">
        <f t="shared" si="57"/>
        <v>3471</v>
      </c>
      <c r="V204" s="819">
        <f t="shared" si="58"/>
        <v>1529</v>
      </c>
      <c r="W204" s="379">
        <f t="shared" si="59"/>
        <v>1529</v>
      </c>
      <c r="X204" s="819" t="str">
        <f t="shared" si="60"/>
        <v/>
      </c>
      <c r="Y204" s="837"/>
      <c r="Z204" s="839"/>
      <c r="AA204" s="838"/>
      <c r="AB204" s="839"/>
    </row>
    <row r="205" spans="2:28" ht="13.15">
      <c r="B205" s="819" t="s">
        <v>783</v>
      </c>
      <c r="C205" s="819" t="s">
        <v>784</v>
      </c>
      <c r="D205" s="379" t="s">
        <v>336</v>
      </c>
      <c r="E205" s="818" t="s">
        <v>645</v>
      </c>
      <c r="F205" s="820">
        <v>2.3410679509999999</v>
      </c>
      <c r="G205" s="821">
        <v>48.80620322</v>
      </c>
      <c r="H205" s="822">
        <v>4410747.9078906197</v>
      </c>
      <c r="I205" s="819"/>
      <c r="J205" s="820">
        <v>-5.4142299999999997E-4</v>
      </c>
      <c r="K205" s="819">
        <f t="shared" si="50"/>
        <v>1385</v>
      </c>
      <c r="L205" s="819">
        <f t="shared" si="51"/>
        <v>37</v>
      </c>
      <c r="M205" s="819">
        <f t="shared" si="47"/>
        <v>1385</v>
      </c>
      <c r="N205" s="819">
        <f t="shared" si="48"/>
        <v>364</v>
      </c>
      <c r="O205" s="819">
        <f t="shared" si="49"/>
        <v>1285</v>
      </c>
      <c r="P205" s="819">
        <f t="shared" si="52"/>
        <v>13</v>
      </c>
      <c r="Q205" s="819">
        <f t="shared" si="53"/>
        <v>386</v>
      </c>
      <c r="R205" s="819">
        <f t="shared" si="54"/>
        <v>1303</v>
      </c>
      <c r="S205" s="819">
        <f t="shared" si="55"/>
        <v>338</v>
      </c>
      <c r="T205" s="819">
        <f t="shared" si="56"/>
        <v>1263</v>
      </c>
      <c r="U205" s="819">
        <f t="shared" si="57"/>
        <v>3303</v>
      </c>
      <c r="V205" s="819">
        <f t="shared" si="58"/>
        <v>1349</v>
      </c>
      <c r="W205" s="379">
        <f t="shared" si="59"/>
        <v>1349</v>
      </c>
      <c r="X205" s="819" t="str">
        <f t="shared" si="60"/>
        <v/>
      </c>
      <c r="Y205" s="837"/>
      <c r="Z205" s="839"/>
      <c r="AA205" s="838"/>
      <c r="AB205" s="839"/>
    </row>
    <row r="206" spans="2:28" ht="13.15">
      <c r="B206" s="819" t="s">
        <v>785</v>
      </c>
      <c r="C206" s="819" t="s">
        <v>786</v>
      </c>
      <c r="D206" s="379" t="s">
        <v>336</v>
      </c>
      <c r="E206" s="818" t="s">
        <v>642</v>
      </c>
      <c r="F206" s="820">
        <v>5.5101847470000003</v>
      </c>
      <c r="G206" s="821">
        <v>17.637931030000001</v>
      </c>
      <c r="H206" s="822">
        <v>72934703.271613494</v>
      </c>
      <c r="I206" s="819">
        <v>0</v>
      </c>
      <c r="J206" s="820">
        <v>-2.3674865999999999E-2</v>
      </c>
      <c r="K206" s="819">
        <f t="shared" si="50"/>
        <v>787</v>
      </c>
      <c r="L206" s="819">
        <f t="shared" si="51"/>
        <v>101</v>
      </c>
      <c r="M206" s="819">
        <f t="shared" si="47"/>
        <v>787</v>
      </c>
      <c r="N206" s="819">
        <f t="shared" si="48"/>
        <v>364</v>
      </c>
      <c r="O206" s="819">
        <f t="shared" si="49"/>
        <v>1701</v>
      </c>
      <c r="P206" s="819">
        <f t="shared" si="52"/>
        <v>611</v>
      </c>
      <c r="Q206" s="819">
        <f t="shared" si="53"/>
        <v>322</v>
      </c>
      <c r="R206" s="819">
        <f t="shared" si="54"/>
        <v>705</v>
      </c>
      <c r="S206" s="819">
        <f t="shared" si="55"/>
        <v>338</v>
      </c>
      <c r="T206" s="819">
        <f t="shared" si="56"/>
        <v>1679</v>
      </c>
      <c r="U206" s="819">
        <f t="shared" si="57"/>
        <v>3655</v>
      </c>
      <c r="V206" s="819">
        <f t="shared" si="58"/>
        <v>1655</v>
      </c>
      <c r="W206" s="379">
        <f t="shared" si="59"/>
        <v>1655</v>
      </c>
      <c r="X206" s="819" t="str">
        <f t="shared" si="60"/>
        <v/>
      </c>
      <c r="Y206" s="837"/>
      <c r="Z206" s="839"/>
      <c r="AA206" s="838"/>
      <c r="AB206" s="839"/>
    </row>
    <row r="207" spans="2:28" ht="13.15">
      <c r="B207" s="819" t="s">
        <v>787</v>
      </c>
      <c r="C207" s="819" t="s">
        <v>788</v>
      </c>
      <c r="D207" s="379" t="s">
        <v>336</v>
      </c>
      <c r="E207" s="818" t="s">
        <v>789</v>
      </c>
      <c r="F207" s="820">
        <v>0.90213304500000002</v>
      </c>
      <c r="G207" s="821">
        <v>0.80333096699999995</v>
      </c>
      <c r="H207" s="822">
        <v>86204381.532026693</v>
      </c>
      <c r="I207" s="819"/>
      <c r="J207" s="820">
        <v>-2.9815176999999998E-2</v>
      </c>
      <c r="K207" s="819">
        <f t="shared" si="50"/>
        <v>751</v>
      </c>
      <c r="L207" s="819">
        <f t="shared" si="51"/>
        <v>849</v>
      </c>
      <c r="M207" s="819">
        <f t="shared" si="47"/>
        <v>751</v>
      </c>
      <c r="N207" s="819">
        <f t="shared" si="48"/>
        <v>364</v>
      </c>
      <c r="O207" s="819">
        <f t="shared" si="49"/>
        <v>1712</v>
      </c>
      <c r="P207" s="819">
        <f t="shared" si="52"/>
        <v>647</v>
      </c>
      <c r="Q207" s="819">
        <f t="shared" si="53"/>
        <v>426</v>
      </c>
      <c r="R207" s="819">
        <f t="shared" si="54"/>
        <v>669</v>
      </c>
      <c r="S207" s="819">
        <f t="shared" si="55"/>
        <v>338</v>
      </c>
      <c r="T207" s="819">
        <f t="shared" si="56"/>
        <v>1690</v>
      </c>
      <c r="U207" s="819">
        <f t="shared" si="57"/>
        <v>3770</v>
      </c>
      <c r="V207" s="819">
        <f t="shared" si="58"/>
        <v>1704</v>
      </c>
      <c r="W207" s="379">
        <f t="shared" si="59"/>
        <v>1704</v>
      </c>
      <c r="X207" s="819" t="str">
        <f t="shared" si="60"/>
        <v/>
      </c>
      <c r="Y207" s="837"/>
      <c r="Z207" s="839"/>
      <c r="AA207" s="838"/>
      <c r="AB207" s="839"/>
    </row>
    <row r="208" spans="2:28" ht="13.15">
      <c r="B208" s="819" t="s">
        <v>790</v>
      </c>
      <c r="C208" s="819" t="s">
        <v>791</v>
      </c>
      <c r="D208" s="379" t="s">
        <v>336</v>
      </c>
      <c r="E208" s="818" t="s">
        <v>373</v>
      </c>
      <c r="F208" s="820">
        <v>0.73970461099999996</v>
      </c>
      <c r="G208" s="821">
        <v>3.5023229950000001</v>
      </c>
      <c r="H208" s="822">
        <v>41988855.277777798</v>
      </c>
      <c r="I208" s="819"/>
      <c r="J208" s="820">
        <v>-5.6311200000000005E-4</v>
      </c>
      <c r="K208" s="819">
        <f t="shared" si="50"/>
        <v>915</v>
      </c>
      <c r="L208" s="819">
        <f t="shared" si="51"/>
        <v>500</v>
      </c>
      <c r="M208" s="819">
        <f t="shared" si="47"/>
        <v>915</v>
      </c>
      <c r="N208" s="819">
        <f t="shared" si="48"/>
        <v>364</v>
      </c>
      <c r="O208" s="819">
        <f t="shared" si="49"/>
        <v>1293</v>
      </c>
      <c r="P208" s="819">
        <f t="shared" si="52"/>
        <v>483</v>
      </c>
      <c r="Q208" s="819">
        <f t="shared" si="53"/>
        <v>77</v>
      </c>
      <c r="R208" s="819">
        <f t="shared" si="54"/>
        <v>833</v>
      </c>
      <c r="S208" s="819">
        <f t="shared" si="55"/>
        <v>338</v>
      </c>
      <c r="T208" s="819">
        <f t="shared" si="56"/>
        <v>1271</v>
      </c>
      <c r="U208" s="819">
        <f t="shared" si="57"/>
        <v>3002</v>
      </c>
      <c r="V208" s="819">
        <f t="shared" si="58"/>
        <v>928</v>
      </c>
      <c r="W208" s="379">
        <f t="shared" si="59"/>
        <v>928</v>
      </c>
      <c r="X208" s="819" t="str">
        <f t="shared" si="60"/>
        <v/>
      </c>
      <c r="Y208" s="837"/>
      <c r="Z208" s="839"/>
      <c r="AA208" s="838"/>
      <c r="AB208" s="839"/>
    </row>
    <row r="209" spans="2:28" ht="13.15">
      <c r="B209" s="819" t="s">
        <v>792</v>
      </c>
      <c r="C209" s="819" t="s">
        <v>793</v>
      </c>
      <c r="D209" s="379" t="s">
        <v>336</v>
      </c>
      <c r="E209" s="818" t="s">
        <v>460</v>
      </c>
      <c r="F209" s="820">
        <v>2.5701500390000001</v>
      </c>
      <c r="G209" s="821">
        <v>0.36714975799999999</v>
      </c>
      <c r="H209" s="822">
        <v>8017273744.7497997</v>
      </c>
      <c r="I209" s="819">
        <v>0.14000000000000001</v>
      </c>
      <c r="J209" s="820">
        <v>-0.214001364</v>
      </c>
      <c r="K209" s="819">
        <f t="shared" si="50"/>
        <v>46</v>
      </c>
      <c r="L209" s="819">
        <f t="shared" si="51"/>
        <v>944</v>
      </c>
      <c r="M209" s="819">
        <f t="shared" si="47"/>
        <v>46</v>
      </c>
      <c r="N209" s="819">
        <f t="shared" si="48"/>
        <v>241</v>
      </c>
      <c r="O209" s="819">
        <f t="shared" si="49"/>
        <v>1765</v>
      </c>
      <c r="P209" s="819">
        <f t="shared" si="52"/>
        <v>1352</v>
      </c>
      <c r="Q209" s="819">
        <f t="shared" si="53"/>
        <v>521</v>
      </c>
      <c r="R209" s="819">
        <f t="shared" si="54"/>
        <v>36</v>
      </c>
      <c r="S209" s="819">
        <f t="shared" si="55"/>
        <v>215</v>
      </c>
      <c r="T209" s="819">
        <f t="shared" si="56"/>
        <v>1743</v>
      </c>
      <c r="U209" s="819">
        <f t="shared" si="57"/>
        <v>3867</v>
      </c>
      <c r="V209" s="819">
        <f t="shared" si="58"/>
        <v>1732</v>
      </c>
      <c r="W209" s="379">
        <f t="shared" si="59"/>
        <v>1732</v>
      </c>
      <c r="X209" s="819" t="str">
        <f t="shared" si="60"/>
        <v/>
      </c>
      <c r="Y209" s="837"/>
      <c r="Z209" s="839"/>
      <c r="AA209" s="838"/>
      <c r="AB209" s="839"/>
    </row>
    <row r="210" spans="2:28" ht="13.15">
      <c r="B210" s="819" t="s">
        <v>794</v>
      </c>
      <c r="C210" s="819" t="s">
        <v>795</v>
      </c>
      <c r="D210" s="379" t="s">
        <v>336</v>
      </c>
      <c r="E210" s="818" t="s">
        <v>337</v>
      </c>
      <c r="F210" s="820">
        <v>-8.3213474479999991</v>
      </c>
      <c r="G210" s="821">
        <v>-1.5292576470000001</v>
      </c>
      <c r="H210" s="822">
        <v>1988748.5</v>
      </c>
      <c r="I210" s="819"/>
      <c r="J210" s="820">
        <v>9.8998820000000005E-3</v>
      </c>
      <c r="K210" s="819">
        <f t="shared" si="50"/>
        <v>1502</v>
      </c>
      <c r="L210" s="819">
        <f t="shared" si="51"/>
        <v>1326</v>
      </c>
      <c r="M210" s="819">
        <f t="shared" si="47"/>
        <v>1502</v>
      </c>
      <c r="N210" s="819">
        <f t="shared" si="48"/>
        <v>364</v>
      </c>
      <c r="O210" s="819">
        <f t="shared" si="49"/>
        <v>135</v>
      </c>
      <c r="P210" s="819">
        <f t="shared" si="52"/>
        <v>104</v>
      </c>
      <c r="Q210" s="819">
        <f t="shared" si="53"/>
        <v>903</v>
      </c>
      <c r="R210" s="819">
        <f t="shared" si="54"/>
        <v>1420</v>
      </c>
      <c r="S210" s="819">
        <f t="shared" si="55"/>
        <v>338</v>
      </c>
      <c r="T210" s="819">
        <f t="shared" si="56"/>
        <v>113</v>
      </c>
      <c r="U210" s="819">
        <f t="shared" si="57"/>
        <v>2878</v>
      </c>
      <c r="V210" s="819">
        <f t="shared" si="58"/>
        <v>769</v>
      </c>
      <c r="W210" s="379">
        <f t="shared" si="59"/>
        <v>769</v>
      </c>
      <c r="X210" s="819" t="str">
        <f t="shared" si="60"/>
        <v/>
      </c>
      <c r="Y210" s="837"/>
      <c r="Z210" s="839"/>
      <c r="AA210" s="838"/>
      <c r="AB210" s="839"/>
    </row>
    <row r="211" spans="2:28" ht="13.15">
      <c r="B211" s="819" t="s">
        <v>796</v>
      </c>
      <c r="C211" s="819" t="s">
        <v>797</v>
      </c>
      <c r="D211" s="379" t="s">
        <v>336</v>
      </c>
      <c r="E211" s="818" t="s">
        <v>568</v>
      </c>
      <c r="F211" s="820">
        <v>2.117521591</v>
      </c>
      <c r="G211" s="821">
        <v>0.72202766600000001</v>
      </c>
      <c r="H211" s="822">
        <v>80797269.929976299</v>
      </c>
      <c r="I211" s="819"/>
      <c r="J211" s="820">
        <v>-2.2876300000000001E-3</v>
      </c>
      <c r="K211" s="819">
        <f t="shared" si="50"/>
        <v>769</v>
      </c>
      <c r="L211" s="819">
        <f t="shared" si="51"/>
        <v>868</v>
      </c>
      <c r="M211" s="819">
        <f t="shared" si="47"/>
        <v>769</v>
      </c>
      <c r="N211" s="819">
        <f t="shared" si="48"/>
        <v>364</v>
      </c>
      <c r="O211" s="819">
        <f t="shared" si="49"/>
        <v>1513</v>
      </c>
      <c r="P211" s="819">
        <f t="shared" si="52"/>
        <v>629</v>
      </c>
      <c r="Q211" s="819">
        <f t="shared" si="53"/>
        <v>445</v>
      </c>
      <c r="R211" s="819">
        <f t="shared" si="54"/>
        <v>687</v>
      </c>
      <c r="S211" s="819">
        <f t="shared" si="55"/>
        <v>338</v>
      </c>
      <c r="T211" s="819">
        <f t="shared" si="56"/>
        <v>1491</v>
      </c>
      <c r="U211" s="819">
        <f t="shared" si="57"/>
        <v>3590</v>
      </c>
      <c r="V211" s="819">
        <f t="shared" si="58"/>
        <v>1620</v>
      </c>
      <c r="W211" s="379">
        <f t="shared" si="59"/>
        <v>1620</v>
      </c>
      <c r="X211" s="819" t="str">
        <f t="shared" si="60"/>
        <v/>
      </c>
      <c r="Y211" s="837"/>
      <c r="Z211" s="839"/>
      <c r="AA211" s="838"/>
      <c r="AB211" s="839"/>
    </row>
    <row r="212" spans="2:28" ht="13.15">
      <c r="B212" s="819" t="s">
        <v>798</v>
      </c>
      <c r="C212" s="819" t="s">
        <v>799</v>
      </c>
      <c r="D212" s="379" t="s">
        <v>336</v>
      </c>
      <c r="E212" s="818" t="s">
        <v>418</v>
      </c>
      <c r="F212" s="820">
        <v>3.3504285989999998</v>
      </c>
      <c r="G212" s="821">
        <v>-1375.662433</v>
      </c>
      <c r="H212" s="822">
        <v>60664854.016961202</v>
      </c>
      <c r="I212" s="819"/>
      <c r="J212" s="820">
        <v>2.87435E-5</v>
      </c>
      <c r="K212" s="819">
        <f t="shared" si="50"/>
        <v>839</v>
      </c>
      <c r="L212" s="819">
        <f t="shared" si="51"/>
        <v>1531</v>
      </c>
      <c r="M212" s="819">
        <f t="shared" si="47"/>
        <v>839</v>
      </c>
      <c r="N212" s="819">
        <f t="shared" si="48"/>
        <v>364</v>
      </c>
      <c r="O212" s="819">
        <f t="shared" si="49"/>
        <v>385</v>
      </c>
      <c r="P212" s="819">
        <f t="shared" si="52"/>
        <v>559</v>
      </c>
      <c r="Q212" s="819">
        <f t="shared" si="53"/>
        <v>1108</v>
      </c>
      <c r="R212" s="819">
        <f t="shared" si="54"/>
        <v>757</v>
      </c>
      <c r="S212" s="819">
        <f t="shared" si="55"/>
        <v>338</v>
      </c>
      <c r="T212" s="819">
        <f t="shared" si="56"/>
        <v>363</v>
      </c>
      <c r="U212" s="819">
        <f t="shared" si="57"/>
        <v>3125</v>
      </c>
      <c r="V212" s="819">
        <f t="shared" si="58"/>
        <v>1094</v>
      </c>
      <c r="W212" s="379">
        <f t="shared" si="59"/>
        <v>1094</v>
      </c>
      <c r="X212" s="819" t="str">
        <f t="shared" si="60"/>
        <v/>
      </c>
      <c r="Y212" s="837"/>
      <c r="Z212" s="839"/>
      <c r="AA212" s="838"/>
      <c r="AB212" s="839"/>
    </row>
    <row r="213" spans="2:28" ht="13.15">
      <c r="B213" s="819" t="s">
        <v>800</v>
      </c>
      <c r="C213" s="819" t="s">
        <v>801</v>
      </c>
      <c r="D213" s="379" t="s">
        <v>336</v>
      </c>
      <c r="E213" s="818" t="s">
        <v>418</v>
      </c>
      <c r="F213" s="820">
        <v>1.064264206</v>
      </c>
      <c r="G213" s="821">
        <v>-4.770207836</v>
      </c>
      <c r="H213" s="822">
        <v>27455744.675341502</v>
      </c>
      <c r="I213" s="819"/>
      <c r="J213" s="820">
        <v>9.6671099999999998E-4</v>
      </c>
      <c r="K213" s="819">
        <f t="shared" si="50"/>
        <v>1028</v>
      </c>
      <c r="L213" s="819">
        <f t="shared" si="51"/>
        <v>1403</v>
      </c>
      <c r="M213" s="819">
        <f t="shared" si="47"/>
        <v>1028</v>
      </c>
      <c r="N213" s="819">
        <f t="shared" si="48"/>
        <v>364</v>
      </c>
      <c r="O213" s="819">
        <f t="shared" si="49"/>
        <v>180</v>
      </c>
      <c r="P213" s="819">
        <f t="shared" si="52"/>
        <v>370</v>
      </c>
      <c r="Q213" s="819">
        <f t="shared" si="53"/>
        <v>980</v>
      </c>
      <c r="R213" s="819">
        <f t="shared" si="54"/>
        <v>946</v>
      </c>
      <c r="S213" s="819">
        <f t="shared" si="55"/>
        <v>338</v>
      </c>
      <c r="T213" s="819">
        <f t="shared" si="56"/>
        <v>158</v>
      </c>
      <c r="U213" s="819">
        <f t="shared" si="57"/>
        <v>2792</v>
      </c>
      <c r="V213" s="819">
        <f t="shared" si="58"/>
        <v>614</v>
      </c>
      <c r="W213" s="379">
        <f t="shared" si="59"/>
        <v>614</v>
      </c>
      <c r="X213" s="819" t="str">
        <f t="shared" si="60"/>
        <v/>
      </c>
      <c r="Y213" s="837"/>
      <c r="Z213" s="839"/>
      <c r="AA213" s="838"/>
      <c r="AB213" s="839"/>
    </row>
    <row r="214" spans="2:28" ht="13.15">
      <c r="B214" s="819" t="s">
        <v>802</v>
      </c>
      <c r="C214" s="819" t="s">
        <v>803</v>
      </c>
      <c r="D214" s="379" t="s">
        <v>336</v>
      </c>
      <c r="E214" s="818" t="s">
        <v>441</v>
      </c>
      <c r="F214" s="820">
        <v>0.87001742100000001</v>
      </c>
      <c r="G214" s="821">
        <v>23.566764289999998</v>
      </c>
      <c r="H214" s="822">
        <v>177903777.29610899</v>
      </c>
      <c r="I214" s="819"/>
      <c r="J214" s="820">
        <v>-1.13031E-3</v>
      </c>
      <c r="K214" s="819">
        <f t="shared" si="50"/>
        <v>598</v>
      </c>
      <c r="L214" s="819">
        <f t="shared" si="51"/>
        <v>82</v>
      </c>
      <c r="M214" s="819">
        <f t="shared" si="47"/>
        <v>598</v>
      </c>
      <c r="N214" s="819">
        <f t="shared" si="48"/>
        <v>364</v>
      </c>
      <c r="O214" s="819">
        <f t="shared" si="49"/>
        <v>1416</v>
      </c>
      <c r="P214" s="819">
        <f t="shared" si="52"/>
        <v>800</v>
      </c>
      <c r="Q214" s="819">
        <f t="shared" si="53"/>
        <v>341</v>
      </c>
      <c r="R214" s="819">
        <f t="shared" si="54"/>
        <v>516</v>
      </c>
      <c r="S214" s="819">
        <f t="shared" si="55"/>
        <v>338</v>
      </c>
      <c r="T214" s="819">
        <f t="shared" si="56"/>
        <v>1394</v>
      </c>
      <c r="U214" s="819">
        <f t="shared" si="57"/>
        <v>3389</v>
      </c>
      <c r="V214" s="819">
        <f t="shared" si="58"/>
        <v>1452</v>
      </c>
      <c r="W214" s="379">
        <f t="shared" si="59"/>
        <v>1452</v>
      </c>
      <c r="X214" s="819" t="str">
        <f t="shared" si="60"/>
        <v/>
      </c>
      <c r="Y214" s="837"/>
      <c r="Z214" s="839"/>
      <c r="AA214" s="838"/>
      <c r="AB214" s="839"/>
    </row>
    <row r="215" spans="2:28" ht="13.15">
      <c r="B215" s="819" t="s">
        <v>804</v>
      </c>
      <c r="C215" s="819" t="s">
        <v>805</v>
      </c>
      <c r="D215" s="379" t="s">
        <v>336</v>
      </c>
      <c r="E215" s="818" t="s">
        <v>600</v>
      </c>
      <c r="F215" s="820">
        <v>-2.7098008770000002</v>
      </c>
      <c r="G215" s="821">
        <v>-10.25756784</v>
      </c>
      <c r="H215" s="822">
        <v>24552079.533894699</v>
      </c>
      <c r="I215" s="819">
        <v>0.02</v>
      </c>
      <c r="J215" s="820">
        <v>2.6515601E-2</v>
      </c>
      <c r="K215" s="819">
        <f t="shared" si="50"/>
        <v>1048</v>
      </c>
      <c r="L215" s="819">
        <f t="shared" si="51"/>
        <v>1449</v>
      </c>
      <c r="M215" s="819">
        <f t="shared" si="47"/>
        <v>1048</v>
      </c>
      <c r="N215" s="819">
        <f t="shared" si="48"/>
        <v>337</v>
      </c>
      <c r="O215" s="819">
        <f t="shared" si="49"/>
        <v>111</v>
      </c>
      <c r="P215" s="819">
        <f t="shared" si="52"/>
        <v>350</v>
      </c>
      <c r="Q215" s="819">
        <f t="shared" si="53"/>
        <v>1026</v>
      </c>
      <c r="R215" s="819">
        <f t="shared" si="54"/>
        <v>966</v>
      </c>
      <c r="S215" s="819">
        <f t="shared" si="55"/>
        <v>311</v>
      </c>
      <c r="T215" s="819">
        <f t="shared" si="56"/>
        <v>89</v>
      </c>
      <c r="U215" s="819">
        <f t="shared" si="57"/>
        <v>2742</v>
      </c>
      <c r="V215" s="819">
        <f t="shared" si="58"/>
        <v>407</v>
      </c>
      <c r="W215" s="379">
        <f t="shared" si="59"/>
        <v>407</v>
      </c>
      <c r="X215" s="819" t="str">
        <f t="shared" si="60"/>
        <v/>
      </c>
      <c r="Y215" s="837"/>
      <c r="Z215" s="839"/>
      <c r="AA215" s="838"/>
      <c r="AB215" s="839"/>
    </row>
    <row r="216" spans="2:28" ht="13.15">
      <c r="B216" s="819" t="s">
        <v>806</v>
      </c>
      <c r="C216" s="819" t="s">
        <v>807</v>
      </c>
      <c r="D216" s="379" t="s">
        <v>336</v>
      </c>
      <c r="E216" s="818" t="s">
        <v>460</v>
      </c>
      <c r="F216" s="820">
        <v>2.3941364420000002</v>
      </c>
      <c r="G216" s="821">
        <v>1.402774491</v>
      </c>
      <c r="H216" s="822">
        <v>20433211.481991999</v>
      </c>
      <c r="I216" s="819"/>
      <c r="J216" s="820">
        <v>-2.1038039999999999E-3</v>
      </c>
      <c r="K216" s="819">
        <f t="shared" si="50"/>
        <v>1101</v>
      </c>
      <c r="L216" s="819">
        <f t="shared" si="51"/>
        <v>756</v>
      </c>
      <c r="M216" s="819">
        <f t="shared" si="47"/>
        <v>1101</v>
      </c>
      <c r="N216" s="819">
        <f t="shared" si="48"/>
        <v>364</v>
      </c>
      <c r="O216" s="819">
        <f t="shared" si="49"/>
        <v>1499</v>
      </c>
      <c r="P216" s="819">
        <f t="shared" si="52"/>
        <v>297</v>
      </c>
      <c r="Q216" s="819">
        <f t="shared" si="53"/>
        <v>333</v>
      </c>
      <c r="R216" s="819">
        <f t="shared" si="54"/>
        <v>1019</v>
      </c>
      <c r="S216" s="819">
        <f t="shared" si="55"/>
        <v>338</v>
      </c>
      <c r="T216" s="819">
        <f t="shared" si="56"/>
        <v>1477</v>
      </c>
      <c r="U216" s="819">
        <f t="shared" si="57"/>
        <v>3464</v>
      </c>
      <c r="V216" s="819">
        <f t="shared" si="58"/>
        <v>1522</v>
      </c>
      <c r="W216" s="379">
        <f t="shared" si="59"/>
        <v>1522</v>
      </c>
      <c r="X216" s="819" t="str">
        <f t="shared" si="60"/>
        <v/>
      </c>
      <c r="Y216" s="837"/>
      <c r="Z216" s="839"/>
      <c r="AA216" s="838"/>
      <c r="AB216" s="839"/>
    </row>
    <row r="217" spans="2:28" ht="13.15">
      <c r="B217" s="819" t="s">
        <v>808</v>
      </c>
      <c r="C217" s="819" t="s">
        <v>809</v>
      </c>
      <c r="D217" s="379" t="s">
        <v>336</v>
      </c>
      <c r="E217" s="818" t="s">
        <v>460</v>
      </c>
      <c r="F217" s="820">
        <v>1.4325174030000001</v>
      </c>
      <c r="G217" s="821">
        <v>84.643784420000003</v>
      </c>
      <c r="H217" s="822">
        <v>539677257.17744398</v>
      </c>
      <c r="I217" s="819"/>
      <c r="J217" s="820">
        <v>-4.794815E-3</v>
      </c>
      <c r="K217" s="819">
        <f t="shared" si="50"/>
        <v>331</v>
      </c>
      <c r="L217" s="819">
        <f t="shared" si="51"/>
        <v>19</v>
      </c>
      <c r="M217" s="819">
        <f t="shared" si="47"/>
        <v>331</v>
      </c>
      <c r="N217" s="819">
        <f t="shared" si="48"/>
        <v>364</v>
      </c>
      <c r="O217" s="819">
        <f t="shared" si="49"/>
        <v>1599</v>
      </c>
      <c r="P217" s="819">
        <f t="shared" si="52"/>
        <v>1067</v>
      </c>
      <c r="Q217" s="819">
        <f t="shared" si="53"/>
        <v>404</v>
      </c>
      <c r="R217" s="819">
        <f t="shared" si="54"/>
        <v>249</v>
      </c>
      <c r="S217" s="819">
        <f t="shared" si="55"/>
        <v>338</v>
      </c>
      <c r="T217" s="819">
        <f t="shared" si="56"/>
        <v>1577</v>
      </c>
      <c r="U217" s="819">
        <f t="shared" si="57"/>
        <v>3635</v>
      </c>
      <c r="V217" s="819">
        <f t="shared" si="58"/>
        <v>1644</v>
      </c>
      <c r="W217" s="379">
        <f t="shared" si="59"/>
        <v>1644</v>
      </c>
      <c r="X217" s="819" t="str">
        <f t="shared" si="60"/>
        <v/>
      </c>
      <c r="Y217" s="837"/>
      <c r="Z217" s="839"/>
      <c r="AA217" s="838"/>
      <c r="AB217" s="839"/>
    </row>
    <row r="218" spans="2:28" ht="13.15">
      <c r="B218" s="819" t="s">
        <v>810</v>
      </c>
      <c r="C218" s="819" t="s">
        <v>811</v>
      </c>
      <c r="D218" s="379" t="s">
        <v>336</v>
      </c>
      <c r="E218" s="818" t="s">
        <v>460</v>
      </c>
      <c r="F218" s="820">
        <v>1.6274154199999999</v>
      </c>
      <c r="G218" s="821">
        <v>2.494669123</v>
      </c>
      <c r="H218" s="822">
        <v>391746329.89752501</v>
      </c>
      <c r="I218" s="819"/>
      <c r="J218" s="820">
        <v>-2.1255986000000001E-2</v>
      </c>
      <c r="K218" s="819">
        <f t="shared" si="50"/>
        <v>415</v>
      </c>
      <c r="L218" s="819">
        <f t="shared" si="51"/>
        <v>601</v>
      </c>
      <c r="M218" s="819">
        <f t="shared" si="47"/>
        <v>415</v>
      </c>
      <c r="N218" s="819">
        <f t="shared" si="48"/>
        <v>364</v>
      </c>
      <c r="O218" s="819">
        <f t="shared" si="49"/>
        <v>1696</v>
      </c>
      <c r="P218" s="819">
        <f t="shared" si="52"/>
        <v>983</v>
      </c>
      <c r="Q218" s="819">
        <f t="shared" si="53"/>
        <v>178</v>
      </c>
      <c r="R218" s="819">
        <f t="shared" si="54"/>
        <v>333</v>
      </c>
      <c r="S218" s="819">
        <f t="shared" si="55"/>
        <v>338</v>
      </c>
      <c r="T218" s="819">
        <f t="shared" si="56"/>
        <v>1674</v>
      </c>
      <c r="U218" s="819">
        <f t="shared" si="57"/>
        <v>3506</v>
      </c>
      <c r="V218" s="819">
        <f t="shared" si="58"/>
        <v>1557</v>
      </c>
      <c r="W218" s="379">
        <f t="shared" si="59"/>
        <v>1557</v>
      </c>
      <c r="X218" s="819" t="str">
        <f t="shared" si="60"/>
        <v/>
      </c>
      <c r="Y218" s="837"/>
      <c r="Z218" s="839"/>
      <c r="AA218" s="838"/>
      <c r="AB218" s="839"/>
    </row>
    <row r="219" spans="2:28" ht="13.15">
      <c r="B219" s="819" t="s">
        <v>812</v>
      </c>
      <c r="C219" s="819" t="s">
        <v>813</v>
      </c>
      <c r="D219" s="379" t="s">
        <v>336</v>
      </c>
      <c r="E219" s="818" t="s">
        <v>373</v>
      </c>
      <c r="F219" s="820">
        <v>0.21618774599999999</v>
      </c>
      <c r="G219" s="821">
        <v>-50.211933449999997</v>
      </c>
      <c r="H219" s="822">
        <v>13134578.9814815</v>
      </c>
      <c r="I219" s="819"/>
      <c r="J219" s="820">
        <v>6.2276300000000003E-4</v>
      </c>
      <c r="K219" s="819">
        <f t="shared" si="50"/>
        <v>1199</v>
      </c>
      <c r="L219" s="819">
        <f t="shared" si="51"/>
        <v>1508</v>
      </c>
      <c r="M219" s="819">
        <f t="shared" si="47"/>
        <v>1199</v>
      </c>
      <c r="N219" s="819">
        <f t="shared" si="48"/>
        <v>364</v>
      </c>
      <c r="O219" s="819">
        <f t="shared" si="49"/>
        <v>197</v>
      </c>
      <c r="P219" s="819">
        <f t="shared" si="52"/>
        <v>199</v>
      </c>
      <c r="Q219" s="819">
        <f t="shared" si="53"/>
        <v>1085</v>
      </c>
      <c r="R219" s="819">
        <f t="shared" si="54"/>
        <v>1117</v>
      </c>
      <c r="S219" s="819">
        <f t="shared" si="55"/>
        <v>338</v>
      </c>
      <c r="T219" s="819">
        <f t="shared" si="56"/>
        <v>175</v>
      </c>
      <c r="U219" s="819">
        <f t="shared" si="57"/>
        <v>2914</v>
      </c>
      <c r="V219" s="819">
        <f t="shared" si="58"/>
        <v>824</v>
      </c>
      <c r="W219" s="379">
        <f t="shared" si="59"/>
        <v>824</v>
      </c>
      <c r="X219" s="819" t="str">
        <f t="shared" si="60"/>
        <v/>
      </c>
      <c r="Y219" s="837"/>
      <c r="Z219" s="839"/>
      <c r="AA219" s="838"/>
      <c r="AB219" s="839"/>
    </row>
    <row r="220" spans="2:28" ht="13.15">
      <c r="B220" s="819" t="s">
        <v>814</v>
      </c>
      <c r="C220" s="819" t="s">
        <v>815</v>
      </c>
      <c r="D220" s="379" t="s">
        <v>336</v>
      </c>
      <c r="E220" s="818" t="s">
        <v>460</v>
      </c>
      <c r="F220" s="820">
        <v>-1.848953E-3</v>
      </c>
      <c r="G220" s="821">
        <v>-140.36815849999999</v>
      </c>
      <c r="H220" s="822">
        <v>3087852.8195601399</v>
      </c>
      <c r="I220" s="819"/>
      <c r="J220" s="820">
        <v>5.4850600000000004E-4</v>
      </c>
      <c r="K220" s="819">
        <f t="shared" si="50"/>
        <v>1445</v>
      </c>
      <c r="L220" s="819">
        <f t="shared" si="51"/>
        <v>1522</v>
      </c>
      <c r="M220" s="819">
        <f t="shared" si="47"/>
        <v>1445</v>
      </c>
      <c r="N220" s="819">
        <f t="shared" si="48"/>
        <v>364</v>
      </c>
      <c r="O220" s="819">
        <f t="shared" si="49"/>
        <v>208</v>
      </c>
      <c r="P220" s="819">
        <f t="shared" si="52"/>
        <v>47</v>
      </c>
      <c r="Q220" s="819">
        <f t="shared" si="53"/>
        <v>1099</v>
      </c>
      <c r="R220" s="819">
        <f t="shared" si="54"/>
        <v>1363</v>
      </c>
      <c r="S220" s="819">
        <f t="shared" si="55"/>
        <v>338</v>
      </c>
      <c r="T220" s="819">
        <f t="shared" si="56"/>
        <v>186</v>
      </c>
      <c r="U220" s="819">
        <f t="shared" si="57"/>
        <v>3033</v>
      </c>
      <c r="V220" s="819">
        <f t="shared" si="58"/>
        <v>969</v>
      </c>
      <c r="W220" s="379">
        <f t="shared" si="59"/>
        <v>969</v>
      </c>
      <c r="X220" s="819" t="str">
        <f t="shared" si="60"/>
        <v/>
      </c>
      <c r="Y220" s="837"/>
      <c r="Z220" s="839"/>
      <c r="AA220" s="838"/>
      <c r="AB220" s="839"/>
    </row>
    <row r="221" spans="2:28" ht="13.15">
      <c r="B221" s="819" t="s">
        <v>816</v>
      </c>
      <c r="C221" s="819" t="s">
        <v>817</v>
      </c>
      <c r="D221" s="379" t="s">
        <v>336</v>
      </c>
      <c r="E221" s="818" t="s">
        <v>460</v>
      </c>
      <c r="F221" s="820">
        <v>-0.23890927000000001</v>
      </c>
      <c r="G221" s="821">
        <v>-5.9843901410000004</v>
      </c>
      <c r="H221" s="822">
        <v>2160903.4625756601</v>
      </c>
      <c r="I221" s="819"/>
      <c r="J221" s="820">
        <v>3.8584500000000003E-5</v>
      </c>
      <c r="K221" s="819">
        <f t="shared" si="50"/>
        <v>1485</v>
      </c>
      <c r="L221" s="819">
        <f t="shared" si="51"/>
        <v>1419</v>
      </c>
      <c r="M221" s="819">
        <f t="shared" si="47"/>
        <v>1485</v>
      </c>
      <c r="N221" s="819">
        <f t="shared" si="48"/>
        <v>364</v>
      </c>
      <c r="O221" s="819">
        <f t="shared" si="49"/>
        <v>364</v>
      </c>
      <c r="P221" s="819">
        <f t="shared" si="52"/>
        <v>87</v>
      </c>
      <c r="Q221" s="819">
        <f t="shared" si="53"/>
        <v>996</v>
      </c>
      <c r="R221" s="819">
        <f t="shared" si="54"/>
        <v>1403</v>
      </c>
      <c r="S221" s="819">
        <f t="shared" si="55"/>
        <v>338</v>
      </c>
      <c r="T221" s="819">
        <f t="shared" si="56"/>
        <v>342</v>
      </c>
      <c r="U221" s="819">
        <f t="shared" si="57"/>
        <v>3166</v>
      </c>
      <c r="V221" s="819">
        <f t="shared" si="58"/>
        <v>1148</v>
      </c>
      <c r="W221" s="379">
        <f t="shared" si="59"/>
        <v>1148</v>
      </c>
      <c r="X221" s="819" t="str">
        <f t="shared" si="60"/>
        <v/>
      </c>
      <c r="Y221" s="837"/>
      <c r="Z221" s="839"/>
      <c r="AA221" s="838"/>
      <c r="AB221" s="839"/>
    </row>
    <row r="222" spans="2:28" ht="13.15">
      <c r="B222" s="819" t="s">
        <v>818</v>
      </c>
      <c r="C222" s="819" t="s">
        <v>819</v>
      </c>
      <c r="D222" s="379" t="s">
        <v>336</v>
      </c>
      <c r="E222" s="818" t="s">
        <v>460</v>
      </c>
      <c r="F222" s="820">
        <v>1.2308056650000001</v>
      </c>
      <c r="G222" s="821">
        <v>2.1784951110000002</v>
      </c>
      <c r="H222" s="822">
        <v>3792524.9715347299</v>
      </c>
      <c r="I222" s="819"/>
      <c r="J222" s="820">
        <v>-2.49208E-4</v>
      </c>
      <c r="K222" s="819">
        <f t="shared" si="50"/>
        <v>1417</v>
      </c>
      <c r="L222" s="819">
        <f t="shared" si="51"/>
        <v>650</v>
      </c>
      <c r="M222" s="819">
        <f t="shared" si="47"/>
        <v>1417</v>
      </c>
      <c r="N222" s="819">
        <f t="shared" si="48"/>
        <v>364</v>
      </c>
      <c r="O222" s="819">
        <f t="shared" si="49"/>
        <v>1146</v>
      </c>
      <c r="P222" s="819">
        <f t="shared" si="52"/>
        <v>19</v>
      </c>
      <c r="Q222" s="819">
        <f t="shared" si="53"/>
        <v>227</v>
      </c>
      <c r="R222" s="819">
        <f t="shared" si="54"/>
        <v>1335</v>
      </c>
      <c r="S222" s="819">
        <f t="shared" si="55"/>
        <v>338</v>
      </c>
      <c r="T222" s="819">
        <f t="shared" si="56"/>
        <v>1124</v>
      </c>
      <c r="U222" s="819">
        <f t="shared" si="57"/>
        <v>3043</v>
      </c>
      <c r="V222" s="819">
        <f t="shared" si="58"/>
        <v>990</v>
      </c>
      <c r="W222" s="379">
        <f t="shared" si="59"/>
        <v>990</v>
      </c>
      <c r="X222" s="819" t="str">
        <f t="shared" si="60"/>
        <v/>
      </c>
      <c r="Y222" s="837"/>
      <c r="Z222" s="839"/>
      <c r="AA222" s="838"/>
      <c r="AB222" s="839"/>
    </row>
    <row r="223" spans="2:28" ht="13.15">
      <c r="B223" s="819" t="s">
        <v>820</v>
      </c>
      <c r="C223" s="819" t="s">
        <v>821</v>
      </c>
      <c r="D223" s="379" t="s">
        <v>336</v>
      </c>
      <c r="E223" s="818" t="s">
        <v>460</v>
      </c>
      <c r="F223" s="820"/>
      <c r="G223" s="821"/>
      <c r="H223" s="822">
        <v>823188.11050518404</v>
      </c>
      <c r="I223" s="819"/>
      <c r="J223" s="820">
        <v>0</v>
      </c>
      <c r="K223" s="819">
        <f t="shared" si="50"/>
        <v>1570</v>
      </c>
      <c r="L223" s="819">
        <f t="shared" si="51"/>
        <v>1084</v>
      </c>
      <c r="M223" s="819">
        <f t="shared" si="47"/>
        <v>1570</v>
      </c>
      <c r="N223" s="819">
        <f t="shared" si="48"/>
        <v>364</v>
      </c>
      <c r="O223" s="819">
        <f t="shared" si="49"/>
        <v>492</v>
      </c>
      <c r="P223" s="819">
        <f t="shared" si="52"/>
        <v>172</v>
      </c>
      <c r="Q223" s="819">
        <f t="shared" si="53"/>
        <v>661</v>
      </c>
      <c r="R223" s="819">
        <f t="shared" si="54"/>
        <v>1488</v>
      </c>
      <c r="S223" s="819">
        <f t="shared" si="55"/>
        <v>338</v>
      </c>
      <c r="T223" s="819">
        <f t="shared" si="56"/>
        <v>470</v>
      </c>
      <c r="U223" s="819">
        <f t="shared" si="57"/>
        <v>3129</v>
      </c>
      <c r="V223" s="819">
        <f t="shared" si="58"/>
        <v>1096</v>
      </c>
      <c r="W223" s="379">
        <f t="shared" si="59"/>
        <v>1096</v>
      </c>
      <c r="X223" s="819" t="str">
        <f t="shared" si="60"/>
        <v/>
      </c>
      <c r="Y223" s="837"/>
      <c r="Z223" s="839"/>
      <c r="AA223" s="838"/>
      <c r="AB223" s="839"/>
    </row>
    <row r="224" spans="2:28" ht="13.15">
      <c r="B224" s="819" t="s">
        <v>822</v>
      </c>
      <c r="C224" s="819" t="s">
        <v>823</v>
      </c>
      <c r="D224" s="379" t="s">
        <v>336</v>
      </c>
      <c r="E224" s="818" t="s">
        <v>460</v>
      </c>
      <c r="F224" s="820">
        <v>2.3675447209999998</v>
      </c>
      <c r="G224" s="821">
        <v>0.48236464099999998</v>
      </c>
      <c r="H224" s="822">
        <v>933861469.52238297</v>
      </c>
      <c r="I224" s="819">
        <v>0.24</v>
      </c>
      <c r="J224" s="820">
        <v>-0.14694792300000001</v>
      </c>
      <c r="K224" s="819">
        <f t="shared" si="50"/>
        <v>233</v>
      </c>
      <c r="L224" s="819">
        <f t="shared" si="51"/>
        <v>929</v>
      </c>
      <c r="M224" s="819">
        <f t="shared" si="47"/>
        <v>233</v>
      </c>
      <c r="N224" s="819">
        <f t="shared" si="48"/>
        <v>209</v>
      </c>
      <c r="O224" s="819">
        <f t="shared" si="49"/>
        <v>1757</v>
      </c>
      <c r="P224" s="819">
        <f t="shared" si="52"/>
        <v>1165</v>
      </c>
      <c r="Q224" s="819">
        <f t="shared" si="53"/>
        <v>506</v>
      </c>
      <c r="R224" s="819">
        <f t="shared" si="54"/>
        <v>151</v>
      </c>
      <c r="S224" s="819">
        <f t="shared" si="55"/>
        <v>183</v>
      </c>
      <c r="T224" s="819">
        <f t="shared" si="56"/>
        <v>1735</v>
      </c>
      <c r="U224" s="819">
        <f t="shared" si="57"/>
        <v>3740</v>
      </c>
      <c r="V224" s="819">
        <f t="shared" si="58"/>
        <v>1695</v>
      </c>
      <c r="W224" s="379">
        <f t="shared" si="59"/>
        <v>1695</v>
      </c>
      <c r="X224" s="819" t="str">
        <f t="shared" si="60"/>
        <v/>
      </c>
      <c r="Y224" s="837"/>
      <c r="Z224" s="839"/>
      <c r="AA224" s="838"/>
      <c r="AB224" s="839"/>
    </row>
    <row r="225" spans="2:28" ht="13.15">
      <c r="B225" s="819" t="s">
        <v>824</v>
      </c>
      <c r="C225" s="819" t="s">
        <v>825</v>
      </c>
      <c r="D225" s="379" t="s">
        <v>336</v>
      </c>
      <c r="E225" s="818" t="s">
        <v>460</v>
      </c>
      <c r="F225" s="820">
        <v>2.28248973</v>
      </c>
      <c r="G225" s="821">
        <v>-4.3008230989999996</v>
      </c>
      <c r="H225" s="822">
        <v>16400686.1628813</v>
      </c>
      <c r="I225" s="819"/>
      <c r="J225" s="820">
        <v>1.13662E-4</v>
      </c>
      <c r="K225" s="819">
        <f t="shared" si="50"/>
        <v>1143</v>
      </c>
      <c r="L225" s="819">
        <f t="shared" si="51"/>
        <v>1397</v>
      </c>
      <c r="M225" s="819">
        <f t="shared" si="47"/>
        <v>1143</v>
      </c>
      <c r="N225" s="819">
        <f t="shared" si="48"/>
        <v>364</v>
      </c>
      <c r="O225" s="819">
        <f t="shared" si="49"/>
        <v>290</v>
      </c>
      <c r="P225" s="819">
        <f t="shared" si="52"/>
        <v>255</v>
      </c>
      <c r="Q225" s="819">
        <f t="shared" si="53"/>
        <v>974</v>
      </c>
      <c r="R225" s="819">
        <f t="shared" si="54"/>
        <v>1061</v>
      </c>
      <c r="S225" s="819">
        <f t="shared" si="55"/>
        <v>338</v>
      </c>
      <c r="T225" s="819">
        <f t="shared" si="56"/>
        <v>268</v>
      </c>
      <c r="U225" s="819">
        <f t="shared" si="57"/>
        <v>2896</v>
      </c>
      <c r="V225" s="819">
        <f t="shared" si="58"/>
        <v>801</v>
      </c>
      <c r="W225" s="379">
        <f t="shared" si="59"/>
        <v>801</v>
      </c>
      <c r="X225" s="819" t="str">
        <f t="shared" si="60"/>
        <v/>
      </c>
      <c r="Y225" s="837"/>
      <c r="Z225" s="839"/>
      <c r="AA225" s="838"/>
      <c r="AB225" s="839"/>
    </row>
    <row r="226" spans="2:28" ht="13.15">
      <c r="B226" s="819" t="s">
        <v>826</v>
      </c>
      <c r="C226" s="819" t="s">
        <v>827</v>
      </c>
      <c r="D226" s="379" t="s">
        <v>336</v>
      </c>
      <c r="E226" s="818" t="s">
        <v>752</v>
      </c>
      <c r="F226" s="820">
        <v>2.237405334</v>
      </c>
      <c r="G226" s="821">
        <v>3.2269938649999999</v>
      </c>
      <c r="H226" s="822">
        <v>2144109222.6487501</v>
      </c>
      <c r="I226" s="819">
        <v>1.31</v>
      </c>
      <c r="J226" s="820">
        <v>-0.134499285</v>
      </c>
      <c r="K226" s="819">
        <f t="shared" si="50"/>
        <v>140</v>
      </c>
      <c r="L226" s="819">
        <f t="shared" si="51"/>
        <v>529</v>
      </c>
      <c r="M226" s="819">
        <f t="shared" si="47"/>
        <v>140</v>
      </c>
      <c r="N226" s="819">
        <f t="shared" si="48"/>
        <v>105</v>
      </c>
      <c r="O226" s="819">
        <f t="shared" si="49"/>
        <v>1755</v>
      </c>
      <c r="P226" s="819">
        <f t="shared" si="52"/>
        <v>1258</v>
      </c>
      <c r="Q226" s="819">
        <f t="shared" si="53"/>
        <v>106</v>
      </c>
      <c r="R226" s="819">
        <f t="shared" si="54"/>
        <v>58</v>
      </c>
      <c r="S226" s="819">
        <f t="shared" si="55"/>
        <v>79</v>
      </c>
      <c r="T226" s="819">
        <f t="shared" si="56"/>
        <v>1733</v>
      </c>
      <c r="U226" s="819">
        <f t="shared" si="57"/>
        <v>3234</v>
      </c>
      <c r="V226" s="819">
        <f t="shared" si="58"/>
        <v>1246</v>
      </c>
      <c r="W226" s="379">
        <f t="shared" si="59"/>
        <v>1246</v>
      </c>
      <c r="X226" s="819" t="str">
        <f t="shared" si="60"/>
        <v/>
      </c>
      <c r="Y226" s="837"/>
      <c r="Z226" s="839"/>
      <c r="AA226" s="838"/>
      <c r="AB226" s="839"/>
    </row>
    <row r="227" spans="2:28" ht="13.15">
      <c r="B227" s="819" t="s">
        <v>828</v>
      </c>
      <c r="C227" s="819" t="s">
        <v>829</v>
      </c>
      <c r="D227" s="379" t="s">
        <v>336</v>
      </c>
      <c r="E227" s="818" t="s">
        <v>789</v>
      </c>
      <c r="F227" s="820">
        <v>3.0759091299999999</v>
      </c>
      <c r="G227" s="821">
        <v>3.3883183699999999</v>
      </c>
      <c r="H227" s="822">
        <v>50132657.173499197</v>
      </c>
      <c r="I227" s="819"/>
      <c r="J227" s="820">
        <v>-6.2008342000000001E-2</v>
      </c>
      <c r="K227" s="819">
        <f t="shared" si="50"/>
        <v>880</v>
      </c>
      <c r="L227" s="819">
        <f t="shared" si="51"/>
        <v>514</v>
      </c>
      <c r="M227" s="819">
        <f t="shared" si="47"/>
        <v>880</v>
      </c>
      <c r="N227" s="819">
        <f t="shared" si="48"/>
        <v>364</v>
      </c>
      <c r="O227" s="819">
        <f t="shared" si="49"/>
        <v>1739</v>
      </c>
      <c r="P227" s="819">
        <f t="shared" si="52"/>
        <v>518</v>
      </c>
      <c r="Q227" s="819">
        <f t="shared" si="53"/>
        <v>91</v>
      </c>
      <c r="R227" s="819">
        <f t="shared" si="54"/>
        <v>798</v>
      </c>
      <c r="S227" s="819">
        <f t="shared" si="55"/>
        <v>338</v>
      </c>
      <c r="T227" s="819">
        <f t="shared" si="56"/>
        <v>1717</v>
      </c>
      <c r="U227" s="819">
        <f t="shared" si="57"/>
        <v>3462</v>
      </c>
      <c r="V227" s="819">
        <f t="shared" si="58"/>
        <v>1519</v>
      </c>
      <c r="W227" s="379">
        <f t="shared" si="59"/>
        <v>1519</v>
      </c>
      <c r="X227" s="819" t="str">
        <f t="shared" si="60"/>
        <v/>
      </c>
      <c r="Y227" s="837"/>
      <c r="Z227" s="839"/>
      <c r="AA227" s="838"/>
      <c r="AB227" s="839"/>
    </row>
    <row r="228" spans="2:28" ht="13.15">
      <c r="B228" s="819" t="s">
        <v>830</v>
      </c>
      <c r="C228" s="819" t="s">
        <v>831</v>
      </c>
      <c r="D228" s="379" t="s">
        <v>336</v>
      </c>
      <c r="E228" s="818" t="s">
        <v>460</v>
      </c>
      <c r="F228" s="820">
        <v>2.3682686099999999</v>
      </c>
      <c r="G228" s="821">
        <v>0.76676624599999998</v>
      </c>
      <c r="H228" s="822">
        <v>59160004.063043103</v>
      </c>
      <c r="I228" s="819"/>
      <c r="J228" s="820">
        <v>-3.4527569999999999E-3</v>
      </c>
      <c r="K228" s="819">
        <f t="shared" si="50"/>
        <v>842</v>
      </c>
      <c r="L228" s="819">
        <f t="shared" si="51"/>
        <v>859</v>
      </c>
      <c r="M228" s="819">
        <f t="shared" si="47"/>
        <v>842</v>
      </c>
      <c r="N228" s="819">
        <f t="shared" si="48"/>
        <v>364</v>
      </c>
      <c r="O228" s="819">
        <f t="shared" si="49"/>
        <v>1565</v>
      </c>
      <c r="P228" s="819">
        <f t="shared" si="52"/>
        <v>556</v>
      </c>
      <c r="Q228" s="819">
        <f t="shared" si="53"/>
        <v>436</v>
      </c>
      <c r="R228" s="819">
        <f t="shared" si="54"/>
        <v>760</v>
      </c>
      <c r="S228" s="819">
        <f t="shared" si="55"/>
        <v>338</v>
      </c>
      <c r="T228" s="819">
        <f t="shared" si="56"/>
        <v>1543</v>
      </c>
      <c r="U228" s="819">
        <f t="shared" si="57"/>
        <v>3633</v>
      </c>
      <c r="V228" s="819">
        <f t="shared" si="58"/>
        <v>1642</v>
      </c>
      <c r="W228" s="379">
        <f t="shared" si="59"/>
        <v>1642</v>
      </c>
      <c r="X228" s="819" t="str">
        <f t="shared" si="60"/>
        <v/>
      </c>
      <c r="Y228" s="837"/>
      <c r="Z228" s="839"/>
      <c r="AA228" s="838"/>
      <c r="AB228" s="839"/>
    </row>
    <row r="229" spans="2:28" ht="13.15">
      <c r="B229" s="819" t="s">
        <v>832</v>
      </c>
      <c r="C229" s="819" t="s">
        <v>833</v>
      </c>
      <c r="D229" s="379" t="s">
        <v>336</v>
      </c>
      <c r="E229" s="818" t="s">
        <v>676</v>
      </c>
      <c r="F229" s="820">
        <v>0.93439338000000005</v>
      </c>
      <c r="G229" s="821">
        <v>0.97442521299999996</v>
      </c>
      <c r="H229" s="822">
        <v>55430762.964974202</v>
      </c>
      <c r="I229" s="819"/>
      <c r="J229" s="820">
        <v>-2.8516370000000002E-3</v>
      </c>
      <c r="K229" s="819">
        <f t="shared" si="50"/>
        <v>852</v>
      </c>
      <c r="L229" s="819">
        <f t="shared" si="51"/>
        <v>820</v>
      </c>
      <c r="M229" s="819">
        <f t="shared" si="47"/>
        <v>852</v>
      </c>
      <c r="N229" s="819">
        <f t="shared" si="48"/>
        <v>364</v>
      </c>
      <c r="O229" s="819">
        <f t="shared" si="49"/>
        <v>1541</v>
      </c>
      <c r="P229" s="819">
        <f t="shared" si="52"/>
        <v>546</v>
      </c>
      <c r="Q229" s="819">
        <f t="shared" si="53"/>
        <v>397</v>
      </c>
      <c r="R229" s="819">
        <f t="shared" si="54"/>
        <v>770</v>
      </c>
      <c r="S229" s="819">
        <f t="shared" si="55"/>
        <v>338</v>
      </c>
      <c r="T229" s="819">
        <f t="shared" si="56"/>
        <v>1519</v>
      </c>
      <c r="U229" s="819">
        <f t="shared" si="57"/>
        <v>3570</v>
      </c>
      <c r="V229" s="819">
        <f t="shared" si="58"/>
        <v>1609</v>
      </c>
      <c r="W229" s="379">
        <f t="shared" si="59"/>
        <v>1609</v>
      </c>
      <c r="X229" s="819" t="str">
        <f t="shared" si="60"/>
        <v/>
      </c>
      <c r="Y229" s="837"/>
      <c r="Z229" s="839"/>
      <c r="AA229" s="838"/>
      <c r="AB229" s="839"/>
    </row>
    <row r="230" spans="2:28" ht="13.15">
      <c r="B230" s="819" t="s">
        <v>834</v>
      </c>
      <c r="C230" s="819" t="s">
        <v>835</v>
      </c>
      <c r="D230" s="379" t="s">
        <v>336</v>
      </c>
      <c r="E230" s="818" t="s">
        <v>836</v>
      </c>
      <c r="F230" s="820">
        <v>2.2992348929999999</v>
      </c>
      <c r="G230" s="821">
        <v>0.43041316800000001</v>
      </c>
      <c r="H230" s="822">
        <v>470074984.739609</v>
      </c>
      <c r="I230" s="819"/>
      <c r="J230" s="820">
        <v>-0.149444625</v>
      </c>
      <c r="K230" s="819">
        <f t="shared" si="50"/>
        <v>370</v>
      </c>
      <c r="L230" s="819">
        <f t="shared" si="51"/>
        <v>940</v>
      </c>
      <c r="M230" s="819">
        <f t="shared" si="47"/>
        <v>370</v>
      </c>
      <c r="N230" s="819">
        <f t="shared" si="48"/>
        <v>364</v>
      </c>
      <c r="O230" s="819">
        <f t="shared" si="49"/>
        <v>1758</v>
      </c>
      <c r="P230" s="819">
        <f t="shared" si="52"/>
        <v>1028</v>
      </c>
      <c r="Q230" s="819">
        <f t="shared" si="53"/>
        <v>517</v>
      </c>
      <c r="R230" s="819">
        <f t="shared" si="54"/>
        <v>288</v>
      </c>
      <c r="S230" s="819">
        <f t="shared" si="55"/>
        <v>338</v>
      </c>
      <c r="T230" s="819">
        <f t="shared" si="56"/>
        <v>1736</v>
      </c>
      <c r="U230" s="819">
        <f t="shared" si="57"/>
        <v>3907</v>
      </c>
      <c r="V230" s="819">
        <f t="shared" si="58"/>
        <v>1737</v>
      </c>
      <c r="W230" s="379">
        <f t="shared" si="59"/>
        <v>1737</v>
      </c>
      <c r="X230" s="819" t="str">
        <f t="shared" si="60"/>
        <v/>
      </c>
      <c r="Y230" s="837"/>
      <c r="Z230" s="839"/>
      <c r="AA230" s="838"/>
      <c r="AB230" s="839"/>
    </row>
    <row r="231" spans="2:28" ht="13.15">
      <c r="B231" s="819" t="s">
        <v>837</v>
      </c>
      <c r="C231" s="819" t="s">
        <v>838</v>
      </c>
      <c r="D231" s="379" t="s">
        <v>336</v>
      </c>
      <c r="E231" s="818" t="s">
        <v>839</v>
      </c>
      <c r="F231" s="820">
        <v>2.969103289</v>
      </c>
      <c r="G231" s="821">
        <v>2.9742604400000001</v>
      </c>
      <c r="H231" s="822">
        <v>4269892465.7551699</v>
      </c>
      <c r="I231" s="819"/>
      <c r="J231" s="820">
        <v>-0.23477684600000001</v>
      </c>
      <c r="K231" s="819">
        <f t="shared" si="50"/>
        <v>83</v>
      </c>
      <c r="L231" s="819">
        <f t="shared" si="51"/>
        <v>549</v>
      </c>
      <c r="M231" s="819">
        <f t="shared" si="47"/>
        <v>83</v>
      </c>
      <c r="N231" s="819">
        <f t="shared" si="48"/>
        <v>364</v>
      </c>
      <c r="O231" s="819">
        <f t="shared" si="49"/>
        <v>1768</v>
      </c>
      <c r="P231" s="819">
        <f t="shared" si="52"/>
        <v>1315</v>
      </c>
      <c r="Q231" s="819">
        <f t="shared" si="53"/>
        <v>126</v>
      </c>
      <c r="R231" s="819">
        <f t="shared" si="54"/>
        <v>1</v>
      </c>
      <c r="S231" s="819">
        <f t="shared" si="55"/>
        <v>338</v>
      </c>
      <c r="T231" s="819">
        <f t="shared" si="56"/>
        <v>1746</v>
      </c>
      <c r="U231" s="819">
        <f t="shared" si="57"/>
        <v>3526</v>
      </c>
      <c r="V231" s="819">
        <f t="shared" si="58"/>
        <v>1578</v>
      </c>
      <c r="W231" s="379">
        <f t="shared" si="59"/>
        <v>1578</v>
      </c>
      <c r="X231" s="819" t="str">
        <f t="shared" si="60"/>
        <v/>
      </c>
      <c r="Y231" s="837"/>
      <c r="Z231" s="839"/>
      <c r="AA231" s="838"/>
      <c r="AB231" s="839"/>
    </row>
    <row r="232" spans="2:28" ht="13.15">
      <c r="B232" s="819" t="s">
        <v>840</v>
      </c>
      <c r="C232" s="819" t="s">
        <v>841</v>
      </c>
      <c r="D232" s="379" t="s">
        <v>336</v>
      </c>
      <c r="E232" s="818" t="s">
        <v>842</v>
      </c>
      <c r="F232" s="820">
        <v>18.956560549999999</v>
      </c>
      <c r="G232" s="821">
        <v>10.444361499999999</v>
      </c>
      <c r="H232" s="822">
        <v>12678651.6349263</v>
      </c>
      <c r="I232" s="819"/>
      <c r="J232" s="820">
        <v>-1.06407E-4</v>
      </c>
      <c r="K232" s="819">
        <f t="shared" si="50"/>
        <v>1206</v>
      </c>
      <c r="L232" s="819">
        <f t="shared" si="51"/>
        <v>187</v>
      </c>
      <c r="M232" s="819">
        <f t="shared" si="47"/>
        <v>1206</v>
      </c>
      <c r="N232" s="819">
        <f t="shared" si="48"/>
        <v>364</v>
      </c>
      <c r="O232" s="819">
        <f t="shared" si="49"/>
        <v>1013</v>
      </c>
      <c r="P232" s="819">
        <f t="shared" si="52"/>
        <v>192</v>
      </c>
      <c r="Q232" s="819">
        <f t="shared" si="53"/>
        <v>236</v>
      </c>
      <c r="R232" s="819">
        <f t="shared" si="54"/>
        <v>1124</v>
      </c>
      <c r="S232" s="819">
        <f t="shared" si="55"/>
        <v>338</v>
      </c>
      <c r="T232" s="819">
        <f t="shared" si="56"/>
        <v>991</v>
      </c>
      <c r="U232" s="819">
        <f t="shared" si="57"/>
        <v>2881</v>
      </c>
      <c r="V232" s="819">
        <f t="shared" si="58"/>
        <v>776</v>
      </c>
      <c r="W232" s="379">
        <f t="shared" si="59"/>
        <v>776</v>
      </c>
      <c r="X232" s="819" t="str">
        <f t="shared" si="60"/>
        <v/>
      </c>
      <c r="Y232" s="837"/>
      <c r="Z232" s="839"/>
      <c r="AA232" s="838"/>
      <c r="AB232" s="839"/>
    </row>
    <row r="233" spans="2:28" ht="13.15">
      <c r="B233" s="819" t="s">
        <v>843</v>
      </c>
      <c r="C233" s="819" t="s">
        <v>844</v>
      </c>
      <c r="D233" s="379" t="s">
        <v>336</v>
      </c>
      <c r="E233" s="818" t="s">
        <v>444</v>
      </c>
      <c r="F233" s="820">
        <v>0.71220711999999997</v>
      </c>
      <c r="G233" s="821">
        <v>8.8739584829999991</v>
      </c>
      <c r="H233" s="822">
        <v>1086459810.8174</v>
      </c>
      <c r="I233" s="819"/>
      <c r="J233" s="820">
        <v>-4.8689334000000001E-2</v>
      </c>
      <c r="K233" s="819">
        <f t="shared" si="50"/>
        <v>211</v>
      </c>
      <c r="L233" s="819">
        <f t="shared" si="51"/>
        <v>229</v>
      </c>
      <c r="M233" s="819">
        <f t="shared" si="47"/>
        <v>211</v>
      </c>
      <c r="N233" s="819">
        <f t="shared" si="48"/>
        <v>364</v>
      </c>
      <c r="O233" s="819">
        <f t="shared" si="49"/>
        <v>1733</v>
      </c>
      <c r="P233" s="819">
        <f t="shared" si="52"/>
        <v>1187</v>
      </c>
      <c r="Q233" s="819">
        <f t="shared" si="53"/>
        <v>194</v>
      </c>
      <c r="R233" s="819">
        <f t="shared" si="54"/>
        <v>129</v>
      </c>
      <c r="S233" s="819">
        <f t="shared" si="55"/>
        <v>338</v>
      </c>
      <c r="T233" s="819">
        <f t="shared" si="56"/>
        <v>1711</v>
      </c>
      <c r="U233" s="819">
        <f t="shared" si="57"/>
        <v>3559</v>
      </c>
      <c r="V233" s="819">
        <f t="shared" si="58"/>
        <v>1601</v>
      </c>
      <c r="W233" s="379">
        <f t="shared" si="59"/>
        <v>1601</v>
      </c>
      <c r="X233" s="819" t="str">
        <f t="shared" si="60"/>
        <v/>
      </c>
      <c r="Y233" s="837"/>
      <c r="Z233" s="839"/>
      <c r="AA233" s="838"/>
      <c r="AB233" s="839"/>
    </row>
    <row r="234" spans="2:28" ht="13.15">
      <c r="B234" s="819" t="s">
        <v>845</v>
      </c>
      <c r="C234" s="819" t="s">
        <v>846</v>
      </c>
      <c r="D234" s="379" t="s">
        <v>336</v>
      </c>
      <c r="E234" s="818" t="s">
        <v>418</v>
      </c>
      <c r="F234" s="820">
        <v>2.8465944140000001</v>
      </c>
      <c r="G234" s="821">
        <v>3.3580733110000001</v>
      </c>
      <c r="H234" s="822">
        <v>124503139.76824</v>
      </c>
      <c r="I234" s="819"/>
      <c r="J234" s="820">
        <v>-1.2236578E-2</v>
      </c>
      <c r="K234" s="819">
        <f t="shared" si="50"/>
        <v>661</v>
      </c>
      <c r="L234" s="819">
        <f t="shared" si="51"/>
        <v>518</v>
      </c>
      <c r="M234" s="819">
        <f t="shared" si="47"/>
        <v>661</v>
      </c>
      <c r="N234" s="819">
        <f t="shared" si="48"/>
        <v>364</v>
      </c>
      <c r="O234" s="819">
        <f t="shared" si="49"/>
        <v>1659</v>
      </c>
      <c r="P234" s="819">
        <f t="shared" si="52"/>
        <v>737</v>
      </c>
      <c r="Q234" s="819">
        <f t="shared" si="53"/>
        <v>95</v>
      </c>
      <c r="R234" s="819">
        <f t="shared" si="54"/>
        <v>579</v>
      </c>
      <c r="S234" s="819">
        <f t="shared" si="55"/>
        <v>338</v>
      </c>
      <c r="T234" s="819">
        <f t="shared" si="56"/>
        <v>1637</v>
      </c>
      <c r="U234" s="819">
        <f t="shared" si="57"/>
        <v>3386</v>
      </c>
      <c r="V234" s="819">
        <f t="shared" si="58"/>
        <v>1449</v>
      </c>
      <c r="W234" s="379">
        <f t="shared" si="59"/>
        <v>1449</v>
      </c>
      <c r="X234" s="819" t="str">
        <f t="shared" si="60"/>
        <v/>
      </c>
      <c r="Y234" s="837"/>
      <c r="Z234" s="839"/>
      <c r="AA234" s="838"/>
      <c r="AB234" s="839"/>
    </row>
    <row r="235" spans="2:28" ht="13.15">
      <c r="B235" s="819" t="s">
        <v>847</v>
      </c>
      <c r="C235" s="819" t="s">
        <v>848</v>
      </c>
      <c r="D235" s="379" t="s">
        <v>336</v>
      </c>
      <c r="E235" s="818" t="s">
        <v>444</v>
      </c>
      <c r="F235" s="820">
        <v>1.2911342480000001</v>
      </c>
      <c r="G235" s="821">
        <v>0.95112467700000003</v>
      </c>
      <c r="H235" s="822">
        <v>348312870.70811498</v>
      </c>
      <c r="I235" s="819"/>
      <c r="J235" s="820">
        <v>-1.8791370000000002E-2</v>
      </c>
      <c r="K235" s="819">
        <f t="shared" si="50"/>
        <v>439</v>
      </c>
      <c r="L235" s="819">
        <f t="shared" si="51"/>
        <v>824</v>
      </c>
      <c r="M235" s="819">
        <f t="shared" si="47"/>
        <v>439</v>
      </c>
      <c r="N235" s="819">
        <f t="shared" si="48"/>
        <v>364</v>
      </c>
      <c r="O235" s="819">
        <f t="shared" si="49"/>
        <v>1691</v>
      </c>
      <c r="P235" s="819">
        <f t="shared" si="52"/>
        <v>959</v>
      </c>
      <c r="Q235" s="819">
        <f t="shared" si="53"/>
        <v>401</v>
      </c>
      <c r="R235" s="819">
        <f t="shared" si="54"/>
        <v>357</v>
      </c>
      <c r="S235" s="819">
        <f t="shared" si="55"/>
        <v>338</v>
      </c>
      <c r="T235" s="819">
        <f t="shared" si="56"/>
        <v>1669</v>
      </c>
      <c r="U235" s="819">
        <f t="shared" si="57"/>
        <v>3724</v>
      </c>
      <c r="V235" s="819">
        <f t="shared" si="58"/>
        <v>1687</v>
      </c>
      <c r="W235" s="379">
        <f t="shared" si="59"/>
        <v>1687</v>
      </c>
      <c r="X235" s="819" t="str">
        <f t="shared" si="60"/>
        <v/>
      </c>
      <c r="Y235" s="837"/>
      <c r="Z235" s="839"/>
      <c r="AA235" s="838"/>
      <c r="AB235" s="839"/>
    </row>
    <row r="236" spans="2:28" ht="13.15">
      <c r="B236" s="819" t="s">
        <v>849</v>
      </c>
      <c r="C236" s="819" t="s">
        <v>850</v>
      </c>
      <c r="D236" s="379" t="s">
        <v>336</v>
      </c>
      <c r="E236" s="818" t="s">
        <v>191</v>
      </c>
      <c r="F236" s="820">
        <v>3.544296632</v>
      </c>
      <c r="G236" s="821">
        <v>19.8993994</v>
      </c>
      <c r="H236" s="822">
        <v>2862348848.4641099</v>
      </c>
      <c r="I236" s="819">
        <v>3.66</v>
      </c>
      <c r="J236" s="820">
        <v>-4.7466273000000003E-2</v>
      </c>
      <c r="K236" s="819">
        <f t="shared" si="50"/>
        <v>112</v>
      </c>
      <c r="L236" s="819">
        <f t="shared" si="51"/>
        <v>94</v>
      </c>
      <c r="M236" s="819">
        <f t="shared" si="47"/>
        <v>112</v>
      </c>
      <c r="N236" s="819">
        <f t="shared" si="48"/>
        <v>55</v>
      </c>
      <c r="O236" s="819">
        <f t="shared" si="49"/>
        <v>1731</v>
      </c>
      <c r="P236" s="819">
        <f t="shared" si="52"/>
        <v>1286</v>
      </c>
      <c r="Q236" s="819">
        <f t="shared" si="53"/>
        <v>329</v>
      </c>
      <c r="R236" s="819">
        <f t="shared" si="54"/>
        <v>30</v>
      </c>
      <c r="S236" s="819">
        <f t="shared" si="55"/>
        <v>29</v>
      </c>
      <c r="T236" s="819">
        <f t="shared" si="56"/>
        <v>1709</v>
      </c>
      <c r="U236" s="819">
        <f t="shared" si="57"/>
        <v>3383</v>
      </c>
      <c r="V236" s="819">
        <f t="shared" si="58"/>
        <v>1446</v>
      </c>
      <c r="W236" s="379">
        <f t="shared" si="59"/>
        <v>1446</v>
      </c>
      <c r="X236" s="819" t="str">
        <f t="shared" si="60"/>
        <v/>
      </c>
      <c r="Y236" s="837"/>
      <c r="Z236" s="839"/>
      <c r="AA236" s="838"/>
      <c r="AB236" s="839"/>
    </row>
    <row r="237" spans="2:28" ht="13.15">
      <c r="B237" s="819" t="s">
        <v>851</v>
      </c>
      <c r="C237" s="819" t="s">
        <v>852</v>
      </c>
      <c r="D237" s="379" t="s">
        <v>336</v>
      </c>
      <c r="E237" s="818" t="s">
        <v>373</v>
      </c>
      <c r="F237" s="820">
        <v>1.67705707</v>
      </c>
      <c r="G237" s="821">
        <v>5.5141592920000004</v>
      </c>
      <c r="H237" s="822">
        <v>16232638.888888899</v>
      </c>
      <c r="I237" s="819"/>
      <c r="J237" s="820">
        <v>-1.480124E-3</v>
      </c>
      <c r="K237" s="819">
        <f t="shared" si="50"/>
        <v>1145</v>
      </c>
      <c r="L237" s="819">
        <f t="shared" si="51"/>
        <v>349</v>
      </c>
      <c r="M237" s="819">
        <f t="shared" si="47"/>
        <v>1145</v>
      </c>
      <c r="N237" s="819">
        <f t="shared" si="48"/>
        <v>364</v>
      </c>
      <c r="O237" s="819">
        <f t="shared" si="49"/>
        <v>1461</v>
      </c>
      <c r="P237" s="819">
        <f t="shared" si="52"/>
        <v>253</v>
      </c>
      <c r="Q237" s="819">
        <f t="shared" si="53"/>
        <v>74</v>
      </c>
      <c r="R237" s="819">
        <f t="shared" si="54"/>
        <v>1063</v>
      </c>
      <c r="S237" s="819">
        <f t="shared" si="55"/>
        <v>338</v>
      </c>
      <c r="T237" s="819">
        <f t="shared" si="56"/>
        <v>1439</v>
      </c>
      <c r="U237" s="819">
        <f t="shared" si="57"/>
        <v>3167</v>
      </c>
      <c r="V237" s="819">
        <f t="shared" si="58"/>
        <v>1149</v>
      </c>
      <c r="W237" s="379">
        <f t="shared" si="59"/>
        <v>1149</v>
      </c>
      <c r="X237" s="819" t="str">
        <f t="shared" si="60"/>
        <v/>
      </c>
      <c r="Y237" s="837"/>
      <c r="Z237" s="839"/>
      <c r="AA237" s="838"/>
      <c r="AB237" s="839"/>
    </row>
    <row r="238" spans="2:28" ht="13.15">
      <c r="B238" s="819" t="s">
        <v>853</v>
      </c>
      <c r="C238" s="819" t="s">
        <v>854</v>
      </c>
      <c r="D238" s="379" t="s">
        <v>336</v>
      </c>
      <c r="E238" s="818" t="s">
        <v>425</v>
      </c>
      <c r="F238" s="820">
        <v>1.42056797</v>
      </c>
      <c r="G238" s="821">
        <v>1.4482236690000001</v>
      </c>
      <c r="H238" s="822">
        <v>94426242.975053295</v>
      </c>
      <c r="I238" s="819"/>
      <c r="J238" s="820">
        <v>-2.4013799999999998E-3</v>
      </c>
      <c r="K238" s="819">
        <f t="shared" si="50"/>
        <v>738</v>
      </c>
      <c r="L238" s="819">
        <f t="shared" si="51"/>
        <v>749</v>
      </c>
      <c r="M238" s="819">
        <f t="shared" si="47"/>
        <v>738</v>
      </c>
      <c r="N238" s="819">
        <f t="shared" si="48"/>
        <v>364</v>
      </c>
      <c r="O238" s="819">
        <f t="shared" si="49"/>
        <v>1520</v>
      </c>
      <c r="P238" s="819">
        <f t="shared" si="52"/>
        <v>660</v>
      </c>
      <c r="Q238" s="819">
        <f t="shared" si="53"/>
        <v>326</v>
      </c>
      <c r="R238" s="819">
        <f t="shared" si="54"/>
        <v>656</v>
      </c>
      <c r="S238" s="819">
        <f t="shared" si="55"/>
        <v>338</v>
      </c>
      <c r="T238" s="819">
        <f t="shared" si="56"/>
        <v>1498</v>
      </c>
      <c r="U238" s="819">
        <f t="shared" si="57"/>
        <v>3478</v>
      </c>
      <c r="V238" s="819">
        <f t="shared" si="58"/>
        <v>1533</v>
      </c>
      <c r="W238" s="379">
        <f t="shared" si="59"/>
        <v>1533</v>
      </c>
      <c r="X238" s="819" t="str">
        <f t="shared" si="60"/>
        <v/>
      </c>
      <c r="Y238" s="837"/>
      <c r="Z238" s="839"/>
      <c r="AA238" s="838"/>
      <c r="AB238" s="839"/>
    </row>
    <row r="239" spans="2:28" ht="13.15">
      <c r="B239" s="819" t="s">
        <v>855</v>
      </c>
      <c r="C239" s="819" t="s">
        <v>856</v>
      </c>
      <c r="D239" s="379" t="s">
        <v>336</v>
      </c>
      <c r="E239" s="818" t="s">
        <v>789</v>
      </c>
      <c r="F239" s="820">
        <v>0.36494996099999999</v>
      </c>
      <c r="G239" s="821">
        <v>2.7254691160000002</v>
      </c>
      <c r="H239" s="822">
        <v>80234821.136808306</v>
      </c>
      <c r="I239" s="819"/>
      <c r="J239" s="820">
        <v>-1.4512679000000001E-2</v>
      </c>
      <c r="K239" s="819">
        <f t="shared" si="50"/>
        <v>771</v>
      </c>
      <c r="L239" s="819">
        <f t="shared" si="51"/>
        <v>576</v>
      </c>
      <c r="M239" s="819">
        <f t="shared" si="47"/>
        <v>771</v>
      </c>
      <c r="N239" s="819">
        <f t="shared" si="48"/>
        <v>364</v>
      </c>
      <c r="O239" s="819">
        <f t="shared" si="49"/>
        <v>1670</v>
      </c>
      <c r="P239" s="819">
        <f t="shared" si="52"/>
        <v>627</v>
      </c>
      <c r="Q239" s="819">
        <f t="shared" si="53"/>
        <v>153</v>
      </c>
      <c r="R239" s="819">
        <f t="shared" si="54"/>
        <v>689</v>
      </c>
      <c r="S239" s="819">
        <f t="shared" si="55"/>
        <v>338</v>
      </c>
      <c r="T239" s="819">
        <f t="shared" si="56"/>
        <v>1648</v>
      </c>
      <c r="U239" s="819">
        <f t="shared" si="57"/>
        <v>3455</v>
      </c>
      <c r="V239" s="819">
        <f t="shared" si="58"/>
        <v>1513</v>
      </c>
      <c r="W239" s="379">
        <f t="shared" si="59"/>
        <v>1513</v>
      </c>
      <c r="X239" s="819" t="str">
        <f t="shared" si="60"/>
        <v/>
      </c>
      <c r="Y239" s="837"/>
      <c r="Z239" s="839"/>
      <c r="AA239" s="838"/>
      <c r="AB239" s="839"/>
    </row>
    <row r="240" spans="2:28" ht="13.15">
      <c r="B240" s="819" t="s">
        <v>857</v>
      </c>
      <c r="C240" s="819" t="s">
        <v>858</v>
      </c>
      <c r="D240" s="379" t="s">
        <v>336</v>
      </c>
      <c r="E240" s="818" t="s">
        <v>441</v>
      </c>
      <c r="F240" s="820">
        <v>3.6589018769999999</v>
      </c>
      <c r="G240" s="821">
        <v>1.129670846</v>
      </c>
      <c r="H240" s="822">
        <v>807100542.87729204</v>
      </c>
      <c r="I240" s="819"/>
      <c r="J240" s="820">
        <v>-3.3244607000000002E-2</v>
      </c>
      <c r="K240" s="819">
        <f t="shared" si="50"/>
        <v>251</v>
      </c>
      <c r="L240" s="819">
        <f t="shared" si="51"/>
        <v>793</v>
      </c>
      <c r="M240" s="819">
        <f t="shared" si="47"/>
        <v>251</v>
      </c>
      <c r="N240" s="819">
        <f t="shared" si="48"/>
        <v>364</v>
      </c>
      <c r="O240" s="819">
        <f t="shared" si="49"/>
        <v>1718</v>
      </c>
      <c r="P240" s="819">
        <f t="shared" si="52"/>
        <v>1147</v>
      </c>
      <c r="Q240" s="819">
        <f t="shared" si="53"/>
        <v>370</v>
      </c>
      <c r="R240" s="819">
        <f t="shared" si="54"/>
        <v>169</v>
      </c>
      <c r="S240" s="819">
        <f t="shared" si="55"/>
        <v>338</v>
      </c>
      <c r="T240" s="819">
        <f t="shared" si="56"/>
        <v>1696</v>
      </c>
      <c r="U240" s="819">
        <f t="shared" si="57"/>
        <v>3720</v>
      </c>
      <c r="V240" s="819">
        <f t="shared" si="58"/>
        <v>1684</v>
      </c>
      <c r="W240" s="379">
        <f t="shared" si="59"/>
        <v>1684</v>
      </c>
      <c r="X240" s="819" t="str">
        <f t="shared" si="60"/>
        <v/>
      </c>
      <c r="Y240" s="837"/>
      <c r="Z240" s="839"/>
      <c r="AA240" s="838"/>
      <c r="AB240" s="839"/>
    </row>
    <row r="241" spans="2:28" ht="13.15">
      <c r="B241" s="819" t="s">
        <v>859</v>
      </c>
      <c r="C241" s="819" t="s">
        <v>860</v>
      </c>
      <c r="D241" s="379" t="s">
        <v>336</v>
      </c>
      <c r="E241" s="818" t="s">
        <v>453</v>
      </c>
      <c r="F241" s="820">
        <v>1.591932211</v>
      </c>
      <c r="G241" s="821">
        <v>2.2018118960000002</v>
      </c>
      <c r="H241" s="822">
        <v>304316238.65789598</v>
      </c>
      <c r="I241" s="819"/>
      <c r="J241" s="820">
        <v>-1.2868561000000001E-2</v>
      </c>
      <c r="K241" s="819">
        <f t="shared" si="50"/>
        <v>468</v>
      </c>
      <c r="L241" s="819">
        <f t="shared" si="51"/>
        <v>649</v>
      </c>
      <c r="M241" s="819">
        <f t="shared" si="47"/>
        <v>468</v>
      </c>
      <c r="N241" s="819">
        <f t="shared" si="48"/>
        <v>364</v>
      </c>
      <c r="O241" s="819">
        <f t="shared" si="49"/>
        <v>1662</v>
      </c>
      <c r="P241" s="819">
        <f t="shared" si="52"/>
        <v>930</v>
      </c>
      <c r="Q241" s="819">
        <f t="shared" si="53"/>
        <v>226</v>
      </c>
      <c r="R241" s="819">
        <f t="shared" si="54"/>
        <v>386</v>
      </c>
      <c r="S241" s="819">
        <f t="shared" si="55"/>
        <v>338</v>
      </c>
      <c r="T241" s="819">
        <f t="shared" si="56"/>
        <v>1640</v>
      </c>
      <c r="U241" s="819">
        <f t="shared" si="57"/>
        <v>3520</v>
      </c>
      <c r="V241" s="819">
        <f t="shared" si="58"/>
        <v>1573</v>
      </c>
      <c r="W241" s="379">
        <f t="shared" si="59"/>
        <v>1573</v>
      </c>
      <c r="X241" s="819" t="str">
        <f t="shared" si="60"/>
        <v/>
      </c>
      <c r="Y241" s="837"/>
      <c r="Z241" s="839"/>
      <c r="AA241" s="838"/>
      <c r="AB241" s="839"/>
    </row>
    <row r="242" spans="2:28" ht="13.15">
      <c r="B242" s="819" t="s">
        <v>861</v>
      </c>
      <c r="C242" s="819" t="s">
        <v>862</v>
      </c>
      <c r="D242" s="379" t="s">
        <v>336</v>
      </c>
      <c r="E242" s="818" t="s">
        <v>863</v>
      </c>
      <c r="F242" s="820">
        <v>3.42115692</v>
      </c>
      <c r="G242" s="821">
        <v>8.6163326999999998E-2</v>
      </c>
      <c r="H242" s="822">
        <v>111240597.520924</v>
      </c>
      <c r="I242" s="819"/>
      <c r="J242" s="820">
        <v>-3.7905939E-2</v>
      </c>
      <c r="K242" s="819">
        <f t="shared" si="50"/>
        <v>693</v>
      </c>
      <c r="L242" s="819">
        <f t="shared" si="51"/>
        <v>1021</v>
      </c>
      <c r="M242" s="819">
        <f t="shared" si="47"/>
        <v>693</v>
      </c>
      <c r="N242" s="819">
        <f t="shared" si="48"/>
        <v>364</v>
      </c>
      <c r="O242" s="819">
        <f t="shared" si="49"/>
        <v>1725</v>
      </c>
      <c r="P242" s="819">
        <f t="shared" si="52"/>
        <v>705</v>
      </c>
      <c r="Q242" s="819">
        <f t="shared" si="53"/>
        <v>598</v>
      </c>
      <c r="R242" s="819">
        <f t="shared" si="54"/>
        <v>611</v>
      </c>
      <c r="S242" s="819">
        <f t="shared" si="55"/>
        <v>338</v>
      </c>
      <c r="T242" s="819">
        <f t="shared" si="56"/>
        <v>1703</v>
      </c>
      <c r="U242" s="819">
        <f t="shared" si="57"/>
        <v>3955</v>
      </c>
      <c r="V242" s="819">
        <f t="shared" si="58"/>
        <v>1743</v>
      </c>
      <c r="W242" s="379">
        <f t="shared" si="59"/>
        <v>1743</v>
      </c>
      <c r="X242" s="819" t="str">
        <f t="shared" si="60"/>
        <v/>
      </c>
      <c r="Y242" s="837"/>
      <c r="Z242" s="839"/>
      <c r="AA242" s="838"/>
      <c r="AB242" s="839"/>
    </row>
    <row r="243" spans="2:28" ht="13.15">
      <c r="B243" s="819" t="s">
        <v>864</v>
      </c>
      <c r="C243" s="819" t="s">
        <v>865</v>
      </c>
      <c r="D243" s="379" t="s">
        <v>336</v>
      </c>
      <c r="E243" s="818" t="s">
        <v>337</v>
      </c>
      <c r="F243" s="820">
        <v>3.5061658109999998</v>
      </c>
      <c r="G243" s="821">
        <v>-13.36094675</v>
      </c>
      <c r="H243" s="822">
        <v>1175900717.8199999</v>
      </c>
      <c r="I243" s="819"/>
      <c r="J243" s="820">
        <v>5.0786049999999999E-3</v>
      </c>
      <c r="K243" s="819">
        <f t="shared" si="50"/>
        <v>202</v>
      </c>
      <c r="L243" s="819">
        <f t="shared" si="51"/>
        <v>1468</v>
      </c>
      <c r="M243" s="819">
        <f t="shared" si="47"/>
        <v>202</v>
      </c>
      <c r="N243" s="819">
        <f t="shared" si="48"/>
        <v>364</v>
      </c>
      <c r="O243" s="819">
        <f t="shared" si="49"/>
        <v>148</v>
      </c>
      <c r="P243" s="819">
        <f t="shared" si="52"/>
        <v>1196</v>
      </c>
      <c r="Q243" s="819">
        <f t="shared" si="53"/>
        <v>1045</v>
      </c>
      <c r="R243" s="819">
        <f t="shared" si="54"/>
        <v>120</v>
      </c>
      <c r="S243" s="819">
        <f t="shared" si="55"/>
        <v>338</v>
      </c>
      <c r="T243" s="819">
        <f t="shared" si="56"/>
        <v>126</v>
      </c>
      <c r="U243" s="819">
        <f t="shared" si="57"/>
        <v>2825</v>
      </c>
      <c r="V243" s="819">
        <f t="shared" si="58"/>
        <v>668</v>
      </c>
      <c r="W243" s="379">
        <f t="shared" si="59"/>
        <v>668</v>
      </c>
      <c r="X243" s="819" t="str">
        <f t="shared" si="60"/>
        <v/>
      </c>
      <c r="Y243" s="837"/>
      <c r="Z243" s="839"/>
      <c r="AA243" s="838"/>
      <c r="AB243" s="839"/>
    </row>
    <row r="244" spans="2:28" ht="13.15">
      <c r="B244" s="819" t="s">
        <v>866</v>
      </c>
      <c r="C244" s="819" t="s">
        <v>867</v>
      </c>
      <c r="D244" s="379" t="s">
        <v>336</v>
      </c>
      <c r="E244" s="818" t="s">
        <v>868</v>
      </c>
      <c r="F244" s="820">
        <v>3.0475185890000001</v>
      </c>
      <c r="G244" s="821">
        <v>9.2977113080000002</v>
      </c>
      <c r="H244" s="822">
        <v>118334958.485313</v>
      </c>
      <c r="I244" s="819">
        <v>1.54</v>
      </c>
      <c r="J244" s="820">
        <v>-3.7831006E-2</v>
      </c>
      <c r="K244" s="819">
        <f t="shared" si="50"/>
        <v>678</v>
      </c>
      <c r="L244" s="819">
        <f t="shared" si="51"/>
        <v>217</v>
      </c>
      <c r="M244" s="819">
        <f t="shared" si="47"/>
        <v>678</v>
      </c>
      <c r="N244" s="819">
        <f t="shared" si="48"/>
        <v>94</v>
      </c>
      <c r="O244" s="819">
        <f t="shared" si="49"/>
        <v>1724</v>
      </c>
      <c r="P244" s="819">
        <f t="shared" si="52"/>
        <v>720</v>
      </c>
      <c r="Q244" s="819">
        <f t="shared" si="53"/>
        <v>206</v>
      </c>
      <c r="R244" s="819">
        <f t="shared" si="54"/>
        <v>596</v>
      </c>
      <c r="S244" s="819">
        <f t="shared" si="55"/>
        <v>68</v>
      </c>
      <c r="T244" s="819">
        <f t="shared" si="56"/>
        <v>1702</v>
      </c>
      <c r="U244" s="819">
        <f t="shared" si="57"/>
        <v>3292</v>
      </c>
      <c r="V244" s="819">
        <f t="shared" si="58"/>
        <v>1329</v>
      </c>
      <c r="W244" s="379">
        <f t="shared" si="59"/>
        <v>1329</v>
      </c>
      <c r="X244" s="819" t="str">
        <f t="shared" si="60"/>
        <v/>
      </c>
      <c r="Y244" s="837"/>
      <c r="Z244" s="839"/>
      <c r="AA244" s="838"/>
      <c r="AB244" s="839"/>
    </row>
    <row r="245" spans="2:28" ht="13.15">
      <c r="B245" s="819" t="s">
        <v>869</v>
      </c>
      <c r="C245" s="819" t="s">
        <v>870</v>
      </c>
      <c r="D245" s="379" t="s">
        <v>336</v>
      </c>
      <c r="E245" s="818" t="s">
        <v>344</v>
      </c>
      <c r="F245" s="820">
        <v>2.1937750920000001</v>
      </c>
      <c r="G245" s="821">
        <v>28.68995511</v>
      </c>
      <c r="H245" s="822">
        <v>903416374.13122904</v>
      </c>
      <c r="I245" s="819"/>
      <c r="J245" s="820">
        <v>-3.9418299999999999E-4</v>
      </c>
      <c r="K245" s="819">
        <f t="shared" si="50"/>
        <v>238</v>
      </c>
      <c r="L245" s="819">
        <f t="shared" si="51"/>
        <v>62</v>
      </c>
      <c r="M245" s="819">
        <f t="shared" si="47"/>
        <v>238</v>
      </c>
      <c r="N245" s="819">
        <f t="shared" si="48"/>
        <v>364</v>
      </c>
      <c r="O245" s="819">
        <f t="shared" si="49"/>
        <v>1219</v>
      </c>
      <c r="P245" s="819">
        <f t="shared" si="52"/>
        <v>1160</v>
      </c>
      <c r="Q245" s="819">
        <f t="shared" si="53"/>
        <v>361</v>
      </c>
      <c r="R245" s="819">
        <f t="shared" si="54"/>
        <v>156</v>
      </c>
      <c r="S245" s="819">
        <f t="shared" si="55"/>
        <v>338</v>
      </c>
      <c r="T245" s="819">
        <f t="shared" si="56"/>
        <v>1197</v>
      </c>
      <c r="U245" s="819">
        <f t="shared" si="57"/>
        <v>3212</v>
      </c>
      <c r="V245" s="819">
        <f t="shared" si="58"/>
        <v>1219</v>
      </c>
      <c r="W245" s="379">
        <f t="shared" si="59"/>
        <v>1219</v>
      </c>
      <c r="X245" s="819" t="str">
        <f t="shared" si="60"/>
        <v/>
      </c>
      <c r="Y245" s="837"/>
      <c r="Z245" s="839"/>
      <c r="AA245" s="838"/>
      <c r="AB245" s="839"/>
    </row>
    <row r="246" spans="2:28" ht="13.15">
      <c r="B246" s="819" t="s">
        <v>871</v>
      </c>
      <c r="C246" s="819" t="s">
        <v>872</v>
      </c>
      <c r="D246" s="379" t="s">
        <v>336</v>
      </c>
      <c r="E246" s="818" t="s">
        <v>752</v>
      </c>
      <c r="F246" s="820">
        <v>0.734696868</v>
      </c>
      <c r="G246" s="821">
        <v>2.4635898649999999</v>
      </c>
      <c r="H246" s="822">
        <v>52625506.504585199</v>
      </c>
      <c r="I246" s="819"/>
      <c r="J246" s="820">
        <v>-7.1491790000000003E-3</v>
      </c>
      <c r="K246" s="819">
        <f t="shared" si="50"/>
        <v>861</v>
      </c>
      <c r="L246" s="819">
        <f t="shared" si="51"/>
        <v>607</v>
      </c>
      <c r="M246" s="819">
        <f t="shared" si="47"/>
        <v>861</v>
      </c>
      <c r="N246" s="819">
        <f t="shared" si="48"/>
        <v>364</v>
      </c>
      <c r="O246" s="819">
        <f t="shared" si="49"/>
        <v>1628</v>
      </c>
      <c r="P246" s="819">
        <f t="shared" si="52"/>
        <v>537</v>
      </c>
      <c r="Q246" s="819">
        <f t="shared" si="53"/>
        <v>184</v>
      </c>
      <c r="R246" s="819">
        <f t="shared" si="54"/>
        <v>779</v>
      </c>
      <c r="S246" s="819">
        <f t="shared" si="55"/>
        <v>338</v>
      </c>
      <c r="T246" s="819">
        <f t="shared" si="56"/>
        <v>1606</v>
      </c>
      <c r="U246" s="819">
        <f t="shared" si="57"/>
        <v>3444</v>
      </c>
      <c r="V246" s="819">
        <f t="shared" si="58"/>
        <v>1502</v>
      </c>
      <c r="W246" s="379">
        <f t="shared" si="59"/>
        <v>1502</v>
      </c>
      <c r="X246" s="819" t="str">
        <f t="shared" si="60"/>
        <v/>
      </c>
      <c r="Y246" s="837"/>
      <c r="Z246" s="839"/>
      <c r="AA246" s="838"/>
      <c r="AB246" s="839"/>
    </row>
    <row r="247" spans="2:28" ht="13.15">
      <c r="B247" s="819" t="s">
        <v>873</v>
      </c>
      <c r="C247" s="819" t="s">
        <v>874</v>
      </c>
      <c r="D247" s="379" t="s">
        <v>336</v>
      </c>
      <c r="E247" s="818" t="s">
        <v>789</v>
      </c>
      <c r="F247" s="820">
        <v>38.42134935</v>
      </c>
      <c r="G247" s="821">
        <v>0</v>
      </c>
      <c r="H247" s="822">
        <v>48675464.084179997</v>
      </c>
      <c r="I247" s="819"/>
      <c r="J247" s="820">
        <v>3.4245800000000002E-4</v>
      </c>
      <c r="K247" s="819">
        <f t="shared" si="50"/>
        <v>883</v>
      </c>
      <c r="L247" s="819">
        <f t="shared" si="51"/>
        <v>1084</v>
      </c>
      <c r="M247" s="819">
        <f t="shared" si="47"/>
        <v>883</v>
      </c>
      <c r="N247" s="819">
        <f t="shared" si="48"/>
        <v>364</v>
      </c>
      <c r="O247" s="819">
        <f t="shared" si="49"/>
        <v>223</v>
      </c>
      <c r="P247" s="819">
        <f t="shared" si="52"/>
        <v>515</v>
      </c>
      <c r="Q247" s="819">
        <f t="shared" si="53"/>
        <v>661</v>
      </c>
      <c r="R247" s="819">
        <f t="shared" si="54"/>
        <v>801</v>
      </c>
      <c r="S247" s="819">
        <f t="shared" si="55"/>
        <v>338</v>
      </c>
      <c r="T247" s="819">
        <f t="shared" si="56"/>
        <v>201</v>
      </c>
      <c r="U247" s="819">
        <f t="shared" si="57"/>
        <v>2516</v>
      </c>
      <c r="V247" s="819">
        <f t="shared" si="58"/>
        <v>253</v>
      </c>
      <c r="W247" s="379">
        <f t="shared" si="59"/>
        <v>253</v>
      </c>
      <c r="X247" s="819" t="str">
        <f t="shared" si="60"/>
        <v/>
      </c>
      <c r="Y247" s="837"/>
      <c r="Z247" s="839"/>
      <c r="AA247" s="838"/>
      <c r="AB247" s="839"/>
    </row>
    <row r="248" spans="2:28" ht="13.15">
      <c r="B248" s="819" t="s">
        <v>875</v>
      </c>
      <c r="C248" s="819" t="s">
        <v>876</v>
      </c>
      <c r="D248" s="379" t="s">
        <v>336</v>
      </c>
      <c r="E248" s="818" t="s">
        <v>728</v>
      </c>
      <c r="F248" s="820">
        <v>3.7684237020000002</v>
      </c>
      <c r="G248" s="821">
        <v>0</v>
      </c>
      <c r="H248" s="822">
        <v>6284758.5197574701</v>
      </c>
      <c r="I248" s="819"/>
      <c r="J248" s="820">
        <v>-2.9488100000000001E-3</v>
      </c>
      <c r="K248" s="819">
        <f t="shared" si="50"/>
        <v>1334</v>
      </c>
      <c r="L248" s="819">
        <f t="shared" si="51"/>
        <v>1084</v>
      </c>
      <c r="M248" s="819">
        <f t="shared" si="47"/>
        <v>1334</v>
      </c>
      <c r="N248" s="819">
        <f t="shared" si="48"/>
        <v>364</v>
      </c>
      <c r="O248" s="819">
        <f t="shared" si="49"/>
        <v>1544</v>
      </c>
      <c r="P248" s="819">
        <f t="shared" si="52"/>
        <v>64</v>
      </c>
      <c r="Q248" s="819">
        <f t="shared" si="53"/>
        <v>661</v>
      </c>
      <c r="R248" s="819">
        <f t="shared" si="54"/>
        <v>1252</v>
      </c>
      <c r="S248" s="819">
        <f t="shared" si="55"/>
        <v>338</v>
      </c>
      <c r="T248" s="819">
        <f t="shared" si="56"/>
        <v>1522</v>
      </c>
      <c r="U248" s="819">
        <f t="shared" si="57"/>
        <v>3837</v>
      </c>
      <c r="V248" s="819">
        <f t="shared" si="58"/>
        <v>1727</v>
      </c>
      <c r="W248" s="379">
        <f t="shared" si="59"/>
        <v>1727</v>
      </c>
      <c r="X248" s="819" t="str">
        <f t="shared" si="60"/>
        <v/>
      </c>
      <c r="Y248" s="837"/>
      <c r="Z248" s="839"/>
      <c r="AA248" s="838"/>
      <c r="AB248" s="839"/>
    </row>
    <row r="249" spans="2:28" ht="13.15">
      <c r="B249" s="819" t="s">
        <v>877</v>
      </c>
      <c r="C249" s="819" t="s">
        <v>878</v>
      </c>
      <c r="D249" s="379" t="s">
        <v>336</v>
      </c>
      <c r="E249" s="818" t="s">
        <v>728</v>
      </c>
      <c r="F249" s="820">
        <v>1.362174448</v>
      </c>
      <c r="G249" s="821">
        <v>0.117527067</v>
      </c>
      <c r="H249" s="822">
        <v>25904244.198201999</v>
      </c>
      <c r="I249" s="819"/>
      <c r="J249" s="820">
        <v>-3.1114070000000001E-3</v>
      </c>
      <c r="K249" s="819">
        <f t="shared" si="50"/>
        <v>1036</v>
      </c>
      <c r="L249" s="819">
        <f t="shared" si="51"/>
        <v>1006</v>
      </c>
      <c r="M249" s="819">
        <f t="shared" si="47"/>
        <v>1036</v>
      </c>
      <c r="N249" s="819">
        <f t="shared" si="48"/>
        <v>364</v>
      </c>
      <c r="O249" s="819">
        <f t="shared" si="49"/>
        <v>1554</v>
      </c>
      <c r="P249" s="819">
        <f t="shared" si="52"/>
        <v>362</v>
      </c>
      <c r="Q249" s="819">
        <f t="shared" si="53"/>
        <v>583</v>
      </c>
      <c r="R249" s="819">
        <f t="shared" si="54"/>
        <v>954</v>
      </c>
      <c r="S249" s="819">
        <f t="shared" si="55"/>
        <v>338</v>
      </c>
      <c r="T249" s="819">
        <f t="shared" si="56"/>
        <v>1532</v>
      </c>
      <c r="U249" s="819">
        <f t="shared" si="57"/>
        <v>3769</v>
      </c>
      <c r="V249" s="819">
        <f t="shared" si="58"/>
        <v>1703</v>
      </c>
      <c r="W249" s="379">
        <f t="shared" si="59"/>
        <v>1703</v>
      </c>
      <c r="X249" s="819" t="str">
        <f t="shared" si="60"/>
        <v/>
      </c>
      <c r="Y249" s="837"/>
      <c r="Z249" s="839"/>
      <c r="AA249" s="838"/>
      <c r="AB249" s="839"/>
    </row>
    <row r="250" spans="2:28" ht="13.15">
      <c r="B250" s="819" t="s">
        <v>879</v>
      </c>
      <c r="C250" s="819" t="s">
        <v>880</v>
      </c>
      <c r="D250" s="379" t="s">
        <v>336</v>
      </c>
      <c r="E250" s="818" t="s">
        <v>685</v>
      </c>
      <c r="F250" s="820">
        <v>0.84390619</v>
      </c>
      <c r="G250" s="821">
        <v>1.298429319</v>
      </c>
      <c r="H250" s="822">
        <v>18078477.601886202</v>
      </c>
      <c r="I250" s="819">
        <v>0.14000000000000001</v>
      </c>
      <c r="J250" s="820">
        <v>-7.7242320000000001E-3</v>
      </c>
      <c r="K250" s="819">
        <f t="shared" si="50"/>
        <v>1124</v>
      </c>
      <c r="L250" s="819">
        <f t="shared" si="51"/>
        <v>771</v>
      </c>
      <c r="M250" s="819">
        <f t="shared" si="47"/>
        <v>1124</v>
      </c>
      <c r="N250" s="819">
        <f t="shared" si="48"/>
        <v>241</v>
      </c>
      <c r="O250" s="819">
        <f t="shared" si="49"/>
        <v>1635</v>
      </c>
      <c r="P250" s="819">
        <f t="shared" si="52"/>
        <v>274</v>
      </c>
      <c r="Q250" s="819">
        <f t="shared" si="53"/>
        <v>348</v>
      </c>
      <c r="R250" s="819">
        <f t="shared" si="54"/>
        <v>1042</v>
      </c>
      <c r="S250" s="819">
        <f t="shared" si="55"/>
        <v>215</v>
      </c>
      <c r="T250" s="819">
        <f t="shared" si="56"/>
        <v>1613</v>
      </c>
      <c r="U250" s="819">
        <f t="shared" si="57"/>
        <v>3492</v>
      </c>
      <c r="V250" s="819">
        <f t="shared" si="58"/>
        <v>1545</v>
      </c>
      <c r="W250" s="379">
        <f t="shared" si="59"/>
        <v>1545</v>
      </c>
      <c r="X250" s="819" t="str">
        <f t="shared" si="60"/>
        <v/>
      </c>
      <c r="Y250" s="837"/>
      <c r="Z250" s="839"/>
      <c r="AA250" s="838"/>
      <c r="AB250" s="839"/>
    </row>
    <row r="251" spans="2:28" ht="13.15">
      <c r="B251" s="819" t="s">
        <v>881</v>
      </c>
      <c r="C251" s="819" t="s">
        <v>882</v>
      </c>
      <c r="D251" s="379" t="s">
        <v>336</v>
      </c>
      <c r="E251" s="818" t="s">
        <v>642</v>
      </c>
      <c r="F251" s="820">
        <v>-11.708817529999999</v>
      </c>
      <c r="G251" s="821">
        <v>0</v>
      </c>
      <c r="H251" s="822">
        <v>336811365.18917501</v>
      </c>
      <c r="I251" s="819"/>
      <c r="J251" s="820">
        <v>-4.9108400000000003E-4</v>
      </c>
      <c r="K251" s="819">
        <f t="shared" si="50"/>
        <v>447</v>
      </c>
      <c r="L251" s="819">
        <f t="shared" si="51"/>
        <v>1084</v>
      </c>
      <c r="M251" s="819">
        <f t="shared" si="47"/>
        <v>447</v>
      </c>
      <c r="N251" s="819">
        <f t="shared" si="48"/>
        <v>364</v>
      </c>
      <c r="O251" s="819">
        <f t="shared" si="49"/>
        <v>1266</v>
      </c>
      <c r="P251" s="819">
        <f t="shared" si="52"/>
        <v>951</v>
      </c>
      <c r="Q251" s="819">
        <f t="shared" si="53"/>
        <v>661</v>
      </c>
      <c r="R251" s="819">
        <f t="shared" si="54"/>
        <v>365</v>
      </c>
      <c r="S251" s="819">
        <f t="shared" si="55"/>
        <v>338</v>
      </c>
      <c r="T251" s="819">
        <f t="shared" si="56"/>
        <v>1244</v>
      </c>
      <c r="U251" s="819">
        <f t="shared" si="57"/>
        <v>3559</v>
      </c>
      <c r="V251" s="819">
        <f t="shared" si="58"/>
        <v>1601</v>
      </c>
      <c r="W251" s="379">
        <f t="shared" si="59"/>
        <v>1601</v>
      </c>
      <c r="X251" s="819" t="str">
        <f t="shared" si="60"/>
        <v/>
      </c>
      <c r="Y251" s="837"/>
      <c r="Z251" s="839"/>
      <c r="AA251" s="838"/>
      <c r="AB251" s="839"/>
    </row>
    <row r="252" spans="2:28" ht="13.15">
      <c r="B252" s="819" t="s">
        <v>883</v>
      </c>
      <c r="C252" s="819" t="s">
        <v>884</v>
      </c>
      <c r="D252" s="379" t="s">
        <v>336</v>
      </c>
      <c r="E252" s="818" t="s">
        <v>728</v>
      </c>
      <c r="F252" s="820">
        <v>3.1732313209999998</v>
      </c>
      <c r="G252" s="821">
        <v>5.153012156</v>
      </c>
      <c r="H252" s="822">
        <v>5183357.7252770197</v>
      </c>
      <c r="I252" s="819">
        <v>0.51</v>
      </c>
      <c r="J252" s="820">
        <v>-0.222556056</v>
      </c>
      <c r="K252" s="819">
        <f t="shared" si="50"/>
        <v>1361</v>
      </c>
      <c r="L252" s="819">
        <f t="shared" si="51"/>
        <v>371</v>
      </c>
      <c r="M252" s="819">
        <f t="shared" si="47"/>
        <v>1361</v>
      </c>
      <c r="N252" s="819">
        <f t="shared" si="48"/>
        <v>164</v>
      </c>
      <c r="O252" s="819">
        <f t="shared" si="49"/>
        <v>1767</v>
      </c>
      <c r="P252" s="819">
        <f t="shared" si="52"/>
        <v>37</v>
      </c>
      <c r="Q252" s="819">
        <f t="shared" si="53"/>
        <v>52</v>
      </c>
      <c r="R252" s="819">
        <f t="shared" si="54"/>
        <v>1279</v>
      </c>
      <c r="S252" s="819">
        <f t="shared" si="55"/>
        <v>138</v>
      </c>
      <c r="T252" s="819">
        <f t="shared" si="56"/>
        <v>1745</v>
      </c>
      <c r="U252" s="819">
        <f t="shared" si="57"/>
        <v>3251</v>
      </c>
      <c r="V252" s="819">
        <f t="shared" si="58"/>
        <v>1271</v>
      </c>
      <c r="W252" s="379">
        <f t="shared" si="59"/>
        <v>1271</v>
      </c>
      <c r="X252" s="819" t="str">
        <f t="shared" si="60"/>
        <v/>
      </c>
      <c r="Y252" s="837"/>
      <c r="Z252" s="839"/>
      <c r="AA252" s="838"/>
      <c r="AB252" s="839"/>
    </row>
    <row r="253" spans="2:28" ht="13.15">
      <c r="B253" s="819" t="s">
        <v>885</v>
      </c>
      <c r="C253" s="819" t="s">
        <v>886</v>
      </c>
      <c r="D253" s="379" t="s">
        <v>336</v>
      </c>
      <c r="E253" s="818" t="s">
        <v>887</v>
      </c>
      <c r="F253" s="820">
        <v>3.1111774579999998</v>
      </c>
      <c r="G253" s="821">
        <v>1.802064353</v>
      </c>
      <c r="H253" s="822">
        <v>7104749333.4044399</v>
      </c>
      <c r="I253" s="819"/>
      <c r="J253" s="820">
        <v>-1.429212E-3</v>
      </c>
      <c r="K253" s="819">
        <f t="shared" si="50"/>
        <v>53</v>
      </c>
      <c r="L253" s="819">
        <f t="shared" si="51"/>
        <v>701</v>
      </c>
      <c r="M253" s="819">
        <f t="shared" si="47"/>
        <v>53</v>
      </c>
      <c r="N253" s="819">
        <f t="shared" si="48"/>
        <v>364</v>
      </c>
      <c r="O253" s="819">
        <f t="shared" si="49"/>
        <v>1452</v>
      </c>
      <c r="P253" s="819">
        <f t="shared" si="52"/>
        <v>1345</v>
      </c>
      <c r="Q253" s="819">
        <f t="shared" si="53"/>
        <v>278</v>
      </c>
      <c r="R253" s="819">
        <f t="shared" si="54"/>
        <v>29</v>
      </c>
      <c r="S253" s="819">
        <f t="shared" si="55"/>
        <v>338</v>
      </c>
      <c r="T253" s="819">
        <f t="shared" si="56"/>
        <v>1430</v>
      </c>
      <c r="U253" s="819">
        <f t="shared" si="57"/>
        <v>3420</v>
      </c>
      <c r="V253" s="819">
        <f t="shared" si="58"/>
        <v>1482</v>
      </c>
      <c r="W253" s="379">
        <f t="shared" si="59"/>
        <v>1482</v>
      </c>
      <c r="X253" s="819" t="str">
        <f t="shared" si="60"/>
        <v/>
      </c>
      <c r="Y253" s="837"/>
      <c r="Z253" s="839"/>
      <c r="AA253" s="838"/>
      <c r="AB253" s="839"/>
    </row>
    <row r="254" spans="2:28" ht="13.15">
      <c r="B254" s="819" t="s">
        <v>888</v>
      </c>
      <c r="C254" s="819" t="s">
        <v>889</v>
      </c>
      <c r="D254" s="379" t="s">
        <v>336</v>
      </c>
      <c r="E254" s="818" t="s">
        <v>842</v>
      </c>
      <c r="F254" s="820">
        <v>3.1073757870000001</v>
      </c>
      <c r="G254" s="821">
        <v>2.9810281500000002</v>
      </c>
      <c r="H254" s="822">
        <v>6101277.58857348</v>
      </c>
      <c r="I254" s="819"/>
      <c r="J254" s="820">
        <v>-4.6725489999999998E-3</v>
      </c>
      <c r="K254" s="819">
        <f t="shared" si="50"/>
        <v>1341</v>
      </c>
      <c r="L254" s="819">
        <f t="shared" si="51"/>
        <v>547</v>
      </c>
      <c r="M254" s="819">
        <f t="shared" si="47"/>
        <v>1341</v>
      </c>
      <c r="N254" s="819">
        <f t="shared" si="48"/>
        <v>364</v>
      </c>
      <c r="O254" s="819">
        <f t="shared" si="49"/>
        <v>1597</v>
      </c>
      <c r="P254" s="819">
        <f t="shared" si="52"/>
        <v>57</v>
      </c>
      <c r="Q254" s="819">
        <f t="shared" si="53"/>
        <v>124</v>
      </c>
      <c r="R254" s="819">
        <f t="shared" si="54"/>
        <v>1259</v>
      </c>
      <c r="S254" s="819">
        <f t="shared" si="55"/>
        <v>338</v>
      </c>
      <c r="T254" s="819">
        <f t="shared" si="56"/>
        <v>1575</v>
      </c>
      <c r="U254" s="819">
        <f t="shared" si="57"/>
        <v>3353</v>
      </c>
      <c r="V254" s="819">
        <f t="shared" si="58"/>
        <v>1414</v>
      </c>
      <c r="W254" s="379">
        <f t="shared" si="59"/>
        <v>1414</v>
      </c>
      <c r="X254" s="819" t="str">
        <f t="shared" si="60"/>
        <v/>
      </c>
      <c r="Y254" s="837"/>
      <c r="Z254" s="839"/>
      <c r="AA254" s="838"/>
      <c r="AB254" s="839"/>
    </row>
    <row r="255" spans="2:28" ht="13.15">
      <c r="B255" s="819" t="s">
        <v>890</v>
      </c>
      <c r="C255" s="819" t="s">
        <v>891</v>
      </c>
      <c r="D255" s="379" t="s">
        <v>336</v>
      </c>
      <c r="E255" s="818" t="s">
        <v>460</v>
      </c>
      <c r="F255" s="820">
        <v>0.88981498800000003</v>
      </c>
      <c r="G255" s="821">
        <v>1.245294771</v>
      </c>
      <c r="H255" s="822">
        <v>89105409.001018703</v>
      </c>
      <c r="I255" s="819">
        <v>0.27</v>
      </c>
      <c r="J255" s="820">
        <v>-3.1180829E-2</v>
      </c>
      <c r="K255" s="819">
        <f t="shared" si="50"/>
        <v>749</v>
      </c>
      <c r="L255" s="819">
        <f t="shared" si="51"/>
        <v>773</v>
      </c>
      <c r="M255" s="819">
        <f t="shared" si="47"/>
        <v>749</v>
      </c>
      <c r="N255" s="819">
        <f t="shared" si="48"/>
        <v>199</v>
      </c>
      <c r="O255" s="819">
        <f t="shared" si="49"/>
        <v>1714</v>
      </c>
      <c r="P255" s="819">
        <f t="shared" si="52"/>
        <v>649</v>
      </c>
      <c r="Q255" s="819">
        <f t="shared" si="53"/>
        <v>350</v>
      </c>
      <c r="R255" s="819">
        <f t="shared" si="54"/>
        <v>667</v>
      </c>
      <c r="S255" s="819">
        <f t="shared" si="55"/>
        <v>173</v>
      </c>
      <c r="T255" s="819">
        <f t="shared" si="56"/>
        <v>1692</v>
      </c>
      <c r="U255" s="819">
        <f t="shared" si="57"/>
        <v>3531</v>
      </c>
      <c r="V255" s="819">
        <f t="shared" si="58"/>
        <v>1581</v>
      </c>
      <c r="W255" s="379">
        <f t="shared" si="59"/>
        <v>1581</v>
      </c>
      <c r="X255" s="819" t="str">
        <f t="shared" si="60"/>
        <v/>
      </c>
      <c r="Y255" s="837"/>
      <c r="Z255" s="839"/>
      <c r="AA255" s="838"/>
      <c r="AB255" s="839"/>
    </row>
    <row r="256" spans="2:28" ht="13.15">
      <c r="B256" s="819" t="s">
        <v>892</v>
      </c>
      <c r="C256" s="819" t="s">
        <v>893</v>
      </c>
      <c r="D256" s="379" t="s">
        <v>336</v>
      </c>
      <c r="E256" s="818" t="s">
        <v>887</v>
      </c>
      <c r="F256" s="820">
        <v>0.95424375699999997</v>
      </c>
      <c r="G256" s="821">
        <v>0</v>
      </c>
      <c r="H256" s="822">
        <v>2843156463.3105798</v>
      </c>
      <c r="I256" s="819"/>
      <c r="J256" s="820">
        <v>-7.0844199999999999E-4</v>
      </c>
      <c r="K256" s="819">
        <f t="shared" si="50"/>
        <v>115</v>
      </c>
      <c r="L256" s="819">
        <f t="shared" si="51"/>
        <v>1084</v>
      </c>
      <c r="M256" s="819">
        <f t="shared" si="47"/>
        <v>115</v>
      </c>
      <c r="N256" s="819">
        <f t="shared" si="48"/>
        <v>364</v>
      </c>
      <c r="O256" s="819">
        <f t="shared" si="49"/>
        <v>1345</v>
      </c>
      <c r="P256" s="819">
        <f t="shared" si="52"/>
        <v>1283</v>
      </c>
      <c r="Q256" s="819">
        <f t="shared" si="53"/>
        <v>661</v>
      </c>
      <c r="R256" s="819">
        <f t="shared" si="54"/>
        <v>33</v>
      </c>
      <c r="S256" s="819">
        <f t="shared" si="55"/>
        <v>338</v>
      </c>
      <c r="T256" s="819">
        <f t="shared" si="56"/>
        <v>1323</v>
      </c>
      <c r="U256" s="819">
        <f t="shared" si="57"/>
        <v>3638</v>
      </c>
      <c r="V256" s="819">
        <f t="shared" si="58"/>
        <v>1648</v>
      </c>
      <c r="W256" s="379">
        <f t="shared" si="59"/>
        <v>1648</v>
      </c>
      <c r="X256" s="819" t="str">
        <f t="shared" si="60"/>
        <v/>
      </c>
      <c r="Y256" s="837"/>
      <c r="Z256" s="839"/>
      <c r="AA256" s="838"/>
      <c r="AB256" s="839"/>
    </row>
    <row r="257" spans="2:28" ht="13.15">
      <c r="B257" s="819" t="s">
        <v>894</v>
      </c>
      <c r="C257" s="819" t="s">
        <v>895</v>
      </c>
      <c r="D257" s="379" t="s">
        <v>336</v>
      </c>
      <c r="E257" s="818" t="s">
        <v>896</v>
      </c>
      <c r="F257" s="820">
        <v>0.21394184799999999</v>
      </c>
      <c r="G257" s="821">
        <v>-0.73313131899999995</v>
      </c>
      <c r="H257" s="822">
        <v>20056497.1751412</v>
      </c>
      <c r="I257" s="819"/>
      <c r="J257" s="820">
        <v>6.0792099999999998E-3</v>
      </c>
      <c r="K257" s="819">
        <f t="shared" si="50"/>
        <v>1102</v>
      </c>
      <c r="L257" s="819">
        <f t="shared" si="51"/>
        <v>1279</v>
      </c>
      <c r="M257" s="819">
        <f t="shared" si="47"/>
        <v>1102</v>
      </c>
      <c r="N257" s="819">
        <f t="shared" si="48"/>
        <v>364</v>
      </c>
      <c r="O257" s="819">
        <f t="shared" si="49"/>
        <v>142</v>
      </c>
      <c r="P257" s="819">
        <f t="shared" si="52"/>
        <v>296</v>
      </c>
      <c r="Q257" s="819">
        <f t="shared" si="53"/>
        <v>856</v>
      </c>
      <c r="R257" s="819">
        <f t="shared" si="54"/>
        <v>1020</v>
      </c>
      <c r="S257" s="819">
        <f t="shared" si="55"/>
        <v>338</v>
      </c>
      <c r="T257" s="819">
        <f t="shared" si="56"/>
        <v>120</v>
      </c>
      <c r="U257" s="819">
        <f t="shared" si="57"/>
        <v>2630</v>
      </c>
      <c r="V257" s="819">
        <f t="shared" si="58"/>
        <v>303</v>
      </c>
      <c r="W257" s="379">
        <f t="shared" si="59"/>
        <v>303</v>
      </c>
      <c r="X257" s="819" t="str">
        <f t="shared" si="60"/>
        <v/>
      </c>
      <c r="Y257" s="837"/>
      <c r="Z257" s="839"/>
      <c r="AA257" s="838"/>
      <c r="AB257" s="839"/>
    </row>
    <row r="258" spans="2:28" ht="13.15">
      <c r="B258" s="819" t="s">
        <v>897</v>
      </c>
      <c r="C258" s="819" t="s">
        <v>898</v>
      </c>
      <c r="D258" s="379" t="s">
        <v>336</v>
      </c>
      <c r="E258" s="818" t="s">
        <v>887</v>
      </c>
      <c r="F258" s="820">
        <v>0.91181160900000002</v>
      </c>
      <c r="G258" s="821">
        <v>5.3735740529999996</v>
      </c>
      <c r="H258" s="822">
        <v>267171501.706485</v>
      </c>
      <c r="I258" s="819"/>
      <c r="J258" s="820">
        <v>-3.7619900000000002E-4</v>
      </c>
      <c r="K258" s="819">
        <f t="shared" si="50"/>
        <v>499</v>
      </c>
      <c r="L258" s="819">
        <f t="shared" si="51"/>
        <v>360</v>
      </c>
      <c r="M258" s="819">
        <f t="shared" si="47"/>
        <v>499</v>
      </c>
      <c r="N258" s="819">
        <f t="shared" si="48"/>
        <v>364</v>
      </c>
      <c r="O258" s="819">
        <f t="shared" si="49"/>
        <v>1208</v>
      </c>
      <c r="P258" s="819">
        <f t="shared" si="52"/>
        <v>899</v>
      </c>
      <c r="Q258" s="819">
        <f t="shared" si="53"/>
        <v>63</v>
      </c>
      <c r="R258" s="819">
        <f t="shared" si="54"/>
        <v>417</v>
      </c>
      <c r="S258" s="819">
        <f t="shared" si="55"/>
        <v>338</v>
      </c>
      <c r="T258" s="819">
        <f t="shared" si="56"/>
        <v>1186</v>
      </c>
      <c r="U258" s="819">
        <f t="shared" si="57"/>
        <v>2903</v>
      </c>
      <c r="V258" s="819">
        <f t="shared" si="58"/>
        <v>807</v>
      </c>
      <c r="W258" s="379">
        <f t="shared" si="59"/>
        <v>807</v>
      </c>
      <c r="X258" s="819" t="str">
        <f t="shared" si="60"/>
        <v/>
      </c>
      <c r="Y258" s="837"/>
      <c r="Z258" s="839"/>
      <c r="AA258" s="838"/>
      <c r="AB258" s="839"/>
    </row>
    <row r="259" spans="2:28" ht="13.15">
      <c r="B259" s="819" t="s">
        <v>899</v>
      </c>
      <c r="C259" s="819" t="s">
        <v>900</v>
      </c>
      <c r="D259" s="379" t="s">
        <v>336</v>
      </c>
      <c r="E259" s="818" t="s">
        <v>191</v>
      </c>
      <c r="F259" s="820">
        <v>2.6077965590000001</v>
      </c>
      <c r="G259" s="821">
        <v>1.75234712</v>
      </c>
      <c r="H259" s="822">
        <v>8901379.1419793703</v>
      </c>
      <c r="I259" s="819"/>
      <c r="J259" s="820">
        <v>-8.0135199999999997E-4</v>
      </c>
      <c r="K259" s="819">
        <f t="shared" si="50"/>
        <v>1273</v>
      </c>
      <c r="L259" s="819">
        <f t="shared" si="51"/>
        <v>715</v>
      </c>
      <c r="M259" s="819">
        <f t="shared" si="47"/>
        <v>1273</v>
      </c>
      <c r="N259" s="819">
        <f t="shared" si="48"/>
        <v>364</v>
      </c>
      <c r="O259" s="819">
        <f t="shared" si="49"/>
        <v>1364</v>
      </c>
      <c r="P259" s="819">
        <f t="shared" si="52"/>
        <v>125</v>
      </c>
      <c r="Q259" s="819">
        <f t="shared" si="53"/>
        <v>292</v>
      </c>
      <c r="R259" s="819">
        <f t="shared" si="54"/>
        <v>1191</v>
      </c>
      <c r="S259" s="819">
        <f t="shared" si="55"/>
        <v>338</v>
      </c>
      <c r="T259" s="819">
        <f t="shared" si="56"/>
        <v>1342</v>
      </c>
      <c r="U259" s="819">
        <f t="shared" si="57"/>
        <v>3288</v>
      </c>
      <c r="V259" s="819">
        <f t="shared" si="58"/>
        <v>1323</v>
      </c>
      <c r="W259" s="379">
        <f t="shared" si="59"/>
        <v>1323</v>
      </c>
      <c r="X259" s="819" t="str">
        <f t="shared" si="60"/>
        <v/>
      </c>
      <c r="Y259" s="837"/>
      <c r="Z259" s="839"/>
      <c r="AA259" s="838"/>
      <c r="AB259" s="839"/>
    </row>
    <row r="260" spans="2:28" ht="13.15">
      <c r="B260" s="819" t="s">
        <v>901</v>
      </c>
      <c r="C260" s="819" t="s">
        <v>902</v>
      </c>
      <c r="D260" s="379" t="s">
        <v>336</v>
      </c>
      <c r="E260" s="818" t="s">
        <v>373</v>
      </c>
      <c r="F260" s="820">
        <v>1.4371979690000001</v>
      </c>
      <c r="G260" s="821">
        <v>4.5500655329999997</v>
      </c>
      <c r="H260" s="822">
        <v>14850704.444444399</v>
      </c>
      <c r="I260" s="819"/>
      <c r="J260" s="820">
        <v>-1.7787974000000002E-2</v>
      </c>
      <c r="K260" s="819">
        <f t="shared" si="50"/>
        <v>1167</v>
      </c>
      <c r="L260" s="819">
        <f t="shared" si="51"/>
        <v>412</v>
      </c>
      <c r="M260" s="819">
        <f t="shared" ref="M260:M323" si="61">IFERROR(_xlfn.RANK.EQ(H260,H$3:H$1787),"N/A")</f>
        <v>1167</v>
      </c>
      <c r="N260" s="819">
        <f t="shared" ref="N260:N323" si="62">IFERROR(_xlfn.RANK.EQ(I260,I$3:I$1787),"N/A")</f>
        <v>364</v>
      </c>
      <c r="O260" s="819">
        <f t="shared" ref="O260:O323" si="63">IFERROR(_xlfn.RANK.EQ(J260,J$3:J$1787),"N/A")</f>
        <v>1684</v>
      </c>
      <c r="P260" s="819">
        <f t="shared" si="52"/>
        <v>231</v>
      </c>
      <c r="Q260" s="819">
        <f t="shared" si="53"/>
        <v>11</v>
      </c>
      <c r="R260" s="819">
        <f t="shared" si="54"/>
        <v>1085</v>
      </c>
      <c r="S260" s="819">
        <f t="shared" si="55"/>
        <v>338</v>
      </c>
      <c r="T260" s="819">
        <f t="shared" si="56"/>
        <v>1662</v>
      </c>
      <c r="U260" s="819">
        <f t="shared" si="57"/>
        <v>3327</v>
      </c>
      <c r="V260" s="819">
        <f t="shared" si="58"/>
        <v>1377</v>
      </c>
      <c r="W260" s="379">
        <f t="shared" si="59"/>
        <v>1377</v>
      </c>
      <c r="X260" s="819" t="str">
        <f t="shared" si="60"/>
        <v/>
      </c>
      <c r="Y260" s="837"/>
      <c r="Z260" s="839"/>
      <c r="AA260" s="838"/>
      <c r="AB260" s="839"/>
    </row>
    <row r="261" spans="2:28" ht="13.15">
      <c r="B261" s="819" t="s">
        <v>903</v>
      </c>
      <c r="C261" s="819" t="s">
        <v>904</v>
      </c>
      <c r="D261" s="379" t="s">
        <v>336</v>
      </c>
      <c r="E261" s="818" t="s">
        <v>441</v>
      </c>
      <c r="F261" s="820">
        <v>0.59745534499999997</v>
      </c>
      <c r="G261" s="821">
        <v>1.3452399559999999</v>
      </c>
      <c r="H261" s="822">
        <v>482468788.01259601</v>
      </c>
      <c r="I261" s="819"/>
      <c r="J261" s="820">
        <v>-3.0230600000000002E-3</v>
      </c>
      <c r="K261" s="819">
        <f t="shared" ref="K261:K324" si="64">IFERROR(_xlfn.RANK.EQ(H261,H$3:H$1787),"N/A")</f>
        <v>363</v>
      </c>
      <c r="L261" s="819">
        <f t="shared" ref="L261:L324" si="65">IFERROR(_xlfn.RANK.EQ(G261,G$3:G$1787),"N/A")</f>
        <v>763</v>
      </c>
      <c r="M261" s="819">
        <f t="shared" si="61"/>
        <v>363</v>
      </c>
      <c r="N261" s="819">
        <f t="shared" si="62"/>
        <v>364</v>
      </c>
      <c r="O261" s="819">
        <f t="shared" si="63"/>
        <v>1547</v>
      </c>
      <c r="P261" s="819">
        <f t="shared" ref="P261:P324" si="66">IFERROR(ABS(K$3-K261),"N/A")</f>
        <v>1035</v>
      </c>
      <c r="Q261" s="819">
        <f t="shared" ref="Q261:Q324" si="67">IFERROR(ABS(L$3-L261),"N/A")</f>
        <v>340</v>
      </c>
      <c r="R261" s="819">
        <f t="shared" ref="R261:R324" si="68">IFERROR(ABS(M$3-M261),"N/A")</f>
        <v>281</v>
      </c>
      <c r="S261" s="819">
        <f t="shared" ref="S261:S324" si="69">IFERROR(ABS(N$3-N261),"N/A")</f>
        <v>338</v>
      </c>
      <c r="T261" s="819">
        <f t="shared" ref="T261:T324" si="70">IFERROR(ABS(O$3-O261),"N/A")</f>
        <v>1525</v>
      </c>
      <c r="U261" s="819">
        <f t="shared" ref="U261:U324" si="71">SUM(P261:T261)</f>
        <v>3519</v>
      </c>
      <c r="V261" s="819">
        <f t="shared" ref="V261:V324" si="72">_xlfn.RANK.EQ(U261,$U$4:$U$1787,1)</f>
        <v>1572</v>
      </c>
      <c r="W261" s="379">
        <f t="shared" ref="W261:W324" si="73">IF(Y261="Not suitable","-",V261)</f>
        <v>1572</v>
      </c>
      <c r="X261" s="819" t="str">
        <f t="shared" si="60"/>
        <v/>
      </c>
      <c r="Y261" s="837"/>
      <c r="Z261" s="839"/>
      <c r="AA261" s="838"/>
      <c r="AB261" s="839"/>
    </row>
    <row r="262" spans="2:28" ht="13.15">
      <c r="B262" s="819" t="s">
        <v>905</v>
      </c>
      <c r="C262" s="819" t="s">
        <v>906</v>
      </c>
      <c r="D262" s="379" t="s">
        <v>336</v>
      </c>
      <c r="E262" s="818" t="s">
        <v>444</v>
      </c>
      <c r="F262" s="820">
        <v>0.73819758999999996</v>
      </c>
      <c r="G262" s="821">
        <v>0.50805626500000001</v>
      </c>
      <c r="H262" s="822">
        <v>267217357.863841</v>
      </c>
      <c r="I262" s="819"/>
      <c r="J262" s="820">
        <v>-1.8346927999999998E-2</v>
      </c>
      <c r="K262" s="819">
        <f t="shared" si="64"/>
        <v>498</v>
      </c>
      <c r="L262" s="819">
        <f t="shared" si="65"/>
        <v>920</v>
      </c>
      <c r="M262" s="819">
        <f t="shared" si="61"/>
        <v>498</v>
      </c>
      <c r="N262" s="819">
        <f t="shared" si="62"/>
        <v>364</v>
      </c>
      <c r="O262" s="819">
        <f t="shared" si="63"/>
        <v>1688</v>
      </c>
      <c r="P262" s="819">
        <f t="shared" si="66"/>
        <v>900</v>
      </c>
      <c r="Q262" s="819">
        <f t="shared" si="67"/>
        <v>497</v>
      </c>
      <c r="R262" s="819">
        <f t="shared" si="68"/>
        <v>416</v>
      </c>
      <c r="S262" s="819">
        <f t="shared" si="69"/>
        <v>338</v>
      </c>
      <c r="T262" s="819">
        <f t="shared" si="70"/>
        <v>1666</v>
      </c>
      <c r="U262" s="819">
        <f t="shared" si="71"/>
        <v>3817</v>
      </c>
      <c r="V262" s="819">
        <f t="shared" si="72"/>
        <v>1718</v>
      </c>
      <c r="W262" s="379">
        <f t="shared" si="73"/>
        <v>1718</v>
      </c>
      <c r="X262" s="819" t="str">
        <f t="shared" ref="X262:X325" si="74">IF(L262="N/A","Y","")</f>
        <v/>
      </c>
      <c r="Y262" s="837"/>
      <c r="Z262" s="839"/>
      <c r="AA262" s="838"/>
      <c r="AB262" s="839"/>
    </row>
    <row r="263" spans="2:28" ht="13.15">
      <c r="B263" s="819" t="s">
        <v>907</v>
      </c>
      <c r="C263" s="819" t="s">
        <v>908</v>
      </c>
      <c r="D263" s="379" t="s">
        <v>336</v>
      </c>
      <c r="E263" s="818" t="s">
        <v>836</v>
      </c>
      <c r="F263" s="820">
        <v>1.7920169960000001</v>
      </c>
      <c r="G263" s="821">
        <v>9.6767665000000003E-2</v>
      </c>
      <c r="H263" s="822">
        <v>325245537.005108</v>
      </c>
      <c r="I263" s="819"/>
      <c r="J263" s="820">
        <v>-2.052431E-3</v>
      </c>
      <c r="K263" s="819">
        <f t="shared" si="64"/>
        <v>453</v>
      </c>
      <c r="L263" s="819">
        <f t="shared" si="65"/>
        <v>1015</v>
      </c>
      <c r="M263" s="819">
        <f t="shared" si="61"/>
        <v>453</v>
      </c>
      <c r="N263" s="819">
        <f t="shared" si="62"/>
        <v>364</v>
      </c>
      <c r="O263" s="819">
        <f t="shared" si="63"/>
        <v>1495</v>
      </c>
      <c r="P263" s="819">
        <f t="shared" si="66"/>
        <v>945</v>
      </c>
      <c r="Q263" s="819">
        <f t="shared" si="67"/>
        <v>592</v>
      </c>
      <c r="R263" s="819">
        <f t="shared" si="68"/>
        <v>371</v>
      </c>
      <c r="S263" s="819">
        <f t="shared" si="69"/>
        <v>338</v>
      </c>
      <c r="T263" s="819">
        <f t="shared" si="70"/>
        <v>1473</v>
      </c>
      <c r="U263" s="819">
        <f t="shared" si="71"/>
        <v>3719</v>
      </c>
      <c r="V263" s="819">
        <f t="shared" si="72"/>
        <v>1683</v>
      </c>
      <c r="W263" s="379">
        <f t="shared" si="73"/>
        <v>1683</v>
      </c>
      <c r="X263" s="819" t="str">
        <f t="shared" si="74"/>
        <v/>
      </c>
      <c r="Y263" s="837"/>
      <c r="Z263" s="839"/>
      <c r="AA263" s="838"/>
      <c r="AB263" s="839"/>
    </row>
    <row r="264" spans="2:28" ht="13.15">
      <c r="B264" s="819" t="s">
        <v>909</v>
      </c>
      <c r="C264" s="819" t="s">
        <v>910</v>
      </c>
      <c r="D264" s="379" t="s">
        <v>336</v>
      </c>
      <c r="E264" s="818" t="s">
        <v>425</v>
      </c>
      <c r="F264" s="820">
        <v>4.6530025459999997</v>
      </c>
      <c r="G264" s="821">
        <v>9.4061305510000004</v>
      </c>
      <c r="H264" s="822">
        <v>98738755.448391005</v>
      </c>
      <c r="I264" s="819">
        <v>0.11</v>
      </c>
      <c r="J264" s="820">
        <v>-0.27956059799999999</v>
      </c>
      <c r="K264" s="819">
        <f t="shared" si="64"/>
        <v>727</v>
      </c>
      <c r="L264" s="819">
        <f t="shared" si="65"/>
        <v>214</v>
      </c>
      <c r="M264" s="819">
        <f t="shared" si="61"/>
        <v>727</v>
      </c>
      <c r="N264" s="819">
        <f t="shared" si="62"/>
        <v>258</v>
      </c>
      <c r="O264" s="819">
        <f t="shared" si="63"/>
        <v>1772</v>
      </c>
      <c r="P264" s="819">
        <f t="shared" si="66"/>
        <v>671</v>
      </c>
      <c r="Q264" s="819">
        <f t="shared" si="67"/>
        <v>209</v>
      </c>
      <c r="R264" s="819">
        <f t="shared" si="68"/>
        <v>645</v>
      </c>
      <c r="S264" s="819">
        <f t="shared" si="69"/>
        <v>232</v>
      </c>
      <c r="T264" s="819">
        <f t="shared" si="70"/>
        <v>1750</v>
      </c>
      <c r="U264" s="819">
        <f t="shared" si="71"/>
        <v>3507</v>
      </c>
      <c r="V264" s="819">
        <f t="shared" si="72"/>
        <v>1558</v>
      </c>
      <c r="W264" s="379">
        <f t="shared" si="73"/>
        <v>1558</v>
      </c>
      <c r="X264" s="819" t="str">
        <f t="shared" si="74"/>
        <v/>
      </c>
      <c r="Y264" s="837"/>
      <c r="Z264" s="839"/>
      <c r="AA264" s="838"/>
      <c r="AB264" s="839"/>
    </row>
    <row r="265" spans="2:28" ht="13.15">
      <c r="B265" s="819" t="s">
        <v>911</v>
      </c>
      <c r="C265" s="819" t="s">
        <v>912</v>
      </c>
      <c r="D265" s="379" t="s">
        <v>336</v>
      </c>
      <c r="E265" s="818" t="s">
        <v>425</v>
      </c>
      <c r="F265" s="820">
        <v>1.5033248269999999</v>
      </c>
      <c r="G265" s="821">
        <v>2.1775763260000001</v>
      </c>
      <c r="H265" s="822">
        <v>13349196945.6861</v>
      </c>
      <c r="I265" s="819"/>
      <c r="J265" s="820">
        <v>-5.5520000000000005E-4</v>
      </c>
      <c r="K265" s="819">
        <f t="shared" si="64"/>
        <v>28</v>
      </c>
      <c r="L265" s="819">
        <f t="shared" si="65"/>
        <v>651</v>
      </c>
      <c r="M265" s="819">
        <f t="shared" si="61"/>
        <v>28</v>
      </c>
      <c r="N265" s="819">
        <f t="shared" si="62"/>
        <v>364</v>
      </c>
      <c r="O265" s="819">
        <f t="shared" si="63"/>
        <v>1290</v>
      </c>
      <c r="P265" s="819">
        <f t="shared" si="66"/>
        <v>1370</v>
      </c>
      <c r="Q265" s="819">
        <f t="shared" si="67"/>
        <v>228</v>
      </c>
      <c r="R265" s="819">
        <f t="shared" si="68"/>
        <v>54</v>
      </c>
      <c r="S265" s="819">
        <f t="shared" si="69"/>
        <v>338</v>
      </c>
      <c r="T265" s="819">
        <f t="shared" si="70"/>
        <v>1268</v>
      </c>
      <c r="U265" s="819">
        <f t="shared" si="71"/>
        <v>3258</v>
      </c>
      <c r="V265" s="819">
        <f t="shared" si="72"/>
        <v>1285</v>
      </c>
      <c r="W265" s="379">
        <f t="shared" si="73"/>
        <v>1285</v>
      </c>
      <c r="X265" s="819" t="str">
        <f t="shared" si="74"/>
        <v/>
      </c>
      <c r="Y265" s="837"/>
      <c r="Z265" s="839"/>
      <c r="AA265" s="838"/>
      <c r="AB265" s="839"/>
    </row>
    <row r="266" spans="2:28" ht="13.15">
      <c r="B266" s="819" t="s">
        <v>913</v>
      </c>
      <c r="C266" s="819" t="s">
        <v>914</v>
      </c>
      <c r="D266" s="379" t="s">
        <v>336</v>
      </c>
      <c r="E266" s="818" t="s">
        <v>915</v>
      </c>
      <c r="F266" s="820">
        <v>2.3126894839999999</v>
      </c>
      <c r="G266" s="821">
        <v>1.946932E-3</v>
      </c>
      <c r="H266" s="822">
        <v>37036060.5752111</v>
      </c>
      <c r="I266" s="819"/>
      <c r="J266" s="820">
        <v>-3.52562E-4</v>
      </c>
      <c r="K266" s="819">
        <f t="shared" si="64"/>
        <v>948</v>
      </c>
      <c r="L266" s="819">
        <f t="shared" si="65"/>
        <v>1080</v>
      </c>
      <c r="M266" s="819">
        <f t="shared" si="61"/>
        <v>948</v>
      </c>
      <c r="N266" s="819">
        <f t="shared" si="62"/>
        <v>364</v>
      </c>
      <c r="O266" s="819">
        <f t="shared" si="63"/>
        <v>1198</v>
      </c>
      <c r="P266" s="819">
        <f t="shared" si="66"/>
        <v>450</v>
      </c>
      <c r="Q266" s="819">
        <f t="shared" si="67"/>
        <v>657</v>
      </c>
      <c r="R266" s="819">
        <f t="shared" si="68"/>
        <v>866</v>
      </c>
      <c r="S266" s="819">
        <f t="shared" si="69"/>
        <v>338</v>
      </c>
      <c r="T266" s="819">
        <f t="shared" si="70"/>
        <v>1176</v>
      </c>
      <c r="U266" s="819">
        <f t="shared" si="71"/>
        <v>3487</v>
      </c>
      <c r="V266" s="819">
        <f t="shared" si="72"/>
        <v>1540</v>
      </c>
      <c r="W266" s="379">
        <f t="shared" si="73"/>
        <v>1540</v>
      </c>
      <c r="X266" s="819" t="str">
        <f t="shared" si="74"/>
        <v/>
      </c>
      <c r="Y266" s="837"/>
      <c r="Z266" s="839"/>
      <c r="AA266" s="838"/>
      <c r="AB266" s="839"/>
    </row>
    <row r="267" spans="2:28" ht="13.15">
      <c r="B267" s="819" t="s">
        <v>916</v>
      </c>
      <c r="C267" s="819" t="s">
        <v>917</v>
      </c>
      <c r="D267" s="379" t="s">
        <v>336</v>
      </c>
      <c r="E267" s="818" t="s">
        <v>685</v>
      </c>
      <c r="F267" s="820">
        <v>2.806853528</v>
      </c>
      <c r="G267" s="821">
        <v>2.6271438140000001</v>
      </c>
      <c r="H267" s="822">
        <v>4122600.2020882401</v>
      </c>
      <c r="I267" s="819"/>
      <c r="J267" s="820">
        <v>-3.0731199999999999E-3</v>
      </c>
      <c r="K267" s="819">
        <f t="shared" si="64"/>
        <v>1398</v>
      </c>
      <c r="L267" s="819">
        <f t="shared" si="65"/>
        <v>592</v>
      </c>
      <c r="M267" s="819">
        <f t="shared" si="61"/>
        <v>1398</v>
      </c>
      <c r="N267" s="819">
        <f t="shared" si="62"/>
        <v>364</v>
      </c>
      <c r="O267" s="819">
        <f t="shared" si="63"/>
        <v>1550</v>
      </c>
      <c r="P267" s="819">
        <f t="shared" si="66"/>
        <v>0</v>
      </c>
      <c r="Q267" s="819">
        <f t="shared" si="67"/>
        <v>169</v>
      </c>
      <c r="R267" s="819">
        <f t="shared" si="68"/>
        <v>1316</v>
      </c>
      <c r="S267" s="819">
        <f t="shared" si="69"/>
        <v>338</v>
      </c>
      <c r="T267" s="819">
        <f t="shared" si="70"/>
        <v>1528</v>
      </c>
      <c r="U267" s="819">
        <f t="shared" si="71"/>
        <v>3351</v>
      </c>
      <c r="V267" s="819">
        <f t="shared" si="72"/>
        <v>1410</v>
      </c>
      <c r="W267" s="379">
        <f t="shared" si="73"/>
        <v>1410</v>
      </c>
      <c r="X267" s="819" t="str">
        <f t="shared" si="74"/>
        <v/>
      </c>
      <c r="Y267" s="837"/>
      <c r="Z267" s="839"/>
      <c r="AA267" s="838"/>
      <c r="AB267" s="839"/>
    </row>
    <row r="268" spans="2:28" ht="13.15">
      <c r="B268" s="819" t="s">
        <v>918</v>
      </c>
      <c r="C268" s="819" t="s">
        <v>919</v>
      </c>
      <c r="D268" s="379" t="s">
        <v>336</v>
      </c>
      <c r="E268" s="818" t="s">
        <v>676</v>
      </c>
      <c r="F268" s="820">
        <v>3.2550454200000001</v>
      </c>
      <c r="G268" s="821">
        <v>26.78077794</v>
      </c>
      <c r="H268" s="822">
        <v>56448338.311159402</v>
      </c>
      <c r="I268" s="819"/>
      <c r="J268" s="820">
        <v>-1.8410830000000001E-3</v>
      </c>
      <c r="K268" s="819">
        <f t="shared" si="64"/>
        <v>845</v>
      </c>
      <c r="L268" s="819">
        <f t="shared" si="65"/>
        <v>71</v>
      </c>
      <c r="M268" s="819">
        <f t="shared" si="61"/>
        <v>845</v>
      </c>
      <c r="N268" s="819">
        <f t="shared" si="62"/>
        <v>364</v>
      </c>
      <c r="O268" s="819">
        <f t="shared" si="63"/>
        <v>1483</v>
      </c>
      <c r="P268" s="819">
        <f t="shared" si="66"/>
        <v>553</v>
      </c>
      <c r="Q268" s="819">
        <f t="shared" si="67"/>
        <v>352</v>
      </c>
      <c r="R268" s="819">
        <f t="shared" si="68"/>
        <v>763</v>
      </c>
      <c r="S268" s="819">
        <f t="shared" si="69"/>
        <v>338</v>
      </c>
      <c r="T268" s="819">
        <f t="shared" si="70"/>
        <v>1461</v>
      </c>
      <c r="U268" s="819">
        <f t="shared" si="71"/>
        <v>3467</v>
      </c>
      <c r="V268" s="819">
        <f t="shared" si="72"/>
        <v>1525</v>
      </c>
      <c r="W268" s="379">
        <f t="shared" si="73"/>
        <v>1525</v>
      </c>
      <c r="X268" s="819" t="str">
        <f t="shared" si="74"/>
        <v/>
      </c>
      <c r="Y268" s="837"/>
      <c r="Z268" s="839"/>
      <c r="AA268" s="838"/>
      <c r="AB268" s="839"/>
    </row>
    <row r="269" spans="2:28" ht="13.15">
      <c r="B269" s="819" t="s">
        <v>920</v>
      </c>
      <c r="C269" s="819" t="s">
        <v>921</v>
      </c>
      <c r="D269" s="379" t="s">
        <v>336</v>
      </c>
      <c r="E269" s="818" t="s">
        <v>378</v>
      </c>
      <c r="F269" s="820">
        <v>2.9869975999999999E-2</v>
      </c>
      <c r="G269" s="821">
        <v>-23.91013512</v>
      </c>
      <c r="H269" s="822">
        <v>122947777.3369</v>
      </c>
      <c r="I269" s="819"/>
      <c r="J269" s="820">
        <v>1.9902930000000002E-3</v>
      </c>
      <c r="K269" s="819">
        <f t="shared" si="64"/>
        <v>665</v>
      </c>
      <c r="L269" s="819">
        <f t="shared" si="65"/>
        <v>1483</v>
      </c>
      <c r="M269" s="819">
        <f t="shared" si="61"/>
        <v>665</v>
      </c>
      <c r="N269" s="819">
        <f t="shared" si="62"/>
        <v>364</v>
      </c>
      <c r="O269" s="819">
        <f t="shared" si="63"/>
        <v>163</v>
      </c>
      <c r="P269" s="819">
        <f t="shared" si="66"/>
        <v>733</v>
      </c>
      <c r="Q269" s="819">
        <f t="shared" si="67"/>
        <v>1060</v>
      </c>
      <c r="R269" s="819">
        <f t="shared" si="68"/>
        <v>583</v>
      </c>
      <c r="S269" s="819">
        <f t="shared" si="69"/>
        <v>338</v>
      </c>
      <c r="T269" s="819">
        <f t="shared" si="70"/>
        <v>141</v>
      </c>
      <c r="U269" s="819">
        <f t="shared" si="71"/>
        <v>2855</v>
      </c>
      <c r="V269" s="819">
        <f t="shared" si="72"/>
        <v>729</v>
      </c>
      <c r="W269" s="379">
        <f t="shared" si="73"/>
        <v>729</v>
      </c>
      <c r="X269" s="819" t="str">
        <f t="shared" si="74"/>
        <v/>
      </c>
      <c r="Y269" s="837"/>
      <c r="Z269" s="839"/>
      <c r="AA269" s="838"/>
      <c r="AB269" s="839"/>
    </row>
    <row r="270" spans="2:28" ht="13.15">
      <c r="B270" s="819" t="s">
        <v>922</v>
      </c>
      <c r="C270" s="819" t="s">
        <v>923</v>
      </c>
      <c r="D270" s="379" t="s">
        <v>336</v>
      </c>
      <c r="E270" s="818" t="s">
        <v>425</v>
      </c>
      <c r="F270" s="820">
        <v>0.92960857699999999</v>
      </c>
      <c r="G270" s="821">
        <v>-8.7044080999999995E-2</v>
      </c>
      <c r="H270" s="822">
        <v>564128721.13512003</v>
      </c>
      <c r="I270" s="819"/>
      <c r="J270" s="820">
        <v>5.6633900000000001E-4</v>
      </c>
      <c r="K270" s="819">
        <f t="shared" si="64"/>
        <v>325</v>
      </c>
      <c r="L270" s="819">
        <f t="shared" si="65"/>
        <v>1218</v>
      </c>
      <c r="M270" s="819">
        <f t="shared" si="61"/>
        <v>325</v>
      </c>
      <c r="N270" s="819">
        <f t="shared" si="62"/>
        <v>364</v>
      </c>
      <c r="O270" s="819">
        <f t="shared" si="63"/>
        <v>204</v>
      </c>
      <c r="P270" s="819">
        <f t="shared" si="66"/>
        <v>1073</v>
      </c>
      <c r="Q270" s="819">
        <f t="shared" si="67"/>
        <v>795</v>
      </c>
      <c r="R270" s="819">
        <f t="shared" si="68"/>
        <v>243</v>
      </c>
      <c r="S270" s="819">
        <f t="shared" si="69"/>
        <v>338</v>
      </c>
      <c r="T270" s="819">
        <f t="shared" si="70"/>
        <v>182</v>
      </c>
      <c r="U270" s="819">
        <f t="shared" si="71"/>
        <v>2631</v>
      </c>
      <c r="V270" s="819">
        <f t="shared" si="72"/>
        <v>305</v>
      </c>
      <c r="W270" s="379">
        <f t="shared" si="73"/>
        <v>305</v>
      </c>
      <c r="X270" s="819" t="str">
        <f t="shared" si="74"/>
        <v/>
      </c>
      <c r="Y270" s="837"/>
      <c r="Z270" s="839"/>
      <c r="AA270" s="838"/>
      <c r="AB270" s="839"/>
    </row>
    <row r="271" spans="2:28" ht="13.15">
      <c r="B271" s="819" t="s">
        <v>924</v>
      </c>
      <c r="C271" s="819" t="s">
        <v>925</v>
      </c>
      <c r="D271" s="379" t="s">
        <v>336</v>
      </c>
      <c r="E271" s="818" t="s">
        <v>425</v>
      </c>
      <c r="F271" s="820">
        <v>2.0558472829999999</v>
      </c>
      <c r="G271" s="821">
        <v>4.0749987609999998</v>
      </c>
      <c r="H271" s="822">
        <v>340813588.917741</v>
      </c>
      <c r="I271" s="819"/>
      <c r="J271" s="820">
        <v>-4.72456E-4</v>
      </c>
      <c r="K271" s="819">
        <f t="shared" si="64"/>
        <v>442</v>
      </c>
      <c r="L271" s="819">
        <f t="shared" si="65"/>
        <v>442</v>
      </c>
      <c r="M271" s="819">
        <f t="shared" si="61"/>
        <v>442</v>
      </c>
      <c r="N271" s="819">
        <f t="shared" si="62"/>
        <v>364</v>
      </c>
      <c r="O271" s="819">
        <f t="shared" si="63"/>
        <v>1258</v>
      </c>
      <c r="P271" s="819">
        <f t="shared" si="66"/>
        <v>956</v>
      </c>
      <c r="Q271" s="819">
        <f t="shared" si="67"/>
        <v>19</v>
      </c>
      <c r="R271" s="819">
        <f t="shared" si="68"/>
        <v>360</v>
      </c>
      <c r="S271" s="819">
        <f t="shared" si="69"/>
        <v>338</v>
      </c>
      <c r="T271" s="819">
        <f t="shared" si="70"/>
        <v>1236</v>
      </c>
      <c r="U271" s="819">
        <f t="shared" si="71"/>
        <v>2909</v>
      </c>
      <c r="V271" s="819">
        <f t="shared" si="72"/>
        <v>817</v>
      </c>
      <c r="W271" s="379">
        <f t="shared" si="73"/>
        <v>817</v>
      </c>
      <c r="X271" s="819" t="str">
        <f t="shared" si="74"/>
        <v/>
      </c>
      <c r="Y271" s="837"/>
      <c r="Z271" s="839"/>
      <c r="AA271" s="838"/>
      <c r="AB271" s="839"/>
    </row>
    <row r="272" spans="2:28" ht="13.15">
      <c r="B272" s="819" t="s">
        <v>926</v>
      </c>
      <c r="C272" s="819" t="s">
        <v>927</v>
      </c>
      <c r="D272" s="379" t="s">
        <v>336</v>
      </c>
      <c r="E272" s="818" t="s">
        <v>676</v>
      </c>
      <c r="F272" s="820">
        <v>0.60810491</v>
      </c>
      <c r="G272" s="821">
        <v>-6.2509876870000003</v>
      </c>
      <c r="H272" s="822">
        <v>65856638.609828897</v>
      </c>
      <c r="I272" s="819"/>
      <c r="J272" s="820">
        <v>1.9686500000000002E-3</v>
      </c>
      <c r="K272" s="819">
        <f t="shared" si="64"/>
        <v>818</v>
      </c>
      <c r="L272" s="819">
        <f t="shared" si="65"/>
        <v>1423</v>
      </c>
      <c r="M272" s="819">
        <f t="shared" si="61"/>
        <v>818</v>
      </c>
      <c r="N272" s="819">
        <f t="shared" si="62"/>
        <v>364</v>
      </c>
      <c r="O272" s="819">
        <f t="shared" si="63"/>
        <v>164</v>
      </c>
      <c r="P272" s="819">
        <f t="shared" si="66"/>
        <v>580</v>
      </c>
      <c r="Q272" s="819">
        <f t="shared" si="67"/>
        <v>1000</v>
      </c>
      <c r="R272" s="819">
        <f t="shared" si="68"/>
        <v>736</v>
      </c>
      <c r="S272" s="819">
        <f t="shared" si="69"/>
        <v>338</v>
      </c>
      <c r="T272" s="819">
        <f t="shared" si="70"/>
        <v>142</v>
      </c>
      <c r="U272" s="819">
        <f t="shared" si="71"/>
        <v>2796</v>
      </c>
      <c r="V272" s="819">
        <f t="shared" si="72"/>
        <v>620</v>
      </c>
      <c r="W272" s="379">
        <f t="shared" si="73"/>
        <v>620</v>
      </c>
      <c r="X272" s="819" t="str">
        <f t="shared" si="74"/>
        <v/>
      </c>
      <c r="Y272" s="837"/>
      <c r="Z272" s="839"/>
      <c r="AA272" s="838"/>
      <c r="AB272" s="839"/>
    </row>
    <row r="273" spans="2:28" ht="13.15">
      <c r="B273" s="819" t="s">
        <v>928</v>
      </c>
      <c r="C273" s="819" t="s">
        <v>929</v>
      </c>
      <c r="D273" s="379" t="s">
        <v>336</v>
      </c>
      <c r="E273" s="818" t="s">
        <v>676</v>
      </c>
      <c r="F273" s="820"/>
      <c r="G273" s="821"/>
      <c r="H273" s="822">
        <v>129718665.109965</v>
      </c>
      <c r="I273" s="819"/>
      <c r="J273" s="820">
        <v>0</v>
      </c>
      <c r="K273" s="819">
        <f t="shared" si="64"/>
        <v>652</v>
      </c>
      <c r="L273" s="819">
        <f t="shared" si="65"/>
        <v>1084</v>
      </c>
      <c r="M273" s="819">
        <f t="shared" si="61"/>
        <v>652</v>
      </c>
      <c r="N273" s="819">
        <f t="shared" si="62"/>
        <v>364</v>
      </c>
      <c r="O273" s="819">
        <f t="shared" si="63"/>
        <v>492</v>
      </c>
      <c r="P273" s="819">
        <f t="shared" si="66"/>
        <v>746</v>
      </c>
      <c r="Q273" s="819">
        <f t="shared" si="67"/>
        <v>661</v>
      </c>
      <c r="R273" s="819">
        <f t="shared" si="68"/>
        <v>570</v>
      </c>
      <c r="S273" s="819">
        <f t="shared" si="69"/>
        <v>338</v>
      </c>
      <c r="T273" s="819">
        <f t="shared" si="70"/>
        <v>470</v>
      </c>
      <c r="U273" s="819">
        <f t="shared" si="71"/>
        <v>2785</v>
      </c>
      <c r="V273" s="819">
        <f t="shared" si="72"/>
        <v>463</v>
      </c>
      <c r="W273" s="379">
        <f t="shared" si="73"/>
        <v>463</v>
      </c>
      <c r="X273" s="819" t="str">
        <f t="shared" si="74"/>
        <v/>
      </c>
      <c r="Y273" s="837"/>
      <c r="Z273" s="839"/>
      <c r="AA273" s="838"/>
      <c r="AB273" s="839"/>
    </row>
    <row r="274" spans="2:28" ht="13.15">
      <c r="B274" s="819" t="s">
        <v>930</v>
      </c>
      <c r="C274" s="819" t="s">
        <v>931</v>
      </c>
      <c r="D274" s="379" t="s">
        <v>336</v>
      </c>
      <c r="E274" s="818" t="s">
        <v>932</v>
      </c>
      <c r="F274" s="820"/>
      <c r="G274" s="821"/>
      <c r="H274" s="822">
        <v>131796595.11261401</v>
      </c>
      <c r="I274" s="819"/>
      <c r="J274" s="820">
        <v>0</v>
      </c>
      <c r="K274" s="819">
        <f t="shared" si="64"/>
        <v>650</v>
      </c>
      <c r="L274" s="819">
        <f t="shared" si="65"/>
        <v>1084</v>
      </c>
      <c r="M274" s="819">
        <f t="shared" si="61"/>
        <v>650</v>
      </c>
      <c r="N274" s="819">
        <f t="shared" si="62"/>
        <v>364</v>
      </c>
      <c r="O274" s="819">
        <f t="shared" si="63"/>
        <v>492</v>
      </c>
      <c r="P274" s="819">
        <f t="shared" si="66"/>
        <v>748</v>
      </c>
      <c r="Q274" s="819">
        <f t="shared" si="67"/>
        <v>661</v>
      </c>
      <c r="R274" s="819">
        <f t="shared" si="68"/>
        <v>568</v>
      </c>
      <c r="S274" s="819">
        <f t="shared" si="69"/>
        <v>338</v>
      </c>
      <c r="T274" s="819">
        <f t="shared" si="70"/>
        <v>470</v>
      </c>
      <c r="U274" s="819">
        <f t="shared" si="71"/>
        <v>2785</v>
      </c>
      <c r="V274" s="819">
        <f t="shared" si="72"/>
        <v>463</v>
      </c>
      <c r="W274" s="379">
        <f t="shared" si="73"/>
        <v>463</v>
      </c>
      <c r="X274" s="819" t="str">
        <f t="shared" si="74"/>
        <v/>
      </c>
      <c r="Y274" s="837"/>
      <c r="Z274" s="839"/>
      <c r="AA274" s="838"/>
      <c r="AB274" s="839"/>
    </row>
    <row r="275" spans="2:28" ht="13.15">
      <c r="B275" s="819" t="s">
        <v>933</v>
      </c>
      <c r="C275" s="819" t="s">
        <v>934</v>
      </c>
      <c r="D275" s="379" t="s">
        <v>336</v>
      </c>
      <c r="E275" s="818" t="s">
        <v>932</v>
      </c>
      <c r="F275" s="820">
        <v>1.1098143250000001</v>
      </c>
      <c r="G275" s="821">
        <v>1.2190621509999999</v>
      </c>
      <c r="H275" s="822">
        <v>18712415.233762398</v>
      </c>
      <c r="I275" s="819"/>
      <c r="J275" s="820">
        <v>-7.2998200000000003E-3</v>
      </c>
      <c r="K275" s="819">
        <f t="shared" si="64"/>
        <v>1113</v>
      </c>
      <c r="L275" s="819">
        <f t="shared" si="65"/>
        <v>780</v>
      </c>
      <c r="M275" s="819">
        <f t="shared" si="61"/>
        <v>1113</v>
      </c>
      <c r="N275" s="819">
        <f t="shared" si="62"/>
        <v>364</v>
      </c>
      <c r="O275" s="819">
        <f t="shared" si="63"/>
        <v>1631</v>
      </c>
      <c r="P275" s="819">
        <f t="shared" si="66"/>
        <v>285</v>
      </c>
      <c r="Q275" s="819">
        <f t="shared" si="67"/>
        <v>357</v>
      </c>
      <c r="R275" s="819">
        <f t="shared" si="68"/>
        <v>1031</v>
      </c>
      <c r="S275" s="819">
        <f t="shared" si="69"/>
        <v>338</v>
      </c>
      <c r="T275" s="819">
        <f t="shared" si="70"/>
        <v>1609</v>
      </c>
      <c r="U275" s="819">
        <f t="shared" si="71"/>
        <v>3620</v>
      </c>
      <c r="V275" s="819">
        <f t="shared" si="72"/>
        <v>1632</v>
      </c>
      <c r="W275" s="379">
        <f t="shared" si="73"/>
        <v>1632</v>
      </c>
      <c r="X275" s="819" t="str">
        <f t="shared" si="74"/>
        <v/>
      </c>
      <c r="Y275" s="837"/>
      <c r="Z275" s="839"/>
      <c r="AA275" s="838"/>
      <c r="AB275" s="839"/>
    </row>
    <row r="276" spans="2:28" ht="13.15">
      <c r="B276" s="819" t="s">
        <v>935</v>
      </c>
      <c r="C276" s="819" t="s">
        <v>936</v>
      </c>
      <c r="D276" s="379" t="s">
        <v>336</v>
      </c>
      <c r="E276" s="818" t="s">
        <v>425</v>
      </c>
      <c r="F276" s="820">
        <v>2.9484512789999999</v>
      </c>
      <c r="G276" s="821">
        <v>13.51366808</v>
      </c>
      <c r="H276" s="822">
        <v>370583325.60511899</v>
      </c>
      <c r="I276" s="819"/>
      <c r="J276" s="820">
        <v>-3.6785810000000002E-3</v>
      </c>
      <c r="K276" s="819">
        <f t="shared" si="64"/>
        <v>422</v>
      </c>
      <c r="L276" s="819">
        <f t="shared" si="65"/>
        <v>145</v>
      </c>
      <c r="M276" s="819">
        <f t="shared" si="61"/>
        <v>422</v>
      </c>
      <c r="N276" s="819">
        <f t="shared" si="62"/>
        <v>364</v>
      </c>
      <c r="O276" s="819">
        <f t="shared" si="63"/>
        <v>1575</v>
      </c>
      <c r="P276" s="819">
        <f t="shared" si="66"/>
        <v>976</v>
      </c>
      <c r="Q276" s="819">
        <f t="shared" si="67"/>
        <v>278</v>
      </c>
      <c r="R276" s="819">
        <f t="shared" si="68"/>
        <v>340</v>
      </c>
      <c r="S276" s="819">
        <f t="shared" si="69"/>
        <v>338</v>
      </c>
      <c r="T276" s="819">
        <f t="shared" si="70"/>
        <v>1553</v>
      </c>
      <c r="U276" s="819">
        <f t="shared" si="71"/>
        <v>3485</v>
      </c>
      <c r="V276" s="819">
        <f t="shared" si="72"/>
        <v>1538</v>
      </c>
      <c r="W276" s="379">
        <f t="shared" si="73"/>
        <v>1538</v>
      </c>
      <c r="X276" s="819" t="str">
        <f t="shared" si="74"/>
        <v/>
      </c>
      <c r="Y276" s="837"/>
      <c r="Z276" s="839"/>
      <c r="AA276" s="838"/>
      <c r="AB276" s="839"/>
    </row>
    <row r="277" spans="2:28" ht="13.15">
      <c r="B277" s="819" t="s">
        <v>937</v>
      </c>
      <c r="C277" s="819" t="s">
        <v>938</v>
      </c>
      <c r="D277" s="379" t="s">
        <v>336</v>
      </c>
      <c r="E277" s="818" t="s">
        <v>425</v>
      </c>
      <c r="F277" s="820">
        <v>0.45209870899999999</v>
      </c>
      <c r="G277" s="821">
        <v>-0.73035081300000004</v>
      </c>
      <c r="H277" s="822">
        <v>297233156.07901299</v>
      </c>
      <c r="I277" s="819"/>
      <c r="J277" s="820">
        <v>1.425864E-3</v>
      </c>
      <c r="K277" s="819">
        <f t="shared" si="64"/>
        <v>476</v>
      </c>
      <c r="L277" s="819">
        <f t="shared" si="65"/>
        <v>1277</v>
      </c>
      <c r="M277" s="819">
        <f t="shared" si="61"/>
        <v>476</v>
      </c>
      <c r="N277" s="819">
        <f t="shared" si="62"/>
        <v>364</v>
      </c>
      <c r="O277" s="819">
        <f t="shared" si="63"/>
        <v>172</v>
      </c>
      <c r="P277" s="819">
        <f t="shared" si="66"/>
        <v>922</v>
      </c>
      <c r="Q277" s="819">
        <f t="shared" si="67"/>
        <v>854</v>
      </c>
      <c r="R277" s="819">
        <f t="shared" si="68"/>
        <v>394</v>
      </c>
      <c r="S277" s="819">
        <f t="shared" si="69"/>
        <v>338</v>
      </c>
      <c r="T277" s="819">
        <f t="shared" si="70"/>
        <v>150</v>
      </c>
      <c r="U277" s="819">
        <f t="shared" si="71"/>
        <v>2658</v>
      </c>
      <c r="V277" s="819">
        <f t="shared" si="72"/>
        <v>325</v>
      </c>
      <c r="W277" s="379">
        <f t="shared" si="73"/>
        <v>325</v>
      </c>
      <c r="X277" s="819" t="str">
        <f t="shared" si="74"/>
        <v/>
      </c>
      <c r="Y277" s="837"/>
      <c r="Z277" s="839"/>
      <c r="AA277" s="838"/>
      <c r="AB277" s="839"/>
    </row>
    <row r="278" spans="2:28" ht="13.15">
      <c r="B278" s="819" t="s">
        <v>939</v>
      </c>
      <c r="C278" s="819" t="s">
        <v>940</v>
      </c>
      <c r="D278" s="379" t="s">
        <v>336</v>
      </c>
      <c r="E278" s="818" t="s">
        <v>941</v>
      </c>
      <c r="F278" s="820">
        <v>0.96874016100000004</v>
      </c>
      <c r="G278" s="821">
        <v>1.133314116</v>
      </c>
      <c r="H278" s="822">
        <v>25999050.161331601</v>
      </c>
      <c r="I278" s="819">
        <v>1.0900000000000001</v>
      </c>
      <c r="J278" s="820">
        <v>-0.12568304299999999</v>
      </c>
      <c r="K278" s="819">
        <f t="shared" si="64"/>
        <v>1035</v>
      </c>
      <c r="L278" s="819">
        <f t="shared" si="65"/>
        <v>792</v>
      </c>
      <c r="M278" s="819">
        <f t="shared" si="61"/>
        <v>1035</v>
      </c>
      <c r="N278" s="819">
        <f t="shared" si="62"/>
        <v>125</v>
      </c>
      <c r="O278" s="819">
        <f t="shared" si="63"/>
        <v>1753</v>
      </c>
      <c r="P278" s="819">
        <f t="shared" si="66"/>
        <v>363</v>
      </c>
      <c r="Q278" s="819">
        <f t="shared" si="67"/>
        <v>369</v>
      </c>
      <c r="R278" s="819">
        <f t="shared" si="68"/>
        <v>953</v>
      </c>
      <c r="S278" s="819">
        <f t="shared" si="69"/>
        <v>99</v>
      </c>
      <c r="T278" s="819">
        <f t="shared" si="70"/>
        <v>1731</v>
      </c>
      <c r="U278" s="819">
        <f t="shared" si="71"/>
        <v>3515</v>
      </c>
      <c r="V278" s="819">
        <f t="shared" si="72"/>
        <v>1569</v>
      </c>
      <c r="W278" s="379">
        <f t="shared" si="73"/>
        <v>1569</v>
      </c>
      <c r="X278" s="819" t="str">
        <f t="shared" si="74"/>
        <v/>
      </c>
      <c r="Y278" s="837"/>
      <c r="Z278" s="839"/>
      <c r="AA278" s="838"/>
      <c r="AB278" s="839"/>
    </row>
    <row r="279" spans="2:28" ht="13.15">
      <c r="B279" s="819" t="s">
        <v>942</v>
      </c>
      <c r="C279" s="819" t="s">
        <v>943</v>
      </c>
      <c r="D279" s="379" t="s">
        <v>336</v>
      </c>
      <c r="E279" s="818" t="s">
        <v>418</v>
      </c>
      <c r="F279" s="820">
        <v>2.9378914269999998</v>
      </c>
      <c r="G279" s="821">
        <v>1.8313145630000001</v>
      </c>
      <c r="H279" s="822">
        <v>6820999384.217</v>
      </c>
      <c r="I279" s="819">
        <v>1.1200000000000001</v>
      </c>
      <c r="J279" s="820">
        <v>-7.7686308999999995E-2</v>
      </c>
      <c r="K279" s="819">
        <f t="shared" si="64"/>
        <v>56</v>
      </c>
      <c r="L279" s="819">
        <f t="shared" si="65"/>
        <v>697</v>
      </c>
      <c r="M279" s="819">
        <f t="shared" si="61"/>
        <v>56</v>
      </c>
      <c r="N279" s="819">
        <f t="shared" si="62"/>
        <v>122</v>
      </c>
      <c r="O279" s="819">
        <f t="shared" si="63"/>
        <v>1746</v>
      </c>
      <c r="P279" s="819">
        <f t="shared" si="66"/>
        <v>1342</v>
      </c>
      <c r="Q279" s="819">
        <f t="shared" si="67"/>
        <v>274</v>
      </c>
      <c r="R279" s="819">
        <f t="shared" si="68"/>
        <v>26</v>
      </c>
      <c r="S279" s="819">
        <f t="shared" si="69"/>
        <v>96</v>
      </c>
      <c r="T279" s="819">
        <f t="shared" si="70"/>
        <v>1724</v>
      </c>
      <c r="U279" s="819">
        <f t="shared" si="71"/>
        <v>3462</v>
      </c>
      <c r="V279" s="819">
        <f t="shared" si="72"/>
        <v>1519</v>
      </c>
      <c r="W279" s="379">
        <f t="shared" si="73"/>
        <v>1519</v>
      </c>
      <c r="X279" s="819" t="str">
        <f t="shared" si="74"/>
        <v/>
      </c>
      <c r="Y279" s="837"/>
      <c r="Z279" s="839"/>
      <c r="AA279" s="838"/>
      <c r="AB279" s="839"/>
    </row>
    <row r="280" spans="2:28" ht="13.15">
      <c r="B280" s="819" t="s">
        <v>944</v>
      </c>
      <c r="C280" s="819" t="s">
        <v>945</v>
      </c>
      <c r="D280" s="379" t="s">
        <v>336</v>
      </c>
      <c r="E280" s="818" t="s">
        <v>418</v>
      </c>
      <c r="F280" s="820">
        <v>9.6335940999999994E-2</v>
      </c>
      <c r="G280" s="821">
        <v>0</v>
      </c>
      <c r="H280" s="822">
        <v>5390491427.4616404</v>
      </c>
      <c r="I280" s="819"/>
      <c r="J280" s="820">
        <v>4.8155799999999999E-4</v>
      </c>
      <c r="K280" s="819">
        <f t="shared" si="64"/>
        <v>69</v>
      </c>
      <c r="L280" s="819">
        <f t="shared" si="65"/>
        <v>1084</v>
      </c>
      <c r="M280" s="819">
        <f t="shared" si="61"/>
        <v>69</v>
      </c>
      <c r="N280" s="819">
        <f t="shared" si="62"/>
        <v>364</v>
      </c>
      <c r="O280" s="819">
        <f t="shared" si="63"/>
        <v>213</v>
      </c>
      <c r="P280" s="819">
        <f t="shared" si="66"/>
        <v>1329</v>
      </c>
      <c r="Q280" s="819">
        <f t="shared" si="67"/>
        <v>661</v>
      </c>
      <c r="R280" s="819">
        <f t="shared" si="68"/>
        <v>13</v>
      </c>
      <c r="S280" s="819">
        <f t="shared" si="69"/>
        <v>338</v>
      </c>
      <c r="T280" s="819">
        <f t="shared" si="70"/>
        <v>191</v>
      </c>
      <c r="U280" s="819">
        <f t="shared" si="71"/>
        <v>2532</v>
      </c>
      <c r="V280" s="819">
        <f t="shared" si="72"/>
        <v>261</v>
      </c>
      <c r="W280" s="379">
        <f t="shared" si="73"/>
        <v>261</v>
      </c>
      <c r="X280" s="819" t="str">
        <f t="shared" si="74"/>
        <v/>
      </c>
      <c r="Y280" s="837"/>
      <c r="Z280" s="839"/>
      <c r="AA280" s="838"/>
      <c r="AB280" s="839"/>
    </row>
    <row r="281" spans="2:28" ht="13.15">
      <c r="B281" s="819" t="s">
        <v>946</v>
      </c>
      <c r="C281" s="819" t="s">
        <v>947</v>
      </c>
      <c r="D281" s="379" t="s">
        <v>336</v>
      </c>
      <c r="E281" s="818" t="s">
        <v>600</v>
      </c>
      <c r="F281" s="820">
        <v>1.1111972400000001</v>
      </c>
      <c r="G281" s="821">
        <v>9.2761806000000002E-2</v>
      </c>
      <c r="H281" s="822">
        <v>3127891.6800661599</v>
      </c>
      <c r="I281" s="819">
        <v>3.21</v>
      </c>
      <c r="J281" s="820">
        <v>-7.4535725999999997E-2</v>
      </c>
      <c r="K281" s="819">
        <f t="shared" si="64"/>
        <v>1443</v>
      </c>
      <c r="L281" s="819">
        <f t="shared" si="65"/>
        <v>1017</v>
      </c>
      <c r="M281" s="819">
        <f t="shared" si="61"/>
        <v>1443</v>
      </c>
      <c r="N281" s="819">
        <f t="shared" si="62"/>
        <v>61</v>
      </c>
      <c r="O281" s="819">
        <f t="shared" si="63"/>
        <v>1744</v>
      </c>
      <c r="P281" s="819">
        <f t="shared" si="66"/>
        <v>45</v>
      </c>
      <c r="Q281" s="819">
        <f t="shared" si="67"/>
        <v>594</v>
      </c>
      <c r="R281" s="819">
        <f t="shared" si="68"/>
        <v>1361</v>
      </c>
      <c r="S281" s="819">
        <f t="shared" si="69"/>
        <v>35</v>
      </c>
      <c r="T281" s="819">
        <f t="shared" si="70"/>
        <v>1722</v>
      </c>
      <c r="U281" s="819">
        <f t="shared" si="71"/>
        <v>3757</v>
      </c>
      <c r="V281" s="819">
        <f t="shared" si="72"/>
        <v>1700</v>
      </c>
      <c r="W281" s="379">
        <f t="shared" si="73"/>
        <v>1700</v>
      </c>
      <c r="X281" s="819" t="str">
        <f t="shared" si="74"/>
        <v/>
      </c>
      <c r="Y281" s="837"/>
      <c r="Z281" s="839"/>
      <c r="AA281" s="838"/>
      <c r="AB281" s="839"/>
    </row>
    <row r="282" spans="2:28" ht="13.15">
      <c r="B282" s="819" t="s">
        <v>948</v>
      </c>
      <c r="C282" s="819" t="s">
        <v>949</v>
      </c>
      <c r="D282" s="379" t="s">
        <v>336</v>
      </c>
      <c r="E282" s="818" t="s">
        <v>418</v>
      </c>
      <c r="F282" s="820">
        <v>2.965149517</v>
      </c>
      <c r="G282" s="821">
        <v>18.480433470000001</v>
      </c>
      <c r="H282" s="822">
        <v>7228407542.43542</v>
      </c>
      <c r="I282" s="819">
        <v>2.36</v>
      </c>
      <c r="J282" s="820">
        <v>-6.0666740000000002E-3</v>
      </c>
      <c r="K282" s="819">
        <f t="shared" si="64"/>
        <v>52</v>
      </c>
      <c r="L282" s="819">
        <f t="shared" si="65"/>
        <v>100</v>
      </c>
      <c r="M282" s="819">
        <f t="shared" si="61"/>
        <v>52</v>
      </c>
      <c r="N282" s="819">
        <f t="shared" si="62"/>
        <v>74</v>
      </c>
      <c r="O282" s="819">
        <f t="shared" si="63"/>
        <v>1615</v>
      </c>
      <c r="P282" s="819">
        <f t="shared" si="66"/>
        <v>1346</v>
      </c>
      <c r="Q282" s="819">
        <f t="shared" si="67"/>
        <v>323</v>
      </c>
      <c r="R282" s="819">
        <f t="shared" si="68"/>
        <v>30</v>
      </c>
      <c r="S282" s="819">
        <f t="shared" si="69"/>
        <v>48</v>
      </c>
      <c r="T282" s="819">
        <f t="shared" si="70"/>
        <v>1593</v>
      </c>
      <c r="U282" s="819">
        <f t="shared" si="71"/>
        <v>3340</v>
      </c>
      <c r="V282" s="819">
        <f t="shared" si="72"/>
        <v>1395</v>
      </c>
      <c r="W282" s="379">
        <f t="shared" si="73"/>
        <v>1395</v>
      </c>
      <c r="X282" s="819" t="str">
        <f t="shared" si="74"/>
        <v/>
      </c>
      <c r="Y282" s="837"/>
      <c r="Z282" s="839"/>
      <c r="AA282" s="838"/>
      <c r="AB282" s="839"/>
    </row>
    <row r="283" spans="2:28" ht="13.15">
      <c r="B283" s="819" t="s">
        <v>950</v>
      </c>
      <c r="C283" s="819" t="s">
        <v>951</v>
      </c>
      <c r="D283" s="379" t="s">
        <v>336</v>
      </c>
      <c r="E283" s="818" t="s">
        <v>418</v>
      </c>
      <c r="F283" s="820">
        <v>1.5129487049999999</v>
      </c>
      <c r="G283" s="821">
        <v>6.8131867999999998E-2</v>
      </c>
      <c r="H283" s="822">
        <v>778846292.48397696</v>
      </c>
      <c r="I283" s="819"/>
      <c r="J283" s="820">
        <v>-8.2223500000000004E-4</v>
      </c>
      <c r="K283" s="819">
        <f t="shared" si="64"/>
        <v>260</v>
      </c>
      <c r="L283" s="819">
        <f t="shared" si="65"/>
        <v>1030</v>
      </c>
      <c r="M283" s="819">
        <f t="shared" si="61"/>
        <v>260</v>
      </c>
      <c r="N283" s="819">
        <f t="shared" si="62"/>
        <v>364</v>
      </c>
      <c r="O283" s="819">
        <f t="shared" si="63"/>
        <v>1367</v>
      </c>
      <c r="P283" s="819">
        <f t="shared" si="66"/>
        <v>1138</v>
      </c>
      <c r="Q283" s="819">
        <f t="shared" si="67"/>
        <v>607</v>
      </c>
      <c r="R283" s="819">
        <f t="shared" si="68"/>
        <v>178</v>
      </c>
      <c r="S283" s="819">
        <f t="shared" si="69"/>
        <v>338</v>
      </c>
      <c r="T283" s="819">
        <f t="shared" si="70"/>
        <v>1345</v>
      </c>
      <c r="U283" s="819">
        <f t="shared" si="71"/>
        <v>3606</v>
      </c>
      <c r="V283" s="819">
        <f t="shared" si="72"/>
        <v>1626</v>
      </c>
      <c r="W283" s="379">
        <f t="shared" si="73"/>
        <v>1626</v>
      </c>
      <c r="X283" s="819" t="str">
        <f t="shared" si="74"/>
        <v/>
      </c>
      <c r="Y283" s="837"/>
      <c r="Z283" s="839"/>
      <c r="AA283" s="838"/>
      <c r="AB283" s="839"/>
    </row>
    <row r="284" spans="2:28" ht="13.15">
      <c r="B284" s="819" t="s">
        <v>952</v>
      </c>
      <c r="C284" s="819" t="s">
        <v>953</v>
      </c>
      <c r="D284" s="379" t="s">
        <v>336</v>
      </c>
      <c r="E284" s="818" t="s">
        <v>418</v>
      </c>
      <c r="F284" s="820">
        <v>1.5237553180000001</v>
      </c>
      <c r="G284" s="821">
        <v>-9.4838964630000007</v>
      </c>
      <c r="H284" s="822">
        <v>76469476.273710102</v>
      </c>
      <c r="I284" s="819"/>
      <c r="J284" s="820">
        <v>9.0511180000000004E-3</v>
      </c>
      <c r="K284" s="819">
        <f t="shared" si="64"/>
        <v>780</v>
      </c>
      <c r="L284" s="819">
        <f t="shared" si="65"/>
        <v>1444</v>
      </c>
      <c r="M284" s="819">
        <f t="shared" si="61"/>
        <v>780</v>
      </c>
      <c r="N284" s="819">
        <f t="shared" si="62"/>
        <v>364</v>
      </c>
      <c r="O284" s="819">
        <f t="shared" si="63"/>
        <v>138</v>
      </c>
      <c r="P284" s="819">
        <f t="shared" si="66"/>
        <v>618</v>
      </c>
      <c r="Q284" s="819">
        <f t="shared" si="67"/>
        <v>1021</v>
      </c>
      <c r="R284" s="819">
        <f t="shared" si="68"/>
        <v>698</v>
      </c>
      <c r="S284" s="819">
        <f t="shared" si="69"/>
        <v>338</v>
      </c>
      <c r="T284" s="819">
        <f t="shared" si="70"/>
        <v>116</v>
      </c>
      <c r="U284" s="819">
        <f t="shared" si="71"/>
        <v>2791</v>
      </c>
      <c r="V284" s="819">
        <f t="shared" si="72"/>
        <v>612</v>
      </c>
      <c r="W284" s="379">
        <f t="shared" si="73"/>
        <v>612</v>
      </c>
      <c r="X284" s="819" t="str">
        <f t="shared" si="74"/>
        <v/>
      </c>
      <c r="Y284" s="837"/>
      <c r="Z284" s="839"/>
      <c r="AA284" s="838"/>
      <c r="AB284" s="839"/>
    </row>
    <row r="285" spans="2:28" ht="13.15">
      <c r="B285" s="819" t="s">
        <v>954</v>
      </c>
      <c r="C285" s="819" t="s">
        <v>955</v>
      </c>
      <c r="D285" s="379" t="s">
        <v>336</v>
      </c>
      <c r="E285" s="818" t="s">
        <v>418</v>
      </c>
      <c r="F285" s="820">
        <v>1.7715054729999999</v>
      </c>
      <c r="G285" s="821">
        <v>0.65259416400000003</v>
      </c>
      <c r="H285" s="822">
        <v>643413802.68013203</v>
      </c>
      <c r="I285" s="819">
        <v>1.46</v>
      </c>
      <c r="J285" s="820">
        <v>-3.898973E-3</v>
      </c>
      <c r="K285" s="819">
        <f t="shared" si="64"/>
        <v>299</v>
      </c>
      <c r="L285" s="819">
        <f t="shared" si="65"/>
        <v>889</v>
      </c>
      <c r="M285" s="819">
        <f t="shared" si="61"/>
        <v>299</v>
      </c>
      <c r="N285" s="819">
        <f t="shared" si="62"/>
        <v>97</v>
      </c>
      <c r="O285" s="819">
        <f t="shared" si="63"/>
        <v>1584</v>
      </c>
      <c r="P285" s="819">
        <f t="shared" si="66"/>
        <v>1099</v>
      </c>
      <c r="Q285" s="819">
        <f t="shared" si="67"/>
        <v>466</v>
      </c>
      <c r="R285" s="819">
        <f t="shared" si="68"/>
        <v>217</v>
      </c>
      <c r="S285" s="819">
        <f t="shared" si="69"/>
        <v>71</v>
      </c>
      <c r="T285" s="819">
        <f t="shared" si="70"/>
        <v>1562</v>
      </c>
      <c r="U285" s="819">
        <f t="shared" si="71"/>
        <v>3415</v>
      </c>
      <c r="V285" s="819">
        <f t="shared" si="72"/>
        <v>1478</v>
      </c>
      <c r="W285" s="379">
        <f t="shared" si="73"/>
        <v>1478</v>
      </c>
      <c r="X285" s="819" t="str">
        <f t="shared" si="74"/>
        <v/>
      </c>
      <c r="Y285" s="837"/>
      <c r="Z285" s="839"/>
      <c r="AA285" s="838"/>
      <c r="AB285" s="839"/>
    </row>
    <row r="286" spans="2:28" ht="13.15">
      <c r="B286" s="819" t="s">
        <v>956</v>
      </c>
      <c r="C286" s="819" t="s">
        <v>957</v>
      </c>
      <c r="D286" s="379" t="s">
        <v>336</v>
      </c>
      <c r="E286" s="818" t="s">
        <v>418</v>
      </c>
      <c r="F286" s="820">
        <v>3.6391958369999999</v>
      </c>
      <c r="G286" s="821">
        <v>19.325791859999999</v>
      </c>
      <c r="H286" s="822">
        <v>193192095.03463501</v>
      </c>
      <c r="I286" s="819"/>
      <c r="J286" s="820">
        <v>-7.7444299999999998E-4</v>
      </c>
      <c r="K286" s="819">
        <f t="shared" si="64"/>
        <v>578</v>
      </c>
      <c r="L286" s="819">
        <f t="shared" si="65"/>
        <v>96</v>
      </c>
      <c r="M286" s="819">
        <f t="shared" si="61"/>
        <v>578</v>
      </c>
      <c r="N286" s="819">
        <f t="shared" si="62"/>
        <v>364</v>
      </c>
      <c r="O286" s="819">
        <f t="shared" si="63"/>
        <v>1359</v>
      </c>
      <c r="P286" s="819">
        <f t="shared" si="66"/>
        <v>820</v>
      </c>
      <c r="Q286" s="819">
        <f t="shared" si="67"/>
        <v>327</v>
      </c>
      <c r="R286" s="819">
        <f t="shared" si="68"/>
        <v>496</v>
      </c>
      <c r="S286" s="819">
        <f t="shared" si="69"/>
        <v>338</v>
      </c>
      <c r="T286" s="819">
        <f t="shared" si="70"/>
        <v>1337</v>
      </c>
      <c r="U286" s="819">
        <f t="shared" si="71"/>
        <v>3318</v>
      </c>
      <c r="V286" s="819">
        <f t="shared" si="72"/>
        <v>1369</v>
      </c>
      <c r="W286" s="379">
        <f t="shared" si="73"/>
        <v>1369</v>
      </c>
      <c r="X286" s="819" t="str">
        <f t="shared" si="74"/>
        <v/>
      </c>
      <c r="Y286" s="837"/>
      <c r="Z286" s="839"/>
      <c r="AA286" s="838"/>
      <c r="AB286" s="839"/>
    </row>
    <row r="287" spans="2:28" ht="13.15">
      <c r="B287" s="819" t="s">
        <v>958</v>
      </c>
      <c r="C287" s="819" t="s">
        <v>959</v>
      </c>
      <c r="D287" s="379" t="s">
        <v>336</v>
      </c>
      <c r="E287" s="818" t="s">
        <v>418</v>
      </c>
      <c r="F287" s="820">
        <v>2.8795937039999999</v>
      </c>
      <c r="G287" s="821">
        <v>2.9712898769999998</v>
      </c>
      <c r="H287" s="822">
        <v>78688418.463131994</v>
      </c>
      <c r="I287" s="819"/>
      <c r="J287" s="820">
        <v>-6.1836300000000003E-4</v>
      </c>
      <c r="K287" s="819">
        <f t="shared" si="64"/>
        <v>773</v>
      </c>
      <c r="L287" s="819">
        <f t="shared" si="65"/>
        <v>550</v>
      </c>
      <c r="M287" s="819">
        <f t="shared" si="61"/>
        <v>773</v>
      </c>
      <c r="N287" s="819">
        <f t="shared" si="62"/>
        <v>364</v>
      </c>
      <c r="O287" s="819">
        <f t="shared" si="63"/>
        <v>1316</v>
      </c>
      <c r="P287" s="819">
        <f t="shared" si="66"/>
        <v>625</v>
      </c>
      <c r="Q287" s="819">
        <f t="shared" si="67"/>
        <v>127</v>
      </c>
      <c r="R287" s="819">
        <f t="shared" si="68"/>
        <v>691</v>
      </c>
      <c r="S287" s="819">
        <f t="shared" si="69"/>
        <v>338</v>
      </c>
      <c r="T287" s="819">
        <f t="shared" si="70"/>
        <v>1294</v>
      </c>
      <c r="U287" s="819">
        <f t="shared" si="71"/>
        <v>3075</v>
      </c>
      <c r="V287" s="819">
        <f t="shared" si="72"/>
        <v>1019</v>
      </c>
      <c r="W287" s="379">
        <f t="shared" si="73"/>
        <v>1019</v>
      </c>
      <c r="X287" s="819" t="str">
        <f t="shared" si="74"/>
        <v/>
      </c>
      <c r="Y287" s="837"/>
      <c r="Z287" s="839"/>
      <c r="AA287" s="838"/>
      <c r="AB287" s="839"/>
    </row>
    <row r="288" spans="2:28" ht="13.15">
      <c r="B288" s="819" t="s">
        <v>960</v>
      </c>
      <c r="C288" s="819" t="s">
        <v>961</v>
      </c>
      <c r="D288" s="379" t="s">
        <v>336</v>
      </c>
      <c r="E288" s="818" t="s">
        <v>863</v>
      </c>
      <c r="F288" s="820">
        <v>3.1278365250000002</v>
      </c>
      <c r="G288" s="821">
        <v>12.614687869999999</v>
      </c>
      <c r="H288" s="822">
        <v>14098217.3281068</v>
      </c>
      <c r="I288" s="819"/>
      <c r="J288" s="820">
        <v>-1.4033089999999999E-3</v>
      </c>
      <c r="K288" s="819">
        <f t="shared" si="64"/>
        <v>1178</v>
      </c>
      <c r="L288" s="819">
        <f t="shared" si="65"/>
        <v>156</v>
      </c>
      <c r="M288" s="819">
        <f t="shared" si="61"/>
        <v>1178</v>
      </c>
      <c r="N288" s="819">
        <f t="shared" si="62"/>
        <v>364</v>
      </c>
      <c r="O288" s="819">
        <f t="shared" si="63"/>
        <v>1446</v>
      </c>
      <c r="P288" s="819">
        <f t="shared" si="66"/>
        <v>220</v>
      </c>
      <c r="Q288" s="819">
        <f t="shared" si="67"/>
        <v>267</v>
      </c>
      <c r="R288" s="819">
        <f t="shared" si="68"/>
        <v>1096</v>
      </c>
      <c r="S288" s="819">
        <f t="shared" si="69"/>
        <v>338</v>
      </c>
      <c r="T288" s="819">
        <f t="shared" si="70"/>
        <v>1424</v>
      </c>
      <c r="U288" s="819">
        <f t="shared" si="71"/>
        <v>3345</v>
      </c>
      <c r="V288" s="819">
        <f t="shared" si="72"/>
        <v>1398</v>
      </c>
      <c r="W288" s="379">
        <f t="shared" si="73"/>
        <v>1398</v>
      </c>
      <c r="X288" s="819" t="str">
        <f t="shared" si="74"/>
        <v/>
      </c>
      <c r="Y288" s="837"/>
      <c r="Z288" s="839"/>
      <c r="AA288" s="838"/>
      <c r="AB288" s="839"/>
    </row>
    <row r="289" spans="2:28" ht="13.15">
      <c r="B289" s="819" t="s">
        <v>962</v>
      </c>
      <c r="C289" s="819" t="s">
        <v>963</v>
      </c>
      <c r="D289" s="379" t="s">
        <v>336</v>
      </c>
      <c r="E289" s="818" t="s">
        <v>522</v>
      </c>
      <c r="F289" s="820">
        <v>1.013986117</v>
      </c>
      <c r="G289" s="821">
        <v>15.18247908</v>
      </c>
      <c r="H289" s="822">
        <v>208252904.88055</v>
      </c>
      <c r="I289" s="819"/>
      <c r="J289" s="820">
        <v>-3.4321999999999998E-3</v>
      </c>
      <c r="K289" s="819">
        <f t="shared" si="64"/>
        <v>555</v>
      </c>
      <c r="L289" s="819">
        <f t="shared" si="65"/>
        <v>123</v>
      </c>
      <c r="M289" s="819">
        <f t="shared" si="61"/>
        <v>555</v>
      </c>
      <c r="N289" s="819">
        <f t="shared" si="62"/>
        <v>364</v>
      </c>
      <c r="O289" s="819">
        <f t="shared" si="63"/>
        <v>1564</v>
      </c>
      <c r="P289" s="819">
        <f t="shared" si="66"/>
        <v>843</v>
      </c>
      <c r="Q289" s="819">
        <f t="shared" si="67"/>
        <v>300</v>
      </c>
      <c r="R289" s="819">
        <f t="shared" si="68"/>
        <v>473</v>
      </c>
      <c r="S289" s="819">
        <f t="shared" si="69"/>
        <v>338</v>
      </c>
      <c r="T289" s="819">
        <f t="shared" si="70"/>
        <v>1542</v>
      </c>
      <c r="U289" s="819">
        <f t="shared" si="71"/>
        <v>3496</v>
      </c>
      <c r="V289" s="819">
        <f t="shared" si="72"/>
        <v>1551</v>
      </c>
      <c r="W289" s="379">
        <f t="shared" si="73"/>
        <v>1551</v>
      </c>
      <c r="X289" s="819" t="str">
        <f t="shared" si="74"/>
        <v/>
      </c>
      <c r="Y289" s="837"/>
      <c r="Z289" s="839"/>
      <c r="AA289" s="838"/>
      <c r="AB289" s="839"/>
    </row>
    <row r="290" spans="2:28" ht="13.15">
      <c r="B290" s="819" t="s">
        <v>964</v>
      </c>
      <c r="C290" s="819" t="s">
        <v>965</v>
      </c>
      <c r="D290" s="379" t="s">
        <v>336</v>
      </c>
      <c r="E290" s="818" t="s">
        <v>441</v>
      </c>
      <c r="F290" s="820">
        <v>0.95759009399999995</v>
      </c>
      <c r="G290" s="821">
        <v>0.62264674499999995</v>
      </c>
      <c r="H290" s="822">
        <v>603537720.488675</v>
      </c>
      <c r="I290" s="819"/>
      <c r="J290" s="820">
        <v>-6.2193150000000004E-3</v>
      </c>
      <c r="K290" s="819">
        <f t="shared" si="64"/>
        <v>313</v>
      </c>
      <c r="L290" s="819">
        <f t="shared" si="65"/>
        <v>898</v>
      </c>
      <c r="M290" s="819">
        <f t="shared" si="61"/>
        <v>313</v>
      </c>
      <c r="N290" s="819">
        <f t="shared" si="62"/>
        <v>364</v>
      </c>
      <c r="O290" s="819">
        <f t="shared" si="63"/>
        <v>1619</v>
      </c>
      <c r="P290" s="819">
        <f t="shared" si="66"/>
        <v>1085</v>
      </c>
      <c r="Q290" s="819">
        <f t="shared" si="67"/>
        <v>475</v>
      </c>
      <c r="R290" s="819">
        <f t="shared" si="68"/>
        <v>231</v>
      </c>
      <c r="S290" s="819">
        <f t="shared" si="69"/>
        <v>338</v>
      </c>
      <c r="T290" s="819">
        <f t="shared" si="70"/>
        <v>1597</v>
      </c>
      <c r="U290" s="819">
        <f t="shared" si="71"/>
        <v>3726</v>
      </c>
      <c r="V290" s="819">
        <f t="shared" si="72"/>
        <v>1689</v>
      </c>
      <c r="W290" s="379">
        <f t="shared" si="73"/>
        <v>1689</v>
      </c>
      <c r="X290" s="819" t="str">
        <f t="shared" si="74"/>
        <v/>
      </c>
      <c r="Y290" s="837"/>
      <c r="Z290" s="839"/>
      <c r="AA290" s="838"/>
      <c r="AB290" s="839"/>
    </row>
    <row r="291" spans="2:28" ht="13.15">
      <c r="B291" s="819" t="s">
        <v>966</v>
      </c>
      <c r="C291" s="819" t="s">
        <v>967</v>
      </c>
      <c r="D291" s="379" t="s">
        <v>336</v>
      </c>
      <c r="E291" s="818" t="s">
        <v>418</v>
      </c>
      <c r="F291" s="820"/>
      <c r="G291" s="821"/>
      <c r="H291" s="822">
        <v>234421567.55357</v>
      </c>
      <c r="I291" s="819"/>
      <c r="J291" s="820">
        <v>0</v>
      </c>
      <c r="K291" s="819">
        <f t="shared" si="64"/>
        <v>528</v>
      </c>
      <c r="L291" s="819">
        <f t="shared" si="65"/>
        <v>1084</v>
      </c>
      <c r="M291" s="819">
        <f t="shared" si="61"/>
        <v>528</v>
      </c>
      <c r="N291" s="819">
        <f t="shared" si="62"/>
        <v>364</v>
      </c>
      <c r="O291" s="819">
        <f t="shared" si="63"/>
        <v>492</v>
      </c>
      <c r="P291" s="819">
        <f t="shared" si="66"/>
        <v>870</v>
      </c>
      <c r="Q291" s="819">
        <f t="shared" si="67"/>
        <v>661</v>
      </c>
      <c r="R291" s="819">
        <f t="shared" si="68"/>
        <v>446</v>
      </c>
      <c r="S291" s="819">
        <f t="shared" si="69"/>
        <v>338</v>
      </c>
      <c r="T291" s="819">
        <f t="shared" si="70"/>
        <v>470</v>
      </c>
      <c r="U291" s="819">
        <f t="shared" si="71"/>
        <v>2785</v>
      </c>
      <c r="V291" s="819">
        <f t="shared" si="72"/>
        <v>463</v>
      </c>
      <c r="W291" s="379">
        <f t="shared" si="73"/>
        <v>463</v>
      </c>
      <c r="X291" s="819" t="str">
        <f t="shared" si="74"/>
        <v/>
      </c>
      <c r="Y291" s="837"/>
      <c r="Z291" s="839"/>
      <c r="AA291" s="838"/>
      <c r="AB291" s="839"/>
    </row>
    <row r="292" spans="2:28" ht="13.15">
      <c r="B292" s="819" t="s">
        <v>968</v>
      </c>
      <c r="C292" s="819" t="s">
        <v>969</v>
      </c>
      <c r="D292" s="379" t="s">
        <v>336</v>
      </c>
      <c r="E292" s="818" t="s">
        <v>337</v>
      </c>
      <c r="F292" s="820">
        <v>1.283346184</v>
      </c>
      <c r="G292" s="821">
        <v>1.7966442949999999</v>
      </c>
      <c r="H292" s="822"/>
      <c r="I292" s="819"/>
      <c r="J292" s="820">
        <v>-1.7276473000000001E-2</v>
      </c>
      <c r="K292" s="819" t="str">
        <f t="shared" si="64"/>
        <v>N/A</v>
      </c>
      <c r="L292" s="819">
        <f t="shared" si="65"/>
        <v>703</v>
      </c>
      <c r="M292" s="819" t="str">
        <f t="shared" si="61"/>
        <v>N/A</v>
      </c>
      <c r="N292" s="819">
        <f t="shared" si="62"/>
        <v>364</v>
      </c>
      <c r="O292" s="819">
        <f t="shared" si="63"/>
        <v>1682</v>
      </c>
      <c r="P292" s="819" t="str">
        <f t="shared" si="66"/>
        <v>N/A</v>
      </c>
      <c r="Q292" s="819">
        <f t="shared" si="67"/>
        <v>280</v>
      </c>
      <c r="R292" s="819" t="str">
        <f t="shared" si="68"/>
        <v>N/A</v>
      </c>
      <c r="S292" s="819">
        <f t="shared" si="69"/>
        <v>338</v>
      </c>
      <c r="T292" s="819">
        <f t="shared" si="70"/>
        <v>1660</v>
      </c>
      <c r="U292" s="819">
        <f t="shared" si="71"/>
        <v>2278</v>
      </c>
      <c r="V292" s="819">
        <f t="shared" si="72"/>
        <v>212</v>
      </c>
      <c r="W292" s="379">
        <f t="shared" si="73"/>
        <v>212</v>
      </c>
      <c r="X292" s="819" t="str">
        <f t="shared" si="74"/>
        <v/>
      </c>
      <c r="Y292" s="837"/>
      <c r="Z292" s="839"/>
      <c r="AA292" s="838"/>
      <c r="AB292" s="839"/>
    </row>
    <row r="293" spans="2:28" ht="13.15">
      <c r="B293" s="819" t="s">
        <v>970</v>
      </c>
      <c r="C293" s="819" t="s">
        <v>971</v>
      </c>
      <c r="D293" s="379" t="s">
        <v>336</v>
      </c>
      <c r="E293" s="818" t="s">
        <v>341</v>
      </c>
      <c r="F293" s="820">
        <v>2.3244825439999999</v>
      </c>
      <c r="G293" s="821">
        <v>0</v>
      </c>
      <c r="H293" s="822">
        <v>508924111.356336</v>
      </c>
      <c r="I293" s="819"/>
      <c r="J293" s="820">
        <v>-2.1036480000000001E-3</v>
      </c>
      <c r="K293" s="819">
        <f t="shared" si="64"/>
        <v>345</v>
      </c>
      <c r="L293" s="819">
        <f t="shared" si="65"/>
        <v>1084</v>
      </c>
      <c r="M293" s="819">
        <f t="shared" si="61"/>
        <v>345</v>
      </c>
      <c r="N293" s="819">
        <f t="shared" si="62"/>
        <v>364</v>
      </c>
      <c r="O293" s="819">
        <f t="shared" si="63"/>
        <v>1498</v>
      </c>
      <c r="P293" s="819">
        <f t="shared" si="66"/>
        <v>1053</v>
      </c>
      <c r="Q293" s="819">
        <f t="shared" si="67"/>
        <v>661</v>
      </c>
      <c r="R293" s="819">
        <f t="shared" si="68"/>
        <v>263</v>
      </c>
      <c r="S293" s="819">
        <f t="shared" si="69"/>
        <v>338</v>
      </c>
      <c r="T293" s="819">
        <f t="shared" si="70"/>
        <v>1476</v>
      </c>
      <c r="U293" s="819">
        <f t="shared" si="71"/>
        <v>3791</v>
      </c>
      <c r="V293" s="819">
        <f t="shared" si="72"/>
        <v>1712</v>
      </c>
      <c r="W293" s="379">
        <f t="shared" si="73"/>
        <v>1712</v>
      </c>
      <c r="X293" s="819" t="str">
        <f t="shared" si="74"/>
        <v/>
      </c>
      <c r="Y293" s="837"/>
      <c r="Z293" s="839"/>
      <c r="AA293" s="838"/>
      <c r="AB293" s="839"/>
    </row>
    <row r="294" spans="2:28" ht="13.15">
      <c r="B294" s="819" t="s">
        <v>972</v>
      </c>
      <c r="C294" s="819" t="s">
        <v>973</v>
      </c>
      <c r="D294" s="379" t="s">
        <v>336</v>
      </c>
      <c r="E294" s="818" t="s">
        <v>728</v>
      </c>
      <c r="F294" s="820">
        <v>2.8833657659999998</v>
      </c>
      <c r="G294" s="821">
        <v>1.1046443889999999</v>
      </c>
      <c r="H294" s="822">
        <v>43256324.482542299</v>
      </c>
      <c r="I294" s="819">
        <v>0.22</v>
      </c>
      <c r="J294" s="820">
        <v>-0.20073843699999999</v>
      </c>
      <c r="K294" s="819">
        <f t="shared" si="64"/>
        <v>909</v>
      </c>
      <c r="L294" s="819">
        <f t="shared" si="65"/>
        <v>797</v>
      </c>
      <c r="M294" s="819">
        <f t="shared" si="61"/>
        <v>909</v>
      </c>
      <c r="N294" s="819">
        <f t="shared" si="62"/>
        <v>213</v>
      </c>
      <c r="O294" s="819">
        <f t="shared" si="63"/>
        <v>1764</v>
      </c>
      <c r="P294" s="819">
        <f t="shared" si="66"/>
        <v>489</v>
      </c>
      <c r="Q294" s="819">
        <f t="shared" si="67"/>
        <v>374</v>
      </c>
      <c r="R294" s="819">
        <f t="shared" si="68"/>
        <v>827</v>
      </c>
      <c r="S294" s="819">
        <f t="shared" si="69"/>
        <v>187</v>
      </c>
      <c r="T294" s="819">
        <f t="shared" si="70"/>
        <v>1742</v>
      </c>
      <c r="U294" s="819">
        <f t="shared" si="71"/>
        <v>3619</v>
      </c>
      <c r="V294" s="819">
        <f t="shared" si="72"/>
        <v>1631</v>
      </c>
      <c r="W294" s="379">
        <f t="shared" si="73"/>
        <v>1631</v>
      </c>
      <c r="X294" s="819" t="str">
        <f t="shared" si="74"/>
        <v/>
      </c>
      <c r="Y294" s="837"/>
      <c r="Z294" s="839"/>
      <c r="AA294" s="838"/>
      <c r="AB294" s="839"/>
    </row>
    <row r="295" spans="2:28" ht="13.15">
      <c r="B295" s="819" t="s">
        <v>974</v>
      </c>
      <c r="C295" s="819" t="s">
        <v>975</v>
      </c>
      <c r="D295" s="379" t="s">
        <v>336</v>
      </c>
      <c r="E295" s="818" t="s">
        <v>441</v>
      </c>
      <c r="F295" s="820">
        <v>0.24876319499999999</v>
      </c>
      <c r="G295" s="821">
        <v>-1.859462213</v>
      </c>
      <c r="H295" s="822">
        <v>12906603207.807199</v>
      </c>
      <c r="I295" s="819"/>
      <c r="J295" s="820">
        <v>4.9464979999999997E-3</v>
      </c>
      <c r="K295" s="819">
        <f t="shared" si="64"/>
        <v>29</v>
      </c>
      <c r="L295" s="819">
        <f t="shared" si="65"/>
        <v>1339</v>
      </c>
      <c r="M295" s="819">
        <f t="shared" si="61"/>
        <v>29</v>
      </c>
      <c r="N295" s="819">
        <f t="shared" si="62"/>
        <v>364</v>
      </c>
      <c r="O295" s="819">
        <f t="shared" si="63"/>
        <v>149</v>
      </c>
      <c r="P295" s="819">
        <f t="shared" si="66"/>
        <v>1369</v>
      </c>
      <c r="Q295" s="819">
        <f t="shared" si="67"/>
        <v>916</v>
      </c>
      <c r="R295" s="819">
        <f t="shared" si="68"/>
        <v>53</v>
      </c>
      <c r="S295" s="819">
        <f t="shared" si="69"/>
        <v>338</v>
      </c>
      <c r="T295" s="819">
        <f t="shared" si="70"/>
        <v>127</v>
      </c>
      <c r="U295" s="819">
        <f t="shared" si="71"/>
        <v>2803</v>
      </c>
      <c r="V295" s="819">
        <f t="shared" si="72"/>
        <v>634</v>
      </c>
      <c r="W295" s="379">
        <f t="shared" si="73"/>
        <v>634</v>
      </c>
      <c r="X295" s="819" t="str">
        <f t="shared" si="74"/>
        <v/>
      </c>
      <c r="Y295" s="837"/>
      <c r="Z295" s="839"/>
      <c r="AA295" s="838"/>
      <c r="AB295" s="839"/>
    </row>
    <row r="296" spans="2:28" ht="13.15">
      <c r="B296" s="819" t="s">
        <v>976</v>
      </c>
      <c r="C296" s="819" t="s">
        <v>977</v>
      </c>
      <c r="D296" s="379" t="s">
        <v>336</v>
      </c>
      <c r="E296" s="818" t="s">
        <v>441</v>
      </c>
      <c r="F296" s="820">
        <v>0.63458340999999996</v>
      </c>
      <c r="G296" s="821">
        <v>3.3860050000000001E-3</v>
      </c>
      <c r="H296" s="822">
        <v>355656540.65551603</v>
      </c>
      <c r="I296" s="819"/>
      <c r="J296" s="820">
        <v>-1.409455E-3</v>
      </c>
      <c r="K296" s="819">
        <f t="shared" si="64"/>
        <v>435</v>
      </c>
      <c r="L296" s="819">
        <f t="shared" si="65"/>
        <v>1078</v>
      </c>
      <c r="M296" s="819">
        <f t="shared" si="61"/>
        <v>435</v>
      </c>
      <c r="N296" s="819">
        <f t="shared" si="62"/>
        <v>364</v>
      </c>
      <c r="O296" s="819">
        <f t="shared" si="63"/>
        <v>1447</v>
      </c>
      <c r="P296" s="819">
        <f t="shared" si="66"/>
        <v>963</v>
      </c>
      <c r="Q296" s="819">
        <f t="shared" si="67"/>
        <v>655</v>
      </c>
      <c r="R296" s="819">
        <f t="shared" si="68"/>
        <v>353</v>
      </c>
      <c r="S296" s="819">
        <f t="shared" si="69"/>
        <v>338</v>
      </c>
      <c r="T296" s="819">
        <f t="shared" si="70"/>
        <v>1425</v>
      </c>
      <c r="U296" s="819">
        <f t="shared" si="71"/>
        <v>3734</v>
      </c>
      <c r="V296" s="819">
        <f t="shared" si="72"/>
        <v>1694</v>
      </c>
      <c r="W296" s="379">
        <f t="shared" si="73"/>
        <v>1694</v>
      </c>
      <c r="X296" s="819" t="str">
        <f t="shared" si="74"/>
        <v/>
      </c>
      <c r="Y296" s="837"/>
      <c r="Z296" s="839"/>
      <c r="AA296" s="838"/>
      <c r="AB296" s="839"/>
    </row>
    <row r="297" spans="2:28" ht="13.15">
      <c r="B297" s="819" t="s">
        <v>978</v>
      </c>
      <c r="C297" s="819" t="s">
        <v>979</v>
      </c>
      <c r="D297" s="379" t="s">
        <v>336</v>
      </c>
      <c r="E297" s="818" t="s">
        <v>418</v>
      </c>
      <c r="F297" s="820">
        <v>7.0206658849999997</v>
      </c>
      <c r="G297" s="821">
        <v>15.23269747</v>
      </c>
      <c r="H297" s="822">
        <v>111211529.06713299</v>
      </c>
      <c r="I297" s="819"/>
      <c r="J297" s="820">
        <v>-1.205055E-3</v>
      </c>
      <c r="K297" s="819">
        <f t="shared" si="64"/>
        <v>694</v>
      </c>
      <c r="L297" s="819">
        <f t="shared" si="65"/>
        <v>121</v>
      </c>
      <c r="M297" s="819">
        <f t="shared" si="61"/>
        <v>694</v>
      </c>
      <c r="N297" s="819">
        <f t="shared" si="62"/>
        <v>364</v>
      </c>
      <c r="O297" s="819">
        <f t="shared" si="63"/>
        <v>1429</v>
      </c>
      <c r="P297" s="819">
        <f t="shared" si="66"/>
        <v>704</v>
      </c>
      <c r="Q297" s="819">
        <f t="shared" si="67"/>
        <v>302</v>
      </c>
      <c r="R297" s="819">
        <f t="shared" si="68"/>
        <v>612</v>
      </c>
      <c r="S297" s="819">
        <f t="shared" si="69"/>
        <v>338</v>
      </c>
      <c r="T297" s="819">
        <f t="shared" si="70"/>
        <v>1407</v>
      </c>
      <c r="U297" s="819">
        <f t="shared" si="71"/>
        <v>3363</v>
      </c>
      <c r="V297" s="819">
        <f t="shared" si="72"/>
        <v>1423</v>
      </c>
      <c r="W297" s="379">
        <f t="shared" si="73"/>
        <v>1423</v>
      </c>
      <c r="X297" s="819" t="str">
        <f t="shared" si="74"/>
        <v/>
      </c>
      <c r="Y297" s="837"/>
      <c r="Z297" s="839"/>
      <c r="AA297" s="838"/>
      <c r="AB297" s="839"/>
    </row>
    <row r="298" spans="2:28" ht="13.15">
      <c r="B298" s="819" t="s">
        <v>980</v>
      </c>
      <c r="C298" s="819" t="s">
        <v>981</v>
      </c>
      <c r="D298" s="379" t="s">
        <v>336</v>
      </c>
      <c r="E298" s="818" t="s">
        <v>441</v>
      </c>
      <c r="F298" s="820">
        <v>0.800392243</v>
      </c>
      <c r="G298" s="821">
        <v>60.229346669999998</v>
      </c>
      <c r="H298" s="822">
        <v>588588633.79235101</v>
      </c>
      <c r="I298" s="819"/>
      <c r="J298" s="820">
        <v>-8.9197199999999994E-5</v>
      </c>
      <c r="K298" s="819">
        <f t="shared" si="64"/>
        <v>319</v>
      </c>
      <c r="L298" s="819">
        <f t="shared" si="65"/>
        <v>27</v>
      </c>
      <c r="M298" s="819">
        <f t="shared" si="61"/>
        <v>319</v>
      </c>
      <c r="N298" s="819">
        <f t="shared" si="62"/>
        <v>364</v>
      </c>
      <c r="O298" s="819">
        <f t="shared" si="63"/>
        <v>995</v>
      </c>
      <c r="P298" s="819">
        <f t="shared" si="66"/>
        <v>1079</v>
      </c>
      <c r="Q298" s="819">
        <f t="shared" si="67"/>
        <v>396</v>
      </c>
      <c r="R298" s="819">
        <f t="shared" si="68"/>
        <v>237</v>
      </c>
      <c r="S298" s="819">
        <f t="shared" si="69"/>
        <v>338</v>
      </c>
      <c r="T298" s="819">
        <f t="shared" si="70"/>
        <v>973</v>
      </c>
      <c r="U298" s="819">
        <f t="shared" si="71"/>
        <v>3023</v>
      </c>
      <c r="V298" s="819">
        <f t="shared" si="72"/>
        <v>954</v>
      </c>
      <c r="W298" s="379">
        <f t="shared" si="73"/>
        <v>954</v>
      </c>
      <c r="X298" s="819" t="str">
        <f t="shared" si="74"/>
        <v/>
      </c>
      <c r="Y298" s="837"/>
      <c r="Z298" s="839"/>
      <c r="AA298" s="838"/>
      <c r="AB298" s="839"/>
    </row>
    <row r="299" spans="2:28" ht="13.15">
      <c r="B299" s="819" t="s">
        <v>982</v>
      </c>
      <c r="C299" s="819" t="s">
        <v>983</v>
      </c>
      <c r="D299" s="379" t="s">
        <v>336</v>
      </c>
      <c r="E299" s="818" t="s">
        <v>425</v>
      </c>
      <c r="F299" s="820">
        <v>0.76579350099999999</v>
      </c>
      <c r="G299" s="821">
        <v>2.3256767410000001</v>
      </c>
      <c r="H299" s="822">
        <v>63902287.266994298</v>
      </c>
      <c r="I299" s="819"/>
      <c r="J299" s="820">
        <v>-1.5177649999999999E-3</v>
      </c>
      <c r="K299" s="819">
        <f t="shared" si="64"/>
        <v>825</v>
      </c>
      <c r="L299" s="819">
        <f t="shared" si="65"/>
        <v>622</v>
      </c>
      <c r="M299" s="819">
        <f t="shared" si="61"/>
        <v>825</v>
      </c>
      <c r="N299" s="819">
        <f t="shared" si="62"/>
        <v>364</v>
      </c>
      <c r="O299" s="819">
        <f t="shared" si="63"/>
        <v>1466</v>
      </c>
      <c r="P299" s="819">
        <f t="shared" si="66"/>
        <v>573</v>
      </c>
      <c r="Q299" s="819">
        <f t="shared" si="67"/>
        <v>199</v>
      </c>
      <c r="R299" s="819">
        <f t="shared" si="68"/>
        <v>743</v>
      </c>
      <c r="S299" s="819">
        <f t="shared" si="69"/>
        <v>338</v>
      </c>
      <c r="T299" s="819">
        <f t="shared" si="70"/>
        <v>1444</v>
      </c>
      <c r="U299" s="819">
        <f t="shared" si="71"/>
        <v>3297</v>
      </c>
      <c r="V299" s="819">
        <f t="shared" si="72"/>
        <v>1337</v>
      </c>
      <c r="W299" s="379">
        <f t="shared" si="73"/>
        <v>1337</v>
      </c>
      <c r="X299" s="819" t="str">
        <f t="shared" si="74"/>
        <v/>
      </c>
      <c r="Y299" s="837"/>
      <c r="Z299" s="839"/>
      <c r="AA299" s="838"/>
      <c r="AB299" s="839"/>
    </row>
    <row r="300" spans="2:28" ht="13.15">
      <c r="B300" s="819" t="s">
        <v>984</v>
      </c>
      <c r="C300" s="819" t="s">
        <v>985</v>
      </c>
      <c r="D300" s="379" t="s">
        <v>336</v>
      </c>
      <c r="E300" s="818" t="s">
        <v>418</v>
      </c>
      <c r="F300" s="820">
        <v>1.5588005819999999</v>
      </c>
      <c r="G300" s="821">
        <v>25.418080589999999</v>
      </c>
      <c r="H300" s="822">
        <v>118998381.847608</v>
      </c>
      <c r="I300" s="819">
        <v>0.35</v>
      </c>
      <c r="J300" s="820">
        <v>-5.1456719999999996E-3</v>
      </c>
      <c r="K300" s="819">
        <f t="shared" si="64"/>
        <v>675</v>
      </c>
      <c r="L300" s="819">
        <f t="shared" si="65"/>
        <v>75</v>
      </c>
      <c r="M300" s="819">
        <f t="shared" si="61"/>
        <v>675</v>
      </c>
      <c r="N300" s="819">
        <f t="shared" si="62"/>
        <v>179</v>
      </c>
      <c r="O300" s="819">
        <f t="shared" si="63"/>
        <v>1604</v>
      </c>
      <c r="P300" s="819">
        <f t="shared" si="66"/>
        <v>723</v>
      </c>
      <c r="Q300" s="819">
        <f t="shared" si="67"/>
        <v>348</v>
      </c>
      <c r="R300" s="819">
        <f t="shared" si="68"/>
        <v>593</v>
      </c>
      <c r="S300" s="819">
        <f t="shared" si="69"/>
        <v>153</v>
      </c>
      <c r="T300" s="819">
        <f t="shared" si="70"/>
        <v>1582</v>
      </c>
      <c r="U300" s="819">
        <f t="shared" si="71"/>
        <v>3399</v>
      </c>
      <c r="V300" s="819">
        <f t="shared" si="72"/>
        <v>1462</v>
      </c>
      <c r="W300" s="379">
        <f t="shared" si="73"/>
        <v>1462</v>
      </c>
      <c r="X300" s="819" t="str">
        <f t="shared" si="74"/>
        <v/>
      </c>
      <c r="Y300" s="837"/>
      <c r="Z300" s="839"/>
      <c r="AA300" s="838"/>
      <c r="AB300" s="839"/>
    </row>
    <row r="301" spans="2:28" ht="13.15">
      <c r="B301" s="819" t="s">
        <v>986</v>
      </c>
      <c r="C301" s="819" t="s">
        <v>987</v>
      </c>
      <c r="D301" s="379" t="s">
        <v>336</v>
      </c>
      <c r="E301" s="818" t="s">
        <v>418</v>
      </c>
      <c r="F301" s="820">
        <v>1.917377831</v>
      </c>
      <c r="G301" s="821">
        <v>5.8260470240000002</v>
      </c>
      <c r="H301" s="822">
        <v>399408416.15847701</v>
      </c>
      <c r="I301" s="819">
        <v>3.07</v>
      </c>
      <c r="J301" s="820">
        <v>-8.2792070000000002E-3</v>
      </c>
      <c r="K301" s="819">
        <f t="shared" si="64"/>
        <v>408</v>
      </c>
      <c r="L301" s="819">
        <f t="shared" si="65"/>
        <v>330</v>
      </c>
      <c r="M301" s="819">
        <f t="shared" si="61"/>
        <v>408</v>
      </c>
      <c r="N301" s="819">
        <f t="shared" si="62"/>
        <v>62</v>
      </c>
      <c r="O301" s="819">
        <f t="shared" si="63"/>
        <v>1639</v>
      </c>
      <c r="P301" s="819">
        <f t="shared" si="66"/>
        <v>990</v>
      </c>
      <c r="Q301" s="819">
        <f t="shared" si="67"/>
        <v>93</v>
      </c>
      <c r="R301" s="819">
        <f t="shared" si="68"/>
        <v>326</v>
      </c>
      <c r="S301" s="819">
        <f t="shared" si="69"/>
        <v>36</v>
      </c>
      <c r="T301" s="819">
        <f t="shared" si="70"/>
        <v>1617</v>
      </c>
      <c r="U301" s="819">
        <f t="shared" si="71"/>
        <v>3062</v>
      </c>
      <c r="V301" s="819">
        <f t="shared" si="72"/>
        <v>1007</v>
      </c>
      <c r="W301" s="379">
        <f t="shared" si="73"/>
        <v>1007</v>
      </c>
      <c r="X301" s="819" t="str">
        <f t="shared" si="74"/>
        <v/>
      </c>
      <c r="Y301" s="837"/>
      <c r="Z301" s="839"/>
      <c r="AA301" s="838"/>
      <c r="AB301" s="839"/>
    </row>
    <row r="302" spans="2:28" ht="13.15">
      <c r="B302" s="819" t="s">
        <v>988</v>
      </c>
      <c r="C302" s="819" t="s">
        <v>989</v>
      </c>
      <c r="D302" s="379" t="s">
        <v>336</v>
      </c>
      <c r="E302" s="818" t="s">
        <v>418</v>
      </c>
      <c r="F302" s="820">
        <v>3.7774630139999998</v>
      </c>
      <c r="G302" s="821">
        <v>-2.2666721619999999</v>
      </c>
      <c r="H302" s="822">
        <v>397282088.237198</v>
      </c>
      <c r="I302" s="819"/>
      <c r="J302" s="820">
        <v>5.6696700000000004E-4</v>
      </c>
      <c r="K302" s="819">
        <f t="shared" si="64"/>
        <v>411</v>
      </c>
      <c r="L302" s="819">
        <f t="shared" si="65"/>
        <v>1352</v>
      </c>
      <c r="M302" s="819">
        <f t="shared" si="61"/>
        <v>411</v>
      </c>
      <c r="N302" s="819">
        <f t="shared" si="62"/>
        <v>364</v>
      </c>
      <c r="O302" s="819">
        <f t="shared" si="63"/>
        <v>203</v>
      </c>
      <c r="P302" s="819">
        <f t="shared" si="66"/>
        <v>987</v>
      </c>
      <c r="Q302" s="819">
        <f t="shared" si="67"/>
        <v>929</v>
      </c>
      <c r="R302" s="819">
        <f t="shared" si="68"/>
        <v>329</v>
      </c>
      <c r="S302" s="819">
        <f t="shared" si="69"/>
        <v>338</v>
      </c>
      <c r="T302" s="819">
        <f t="shared" si="70"/>
        <v>181</v>
      </c>
      <c r="U302" s="819">
        <f t="shared" si="71"/>
        <v>2764</v>
      </c>
      <c r="V302" s="819">
        <f t="shared" si="72"/>
        <v>435</v>
      </c>
      <c r="W302" s="379">
        <f t="shared" si="73"/>
        <v>435</v>
      </c>
      <c r="X302" s="819" t="str">
        <f t="shared" si="74"/>
        <v/>
      </c>
      <c r="Y302" s="837"/>
      <c r="Z302" s="839"/>
      <c r="AA302" s="838"/>
      <c r="AB302" s="839"/>
    </row>
    <row r="303" spans="2:28" ht="13.15">
      <c r="B303" s="819" t="s">
        <v>990</v>
      </c>
      <c r="C303" s="819" t="s">
        <v>991</v>
      </c>
      <c r="D303" s="379" t="s">
        <v>336</v>
      </c>
      <c r="E303" s="818" t="s">
        <v>418</v>
      </c>
      <c r="F303" s="820">
        <v>1.5066140750000001</v>
      </c>
      <c r="G303" s="821">
        <v>5.4017559999999997E-3</v>
      </c>
      <c r="H303" s="822">
        <v>21731797.3975529</v>
      </c>
      <c r="I303" s="819"/>
      <c r="J303" s="820">
        <v>-3.2329939999999999E-3</v>
      </c>
      <c r="K303" s="819">
        <f t="shared" si="64"/>
        <v>1084</v>
      </c>
      <c r="L303" s="819">
        <f t="shared" si="65"/>
        <v>1074</v>
      </c>
      <c r="M303" s="819">
        <f t="shared" si="61"/>
        <v>1084</v>
      </c>
      <c r="N303" s="819">
        <f t="shared" si="62"/>
        <v>364</v>
      </c>
      <c r="O303" s="819">
        <f t="shared" si="63"/>
        <v>1559</v>
      </c>
      <c r="P303" s="819">
        <f t="shared" si="66"/>
        <v>314</v>
      </c>
      <c r="Q303" s="819">
        <f t="shared" si="67"/>
        <v>651</v>
      </c>
      <c r="R303" s="819">
        <f t="shared" si="68"/>
        <v>1002</v>
      </c>
      <c r="S303" s="819">
        <f t="shared" si="69"/>
        <v>338</v>
      </c>
      <c r="T303" s="819">
        <f t="shared" si="70"/>
        <v>1537</v>
      </c>
      <c r="U303" s="819">
        <f t="shared" si="71"/>
        <v>3842</v>
      </c>
      <c r="V303" s="819">
        <f t="shared" si="72"/>
        <v>1729</v>
      </c>
      <c r="W303" s="379">
        <f t="shared" si="73"/>
        <v>1729</v>
      </c>
      <c r="X303" s="819" t="str">
        <f t="shared" si="74"/>
        <v/>
      </c>
      <c r="Y303" s="837"/>
      <c r="Z303" s="839"/>
      <c r="AA303" s="838"/>
      <c r="AB303" s="839"/>
    </row>
    <row r="304" spans="2:28" ht="13.15">
      <c r="B304" s="819" t="s">
        <v>992</v>
      </c>
      <c r="C304" s="819" t="s">
        <v>993</v>
      </c>
      <c r="D304" s="379" t="s">
        <v>336</v>
      </c>
      <c r="E304" s="818" t="s">
        <v>441</v>
      </c>
      <c r="F304" s="820">
        <v>6.0387029879999998</v>
      </c>
      <c r="G304" s="821">
        <v>4.9701382030000003</v>
      </c>
      <c r="H304" s="822">
        <v>1597100.0268000001</v>
      </c>
      <c r="I304" s="819"/>
      <c r="J304" s="820">
        <v>-1.2007448E-2</v>
      </c>
      <c r="K304" s="819">
        <f t="shared" si="64"/>
        <v>1523</v>
      </c>
      <c r="L304" s="819">
        <f t="shared" si="65"/>
        <v>378</v>
      </c>
      <c r="M304" s="819">
        <f t="shared" si="61"/>
        <v>1523</v>
      </c>
      <c r="N304" s="819">
        <f t="shared" si="62"/>
        <v>364</v>
      </c>
      <c r="O304" s="819">
        <f t="shared" si="63"/>
        <v>1657</v>
      </c>
      <c r="P304" s="819">
        <f t="shared" si="66"/>
        <v>125</v>
      </c>
      <c r="Q304" s="819">
        <f t="shared" si="67"/>
        <v>45</v>
      </c>
      <c r="R304" s="819">
        <f t="shared" si="68"/>
        <v>1441</v>
      </c>
      <c r="S304" s="819">
        <f t="shared" si="69"/>
        <v>338</v>
      </c>
      <c r="T304" s="819">
        <f t="shared" si="70"/>
        <v>1635</v>
      </c>
      <c r="U304" s="819">
        <f t="shared" si="71"/>
        <v>3584</v>
      </c>
      <c r="V304" s="819">
        <f t="shared" si="72"/>
        <v>1614</v>
      </c>
      <c r="W304" s="379">
        <f t="shared" si="73"/>
        <v>1614</v>
      </c>
      <c r="X304" s="819" t="str">
        <f t="shared" si="74"/>
        <v/>
      </c>
      <c r="Y304" s="837"/>
      <c r="Z304" s="839"/>
      <c r="AA304" s="838"/>
      <c r="AB304" s="839"/>
    </row>
    <row r="305" spans="2:28" ht="13.15">
      <c r="B305" s="819" t="s">
        <v>994</v>
      </c>
      <c r="C305" s="819" t="s">
        <v>995</v>
      </c>
      <c r="D305" s="379" t="s">
        <v>336</v>
      </c>
      <c r="E305" s="818" t="s">
        <v>418</v>
      </c>
      <c r="F305" s="820">
        <v>1.2698359560000001</v>
      </c>
      <c r="G305" s="821">
        <v>25.20689655</v>
      </c>
      <c r="H305" s="822">
        <v>340478766.67313999</v>
      </c>
      <c r="I305" s="819">
        <v>0.05</v>
      </c>
      <c r="J305" s="820">
        <v>-5.6196100000000004E-4</v>
      </c>
      <c r="K305" s="819">
        <f t="shared" si="64"/>
        <v>444</v>
      </c>
      <c r="L305" s="819">
        <f t="shared" si="65"/>
        <v>77</v>
      </c>
      <c r="M305" s="819">
        <f t="shared" si="61"/>
        <v>444</v>
      </c>
      <c r="N305" s="819">
        <f t="shared" si="62"/>
        <v>305</v>
      </c>
      <c r="O305" s="819">
        <f t="shared" si="63"/>
        <v>1292</v>
      </c>
      <c r="P305" s="819">
        <f t="shared" si="66"/>
        <v>954</v>
      </c>
      <c r="Q305" s="819">
        <f t="shared" si="67"/>
        <v>346</v>
      </c>
      <c r="R305" s="819">
        <f t="shared" si="68"/>
        <v>362</v>
      </c>
      <c r="S305" s="819">
        <f t="shared" si="69"/>
        <v>279</v>
      </c>
      <c r="T305" s="819">
        <f t="shared" si="70"/>
        <v>1270</v>
      </c>
      <c r="U305" s="819">
        <f t="shared" si="71"/>
        <v>3211</v>
      </c>
      <c r="V305" s="819">
        <f t="shared" si="72"/>
        <v>1217</v>
      </c>
      <c r="W305" s="379">
        <f t="shared" si="73"/>
        <v>1217</v>
      </c>
      <c r="X305" s="819" t="str">
        <f t="shared" si="74"/>
        <v/>
      </c>
      <c r="Y305" s="837"/>
      <c r="Z305" s="839"/>
      <c r="AA305" s="838"/>
      <c r="AB305" s="839"/>
    </row>
    <row r="306" spans="2:28" ht="13.15">
      <c r="B306" s="819" t="s">
        <v>996</v>
      </c>
      <c r="C306" s="819" t="s">
        <v>997</v>
      </c>
      <c r="D306" s="379" t="s">
        <v>336</v>
      </c>
      <c r="E306" s="818" t="s">
        <v>998</v>
      </c>
      <c r="F306" s="820">
        <v>2.1443833630000002</v>
      </c>
      <c r="G306" s="821">
        <v>4.688904</v>
      </c>
      <c r="H306" s="822">
        <v>106665140.81565399</v>
      </c>
      <c r="I306" s="819"/>
      <c r="J306" s="820">
        <v>-5.1144229999999999E-3</v>
      </c>
      <c r="K306" s="819">
        <f t="shared" si="64"/>
        <v>707</v>
      </c>
      <c r="L306" s="819">
        <f t="shared" si="65"/>
        <v>399</v>
      </c>
      <c r="M306" s="819">
        <f t="shared" si="61"/>
        <v>707</v>
      </c>
      <c r="N306" s="819">
        <f t="shared" si="62"/>
        <v>364</v>
      </c>
      <c r="O306" s="819">
        <f t="shared" si="63"/>
        <v>1603</v>
      </c>
      <c r="P306" s="819">
        <f t="shared" si="66"/>
        <v>691</v>
      </c>
      <c r="Q306" s="819">
        <f t="shared" si="67"/>
        <v>24</v>
      </c>
      <c r="R306" s="819">
        <f t="shared" si="68"/>
        <v>625</v>
      </c>
      <c r="S306" s="819">
        <f t="shared" si="69"/>
        <v>338</v>
      </c>
      <c r="T306" s="819">
        <f t="shared" si="70"/>
        <v>1581</v>
      </c>
      <c r="U306" s="819">
        <f t="shared" si="71"/>
        <v>3259</v>
      </c>
      <c r="V306" s="819">
        <f t="shared" si="72"/>
        <v>1286</v>
      </c>
      <c r="W306" s="379">
        <f t="shared" si="73"/>
        <v>1286</v>
      </c>
      <c r="X306" s="819" t="str">
        <f t="shared" si="74"/>
        <v/>
      </c>
      <c r="Y306" s="837"/>
      <c r="Z306" s="839"/>
      <c r="AA306" s="838"/>
      <c r="AB306" s="839"/>
    </row>
    <row r="307" spans="2:28" ht="13.15">
      <c r="B307" s="819" t="s">
        <v>999</v>
      </c>
      <c r="C307" s="819" t="s">
        <v>1000</v>
      </c>
      <c r="D307" s="379" t="s">
        <v>336</v>
      </c>
      <c r="E307" s="818" t="s">
        <v>418</v>
      </c>
      <c r="F307" s="820">
        <v>2.395618002</v>
      </c>
      <c r="G307" s="821">
        <v>2.5266342750000002</v>
      </c>
      <c r="H307" s="822">
        <v>478228782.28782302</v>
      </c>
      <c r="I307" s="819"/>
      <c r="J307" s="820">
        <v>-4.2114713999999998E-2</v>
      </c>
      <c r="K307" s="819">
        <f t="shared" si="64"/>
        <v>366</v>
      </c>
      <c r="L307" s="819">
        <f t="shared" si="65"/>
        <v>598</v>
      </c>
      <c r="M307" s="819">
        <f t="shared" si="61"/>
        <v>366</v>
      </c>
      <c r="N307" s="819">
        <f t="shared" si="62"/>
        <v>364</v>
      </c>
      <c r="O307" s="819">
        <f t="shared" si="63"/>
        <v>1728</v>
      </c>
      <c r="P307" s="819">
        <f t="shared" si="66"/>
        <v>1032</v>
      </c>
      <c r="Q307" s="819">
        <f t="shared" si="67"/>
        <v>175</v>
      </c>
      <c r="R307" s="819">
        <f t="shared" si="68"/>
        <v>284</v>
      </c>
      <c r="S307" s="819">
        <f t="shared" si="69"/>
        <v>338</v>
      </c>
      <c r="T307" s="819">
        <f t="shared" si="70"/>
        <v>1706</v>
      </c>
      <c r="U307" s="819">
        <f t="shared" si="71"/>
        <v>3535</v>
      </c>
      <c r="V307" s="819">
        <f t="shared" si="72"/>
        <v>1583</v>
      </c>
      <c r="W307" s="379">
        <f t="shared" si="73"/>
        <v>1583</v>
      </c>
      <c r="X307" s="819" t="str">
        <f t="shared" si="74"/>
        <v/>
      </c>
      <c r="Y307" s="837"/>
      <c r="Z307" s="839"/>
      <c r="AA307" s="838"/>
      <c r="AB307" s="839"/>
    </row>
    <row r="308" spans="2:28" ht="13.15">
      <c r="B308" s="819" t="s">
        <v>1001</v>
      </c>
      <c r="C308" s="819" t="s">
        <v>1002</v>
      </c>
      <c r="D308" s="379" t="s">
        <v>336</v>
      </c>
      <c r="E308" s="818" t="s">
        <v>522</v>
      </c>
      <c r="F308" s="820">
        <v>1.2578368799999999</v>
      </c>
      <c r="G308" s="821">
        <v>2.0952998E-2</v>
      </c>
      <c r="H308" s="822">
        <v>2139551551.51987</v>
      </c>
      <c r="I308" s="819">
        <v>0.01</v>
      </c>
      <c r="J308" s="820">
        <v>-1.8222822999999999E-2</v>
      </c>
      <c r="K308" s="819">
        <f t="shared" si="64"/>
        <v>141</v>
      </c>
      <c r="L308" s="819">
        <f t="shared" si="65"/>
        <v>1059</v>
      </c>
      <c r="M308" s="819">
        <f t="shared" si="61"/>
        <v>141</v>
      </c>
      <c r="N308" s="819">
        <f t="shared" si="62"/>
        <v>344</v>
      </c>
      <c r="O308" s="819">
        <f t="shared" si="63"/>
        <v>1687</v>
      </c>
      <c r="P308" s="819">
        <f t="shared" si="66"/>
        <v>1257</v>
      </c>
      <c r="Q308" s="819">
        <f t="shared" si="67"/>
        <v>636</v>
      </c>
      <c r="R308" s="819">
        <f t="shared" si="68"/>
        <v>59</v>
      </c>
      <c r="S308" s="819">
        <f t="shared" si="69"/>
        <v>318</v>
      </c>
      <c r="T308" s="819">
        <f t="shared" si="70"/>
        <v>1665</v>
      </c>
      <c r="U308" s="819">
        <f t="shared" si="71"/>
        <v>3935</v>
      </c>
      <c r="V308" s="819">
        <f t="shared" si="72"/>
        <v>1740</v>
      </c>
      <c r="W308" s="379">
        <f t="shared" si="73"/>
        <v>1740</v>
      </c>
      <c r="X308" s="819" t="str">
        <f t="shared" si="74"/>
        <v/>
      </c>
      <c r="Y308" s="837"/>
      <c r="Z308" s="839"/>
      <c r="AA308" s="838"/>
      <c r="AB308" s="839"/>
    </row>
    <row r="309" spans="2:28" ht="13.15">
      <c r="B309" s="819" t="s">
        <v>1003</v>
      </c>
      <c r="C309" s="819" t="s">
        <v>1004</v>
      </c>
      <c r="D309" s="379" t="s">
        <v>336</v>
      </c>
      <c r="E309" s="818" t="s">
        <v>625</v>
      </c>
      <c r="F309" s="820">
        <v>1.0770884060000001</v>
      </c>
      <c r="G309" s="821">
        <v>4.4934222110000004</v>
      </c>
      <c r="H309" s="822">
        <v>1406702729.2954299</v>
      </c>
      <c r="I309" s="819">
        <v>0.03</v>
      </c>
      <c r="J309" s="820">
        <v>-6.320455E-3</v>
      </c>
      <c r="K309" s="819">
        <f t="shared" si="64"/>
        <v>181</v>
      </c>
      <c r="L309" s="819">
        <f t="shared" si="65"/>
        <v>414</v>
      </c>
      <c r="M309" s="819">
        <f t="shared" si="61"/>
        <v>181</v>
      </c>
      <c r="N309" s="819">
        <f t="shared" si="62"/>
        <v>323</v>
      </c>
      <c r="O309" s="819">
        <f t="shared" si="63"/>
        <v>1621</v>
      </c>
      <c r="P309" s="819">
        <f t="shared" si="66"/>
        <v>1217</v>
      </c>
      <c r="Q309" s="819">
        <f t="shared" si="67"/>
        <v>9</v>
      </c>
      <c r="R309" s="819">
        <f t="shared" si="68"/>
        <v>99</v>
      </c>
      <c r="S309" s="819">
        <f t="shared" si="69"/>
        <v>297</v>
      </c>
      <c r="T309" s="819">
        <f t="shared" si="70"/>
        <v>1599</v>
      </c>
      <c r="U309" s="819">
        <f t="shared" si="71"/>
        <v>3221</v>
      </c>
      <c r="V309" s="819">
        <f t="shared" si="72"/>
        <v>1228</v>
      </c>
      <c r="W309" s="379">
        <f t="shared" si="73"/>
        <v>1228</v>
      </c>
      <c r="X309" s="819" t="str">
        <f t="shared" si="74"/>
        <v/>
      </c>
      <c r="Y309" s="837"/>
      <c r="Z309" s="839"/>
      <c r="AA309" s="838"/>
      <c r="AB309" s="839"/>
    </row>
    <row r="310" spans="2:28" ht="13.15">
      <c r="B310" s="819" t="s">
        <v>1005</v>
      </c>
      <c r="C310" s="819" t="s">
        <v>1006</v>
      </c>
      <c r="D310" s="379" t="s">
        <v>336</v>
      </c>
      <c r="E310" s="818" t="s">
        <v>676</v>
      </c>
      <c r="F310" s="820">
        <v>1.0658594219999999</v>
      </c>
      <c r="G310" s="821">
        <v>7.7271080000000006E-2</v>
      </c>
      <c r="H310" s="822">
        <v>442565109.96470302</v>
      </c>
      <c r="I310" s="819">
        <v>0.33</v>
      </c>
      <c r="J310" s="820">
        <v>-1.5226600999999999E-2</v>
      </c>
      <c r="K310" s="819">
        <f t="shared" si="64"/>
        <v>383</v>
      </c>
      <c r="L310" s="819">
        <f t="shared" si="65"/>
        <v>1026</v>
      </c>
      <c r="M310" s="819">
        <f t="shared" si="61"/>
        <v>383</v>
      </c>
      <c r="N310" s="819">
        <f t="shared" si="62"/>
        <v>182</v>
      </c>
      <c r="O310" s="819">
        <f t="shared" si="63"/>
        <v>1675</v>
      </c>
      <c r="P310" s="819">
        <f t="shared" si="66"/>
        <v>1015</v>
      </c>
      <c r="Q310" s="819">
        <f t="shared" si="67"/>
        <v>603</v>
      </c>
      <c r="R310" s="819">
        <f t="shared" si="68"/>
        <v>301</v>
      </c>
      <c r="S310" s="819">
        <f t="shared" si="69"/>
        <v>156</v>
      </c>
      <c r="T310" s="819">
        <f t="shared" si="70"/>
        <v>1653</v>
      </c>
      <c r="U310" s="819">
        <f t="shared" si="71"/>
        <v>3728</v>
      </c>
      <c r="V310" s="819">
        <f t="shared" si="72"/>
        <v>1691</v>
      </c>
      <c r="W310" s="379">
        <f t="shared" si="73"/>
        <v>1691</v>
      </c>
      <c r="X310" s="819" t="str">
        <f t="shared" si="74"/>
        <v/>
      </c>
      <c r="Y310" s="837"/>
      <c r="Z310" s="839"/>
      <c r="AA310" s="838"/>
      <c r="AB310" s="839"/>
    </row>
    <row r="311" spans="2:28" ht="13.15">
      <c r="B311" s="819" t="s">
        <v>1007</v>
      </c>
      <c r="C311" s="819" t="s">
        <v>1008</v>
      </c>
      <c r="D311" s="379" t="s">
        <v>336</v>
      </c>
      <c r="E311" s="818" t="s">
        <v>425</v>
      </c>
      <c r="F311" s="820">
        <v>4.6900043949999999</v>
      </c>
      <c r="G311" s="821">
        <v>3.558185715</v>
      </c>
      <c r="H311" s="822">
        <v>723537201.58273804</v>
      </c>
      <c r="I311" s="819"/>
      <c r="J311" s="820">
        <v>-3.6407887999999999E-2</v>
      </c>
      <c r="K311" s="819">
        <f t="shared" si="64"/>
        <v>277</v>
      </c>
      <c r="L311" s="819">
        <f t="shared" si="65"/>
        <v>494</v>
      </c>
      <c r="M311" s="819">
        <f t="shared" si="61"/>
        <v>277</v>
      </c>
      <c r="N311" s="819">
        <f t="shared" si="62"/>
        <v>364</v>
      </c>
      <c r="O311" s="819">
        <f t="shared" si="63"/>
        <v>1721</v>
      </c>
      <c r="P311" s="819">
        <f t="shared" si="66"/>
        <v>1121</v>
      </c>
      <c r="Q311" s="819">
        <f t="shared" si="67"/>
        <v>71</v>
      </c>
      <c r="R311" s="819">
        <f t="shared" si="68"/>
        <v>195</v>
      </c>
      <c r="S311" s="819">
        <f t="shared" si="69"/>
        <v>338</v>
      </c>
      <c r="T311" s="819">
        <f t="shared" si="70"/>
        <v>1699</v>
      </c>
      <c r="U311" s="819">
        <f t="shared" si="71"/>
        <v>3424</v>
      </c>
      <c r="V311" s="819">
        <f t="shared" si="72"/>
        <v>1486</v>
      </c>
      <c r="W311" s="379">
        <f t="shared" si="73"/>
        <v>1486</v>
      </c>
      <c r="X311" s="819" t="str">
        <f t="shared" si="74"/>
        <v/>
      </c>
      <c r="Y311" s="837"/>
      <c r="Z311" s="839"/>
      <c r="AA311" s="838"/>
      <c r="AB311" s="839"/>
    </row>
    <row r="312" spans="2:28" ht="13.15">
      <c r="B312" s="819" t="s">
        <v>1009</v>
      </c>
      <c r="C312" s="819" t="s">
        <v>1010</v>
      </c>
      <c r="D312" s="379" t="s">
        <v>336</v>
      </c>
      <c r="E312" s="818" t="s">
        <v>425</v>
      </c>
      <c r="F312" s="820">
        <v>6.2368862119999999</v>
      </c>
      <c r="G312" s="821">
        <v>14.702075170000001</v>
      </c>
      <c r="H312" s="822">
        <v>1576609219.8831501</v>
      </c>
      <c r="I312" s="819"/>
      <c r="J312" s="820">
        <v>-1.1477919999999999E-3</v>
      </c>
      <c r="K312" s="819">
        <f t="shared" si="64"/>
        <v>175</v>
      </c>
      <c r="L312" s="819">
        <f t="shared" si="65"/>
        <v>128</v>
      </c>
      <c r="M312" s="819">
        <f t="shared" si="61"/>
        <v>175</v>
      </c>
      <c r="N312" s="819">
        <f t="shared" si="62"/>
        <v>364</v>
      </c>
      <c r="O312" s="819">
        <f t="shared" si="63"/>
        <v>1423</v>
      </c>
      <c r="P312" s="819">
        <f t="shared" si="66"/>
        <v>1223</v>
      </c>
      <c r="Q312" s="819">
        <f t="shared" si="67"/>
        <v>295</v>
      </c>
      <c r="R312" s="819">
        <f t="shared" si="68"/>
        <v>93</v>
      </c>
      <c r="S312" s="819">
        <f t="shared" si="69"/>
        <v>338</v>
      </c>
      <c r="T312" s="819">
        <f t="shared" si="70"/>
        <v>1401</v>
      </c>
      <c r="U312" s="819">
        <f t="shared" si="71"/>
        <v>3350</v>
      </c>
      <c r="V312" s="819">
        <f t="shared" si="72"/>
        <v>1407</v>
      </c>
      <c r="W312" s="379">
        <f t="shared" si="73"/>
        <v>1407</v>
      </c>
      <c r="X312" s="819" t="str">
        <f t="shared" si="74"/>
        <v/>
      </c>
      <c r="Y312" s="837"/>
      <c r="Z312" s="839"/>
      <c r="AA312" s="838"/>
      <c r="AB312" s="839"/>
    </row>
    <row r="313" spans="2:28" ht="13.15">
      <c r="B313" s="819" t="s">
        <v>1011</v>
      </c>
      <c r="C313" s="819" t="s">
        <v>1012</v>
      </c>
      <c r="D313" s="379" t="s">
        <v>336</v>
      </c>
      <c r="E313" s="818" t="s">
        <v>941</v>
      </c>
      <c r="F313" s="820">
        <v>1.229103689</v>
      </c>
      <c r="G313" s="821">
        <v>2.5576126000000001E-2</v>
      </c>
      <c r="H313" s="822">
        <v>23306977.830620099</v>
      </c>
      <c r="I313" s="819"/>
      <c r="J313" s="820">
        <v>-9.8141000000000005E-4</v>
      </c>
      <c r="K313" s="819">
        <f t="shared" si="64"/>
        <v>1067</v>
      </c>
      <c r="L313" s="819">
        <f t="shared" si="65"/>
        <v>1055</v>
      </c>
      <c r="M313" s="819">
        <f t="shared" si="61"/>
        <v>1067</v>
      </c>
      <c r="N313" s="819">
        <f t="shared" si="62"/>
        <v>364</v>
      </c>
      <c r="O313" s="819">
        <f t="shared" si="63"/>
        <v>1391</v>
      </c>
      <c r="P313" s="819">
        <f t="shared" si="66"/>
        <v>331</v>
      </c>
      <c r="Q313" s="819">
        <f t="shared" si="67"/>
        <v>632</v>
      </c>
      <c r="R313" s="819">
        <f t="shared" si="68"/>
        <v>985</v>
      </c>
      <c r="S313" s="819">
        <f t="shared" si="69"/>
        <v>338</v>
      </c>
      <c r="T313" s="819">
        <f t="shared" si="70"/>
        <v>1369</v>
      </c>
      <c r="U313" s="819">
        <f t="shared" si="71"/>
        <v>3655</v>
      </c>
      <c r="V313" s="819">
        <f t="shared" si="72"/>
        <v>1655</v>
      </c>
      <c r="W313" s="379">
        <f t="shared" si="73"/>
        <v>1655</v>
      </c>
      <c r="X313" s="819" t="str">
        <f t="shared" si="74"/>
        <v/>
      </c>
      <c r="Y313" s="837"/>
      <c r="Z313" s="839"/>
      <c r="AA313" s="838"/>
      <c r="AB313" s="839"/>
    </row>
    <row r="314" spans="2:28" ht="13.15">
      <c r="B314" s="819" t="s">
        <v>1013</v>
      </c>
      <c r="C314" s="819" t="s">
        <v>1014</v>
      </c>
      <c r="D314" s="379" t="s">
        <v>336</v>
      </c>
      <c r="E314" s="818" t="s">
        <v>728</v>
      </c>
      <c r="F314" s="820">
        <v>0.50285910199999995</v>
      </c>
      <c r="G314" s="821">
        <v>4.0752080000000003E-3</v>
      </c>
      <c r="H314" s="822">
        <v>17176244.469997901</v>
      </c>
      <c r="I314" s="819">
        <v>1.45</v>
      </c>
      <c r="J314" s="820">
        <v>-1.1529047000000001E-2</v>
      </c>
      <c r="K314" s="819">
        <f t="shared" si="64"/>
        <v>1134</v>
      </c>
      <c r="L314" s="819">
        <f t="shared" si="65"/>
        <v>1076</v>
      </c>
      <c r="M314" s="819">
        <f t="shared" si="61"/>
        <v>1134</v>
      </c>
      <c r="N314" s="819">
        <f t="shared" si="62"/>
        <v>98</v>
      </c>
      <c r="O314" s="819">
        <f t="shared" si="63"/>
        <v>1655</v>
      </c>
      <c r="P314" s="819">
        <f t="shared" si="66"/>
        <v>264</v>
      </c>
      <c r="Q314" s="819">
        <f t="shared" si="67"/>
        <v>653</v>
      </c>
      <c r="R314" s="819">
        <f t="shared" si="68"/>
        <v>1052</v>
      </c>
      <c r="S314" s="819">
        <f t="shared" si="69"/>
        <v>72</v>
      </c>
      <c r="T314" s="819">
        <f t="shared" si="70"/>
        <v>1633</v>
      </c>
      <c r="U314" s="819">
        <f t="shared" si="71"/>
        <v>3674</v>
      </c>
      <c r="V314" s="819">
        <f t="shared" si="72"/>
        <v>1665</v>
      </c>
      <c r="W314" s="379">
        <f t="shared" si="73"/>
        <v>1665</v>
      </c>
      <c r="X314" s="819" t="str">
        <f t="shared" si="74"/>
        <v/>
      </c>
      <c r="Y314" s="837"/>
      <c r="Z314" s="839"/>
      <c r="AA314" s="838"/>
      <c r="AB314" s="839"/>
    </row>
    <row r="315" spans="2:28" ht="13.15">
      <c r="B315" s="819" t="s">
        <v>1015</v>
      </c>
      <c r="C315" s="819" t="s">
        <v>1016</v>
      </c>
      <c r="D315" s="379" t="s">
        <v>336</v>
      </c>
      <c r="E315" s="818" t="s">
        <v>418</v>
      </c>
      <c r="F315" s="820">
        <v>2.5680252349999999</v>
      </c>
      <c r="G315" s="821">
        <v>9.3506522140000001</v>
      </c>
      <c r="H315" s="822">
        <v>1076843547.6791601</v>
      </c>
      <c r="I315" s="819"/>
      <c r="J315" s="820">
        <v>-8.1628099999999997E-4</v>
      </c>
      <c r="K315" s="819">
        <f t="shared" si="64"/>
        <v>212</v>
      </c>
      <c r="L315" s="819">
        <f t="shared" si="65"/>
        <v>215</v>
      </c>
      <c r="M315" s="819">
        <f t="shared" si="61"/>
        <v>212</v>
      </c>
      <c r="N315" s="819">
        <f t="shared" si="62"/>
        <v>364</v>
      </c>
      <c r="O315" s="819">
        <f t="shared" si="63"/>
        <v>1366</v>
      </c>
      <c r="P315" s="819">
        <f t="shared" si="66"/>
        <v>1186</v>
      </c>
      <c r="Q315" s="819">
        <f t="shared" si="67"/>
        <v>208</v>
      </c>
      <c r="R315" s="819">
        <f t="shared" si="68"/>
        <v>130</v>
      </c>
      <c r="S315" s="819">
        <f t="shared" si="69"/>
        <v>338</v>
      </c>
      <c r="T315" s="819">
        <f t="shared" si="70"/>
        <v>1344</v>
      </c>
      <c r="U315" s="819">
        <f t="shared" si="71"/>
        <v>3206</v>
      </c>
      <c r="V315" s="819">
        <f t="shared" si="72"/>
        <v>1203</v>
      </c>
      <c r="W315" s="379">
        <f t="shared" si="73"/>
        <v>1203</v>
      </c>
      <c r="X315" s="819" t="str">
        <f t="shared" si="74"/>
        <v/>
      </c>
      <c r="Y315" s="837"/>
      <c r="Z315" s="839"/>
      <c r="AA315" s="838"/>
      <c r="AB315" s="839"/>
    </row>
    <row r="316" spans="2:28" ht="13.15">
      <c r="B316" s="819" t="s">
        <v>1017</v>
      </c>
      <c r="C316" s="819" t="s">
        <v>1018</v>
      </c>
      <c r="D316" s="379" t="s">
        <v>336</v>
      </c>
      <c r="E316" s="818" t="s">
        <v>676</v>
      </c>
      <c r="F316" s="820">
        <v>0.29817721400000002</v>
      </c>
      <c r="G316" s="821">
        <v>11.67285349</v>
      </c>
      <c r="H316" s="822">
        <v>13643768.6668477</v>
      </c>
      <c r="I316" s="819"/>
      <c r="J316" s="820">
        <v>-6.7187949999999996E-3</v>
      </c>
      <c r="K316" s="819">
        <f t="shared" si="64"/>
        <v>1186</v>
      </c>
      <c r="L316" s="819">
        <f t="shared" si="65"/>
        <v>165</v>
      </c>
      <c r="M316" s="819">
        <f t="shared" si="61"/>
        <v>1186</v>
      </c>
      <c r="N316" s="819">
        <f t="shared" si="62"/>
        <v>364</v>
      </c>
      <c r="O316" s="819">
        <f t="shared" si="63"/>
        <v>1624</v>
      </c>
      <c r="P316" s="819">
        <f t="shared" si="66"/>
        <v>212</v>
      </c>
      <c r="Q316" s="819">
        <f t="shared" si="67"/>
        <v>258</v>
      </c>
      <c r="R316" s="819">
        <f t="shared" si="68"/>
        <v>1104</v>
      </c>
      <c r="S316" s="819">
        <f t="shared" si="69"/>
        <v>338</v>
      </c>
      <c r="T316" s="819">
        <f t="shared" si="70"/>
        <v>1602</v>
      </c>
      <c r="U316" s="819">
        <f t="shared" si="71"/>
        <v>3514</v>
      </c>
      <c r="V316" s="819">
        <f t="shared" si="72"/>
        <v>1568</v>
      </c>
      <c r="W316" s="379">
        <f t="shared" si="73"/>
        <v>1568</v>
      </c>
      <c r="X316" s="819" t="str">
        <f t="shared" si="74"/>
        <v/>
      </c>
      <c r="Y316" s="837"/>
      <c r="Z316" s="839"/>
      <c r="AA316" s="838"/>
      <c r="AB316" s="839"/>
    </row>
    <row r="317" spans="2:28" ht="13.15">
      <c r="B317" s="819" t="s">
        <v>1019</v>
      </c>
      <c r="C317" s="819" t="s">
        <v>1020</v>
      </c>
      <c r="D317" s="379" t="s">
        <v>336</v>
      </c>
      <c r="E317" s="818" t="s">
        <v>425</v>
      </c>
      <c r="F317" s="820">
        <v>3.8579300760000002</v>
      </c>
      <c r="G317" s="821">
        <v>8.1580574909999992</v>
      </c>
      <c r="H317" s="822">
        <v>3260597086.8404002</v>
      </c>
      <c r="I317" s="819"/>
      <c r="J317" s="820">
        <v>-1.129541E-3</v>
      </c>
      <c r="K317" s="819">
        <f t="shared" si="64"/>
        <v>99</v>
      </c>
      <c r="L317" s="819">
        <f t="shared" si="65"/>
        <v>253</v>
      </c>
      <c r="M317" s="819">
        <f t="shared" si="61"/>
        <v>99</v>
      </c>
      <c r="N317" s="819">
        <f t="shared" si="62"/>
        <v>364</v>
      </c>
      <c r="O317" s="819">
        <f t="shared" si="63"/>
        <v>1415</v>
      </c>
      <c r="P317" s="819">
        <f t="shared" si="66"/>
        <v>1299</v>
      </c>
      <c r="Q317" s="819">
        <f t="shared" si="67"/>
        <v>170</v>
      </c>
      <c r="R317" s="819">
        <f t="shared" si="68"/>
        <v>17</v>
      </c>
      <c r="S317" s="819">
        <f t="shared" si="69"/>
        <v>338</v>
      </c>
      <c r="T317" s="819">
        <f t="shared" si="70"/>
        <v>1393</v>
      </c>
      <c r="U317" s="819">
        <f t="shared" si="71"/>
        <v>3217</v>
      </c>
      <c r="V317" s="819">
        <f t="shared" si="72"/>
        <v>1224</v>
      </c>
      <c r="W317" s="379">
        <f t="shared" si="73"/>
        <v>1224</v>
      </c>
      <c r="X317" s="819" t="str">
        <f t="shared" si="74"/>
        <v/>
      </c>
      <c r="Y317" s="837"/>
      <c r="Z317" s="839"/>
      <c r="AA317" s="838"/>
      <c r="AB317" s="839"/>
    </row>
    <row r="318" spans="2:28" ht="13.15">
      <c r="B318" s="819" t="s">
        <v>1021</v>
      </c>
      <c r="C318" s="819" t="s">
        <v>1022</v>
      </c>
      <c r="D318" s="379" t="s">
        <v>336</v>
      </c>
      <c r="E318" s="818" t="s">
        <v>676</v>
      </c>
      <c r="F318" s="820">
        <v>0.56954707800000004</v>
      </c>
      <c r="G318" s="821">
        <v>5.7676187590000003</v>
      </c>
      <c r="H318" s="822">
        <v>197073743.07629699</v>
      </c>
      <c r="I318" s="819"/>
      <c r="J318" s="820">
        <v>-5.7365699999999999E-4</v>
      </c>
      <c r="K318" s="819">
        <f t="shared" si="64"/>
        <v>573</v>
      </c>
      <c r="L318" s="819">
        <f t="shared" si="65"/>
        <v>332</v>
      </c>
      <c r="M318" s="819">
        <f t="shared" si="61"/>
        <v>573</v>
      </c>
      <c r="N318" s="819">
        <f t="shared" si="62"/>
        <v>364</v>
      </c>
      <c r="O318" s="819">
        <f t="shared" si="63"/>
        <v>1299</v>
      </c>
      <c r="P318" s="819">
        <f t="shared" si="66"/>
        <v>825</v>
      </c>
      <c r="Q318" s="819">
        <f t="shared" si="67"/>
        <v>91</v>
      </c>
      <c r="R318" s="819">
        <f t="shared" si="68"/>
        <v>491</v>
      </c>
      <c r="S318" s="819">
        <f t="shared" si="69"/>
        <v>338</v>
      </c>
      <c r="T318" s="819">
        <f t="shared" si="70"/>
        <v>1277</v>
      </c>
      <c r="U318" s="819">
        <f t="shared" si="71"/>
        <v>3022</v>
      </c>
      <c r="V318" s="819">
        <f t="shared" si="72"/>
        <v>952</v>
      </c>
      <c r="W318" s="379">
        <f t="shared" si="73"/>
        <v>952</v>
      </c>
      <c r="X318" s="819" t="str">
        <f t="shared" si="74"/>
        <v/>
      </c>
      <c r="Y318" s="837"/>
      <c r="Z318" s="839"/>
      <c r="AA318" s="838"/>
      <c r="AB318" s="839"/>
    </row>
    <row r="319" spans="2:28" ht="13.15">
      <c r="B319" s="819" t="s">
        <v>1023</v>
      </c>
      <c r="C319" s="819" t="s">
        <v>1024</v>
      </c>
      <c r="D319" s="379" t="s">
        <v>336</v>
      </c>
      <c r="E319" s="818" t="s">
        <v>418</v>
      </c>
      <c r="F319" s="820">
        <v>1.0923211610000001</v>
      </c>
      <c r="G319" s="821">
        <v>0.18956023899999999</v>
      </c>
      <c r="H319" s="822">
        <v>38038065.643814303</v>
      </c>
      <c r="I319" s="819">
        <v>0.13</v>
      </c>
      <c r="J319" s="820">
        <v>-1.5542626E-2</v>
      </c>
      <c r="K319" s="819">
        <f t="shared" si="64"/>
        <v>940</v>
      </c>
      <c r="L319" s="819">
        <f t="shared" si="65"/>
        <v>987</v>
      </c>
      <c r="M319" s="819">
        <f t="shared" si="61"/>
        <v>940</v>
      </c>
      <c r="N319" s="819">
        <f t="shared" si="62"/>
        <v>247</v>
      </c>
      <c r="O319" s="819">
        <f t="shared" si="63"/>
        <v>1678</v>
      </c>
      <c r="P319" s="819">
        <f t="shared" si="66"/>
        <v>458</v>
      </c>
      <c r="Q319" s="819">
        <f t="shared" si="67"/>
        <v>564</v>
      </c>
      <c r="R319" s="819">
        <f t="shared" si="68"/>
        <v>858</v>
      </c>
      <c r="S319" s="819">
        <f t="shared" si="69"/>
        <v>221</v>
      </c>
      <c r="T319" s="819">
        <f t="shared" si="70"/>
        <v>1656</v>
      </c>
      <c r="U319" s="819">
        <f t="shared" si="71"/>
        <v>3757</v>
      </c>
      <c r="V319" s="819">
        <f t="shared" si="72"/>
        <v>1700</v>
      </c>
      <c r="W319" s="379">
        <f t="shared" si="73"/>
        <v>1700</v>
      </c>
      <c r="X319" s="819" t="str">
        <f t="shared" si="74"/>
        <v/>
      </c>
      <c r="Y319" s="837"/>
      <c r="Z319" s="839"/>
      <c r="AA319" s="838"/>
      <c r="AB319" s="839"/>
    </row>
    <row r="320" spans="2:28" ht="13.15">
      <c r="B320" s="819" t="s">
        <v>1025</v>
      </c>
      <c r="C320" s="819" t="s">
        <v>1026</v>
      </c>
      <c r="D320" s="379" t="s">
        <v>336</v>
      </c>
      <c r="E320" s="818" t="s">
        <v>441</v>
      </c>
      <c r="F320" s="820">
        <v>22.211330589999999</v>
      </c>
      <c r="G320" s="821">
        <v>-4.2333875279999997</v>
      </c>
      <c r="H320" s="822">
        <v>3200037364.8154001</v>
      </c>
      <c r="I320" s="819"/>
      <c r="J320" s="820">
        <v>1.7389599999999999E-4</v>
      </c>
      <c r="K320" s="819">
        <f t="shared" si="64"/>
        <v>101</v>
      </c>
      <c r="L320" s="819">
        <f t="shared" si="65"/>
        <v>1393</v>
      </c>
      <c r="M320" s="819">
        <f t="shared" si="61"/>
        <v>101</v>
      </c>
      <c r="N320" s="819">
        <f t="shared" si="62"/>
        <v>364</v>
      </c>
      <c r="O320" s="819">
        <f t="shared" si="63"/>
        <v>262</v>
      </c>
      <c r="P320" s="819">
        <f t="shared" si="66"/>
        <v>1297</v>
      </c>
      <c r="Q320" s="819">
        <f t="shared" si="67"/>
        <v>970</v>
      </c>
      <c r="R320" s="819">
        <f t="shared" si="68"/>
        <v>19</v>
      </c>
      <c r="S320" s="819">
        <f t="shared" si="69"/>
        <v>338</v>
      </c>
      <c r="T320" s="819">
        <f t="shared" si="70"/>
        <v>240</v>
      </c>
      <c r="U320" s="819">
        <f t="shared" si="71"/>
        <v>2864</v>
      </c>
      <c r="V320" s="819">
        <f t="shared" si="72"/>
        <v>745</v>
      </c>
      <c r="W320" s="379">
        <f t="shared" si="73"/>
        <v>745</v>
      </c>
      <c r="X320" s="819" t="str">
        <f t="shared" si="74"/>
        <v/>
      </c>
      <c r="Y320" s="837"/>
      <c r="Z320" s="839"/>
      <c r="AA320" s="838"/>
      <c r="AB320" s="839"/>
    </row>
    <row r="321" spans="2:28" ht="13.15">
      <c r="B321" s="819" t="s">
        <v>1027</v>
      </c>
      <c r="C321" s="819" t="s">
        <v>1028</v>
      </c>
      <c r="D321" s="379" t="s">
        <v>336</v>
      </c>
      <c r="E321" s="818" t="s">
        <v>418</v>
      </c>
      <c r="F321" s="820">
        <v>10.44735633</v>
      </c>
      <c r="G321" s="821">
        <v>0.98278040799999999</v>
      </c>
      <c r="H321" s="822">
        <v>15744262.963682299</v>
      </c>
      <c r="I321" s="819">
        <v>0.65</v>
      </c>
      <c r="J321" s="820">
        <v>-3.5141613000000002E-2</v>
      </c>
      <c r="K321" s="819">
        <f t="shared" si="64"/>
        <v>1153</v>
      </c>
      <c r="L321" s="819">
        <f t="shared" si="65"/>
        <v>817</v>
      </c>
      <c r="M321" s="819">
        <f t="shared" si="61"/>
        <v>1153</v>
      </c>
      <c r="N321" s="819">
        <f t="shared" si="62"/>
        <v>158</v>
      </c>
      <c r="O321" s="819">
        <f t="shared" si="63"/>
        <v>1720</v>
      </c>
      <c r="P321" s="819">
        <f t="shared" si="66"/>
        <v>245</v>
      </c>
      <c r="Q321" s="819">
        <f t="shared" si="67"/>
        <v>394</v>
      </c>
      <c r="R321" s="819">
        <f t="shared" si="68"/>
        <v>1071</v>
      </c>
      <c r="S321" s="819">
        <f t="shared" si="69"/>
        <v>132</v>
      </c>
      <c r="T321" s="819">
        <f t="shared" si="70"/>
        <v>1698</v>
      </c>
      <c r="U321" s="819">
        <f t="shared" si="71"/>
        <v>3540</v>
      </c>
      <c r="V321" s="819">
        <f t="shared" si="72"/>
        <v>1587</v>
      </c>
      <c r="W321" s="379">
        <f t="shared" si="73"/>
        <v>1587</v>
      </c>
      <c r="X321" s="819" t="str">
        <f t="shared" si="74"/>
        <v/>
      </c>
      <c r="Y321" s="837"/>
      <c r="Z321" s="839"/>
      <c r="AA321" s="838"/>
      <c r="AB321" s="839"/>
    </row>
    <row r="322" spans="2:28" ht="13.15">
      <c r="B322" s="819" t="s">
        <v>1029</v>
      </c>
      <c r="C322" s="819" t="s">
        <v>1030</v>
      </c>
      <c r="D322" s="379" t="s">
        <v>336</v>
      </c>
      <c r="E322" s="818" t="s">
        <v>373</v>
      </c>
      <c r="F322" s="820">
        <v>1.990912035</v>
      </c>
      <c r="G322" s="821">
        <v>6.672213578</v>
      </c>
      <c r="H322" s="822">
        <v>6331302609.4276104</v>
      </c>
      <c r="I322" s="819"/>
      <c r="J322" s="820">
        <v>-1.010483E-3</v>
      </c>
      <c r="K322" s="819">
        <f t="shared" si="64"/>
        <v>64</v>
      </c>
      <c r="L322" s="819">
        <f t="shared" si="65"/>
        <v>297</v>
      </c>
      <c r="M322" s="819">
        <f t="shared" si="61"/>
        <v>64</v>
      </c>
      <c r="N322" s="819">
        <f t="shared" si="62"/>
        <v>364</v>
      </c>
      <c r="O322" s="819">
        <f t="shared" si="63"/>
        <v>1398</v>
      </c>
      <c r="P322" s="819">
        <f t="shared" si="66"/>
        <v>1334</v>
      </c>
      <c r="Q322" s="819">
        <f t="shared" si="67"/>
        <v>126</v>
      </c>
      <c r="R322" s="819">
        <f t="shared" si="68"/>
        <v>18</v>
      </c>
      <c r="S322" s="819">
        <f t="shared" si="69"/>
        <v>338</v>
      </c>
      <c r="T322" s="819">
        <f t="shared" si="70"/>
        <v>1376</v>
      </c>
      <c r="U322" s="819">
        <f t="shared" si="71"/>
        <v>3192</v>
      </c>
      <c r="V322" s="819">
        <f t="shared" si="72"/>
        <v>1184</v>
      </c>
      <c r="W322" s="379">
        <f t="shared" si="73"/>
        <v>1184</v>
      </c>
      <c r="X322" s="819" t="str">
        <f t="shared" si="74"/>
        <v/>
      </c>
      <c r="Y322" s="837"/>
      <c r="Z322" s="839"/>
      <c r="AA322" s="838"/>
      <c r="AB322" s="839"/>
    </row>
    <row r="323" spans="2:28" ht="13.15">
      <c r="B323" s="819" t="s">
        <v>1031</v>
      </c>
      <c r="C323" s="819" t="s">
        <v>1032</v>
      </c>
      <c r="D323" s="379" t="s">
        <v>336</v>
      </c>
      <c r="E323" s="818" t="s">
        <v>676</v>
      </c>
      <c r="F323" s="820">
        <v>-1.136406019</v>
      </c>
      <c r="G323" s="821">
        <v>0.15660401500000001</v>
      </c>
      <c r="H323" s="822">
        <v>43638113.793103397</v>
      </c>
      <c r="I323" s="819"/>
      <c r="J323" s="820">
        <v>-1.3635240000000001E-3</v>
      </c>
      <c r="K323" s="819">
        <f t="shared" si="64"/>
        <v>908</v>
      </c>
      <c r="L323" s="819">
        <f t="shared" si="65"/>
        <v>998</v>
      </c>
      <c r="M323" s="819">
        <f t="shared" si="61"/>
        <v>908</v>
      </c>
      <c r="N323" s="819">
        <f t="shared" si="62"/>
        <v>364</v>
      </c>
      <c r="O323" s="819">
        <f t="shared" si="63"/>
        <v>1443</v>
      </c>
      <c r="P323" s="819">
        <f t="shared" si="66"/>
        <v>490</v>
      </c>
      <c r="Q323" s="819">
        <f t="shared" si="67"/>
        <v>575</v>
      </c>
      <c r="R323" s="819">
        <f t="shared" si="68"/>
        <v>826</v>
      </c>
      <c r="S323" s="819">
        <f t="shared" si="69"/>
        <v>338</v>
      </c>
      <c r="T323" s="819">
        <f t="shared" si="70"/>
        <v>1421</v>
      </c>
      <c r="U323" s="819">
        <f t="shared" si="71"/>
        <v>3650</v>
      </c>
      <c r="V323" s="819">
        <f t="shared" si="72"/>
        <v>1651</v>
      </c>
      <c r="W323" s="379">
        <f t="shared" si="73"/>
        <v>1651</v>
      </c>
      <c r="X323" s="819" t="str">
        <f t="shared" si="74"/>
        <v/>
      </c>
      <c r="Y323" s="837"/>
      <c r="Z323" s="839"/>
      <c r="AA323" s="838"/>
      <c r="AB323" s="839"/>
    </row>
    <row r="324" spans="2:28" ht="13.15">
      <c r="B324" s="819" t="s">
        <v>1033</v>
      </c>
      <c r="C324" s="819" t="s">
        <v>1034</v>
      </c>
      <c r="D324" s="379" t="s">
        <v>336</v>
      </c>
      <c r="E324" s="818" t="s">
        <v>568</v>
      </c>
      <c r="F324" s="820">
        <v>1.531834181</v>
      </c>
      <c r="G324" s="821">
        <v>2.0325052559999999</v>
      </c>
      <c r="H324" s="822">
        <v>24309226.615538102</v>
      </c>
      <c r="I324" s="819"/>
      <c r="J324" s="820">
        <v>-4.3136829999999996E-3</v>
      </c>
      <c r="K324" s="819">
        <f t="shared" si="64"/>
        <v>1052</v>
      </c>
      <c r="L324" s="819">
        <f t="shared" si="65"/>
        <v>668</v>
      </c>
      <c r="M324" s="819">
        <f t="shared" ref="M324:M387" si="75">IFERROR(_xlfn.RANK.EQ(H324,H$3:H$1787),"N/A")</f>
        <v>1052</v>
      </c>
      <c r="N324" s="819">
        <f t="shared" ref="N324:N387" si="76">IFERROR(_xlfn.RANK.EQ(I324,I$3:I$1787),"N/A")</f>
        <v>364</v>
      </c>
      <c r="O324" s="819">
        <f t="shared" ref="O324:O387" si="77">IFERROR(_xlfn.RANK.EQ(J324,J$3:J$1787),"N/A")</f>
        <v>1592</v>
      </c>
      <c r="P324" s="819">
        <f t="shared" si="66"/>
        <v>346</v>
      </c>
      <c r="Q324" s="819">
        <f t="shared" si="67"/>
        <v>245</v>
      </c>
      <c r="R324" s="819">
        <f t="shared" si="68"/>
        <v>970</v>
      </c>
      <c r="S324" s="819">
        <f t="shared" si="69"/>
        <v>338</v>
      </c>
      <c r="T324" s="819">
        <f t="shared" si="70"/>
        <v>1570</v>
      </c>
      <c r="U324" s="819">
        <f t="shared" si="71"/>
        <v>3469</v>
      </c>
      <c r="V324" s="819">
        <f t="shared" si="72"/>
        <v>1527</v>
      </c>
      <c r="W324" s="379">
        <f t="shared" si="73"/>
        <v>1527</v>
      </c>
      <c r="X324" s="819" t="str">
        <f t="shared" si="74"/>
        <v/>
      </c>
      <c r="Y324" s="837"/>
      <c r="Z324" s="839"/>
      <c r="AA324" s="838"/>
      <c r="AB324" s="839"/>
    </row>
    <row r="325" spans="2:28" ht="13.15">
      <c r="B325" s="819" t="s">
        <v>1035</v>
      </c>
      <c r="C325" s="819" t="s">
        <v>1036</v>
      </c>
      <c r="D325" s="379" t="s">
        <v>336</v>
      </c>
      <c r="E325" s="818" t="s">
        <v>568</v>
      </c>
      <c r="F325" s="820">
        <v>1.3907645660000001</v>
      </c>
      <c r="G325" s="821">
        <v>0</v>
      </c>
      <c r="H325" s="822">
        <v>218392969.48491299</v>
      </c>
      <c r="I325" s="819"/>
      <c r="J325" s="820">
        <v>-9.5757600000000002E-4</v>
      </c>
      <c r="K325" s="819">
        <f t="shared" ref="K325:K388" si="78">IFERROR(_xlfn.RANK.EQ(H325,H$3:H$1787),"N/A")</f>
        <v>542</v>
      </c>
      <c r="L325" s="819">
        <f t="shared" ref="L325:L388" si="79">IFERROR(_xlfn.RANK.EQ(G325,G$3:G$1787),"N/A")</f>
        <v>1084</v>
      </c>
      <c r="M325" s="819">
        <f t="shared" si="75"/>
        <v>542</v>
      </c>
      <c r="N325" s="819">
        <f t="shared" si="76"/>
        <v>364</v>
      </c>
      <c r="O325" s="819">
        <f t="shared" si="77"/>
        <v>1387</v>
      </c>
      <c r="P325" s="819">
        <f t="shared" ref="P325:P388" si="80">IFERROR(ABS(K$3-K325),"N/A")</f>
        <v>856</v>
      </c>
      <c r="Q325" s="819">
        <f t="shared" ref="Q325:Q388" si="81">IFERROR(ABS(L$3-L325),"N/A")</f>
        <v>661</v>
      </c>
      <c r="R325" s="819">
        <f t="shared" ref="R325:R388" si="82">IFERROR(ABS(M$3-M325),"N/A")</f>
        <v>460</v>
      </c>
      <c r="S325" s="819">
        <f t="shared" ref="S325:S388" si="83">IFERROR(ABS(N$3-N325),"N/A")</f>
        <v>338</v>
      </c>
      <c r="T325" s="819">
        <f t="shared" ref="T325:T388" si="84">IFERROR(ABS(O$3-O325),"N/A")</f>
        <v>1365</v>
      </c>
      <c r="U325" s="819">
        <f t="shared" ref="U325:U388" si="85">SUM(P325:T325)</f>
        <v>3680</v>
      </c>
      <c r="V325" s="819">
        <f t="shared" ref="V325:V388" si="86">_xlfn.RANK.EQ(U325,$U$4:$U$1787,1)</f>
        <v>1672</v>
      </c>
      <c r="W325" s="379">
        <f t="shared" ref="W325:W388" si="87">IF(Y325="Not suitable","-",V325)</f>
        <v>1672</v>
      </c>
      <c r="X325" s="819" t="str">
        <f t="shared" si="74"/>
        <v/>
      </c>
      <c r="Y325" s="837"/>
      <c r="Z325" s="839"/>
      <c r="AA325" s="838"/>
      <c r="AB325" s="839"/>
    </row>
    <row r="326" spans="2:28" ht="13.15">
      <c r="B326" s="819" t="s">
        <v>1037</v>
      </c>
      <c r="C326" s="819" t="s">
        <v>1038</v>
      </c>
      <c r="D326" s="379" t="s">
        <v>336</v>
      </c>
      <c r="E326" s="818" t="s">
        <v>728</v>
      </c>
      <c r="F326" s="820">
        <v>0.69528195000000004</v>
      </c>
      <c r="G326" s="821">
        <v>0.81631902000000001</v>
      </c>
      <c r="H326" s="822">
        <v>21950240.434873499</v>
      </c>
      <c r="I326" s="819"/>
      <c r="J326" s="820">
        <v>-3.3343100000000003E-4</v>
      </c>
      <c r="K326" s="819">
        <f t="shared" si="78"/>
        <v>1083</v>
      </c>
      <c r="L326" s="819">
        <f t="shared" si="79"/>
        <v>846</v>
      </c>
      <c r="M326" s="819">
        <f t="shared" si="75"/>
        <v>1083</v>
      </c>
      <c r="N326" s="819">
        <f t="shared" si="76"/>
        <v>364</v>
      </c>
      <c r="O326" s="819">
        <f t="shared" si="77"/>
        <v>1194</v>
      </c>
      <c r="P326" s="819">
        <f t="shared" si="80"/>
        <v>315</v>
      </c>
      <c r="Q326" s="819">
        <f t="shared" si="81"/>
        <v>423</v>
      </c>
      <c r="R326" s="819">
        <f t="shared" si="82"/>
        <v>1001</v>
      </c>
      <c r="S326" s="819">
        <f t="shared" si="83"/>
        <v>338</v>
      </c>
      <c r="T326" s="819">
        <f t="shared" si="84"/>
        <v>1172</v>
      </c>
      <c r="U326" s="819">
        <f t="shared" si="85"/>
        <v>3249</v>
      </c>
      <c r="V326" s="819">
        <f t="shared" si="86"/>
        <v>1268</v>
      </c>
      <c r="W326" s="379">
        <f t="shared" si="87"/>
        <v>1268</v>
      </c>
      <c r="X326" s="819" t="str">
        <f t="shared" ref="X326:X389" si="88">IF(L326="N/A","Y","")</f>
        <v/>
      </c>
      <c r="Y326" s="837"/>
      <c r="Z326" s="839"/>
      <c r="AA326" s="838"/>
      <c r="AB326" s="839"/>
    </row>
    <row r="327" spans="2:28" ht="13.15">
      <c r="B327" s="819" t="s">
        <v>1039</v>
      </c>
      <c r="C327" s="819" t="s">
        <v>1040</v>
      </c>
      <c r="D327" s="379" t="s">
        <v>336</v>
      </c>
      <c r="E327" s="818" t="s">
        <v>887</v>
      </c>
      <c r="F327" s="820">
        <v>4.505225737</v>
      </c>
      <c r="G327" s="821">
        <v>770.43360429999996</v>
      </c>
      <c r="H327" s="822">
        <v>297845780.78338301</v>
      </c>
      <c r="I327" s="819">
        <v>0.97</v>
      </c>
      <c r="J327" s="820">
        <v>-6.6922300000000001E-5</v>
      </c>
      <c r="K327" s="819">
        <f t="shared" si="78"/>
        <v>473</v>
      </c>
      <c r="L327" s="819">
        <f t="shared" si="79"/>
        <v>1</v>
      </c>
      <c r="M327" s="819">
        <f t="shared" si="75"/>
        <v>473</v>
      </c>
      <c r="N327" s="819">
        <f t="shared" si="76"/>
        <v>133</v>
      </c>
      <c r="O327" s="819">
        <f t="shared" si="77"/>
        <v>951</v>
      </c>
      <c r="P327" s="819">
        <f t="shared" si="80"/>
        <v>925</v>
      </c>
      <c r="Q327" s="819">
        <f t="shared" si="81"/>
        <v>422</v>
      </c>
      <c r="R327" s="819">
        <f t="shared" si="82"/>
        <v>391</v>
      </c>
      <c r="S327" s="819">
        <f t="shared" si="83"/>
        <v>107</v>
      </c>
      <c r="T327" s="819">
        <f t="shared" si="84"/>
        <v>929</v>
      </c>
      <c r="U327" s="819">
        <f t="shared" si="85"/>
        <v>2774</v>
      </c>
      <c r="V327" s="819">
        <f t="shared" si="86"/>
        <v>450</v>
      </c>
      <c r="W327" s="379">
        <f t="shared" si="87"/>
        <v>450</v>
      </c>
      <c r="X327" s="819" t="str">
        <f t="shared" si="88"/>
        <v/>
      </c>
      <c r="Y327" s="837"/>
      <c r="Z327" s="839"/>
      <c r="AA327" s="838"/>
      <c r="AB327" s="839"/>
    </row>
    <row r="328" spans="2:28" ht="13.15">
      <c r="B328" s="819" t="s">
        <v>1041</v>
      </c>
      <c r="C328" s="819" t="s">
        <v>1042</v>
      </c>
      <c r="D328" s="379" t="s">
        <v>336</v>
      </c>
      <c r="E328" s="818" t="s">
        <v>642</v>
      </c>
      <c r="F328" s="820">
        <v>8.7958118000000002E-2</v>
      </c>
      <c r="G328" s="821">
        <v>-0.33335009399999999</v>
      </c>
      <c r="H328" s="822">
        <v>190555686.44358599</v>
      </c>
      <c r="I328" s="819"/>
      <c r="J328" s="820">
        <v>1.8728519999999999E-3</v>
      </c>
      <c r="K328" s="819">
        <f t="shared" si="78"/>
        <v>582</v>
      </c>
      <c r="L328" s="819">
        <f t="shared" si="79"/>
        <v>1257</v>
      </c>
      <c r="M328" s="819">
        <f t="shared" si="75"/>
        <v>582</v>
      </c>
      <c r="N328" s="819">
        <f t="shared" si="76"/>
        <v>364</v>
      </c>
      <c r="O328" s="819">
        <f t="shared" si="77"/>
        <v>167</v>
      </c>
      <c r="P328" s="819">
        <f t="shared" si="80"/>
        <v>816</v>
      </c>
      <c r="Q328" s="819">
        <f t="shared" si="81"/>
        <v>834</v>
      </c>
      <c r="R328" s="819">
        <f t="shared" si="82"/>
        <v>500</v>
      </c>
      <c r="S328" s="819">
        <f t="shared" si="83"/>
        <v>338</v>
      </c>
      <c r="T328" s="819">
        <f t="shared" si="84"/>
        <v>145</v>
      </c>
      <c r="U328" s="819">
        <f t="shared" si="85"/>
        <v>2633</v>
      </c>
      <c r="V328" s="819">
        <f t="shared" si="86"/>
        <v>308</v>
      </c>
      <c r="W328" s="379">
        <f t="shared" si="87"/>
        <v>308</v>
      </c>
      <c r="X328" s="819" t="str">
        <f t="shared" si="88"/>
        <v/>
      </c>
      <c r="Y328" s="837"/>
      <c r="Z328" s="839"/>
      <c r="AA328" s="838"/>
      <c r="AB328" s="839"/>
    </row>
    <row r="329" spans="2:28" ht="13.15">
      <c r="B329" s="819" t="s">
        <v>1043</v>
      </c>
      <c r="C329" s="819" t="s">
        <v>1044</v>
      </c>
      <c r="D329" s="379" t="s">
        <v>336</v>
      </c>
      <c r="E329" s="818" t="s">
        <v>191</v>
      </c>
      <c r="F329" s="820"/>
      <c r="G329" s="821"/>
      <c r="H329" s="822">
        <v>34131131.088950403</v>
      </c>
      <c r="I329" s="819"/>
      <c r="J329" s="820">
        <v>0</v>
      </c>
      <c r="K329" s="819">
        <f t="shared" si="78"/>
        <v>965</v>
      </c>
      <c r="L329" s="819">
        <f t="shared" si="79"/>
        <v>1084</v>
      </c>
      <c r="M329" s="819">
        <f t="shared" si="75"/>
        <v>965</v>
      </c>
      <c r="N329" s="819">
        <f t="shared" si="76"/>
        <v>364</v>
      </c>
      <c r="O329" s="819">
        <f t="shared" si="77"/>
        <v>492</v>
      </c>
      <c r="P329" s="819">
        <f t="shared" si="80"/>
        <v>433</v>
      </c>
      <c r="Q329" s="819">
        <f t="shared" si="81"/>
        <v>661</v>
      </c>
      <c r="R329" s="819">
        <f t="shared" si="82"/>
        <v>883</v>
      </c>
      <c r="S329" s="819">
        <f t="shared" si="83"/>
        <v>338</v>
      </c>
      <c r="T329" s="819">
        <f t="shared" si="84"/>
        <v>470</v>
      </c>
      <c r="U329" s="819">
        <f t="shared" si="85"/>
        <v>2785</v>
      </c>
      <c r="V329" s="819">
        <f t="shared" si="86"/>
        <v>463</v>
      </c>
      <c r="W329" s="379">
        <f t="shared" si="87"/>
        <v>463</v>
      </c>
      <c r="X329" s="819" t="str">
        <f t="shared" si="88"/>
        <v/>
      </c>
      <c r="Y329" s="837"/>
      <c r="Z329" s="839"/>
      <c r="AA329" s="838"/>
      <c r="AB329" s="839"/>
    </row>
    <row r="330" spans="2:28" ht="13.15">
      <c r="B330" s="819" t="s">
        <v>1045</v>
      </c>
      <c r="C330" s="819" t="s">
        <v>1046</v>
      </c>
      <c r="D330" s="379" t="s">
        <v>336</v>
      </c>
      <c r="E330" s="818" t="s">
        <v>337</v>
      </c>
      <c r="F330" s="820">
        <v>1.6981484280000001</v>
      </c>
      <c r="G330" s="821">
        <v>2.084758909</v>
      </c>
      <c r="H330" s="822">
        <v>2974895.7828000002</v>
      </c>
      <c r="I330" s="819"/>
      <c r="J330" s="820">
        <v>-8.86202E-4</v>
      </c>
      <c r="K330" s="819">
        <f t="shared" si="78"/>
        <v>1449</v>
      </c>
      <c r="L330" s="819">
        <f t="shared" si="79"/>
        <v>660</v>
      </c>
      <c r="M330" s="819">
        <f t="shared" si="75"/>
        <v>1449</v>
      </c>
      <c r="N330" s="819">
        <f t="shared" si="76"/>
        <v>364</v>
      </c>
      <c r="O330" s="819">
        <f t="shared" si="77"/>
        <v>1377</v>
      </c>
      <c r="P330" s="819">
        <f t="shared" si="80"/>
        <v>51</v>
      </c>
      <c r="Q330" s="819">
        <f t="shared" si="81"/>
        <v>237</v>
      </c>
      <c r="R330" s="819">
        <f t="shared" si="82"/>
        <v>1367</v>
      </c>
      <c r="S330" s="819">
        <f t="shared" si="83"/>
        <v>338</v>
      </c>
      <c r="T330" s="819">
        <f t="shared" si="84"/>
        <v>1355</v>
      </c>
      <c r="U330" s="819">
        <f t="shared" si="85"/>
        <v>3348</v>
      </c>
      <c r="V330" s="819">
        <f t="shared" si="86"/>
        <v>1403</v>
      </c>
      <c r="W330" s="379">
        <f t="shared" si="87"/>
        <v>1403</v>
      </c>
      <c r="X330" s="819" t="str">
        <f t="shared" si="88"/>
        <v/>
      </c>
      <c r="Y330" s="837"/>
      <c r="Z330" s="839"/>
      <c r="AA330" s="838"/>
      <c r="AB330" s="839"/>
    </row>
    <row r="331" spans="2:28" ht="13.15">
      <c r="B331" s="819" t="s">
        <v>1047</v>
      </c>
      <c r="C331" s="819" t="s">
        <v>1048</v>
      </c>
      <c r="D331" s="379" t="s">
        <v>336</v>
      </c>
      <c r="E331" s="818" t="s">
        <v>915</v>
      </c>
      <c r="F331" s="820">
        <v>1.2996033250000001</v>
      </c>
      <c r="G331" s="821">
        <v>1.674692423</v>
      </c>
      <c r="H331" s="822">
        <v>45927314.619379103</v>
      </c>
      <c r="I331" s="819">
        <v>0.11</v>
      </c>
      <c r="J331" s="820">
        <v>-4.3688108000000003E-2</v>
      </c>
      <c r="K331" s="819">
        <f t="shared" si="78"/>
        <v>892</v>
      </c>
      <c r="L331" s="819">
        <f t="shared" si="79"/>
        <v>722</v>
      </c>
      <c r="M331" s="819">
        <f t="shared" si="75"/>
        <v>892</v>
      </c>
      <c r="N331" s="819">
        <f t="shared" si="76"/>
        <v>258</v>
      </c>
      <c r="O331" s="819">
        <f t="shared" si="77"/>
        <v>1730</v>
      </c>
      <c r="P331" s="819">
        <f t="shared" si="80"/>
        <v>506</v>
      </c>
      <c r="Q331" s="819">
        <f t="shared" si="81"/>
        <v>299</v>
      </c>
      <c r="R331" s="819">
        <f t="shared" si="82"/>
        <v>810</v>
      </c>
      <c r="S331" s="819">
        <f t="shared" si="83"/>
        <v>232</v>
      </c>
      <c r="T331" s="819">
        <f t="shared" si="84"/>
        <v>1708</v>
      </c>
      <c r="U331" s="819">
        <f t="shared" si="85"/>
        <v>3555</v>
      </c>
      <c r="V331" s="819">
        <f t="shared" si="86"/>
        <v>1598</v>
      </c>
      <c r="W331" s="379">
        <f t="shared" si="87"/>
        <v>1598</v>
      </c>
      <c r="X331" s="819" t="str">
        <f t="shared" si="88"/>
        <v/>
      </c>
      <c r="Y331" s="837"/>
      <c r="Z331" s="839"/>
      <c r="AA331" s="838"/>
      <c r="AB331" s="839"/>
    </row>
    <row r="332" spans="2:28" ht="13.15">
      <c r="B332" s="819" t="s">
        <v>1049</v>
      </c>
      <c r="C332" s="819" t="s">
        <v>1050</v>
      </c>
      <c r="D332" s="379" t="s">
        <v>336</v>
      </c>
      <c r="E332" s="818" t="s">
        <v>645</v>
      </c>
      <c r="F332" s="820">
        <v>0.97216981199999997</v>
      </c>
      <c r="G332" s="821">
        <v>0</v>
      </c>
      <c r="H332" s="822">
        <v>3814784579.1671</v>
      </c>
      <c r="I332" s="819"/>
      <c r="J332" s="820">
        <v>-8.2539400000000005E-5</v>
      </c>
      <c r="K332" s="819">
        <f t="shared" si="78"/>
        <v>88</v>
      </c>
      <c r="L332" s="819">
        <f t="shared" si="79"/>
        <v>1084</v>
      </c>
      <c r="M332" s="819">
        <f t="shared" si="75"/>
        <v>88</v>
      </c>
      <c r="N332" s="819">
        <f t="shared" si="76"/>
        <v>364</v>
      </c>
      <c r="O332" s="819">
        <f t="shared" si="77"/>
        <v>980</v>
      </c>
      <c r="P332" s="819">
        <f t="shared" si="80"/>
        <v>1310</v>
      </c>
      <c r="Q332" s="819">
        <f t="shared" si="81"/>
        <v>661</v>
      </c>
      <c r="R332" s="819">
        <f t="shared" si="82"/>
        <v>6</v>
      </c>
      <c r="S332" s="819">
        <f t="shared" si="83"/>
        <v>338</v>
      </c>
      <c r="T332" s="819">
        <f t="shared" si="84"/>
        <v>958</v>
      </c>
      <c r="U332" s="819">
        <f t="shared" si="85"/>
        <v>3273</v>
      </c>
      <c r="V332" s="819">
        <f t="shared" si="86"/>
        <v>1303</v>
      </c>
      <c r="W332" s="379">
        <f t="shared" si="87"/>
        <v>1303</v>
      </c>
      <c r="X332" s="819" t="str">
        <f t="shared" si="88"/>
        <v/>
      </c>
      <c r="Y332" s="837"/>
      <c r="Z332" s="839"/>
      <c r="AA332" s="838"/>
      <c r="AB332" s="839"/>
    </row>
    <row r="333" spans="2:28" ht="13.15">
      <c r="B333" s="819" t="s">
        <v>1051</v>
      </c>
      <c r="C333" s="819" t="s">
        <v>1052</v>
      </c>
      <c r="D333" s="379" t="s">
        <v>336</v>
      </c>
      <c r="E333" s="818" t="s">
        <v>728</v>
      </c>
      <c r="F333" s="820">
        <v>3.0296765959999998</v>
      </c>
      <c r="G333" s="821">
        <v>-5.6774740809999997</v>
      </c>
      <c r="H333" s="822">
        <v>15094596.0087811</v>
      </c>
      <c r="I333" s="819"/>
      <c r="J333" s="820">
        <v>1.8211E-4</v>
      </c>
      <c r="K333" s="819">
        <f t="shared" si="78"/>
        <v>1162</v>
      </c>
      <c r="L333" s="819">
        <f t="shared" si="79"/>
        <v>1416</v>
      </c>
      <c r="M333" s="819">
        <f t="shared" si="75"/>
        <v>1162</v>
      </c>
      <c r="N333" s="819">
        <f t="shared" si="76"/>
        <v>364</v>
      </c>
      <c r="O333" s="819">
        <f t="shared" si="77"/>
        <v>261</v>
      </c>
      <c r="P333" s="819">
        <f t="shared" si="80"/>
        <v>236</v>
      </c>
      <c r="Q333" s="819">
        <f t="shared" si="81"/>
        <v>993</v>
      </c>
      <c r="R333" s="819">
        <f t="shared" si="82"/>
        <v>1080</v>
      </c>
      <c r="S333" s="819">
        <f t="shared" si="83"/>
        <v>338</v>
      </c>
      <c r="T333" s="819">
        <f t="shared" si="84"/>
        <v>239</v>
      </c>
      <c r="U333" s="819">
        <f t="shared" si="85"/>
        <v>2886</v>
      </c>
      <c r="V333" s="819">
        <f t="shared" si="86"/>
        <v>788</v>
      </c>
      <c r="W333" s="379">
        <f t="shared" si="87"/>
        <v>788</v>
      </c>
      <c r="X333" s="819" t="str">
        <f t="shared" si="88"/>
        <v/>
      </c>
      <c r="Y333" s="837"/>
      <c r="Z333" s="839"/>
      <c r="AA333" s="838"/>
      <c r="AB333" s="839"/>
    </row>
    <row r="334" spans="2:28" ht="13.15">
      <c r="B334" s="819" t="s">
        <v>1053</v>
      </c>
      <c r="C334" s="819" t="s">
        <v>1054</v>
      </c>
      <c r="D334" s="379" t="s">
        <v>336</v>
      </c>
      <c r="E334" s="818" t="s">
        <v>373</v>
      </c>
      <c r="F334" s="820">
        <v>1.98039035</v>
      </c>
      <c r="G334" s="821">
        <v>6.9846220629999998</v>
      </c>
      <c r="H334" s="822">
        <v>9291167.7819865309</v>
      </c>
      <c r="I334" s="819">
        <v>0.04</v>
      </c>
      <c r="J334" s="820">
        <v>-7.2465430999999997E-2</v>
      </c>
      <c r="K334" s="819">
        <f t="shared" si="78"/>
        <v>1264</v>
      </c>
      <c r="L334" s="819">
        <f t="shared" si="79"/>
        <v>286</v>
      </c>
      <c r="M334" s="819">
        <f t="shared" si="75"/>
        <v>1264</v>
      </c>
      <c r="N334" s="819">
        <f t="shared" si="76"/>
        <v>309</v>
      </c>
      <c r="O334" s="819">
        <f t="shared" si="77"/>
        <v>1742</v>
      </c>
      <c r="P334" s="819">
        <f t="shared" si="80"/>
        <v>134</v>
      </c>
      <c r="Q334" s="819">
        <f t="shared" si="81"/>
        <v>137</v>
      </c>
      <c r="R334" s="819">
        <f t="shared" si="82"/>
        <v>1182</v>
      </c>
      <c r="S334" s="819">
        <f t="shared" si="83"/>
        <v>283</v>
      </c>
      <c r="T334" s="819">
        <f t="shared" si="84"/>
        <v>1720</v>
      </c>
      <c r="U334" s="819">
        <f t="shared" si="85"/>
        <v>3456</v>
      </c>
      <c r="V334" s="819">
        <f t="shared" si="86"/>
        <v>1515</v>
      </c>
      <c r="W334" s="379">
        <f t="shared" si="87"/>
        <v>1515</v>
      </c>
      <c r="X334" s="819" t="str">
        <f t="shared" si="88"/>
        <v/>
      </c>
      <c r="Y334" s="837"/>
      <c r="Z334" s="839"/>
      <c r="AA334" s="838"/>
      <c r="AB334" s="839"/>
    </row>
    <row r="335" spans="2:28" ht="13.15">
      <c r="B335" s="819" t="s">
        <v>1055</v>
      </c>
      <c r="C335" s="819" t="s">
        <v>1056</v>
      </c>
      <c r="D335" s="379" t="s">
        <v>336</v>
      </c>
      <c r="E335" s="818" t="s">
        <v>444</v>
      </c>
      <c r="F335" s="820">
        <v>2.5713971400000002</v>
      </c>
      <c r="G335" s="821">
        <v>1.9669421490000001</v>
      </c>
      <c r="H335" s="822">
        <v>2606753195.6730399</v>
      </c>
      <c r="I335" s="819"/>
      <c r="J335" s="820">
        <v>-5.6652099999999995E-4</v>
      </c>
      <c r="K335" s="819">
        <f t="shared" si="78"/>
        <v>125</v>
      </c>
      <c r="L335" s="819">
        <f t="shared" si="79"/>
        <v>679</v>
      </c>
      <c r="M335" s="819">
        <f t="shared" si="75"/>
        <v>125</v>
      </c>
      <c r="N335" s="819">
        <f t="shared" si="76"/>
        <v>364</v>
      </c>
      <c r="O335" s="819">
        <f t="shared" si="77"/>
        <v>1295</v>
      </c>
      <c r="P335" s="819">
        <f t="shared" si="80"/>
        <v>1273</v>
      </c>
      <c r="Q335" s="819">
        <f t="shared" si="81"/>
        <v>256</v>
      </c>
      <c r="R335" s="819">
        <f t="shared" si="82"/>
        <v>43</v>
      </c>
      <c r="S335" s="819">
        <f t="shared" si="83"/>
        <v>338</v>
      </c>
      <c r="T335" s="819">
        <f t="shared" si="84"/>
        <v>1273</v>
      </c>
      <c r="U335" s="819">
        <f t="shared" si="85"/>
        <v>3183</v>
      </c>
      <c r="V335" s="819">
        <f t="shared" si="86"/>
        <v>1175</v>
      </c>
      <c r="W335" s="379">
        <f t="shared" si="87"/>
        <v>1175</v>
      </c>
      <c r="X335" s="819" t="str">
        <f t="shared" si="88"/>
        <v/>
      </c>
      <c r="Y335" s="837"/>
      <c r="Z335" s="839"/>
      <c r="AA335" s="838"/>
      <c r="AB335" s="839"/>
    </row>
    <row r="336" spans="2:28" ht="13.15">
      <c r="B336" s="819" t="s">
        <v>1057</v>
      </c>
      <c r="C336" s="819" t="s">
        <v>1058</v>
      </c>
      <c r="D336" s="379" t="s">
        <v>336</v>
      </c>
      <c r="E336" s="818" t="s">
        <v>418</v>
      </c>
      <c r="F336" s="820">
        <v>1.19962703</v>
      </c>
      <c r="G336" s="821">
        <v>0.54884366399999995</v>
      </c>
      <c r="H336" s="822">
        <v>90529485.336958602</v>
      </c>
      <c r="I336" s="819"/>
      <c r="J336" s="820">
        <v>-2.22055E-3</v>
      </c>
      <c r="K336" s="819">
        <f t="shared" si="78"/>
        <v>743</v>
      </c>
      <c r="L336" s="819">
        <f t="shared" si="79"/>
        <v>913</v>
      </c>
      <c r="M336" s="819">
        <f t="shared" si="75"/>
        <v>743</v>
      </c>
      <c r="N336" s="819">
        <f t="shared" si="76"/>
        <v>364</v>
      </c>
      <c r="O336" s="819">
        <f t="shared" si="77"/>
        <v>1509</v>
      </c>
      <c r="P336" s="819">
        <f t="shared" si="80"/>
        <v>655</v>
      </c>
      <c r="Q336" s="819">
        <f t="shared" si="81"/>
        <v>490</v>
      </c>
      <c r="R336" s="819">
        <f t="shared" si="82"/>
        <v>661</v>
      </c>
      <c r="S336" s="819">
        <f t="shared" si="83"/>
        <v>338</v>
      </c>
      <c r="T336" s="819">
        <f t="shared" si="84"/>
        <v>1487</v>
      </c>
      <c r="U336" s="819">
        <f t="shared" si="85"/>
        <v>3631</v>
      </c>
      <c r="V336" s="819">
        <f t="shared" si="86"/>
        <v>1639</v>
      </c>
      <c r="W336" s="379">
        <f t="shared" si="87"/>
        <v>1639</v>
      </c>
      <c r="X336" s="819" t="str">
        <f t="shared" si="88"/>
        <v/>
      </c>
      <c r="Y336" s="837"/>
      <c r="Z336" s="839"/>
      <c r="AA336" s="838"/>
      <c r="AB336" s="839"/>
    </row>
    <row r="337" spans="1:28" ht="13.15">
      <c r="B337" s="819" t="s">
        <v>1059</v>
      </c>
      <c r="C337" s="819" t="s">
        <v>1060</v>
      </c>
      <c r="D337" s="379" t="s">
        <v>336</v>
      </c>
      <c r="E337" s="818" t="s">
        <v>676</v>
      </c>
      <c r="F337" s="820">
        <v>3.3116023079999999</v>
      </c>
      <c r="G337" s="821">
        <v>174.41206980000001</v>
      </c>
      <c r="H337" s="822">
        <v>114483314.830301</v>
      </c>
      <c r="I337" s="819"/>
      <c r="J337" s="820">
        <v>-1.64762E-5</v>
      </c>
      <c r="K337" s="819">
        <f t="shared" si="78"/>
        <v>684</v>
      </c>
      <c r="L337" s="819">
        <f t="shared" si="79"/>
        <v>9</v>
      </c>
      <c r="M337" s="819">
        <f t="shared" si="75"/>
        <v>684</v>
      </c>
      <c r="N337" s="819">
        <f t="shared" si="76"/>
        <v>364</v>
      </c>
      <c r="O337" s="819">
        <f t="shared" si="77"/>
        <v>838</v>
      </c>
      <c r="P337" s="819">
        <f t="shared" si="80"/>
        <v>714</v>
      </c>
      <c r="Q337" s="819">
        <f t="shared" si="81"/>
        <v>414</v>
      </c>
      <c r="R337" s="819">
        <f t="shared" si="82"/>
        <v>602</v>
      </c>
      <c r="S337" s="819">
        <f t="shared" si="83"/>
        <v>338</v>
      </c>
      <c r="T337" s="819">
        <f t="shared" si="84"/>
        <v>816</v>
      </c>
      <c r="U337" s="819">
        <f t="shared" si="85"/>
        <v>2884</v>
      </c>
      <c r="V337" s="819">
        <f t="shared" si="86"/>
        <v>782</v>
      </c>
      <c r="W337" s="379">
        <f t="shared" si="87"/>
        <v>782</v>
      </c>
      <c r="X337" s="819" t="str">
        <f t="shared" si="88"/>
        <v/>
      </c>
      <c r="Y337" s="837"/>
      <c r="Z337" s="839"/>
      <c r="AA337" s="838"/>
      <c r="AB337" s="839"/>
    </row>
    <row r="338" spans="1:28" ht="13.15">
      <c r="B338" s="819" t="s">
        <v>1061</v>
      </c>
      <c r="C338" s="819" t="s">
        <v>1062</v>
      </c>
      <c r="D338" s="379" t="s">
        <v>336</v>
      </c>
      <c r="E338" s="818" t="s">
        <v>418</v>
      </c>
      <c r="F338" s="820">
        <v>0.70664458799999996</v>
      </c>
      <c r="G338" s="821">
        <v>1.4164034000000001E-2</v>
      </c>
      <c r="H338" s="822">
        <v>27865410.7593708</v>
      </c>
      <c r="I338" s="819"/>
      <c r="J338" s="820">
        <v>-2.9776608E-2</v>
      </c>
      <c r="K338" s="819">
        <f t="shared" si="78"/>
        <v>1024</v>
      </c>
      <c r="L338" s="819">
        <f t="shared" si="79"/>
        <v>1066</v>
      </c>
      <c r="M338" s="819">
        <f t="shared" si="75"/>
        <v>1024</v>
      </c>
      <c r="N338" s="819">
        <f t="shared" si="76"/>
        <v>364</v>
      </c>
      <c r="O338" s="819">
        <f t="shared" si="77"/>
        <v>1711</v>
      </c>
      <c r="P338" s="819">
        <f t="shared" si="80"/>
        <v>374</v>
      </c>
      <c r="Q338" s="819">
        <f t="shared" si="81"/>
        <v>643</v>
      </c>
      <c r="R338" s="819">
        <f t="shared" si="82"/>
        <v>942</v>
      </c>
      <c r="S338" s="819">
        <f t="shared" si="83"/>
        <v>338</v>
      </c>
      <c r="T338" s="819">
        <f t="shared" si="84"/>
        <v>1689</v>
      </c>
      <c r="U338" s="819">
        <f t="shared" si="85"/>
        <v>3986</v>
      </c>
      <c r="V338" s="819">
        <f t="shared" si="86"/>
        <v>1746</v>
      </c>
      <c r="W338" s="379">
        <f t="shared" si="87"/>
        <v>1746</v>
      </c>
      <c r="X338" s="819" t="str">
        <f t="shared" si="88"/>
        <v/>
      </c>
      <c r="Y338" s="837"/>
      <c r="Z338" s="839"/>
      <c r="AA338" s="838"/>
      <c r="AB338" s="839"/>
    </row>
    <row r="339" spans="1:28" ht="13.15">
      <c r="B339" s="819" t="s">
        <v>1063</v>
      </c>
      <c r="C339" s="819" t="s">
        <v>1064</v>
      </c>
      <c r="D339" s="379" t="s">
        <v>336</v>
      </c>
      <c r="E339" s="818" t="s">
        <v>373</v>
      </c>
      <c r="F339" s="820">
        <v>3.4098844599999998</v>
      </c>
      <c r="G339" s="821">
        <v>5.6598399999999995E-4</v>
      </c>
      <c r="H339" s="822">
        <v>2216244605.5555601</v>
      </c>
      <c r="I339" s="819"/>
      <c r="J339" s="820">
        <v>-1.4364299999999999E-4</v>
      </c>
      <c r="K339" s="819">
        <f t="shared" si="78"/>
        <v>137</v>
      </c>
      <c r="L339" s="819">
        <f t="shared" si="79"/>
        <v>1082</v>
      </c>
      <c r="M339" s="819">
        <f t="shared" si="75"/>
        <v>137</v>
      </c>
      <c r="N339" s="819">
        <f t="shared" si="76"/>
        <v>364</v>
      </c>
      <c r="O339" s="819">
        <f t="shared" si="77"/>
        <v>1056</v>
      </c>
      <c r="P339" s="819">
        <f t="shared" si="80"/>
        <v>1261</v>
      </c>
      <c r="Q339" s="819">
        <f t="shared" si="81"/>
        <v>659</v>
      </c>
      <c r="R339" s="819">
        <f t="shared" si="82"/>
        <v>55</v>
      </c>
      <c r="S339" s="819">
        <f t="shared" si="83"/>
        <v>338</v>
      </c>
      <c r="T339" s="819">
        <f t="shared" si="84"/>
        <v>1034</v>
      </c>
      <c r="U339" s="819">
        <f t="shared" si="85"/>
        <v>3347</v>
      </c>
      <c r="V339" s="819">
        <f t="shared" si="86"/>
        <v>1402</v>
      </c>
      <c r="W339" s="379">
        <f t="shared" si="87"/>
        <v>1402</v>
      </c>
      <c r="X339" s="819" t="str">
        <f t="shared" si="88"/>
        <v/>
      </c>
      <c r="Y339" s="837"/>
      <c r="Z339" s="839"/>
      <c r="AA339" s="838"/>
      <c r="AB339" s="839"/>
    </row>
    <row r="340" spans="1:28" ht="13.15">
      <c r="B340" s="819" t="s">
        <v>1065</v>
      </c>
      <c r="C340" s="819" t="s">
        <v>1066</v>
      </c>
      <c r="D340" s="379" t="s">
        <v>336</v>
      </c>
      <c r="E340" s="818" t="s">
        <v>453</v>
      </c>
      <c r="F340" s="820">
        <v>0.19851084699999999</v>
      </c>
      <c r="G340" s="821">
        <v>0</v>
      </c>
      <c r="H340" s="822">
        <v>13063639.024540501</v>
      </c>
      <c r="I340" s="819"/>
      <c r="J340" s="820">
        <v>-1.62136E-5</v>
      </c>
      <c r="K340" s="819">
        <f t="shared" si="78"/>
        <v>1201</v>
      </c>
      <c r="L340" s="819">
        <f t="shared" si="79"/>
        <v>1084</v>
      </c>
      <c r="M340" s="819">
        <f t="shared" si="75"/>
        <v>1201</v>
      </c>
      <c r="N340" s="819">
        <f t="shared" si="76"/>
        <v>364</v>
      </c>
      <c r="O340" s="819">
        <f t="shared" si="77"/>
        <v>836</v>
      </c>
      <c r="P340" s="819">
        <f t="shared" si="80"/>
        <v>197</v>
      </c>
      <c r="Q340" s="819">
        <f t="shared" si="81"/>
        <v>661</v>
      </c>
      <c r="R340" s="819">
        <f t="shared" si="82"/>
        <v>1119</v>
      </c>
      <c r="S340" s="819">
        <f t="shared" si="83"/>
        <v>338</v>
      </c>
      <c r="T340" s="819">
        <f t="shared" si="84"/>
        <v>814</v>
      </c>
      <c r="U340" s="819">
        <f t="shared" si="85"/>
        <v>3129</v>
      </c>
      <c r="V340" s="819">
        <f t="shared" si="86"/>
        <v>1096</v>
      </c>
      <c r="W340" s="379">
        <f t="shared" si="87"/>
        <v>1096</v>
      </c>
      <c r="X340" s="819" t="str">
        <f t="shared" si="88"/>
        <v/>
      </c>
      <c r="Y340" s="837"/>
      <c r="Z340" s="839"/>
      <c r="AA340" s="838"/>
      <c r="AB340" s="839"/>
    </row>
    <row r="341" spans="1:28" ht="13.15">
      <c r="B341" s="819" t="s">
        <v>1067</v>
      </c>
      <c r="C341" s="819" t="s">
        <v>1068</v>
      </c>
      <c r="D341" s="379" t="s">
        <v>336</v>
      </c>
      <c r="E341" s="818" t="s">
        <v>702</v>
      </c>
      <c r="F341" s="820">
        <v>0.640353599</v>
      </c>
      <c r="G341" s="821">
        <v>0.363786373</v>
      </c>
      <c r="H341" s="822">
        <v>2869026.0223048301</v>
      </c>
      <c r="I341" s="819"/>
      <c r="J341" s="820">
        <v>-6.2827200000000003E-4</v>
      </c>
      <c r="K341" s="819">
        <f t="shared" si="78"/>
        <v>1452</v>
      </c>
      <c r="L341" s="819">
        <f t="shared" si="79"/>
        <v>945</v>
      </c>
      <c r="M341" s="819">
        <f t="shared" si="75"/>
        <v>1452</v>
      </c>
      <c r="N341" s="819">
        <f t="shared" si="76"/>
        <v>364</v>
      </c>
      <c r="O341" s="819">
        <f t="shared" si="77"/>
        <v>1323</v>
      </c>
      <c r="P341" s="819">
        <f t="shared" si="80"/>
        <v>54</v>
      </c>
      <c r="Q341" s="819">
        <f t="shared" si="81"/>
        <v>522</v>
      </c>
      <c r="R341" s="819">
        <f t="shared" si="82"/>
        <v>1370</v>
      </c>
      <c r="S341" s="819">
        <f t="shared" si="83"/>
        <v>338</v>
      </c>
      <c r="T341" s="819">
        <f t="shared" si="84"/>
        <v>1301</v>
      </c>
      <c r="U341" s="819">
        <f t="shared" si="85"/>
        <v>3585</v>
      </c>
      <c r="V341" s="819">
        <f t="shared" si="86"/>
        <v>1616</v>
      </c>
      <c r="W341" s="379">
        <f t="shared" si="87"/>
        <v>1616</v>
      </c>
      <c r="X341" s="819" t="str">
        <f t="shared" si="88"/>
        <v/>
      </c>
      <c r="Y341" s="837"/>
      <c r="Z341" s="839"/>
      <c r="AA341" s="838"/>
      <c r="AB341" s="839"/>
    </row>
    <row r="342" spans="1:28" ht="13.15">
      <c r="B342" s="819" t="s">
        <v>1069</v>
      </c>
      <c r="C342" s="819" t="s">
        <v>1070</v>
      </c>
      <c r="D342" s="379" t="s">
        <v>336</v>
      </c>
      <c r="E342" s="818" t="s">
        <v>702</v>
      </c>
      <c r="F342" s="820">
        <v>0.71672267899999997</v>
      </c>
      <c r="G342" s="821">
        <v>0</v>
      </c>
      <c r="H342" s="822">
        <v>31867796.5799256</v>
      </c>
      <c r="I342" s="819"/>
      <c r="J342" s="820">
        <v>-9.9029899999999992E-6</v>
      </c>
      <c r="K342" s="819">
        <f t="shared" si="78"/>
        <v>987</v>
      </c>
      <c r="L342" s="819">
        <f t="shared" si="79"/>
        <v>1084</v>
      </c>
      <c r="M342" s="819">
        <f t="shared" si="75"/>
        <v>987</v>
      </c>
      <c r="N342" s="819">
        <f t="shared" si="76"/>
        <v>364</v>
      </c>
      <c r="O342" s="819">
        <f t="shared" si="77"/>
        <v>804</v>
      </c>
      <c r="P342" s="819">
        <f t="shared" si="80"/>
        <v>411</v>
      </c>
      <c r="Q342" s="819">
        <f t="shared" si="81"/>
        <v>661</v>
      </c>
      <c r="R342" s="819">
        <f t="shared" si="82"/>
        <v>905</v>
      </c>
      <c r="S342" s="819">
        <f t="shared" si="83"/>
        <v>338</v>
      </c>
      <c r="T342" s="819">
        <f t="shared" si="84"/>
        <v>782</v>
      </c>
      <c r="U342" s="819">
        <f t="shared" si="85"/>
        <v>3097</v>
      </c>
      <c r="V342" s="819">
        <f t="shared" si="86"/>
        <v>1065</v>
      </c>
      <c r="W342" s="379">
        <f t="shared" si="87"/>
        <v>1065</v>
      </c>
      <c r="X342" s="819" t="str">
        <f t="shared" si="88"/>
        <v/>
      </c>
      <c r="Y342" s="837"/>
      <c r="Z342" s="839"/>
      <c r="AA342" s="838"/>
      <c r="AB342" s="839"/>
    </row>
    <row r="343" spans="1:28" ht="13.15">
      <c r="B343" s="819" t="s">
        <v>1071</v>
      </c>
      <c r="C343" s="819" t="s">
        <v>1072</v>
      </c>
      <c r="D343" s="379" t="s">
        <v>336</v>
      </c>
      <c r="E343" s="818" t="s">
        <v>702</v>
      </c>
      <c r="F343" s="820">
        <v>0.401402274</v>
      </c>
      <c r="G343" s="821">
        <v>0.12532472</v>
      </c>
      <c r="H343" s="822">
        <v>6780669.1449814104</v>
      </c>
      <c r="I343" s="819"/>
      <c r="J343" s="820">
        <v>-6.58389E-4</v>
      </c>
      <c r="K343" s="819">
        <f t="shared" si="78"/>
        <v>1327</v>
      </c>
      <c r="L343" s="819">
        <f t="shared" si="79"/>
        <v>1004</v>
      </c>
      <c r="M343" s="819">
        <f t="shared" si="75"/>
        <v>1327</v>
      </c>
      <c r="N343" s="819">
        <f t="shared" si="76"/>
        <v>364</v>
      </c>
      <c r="O343" s="819">
        <f t="shared" si="77"/>
        <v>1333</v>
      </c>
      <c r="P343" s="819">
        <f t="shared" si="80"/>
        <v>71</v>
      </c>
      <c r="Q343" s="819">
        <f t="shared" si="81"/>
        <v>581</v>
      </c>
      <c r="R343" s="819">
        <f t="shared" si="82"/>
        <v>1245</v>
      </c>
      <c r="S343" s="819">
        <f t="shared" si="83"/>
        <v>338</v>
      </c>
      <c r="T343" s="819">
        <f t="shared" si="84"/>
        <v>1311</v>
      </c>
      <c r="U343" s="819">
        <f t="shared" si="85"/>
        <v>3546</v>
      </c>
      <c r="V343" s="819">
        <f t="shared" si="86"/>
        <v>1592</v>
      </c>
      <c r="W343" s="379">
        <f t="shared" si="87"/>
        <v>1592</v>
      </c>
      <c r="X343" s="819" t="str">
        <f t="shared" si="88"/>
        <v/>
      </c>
      <c r="Y343" s="837"/>
      <c r="Z343" s="839"/>
      <c r="AA343" s="838"/>
      <c r="AB343" s="839"/>
    </row>
    <row r="344" spans="1:28" ht="13.15">
      <c r="B344" s="819" t="s">
        <v>1073</v>
      </c>
      <c r="C344" s="819" t="s">
        <v>1074</v>
      </c>
      <c r="D344" s="379" t="s">
        <v>336</v>
      </c>
      <c r="E344" s="818" t="s">
        <v>702</v>
      </c>
      <c r="F344" s="820">
        <v>0.95070667799999997</v>
      </c>
      <c r="G344" s="821">
        <v>0.120465302</v>
      </c>
      <c r="H344" s="822">
        <v>32470355.5762082</v>
      </c>
      <c r="I344" s="819"/>
      <c r="J344" s="820">
        <v>-2.8884269999999998E-3</v>
      </c>
      <c r="K344" s="819">
        <f t="shared" si="78"/>
        <v>979</v>
      </c>
      <c r="L344" s="819">
        <f t="shared" si="79"/>
        <v>1005</v>
      </c>
      <c r="M344" s="819">
        <f t="shared" si="75"/>
        <v>979</v>
      </c>
      <c r="N344" s="819">
        <f t="shared" si="76"/>
        <v>364</v>
      </c>
      <c r="O344" s="819">
        <f t="shared" si="77"/>
        <v>1542</v>
      </c>
      <c r="P344" s="819">
        <f t="shared" si="80"/>
        <v>419</v>
      </c>
      <c r="Q344" s="819">
        <f t="shared" si="81"/>
        <v>582</v>
      </c>
      <c r="R344" s="819">
        <f t="shared" si="82"/>
        <v>897</v>
      </c>
      <c r="S344" s="819">
        <f t="shared" si="83"/>
        <v>338</v>
      </c>
      <c r="T344" s="819">
        <f t="shared" si="84"/>
        <v>1520</v>
      </c>
      <c r="U344" s="819">
        <f t="shared" si="85"/>
        <v>3756</v>
      </c>
      <c r="V344" s="819">
        <f t="shared" si="86"/>
        <v>1699</v>
      </c>
      <c r="W344" s="379">
        <f t="shared" si="87"/>
        <v>1699</v>
      </c>
      <c r="X344" s="819" t="str">
        <f t="shared" si="88"/>
        <v/>
      </c>
      <c r="Y344" s="837"/>
      <c r="Z344" s="839"/>
      <c r="AA344" s="838"/>
      <c r="AB344" s="839"/>
    </row>
    <row r="345" spans="1:28" ht="13.15">
      <c r="B345" s="819" t="s">
        <v>1075</v>
      </c>
      <c r="C345" s="819" t="s">
        <v>1076</v>
      </c>
      <c r="D345" s="379" t="s">
        <v>336</v>
      </c>
      <c r="E345" s="818" t="s">
        <v>1077</v>
      </c>
      <c r="F345" s="820">
        <v>0.265042049</v>
      </c>
      <c r="G345" s="821">
        <v>1.40591691</v>
      </c>
      <c r="H345" s="822">
        <v>241883963.57500899</v>
      </c>
      <c r="I345" s="819"/>
      <c r="J345" s="820">
        <v>-7.296271E-3</v>
      </c>
      <c r="K345" s="819">
        <f t="shared" si="78"/>
        <v>521</v>
      </c>
      <c r="L345" s="819">
        <f t="shared" si="79"/>
        <v>755</v>
      </c>
      <c r="M345" s="819">
        <f t="shared" si="75"/>
        <v>521</v>
      </c>
      <c r="N345" s="819">
        <f t="shared" si="76"/>
        <v>364</v>
      </c>
      <c r="O345" s="819">
        <f t="shared" si="77"/>
        <v>1630</v>
      </c>
      <c r="P345" s="819">
        <f t="shared" si="80"/>
        <v>877</v>
      </c>
      <c r="Q345" s="819">
        <f t="shared" si="81"/>
        <v>332</v>
      </c>
      <c r="R345" s="819">
        <f t="shared" si="82"/>
        <v>439</v>
      </c>
      <c r="S345" s="819">
        <f t="shared" si="83"/>
        <v>338</v>
      </c>
      <c r="T345" s="819">
        <f t="shared" si="84"/>
        <v>1608</v>
      </c>
      <c r="U345" s="819">
        <f t="shared" si="85"/>
        <v>3594</v>
      </c>
      <c r="V345" s="819">
        <f t="shared" si="86"/>
        <v>1621</v>
      </c>
      <c r="W345" s="379">
        <f t="shared" si="87"/>
        <v>1621</v>
      </c>
      <c r="X345" s="819" t="str">
        <f t="shared" si="88"/>
        <v/>
      </c>
      <c r="Y345" s="837"/>
      <c r="Z345" s="839"/>
      <c r="AA345" s="838"/>
      <c r="AB345" s="839"/>
    </row>
    <row r="346" spans="1:28" ht="13.15">
      <c r="B346" s="819" t="s">
        <v>1078</v>
      </c>
      <c r="C346" s="819" t="s">
        <v>1079</v>
      </c>
      <c r="D346" s="379" t="s">
        <v>336</v>
      </c>
      <c r="E346" s="818" t="s">
        <v>378</v>
      </c>
      <c r="F346" s="820">
        <v>1.2976954110000001</v>
      </c>
      <c r="G346" s="821">
        <v>0.30050842900000002</v>
      </c>
      <c r="H346" s="822">
        <v>1120368353.31703</v>
      </c>
      <c r="I346" s="819"/>
      <c r="J346" s="820">
        <v>-5.28605E-5</v>
      </c>
      <c r="K346" s="819">
        <f t="shared" si="78"/>
        <v>204</v>
      </c>
      <c r="L346" s="819">
        <f t="shared" si="79"/>
        <v>958</v>
      </c>
      <c r="M346" s="819">
        <f t="shared" si="75"/>
        <v>204</v>
      </c>
      <c r="N346" s="819">
        <f t="shared" si="76"/>
        <v>364</v>
      </c>
      <c r="O346" s="819">
        <f t="shared" si="77"/>
        <v>927</v>
      </c>
      <c r="P346" s="819">
        <f t="shared" si="80"/>
        <v>1194</v>
      </c>
      <c r="Q346" s="819">
        <f t="shared" si="81"/>
        <v>535</v>
      </c>
      <c r="R346" s="819">
        <f t="shared" si="82"/>
        <v>122</v>
      </c>
      <c r="S346" s="819">
        <f t="shared" si="83"/>
        <v>338</v>
      </c>
      <c r="T346" s="819">
        <f t="shared" si="84"/>
        <v>905</v>
      </c>
      <c r="U346" s="819">
        <f t="shared" si="85"/>
        <v>3094</v>
      </c>
      <c r="V346" s="819">
        <f t="shared" si="86"/>
        <v>1062</v>
      </c>
      <c r="W346" s="379">
        <f t="shared" si="87"/>
        <v>1062</v>
      </c>
      <c r="X346" s="819" t="str">
        <f t="shared" si="88"/>
        <v/>
      </c>
      <c r="Y346" s="837"/>
      <c r="Z346" s="839"/>
      <c r="AA346" s="838"/>
      <c r="AB346" s="839"/>
    </row>
    <row r="347" spans="1:28" ht="13.15">
      <c r="B347" s="819" t="s">
        <v>1080</v>
      </c>
      <c r="C347" s="819" t="s">
        <v>1081</v>
      </c>
      <c r="D347" s="379" t="s">
        <v>336</v>
      </c>
      <c r="E347" s="818" t="s">
        <v>444</v>
      </c>
      <c r="F347" s="820">
        <v>1.4717982199999999</v>
      </c>
      <c r="G347" s="821">
        <v>14.0101122</v>
      </c>
      <c r="H347" s="822">
        <v>19250273.351546898</v>
      </c>
      <c r="I347" s="819"/>
      <c r="J347" s="820">
        <v>-5.9334800000000005E-4</v>
      </c>
      <c r="K347" s="819">
        <f t="shared" si="78"/>
        <v>1110</v>
      </c>
      <c r="L347" s="819">
        <f t="shared" si="79"/>
        <v>139</v>
      </c>
      <c r="M347" s="819">
        <f t="shared" si="75"/>
        <v>1110</v>
      </c>
      <c r="N347" s="819">
        <f t="shared" si="76"/>
        <v>364</v>
      </c>
      <c r="O347" s="819">
        <f t="shared" si="77"/>
        <v>1309</v>
      </c>
      <c r="P347" s="819">
        <f t="shared" si="80"/>
        <v>288</v>
      </c>
      <c r="Q347" s="819">
        <f t="shared" si="81"/>
        <v>284</v>
      </c>
      <c r="R347" s="819">
        <f t="shared" si="82"/>
        <v>1028</v>
      </c>
      <c r="S347" s="819">
        <f t="shared" si="83"/>
        <v>338</v>
      </c>
      <c r="T347" s="819">
        <f t="shared" si="84"/>
        <v>1287</v>
      </c>
      <c r="U347" s="819">
        <f t="shared" si="85"/>
        <v>3225</v>
      </c>
      <c r="V347" s="819">
        <f t="shared" si="86"/>
        <v>1234</v>
      </c>
      <c r="W347" s="379">
        <f t="shared" si="87"/>
        <v>1234</v>
      </c>
      <c r="X347" s="819" t="str">
        <f t="shared" si="88"/>
        <v/>
      </c>
      <c r="Y347" s="837"/>
      <c r="Z347" s="839"/>
      <c r="AA347" s="838"/>
      <c r="AB347" s="839"/>
    </row>
    <row r="348" spans="1:28" ht="13.15">
      <c r="B348" s="819" t="s">
        <v>1082</v>
      </c>
      <c r="C348" s="819" t="s">
        <v>1083</v>
      </c>
      <c r="D348" s="379" t="s">
        <v>336</v>
      </c>
      <c r="E348" s="818" t="s">
        <v>418</v>
      </c>
      <c r="F348" s="820">
        <v>0.13019846400000001</v>
      </c>
      <c r="G348" s="821">
        <v>-30.37667072</v>
      </c>
      <c r="H348" s="822">
        <v>210396642.551952</v>
      </c>
      <c r="I348" s="819"/>
      <c r="J348" s="820">
        <v>2.3512999999999998E-6</v>
      </c>
      <c r="K348" s="819">
        <f t="shared" si="78"/>
        <v>551</v>
      </c>
      <c r="L348" s="819">
        <f t="shared" si="79"/>
        <v>1493</v>
      </c>
      <c r="M348" s="819">
        <f t="shared" si="75"/>
        <v>551</v>
      </c>
      <c r="N348" s="819">
        <f t="shared" si="76"/>
        <v>364</v>
      </c>
      <c r="O348" s="819">
        <f t="shared" si="77"/>
        <v>468</v>
      </c>
      <c r="P348" s="819">
        <f t="shared" si="80"/>
        <v>847</v>
      </c>
      <c r="Q348" s="819">
        <f t="shared" si="81"/>
        <v>1070</v>
      </c>
      <c r="R348" s="819">
        <f t="shared" si="82"/>
        <v>469</v>
      </c>
      <c r="S348" s="819">
        <f t="shared" si="83"/>
        <v>338</v>
      </c>
      <c r="T348" s="819">
        <f t="shared" si="84"/>
        <v>446</v>
      </c>
      <c r="U348" s="819">
        <f t="shared" si="85"/>
        <v>3170</v>
      </c>
      <c r="V348" s="819">
        <f t="shared" si="86"/>
        <v>1156</v>
      </c>
      <c r="W348" s="379">
        <f t="shared" si="87"/>
        <v>1156</v>
      </c>
      <c r="X348" s="819" t="str">
        <f t="shared" si="88"/>
        <v/>
      </c>
      <c r="Y348" s="837"/>
      <c r="Z348" s="839"/>
      <c r="AA348" s="838"/>
      <c r="AB348" s="839"/>
    </row>
    <row r="349" spans="1:28" ht="13.15">
      <c r="B349" s="819" t="s">
        <v>1084</v>
      </c>
      <c r="C349" s="819" t="s">
        <v>1085</v>
      </c>
      <c r="D349" s="379" t="s">
        <v>336</v>
      </c>
      <c r="E349" s="818" t="s">
        <v>337</v>
      </c>
      <c r="F349" s="820">
        <v>3.806132367</v>
      </c>
      <c r="G349" s="821">
        <v>5.0926037280000003</v>
      </c>
      <c r="H349" s="822">
        <v>5684.5910000000003</v>
      </c>
      <c r="I349" s="819">
        <v>1.05</v>
      </c>
      <c r="J349" s="820">
        <v>-5.3337319999999999E-3</v>
      </c>
      <c r="K349" s="819">
        <f t="shared" si="78"/>
        <v>1672</v>
      </c>
      <c r="L349" s="819">
        <f t="shared" si="79"/>
        <v>374</v>
      </c>
      <c r="M349" s="819">
        <f t="shared" si="75"/>
        <v>1672</v>
      </c>
      <c r="N349" s="819">
        <f t="shared" si="76"/>
        <v>131</v>
      </c>
      <c r="O349" s="819">
        <f t="shared" si="77"/>
        <v>1608</v>
      </c>
      <c r="P349" s="819">
        <f t="shared" si="80"/>
        <v>274</v>
      </c>
      <c r="Q349" s="819">
        <f t="shared" si="81"/>
        <v>49</v>
      </c>
      <c r="R349" s="819">
        <f t="shared" si="82"/>
        <v>1590</v>
      </c>
      <c r="S349" s="819">
        <f t="shared" si="83"/>
        <v>105</v>
      </c>
      <c r="T349" s="819">
        <f t="shared" si="84"/>
        <v>1586</v>
      </c>
      <c r="U349" s="819">
        <f t="shared" si="85"/>
        <v>3604</v>
      </c>
      <c r="V349" s="819">
        <f t="shared" si="86"/>
        <v>1623</v>
      </c>
      <c r="W349" s="379">
        <f t="shared" si="87"/>
        <v>1623</v>
      </c>
      <c r="X349" s="819" t="str">
        <f t="shared" si="88"/>
        <v/>
      </c>
      <c r="Y349" s="837"/>
      <c r="Z349" s="839"/>
      <c r="AA349" s="838"/>
      <c r="AB349" s="839"/>
    </row>
    <row r="350" spans="1:28" ht="13.15">
      <c r="B350" s="819" t="s">
        <v>1086</v>
      </c>
      <c r="C350" s="819" t="s">
        <v>1087</v>
      </c>
      <c r="D350" s="379" t="s">
        <v>336</v>
      </c>
      <c r="E350" s="818" t="s">
        <v>418</v>
      </c>
      <c r="F350" s="820">
        <v>1.614444239</v>
      </c>
      <c r="G350" s="821">
        <v>1.58767865</v>
      </c>
      <c r="H350" s="822">
        <v>758830877.71088195</v>
      </c>
      <c r="I350" s="819">
        <v>0.8</v>
      </c>
      <c r="J350" s="820">
        <v>-1.9519116E-2</v>
      </c>
      <c r="K350" s="819">
        <f t="shared" si="78"/>
        <v>264</v>
      </c>
      <c r="L350" s="819">
        <f t="shared" si="79"/>
        <v>730</v>
      </c>
      <c r="M350" s="819">
        <f t="shared" si="75"/>
        <v>264</v>
      </c>
      <c r="N350" s="819">
        <f t="shared" si="76"/>
        <v>144</v>
      </c>
      <c r="O350" s="819">
        <f t="shared" si="77"/>
        <v>1693</v>
      </c>
      <c r="P350" s="819">
        <f t="shared" si="80"/>
        <v>1134</v>
      </c>
      <c r="Q350" s="819">
        <f t="shared" si="81"/>
        <v>307</v>
      </c>
      <c r="R350" s="819">
        <f t="shared" si="82"/>
        <v>182</v>
      </c>
      <c r="S350" s="819">
        <f t="shared" si="83"/>
        <v>118</v>
      </c>
      <c r="T350" s="819">
        <f t="shared" si="84"/>
        <v>1671</v>
      </c>
      <c r="U350" s="819">
        <f t="shared" si="85"/>
        <v>3412</v>
      </c>
      <c r="V350" s="819">
        <f t="shared" si="86"/>
        <v>1475</v>
      </c>
      <c r="W350" s="379">
        <f t="shared" si="87"/>
        <v>1475</v>
      </c>
      <c r="X350" s="819" t="str">
        <f t="shared" si="88"/>
        <v/>
      </c>
      <c r="Y350" s="837"/>
      <c r="Z350" s="839"/>
      <c r="AA350" s="838"/>
      <c r="AB350" s="839"/>
    </row>
    <row r="351" spans="1:28" ht="14.45">
      <c r="A351" s="816"/>
      <c r="B351" s="819" t="s">
        <v>1088</v>
      </c>
      <c r="C351" s="819" t="s">
        <v>1089</v>
      </c>
      <c r="D351" s="379" t="s">
        <v>336</v>
      </c>
      <c r="E351" s="818" t="s">
        <v>418</v>
      </c>
      <c r="F351" s="820">
        <v>1.7681246719999999</v>
      </c>
      <c r="G351" s="821">
        <v>2.2406693440000001</v>
      </c>
      <c r="H351" s="822">
        <v>2932229559.1377001</v>
      </c>
      <c r="I351" s="819">
        <v>1.22</v>
      </c>
      <c r="J351" s="820">
        <v>-0.158591327</v>
      </c>
      <c r="K351" s="819">
        <f t="shared" si="78"/>
        <v>111</v>
      </c>
      <c r="L351" s="819">
        <f t="shared" si="79"/>
        <v>640</v>
      </c>
      <c r="M351" s="819">
        <f t="shared" si="75"/>
        <v>111</v>
      </c>
      <c r="N351" s="819">
        <f t="shared" si="76"/>
        <v>112</v>
      </c>
      <c r="O351" s="819">
        <f t="shared" si="77"/>
        <v>1760</v>
      </c>
      <c r="P351" s="819">
        <f t="shared" si="80"/>
        <v>1287</v>
      </c>
      <c r="Q351" s="819">
        <f t="shared" si="81"/>
        <v>217</v>
      </c>
      <c r="R351" s="819">
        <f t="shared" si="82"/>
        <v>29</v>
      </c>
      <c r="S351" s="819">
        <f t="shared" si="83"/>
        <v>86</v>
      </c>
      <c r="T351" s="819">
        <f t="shared" si="84"/>
        <v>1738</v>
      </c>
      <c r="U351" s="819">
        <f t="shared" si="85"/>
        <v>3357</v>
      </c>
      <c r="V351" s="819">
        <f t="shared" si="86"/>
        <v>1419</v>
      </c>
      <c r="W351" s="379">
        <f t="shared" si="87"/>
        <v>1419</v>
      </c>
      <c r="X351" s="819" t="str">
        <f t="shared" si="88"/>
        <v/>
      </c>
      <c r="Y351" s="837"/>
      <c r="Z351" s="839"/>
      <c r="AA351" s="838"/>
      <c r="AB351" s="839"/>
    </row>
    <row r="352" spans="1:28" ht="13.15">
      <c r="B352" s="819" t="s">
        <v>1090</v>
      </c>
      <c r="C352" s="819" t="s">
        <v>1091</v>
      </c>
      <c r="D352" s="379" t="s">
        <v>336</v>
      </c>
      <c r="E352" s="818" t="s">
        <v>418</v>
      </c>
      <c r="F352" s="820">
        <v>1.243955428</v>
      </c>
      <c r="G352" s="821">
        <v>2.2127180640000002</v>
      </c>
      <c r="H352" s="822">
        <v>19801342587.971802</v>
      </c>
      <c r="I352" s="819">
        <v>1.89</v>
      </c>
      <c r="J352" s="820">
        <v>-7.4606560000000004E-3</v>
      </c>
      <c r="K352" s="819">
        <f t="shared" si="78"/>
        <v>18</v>
      </c>
      <c r="L352" s="819">
        <f t="shared" si="79"/>
        <v>645</v>
      </c>
      <c r="M352" s="819">
        <f t="shared" si="75"/>
        <v>18</v>
      </c>
      <c r="N352" s="819">
        <f t="shared" si="76"/>
        <v>87</v>
      </c>
      <c r="O352" s="819">
        <f t="shared" si="77"/>
        <v>1633</v>
      </c>
      <c r="P352" s="819">
        <f t="shared" si="80"/>
        <v>1380</v>
      </c>
      <c r="Q352" s="819">
        <f t="shared" si="81"/>
        <v>222</v>
      </c>
      <c r="R352" s="819">
        <f t="shared" si="82"/>
        <v>64</v>
      </c>
      <c r="S352" s="819">
        <f t="shared" si="83"/>
        <v>61</v>
      </c>
      <c r="T352" s="819">
        <f t="shared" si="84"/>
        <v>1611</v>
      </c>
      <c r="U352" s="819">
        <f t="shared" si="85"/>
        <v>3338</v>
      </c>
      <c r="V352" s="819">
        <f t="shared" si="86"/>
        <v>1390</v>
      </c>
      <c r="W352" s="379">
        <f t="shared" si="87"/>
        <v>1390</v>
      </c>
      <c r="X352" s="819" t="str">
        <f t="shared" si="88"/>
        <v/>
      </c>
      <c r="Y352" s="837"/>
      <c r="Z352" s="839"/>
      <c r="AA352" s="838"/>
      <c r="AB352" s="839"/>
    </row>
    <row r="353" spans="1:28" ht="14.45">
      <c r="A353" s="816"/>
      <c r="B353" s="819" t="s">
        <v>1092</v>
      </c>
      <c r="C353" s="819" t="s">
        <v>1093</v>
      </c>
      <c r="D353" s="379" t="s">
        <v>336</v>
      </c>
      <c r="E353" s="818" t="s">
        <v>418</v>
      </c>
      <c r="F353" s="820">
        <v>1.3908199029999999</v>
      </c>
      <c r="G353" s="821">
        <v>6.3988791000000003E-2</v>
      </c>
      <c r="H353" s="822">
        <v>593281329.06065905</v>
      </c>
      <c r="I353" s="819"/>
      <c r="J353" s="820">
        <v>-5.6579439999999998E-3</v>
      </c>
      <c r="K353" s="819">
        <f t="shared" si="78"/>
        <v>316</v>
      </c>
      <c r="L353" s="819">
        <f t="shared" si="79"/>
        <v>1034</v>
      </c>
      <c r="M353" s="819">
        <f t="shared" si="75"/>
        <v>316</v>
      </c>
      <c r="N353" s="819">
        <f t="shared" si="76"/>
        <v>364</v>
      </c>
      <c r="O353" s="819">
        <f t="shared" si="77"/>
        <v>1610</v>
      </c>
      <c r="P353" s="819">
        <f t="shared" si="80"/>
        <v>1082</v>
      </c>
      <c r="Q353" s="819">
        <f t="shared" si="81"/>
        <v>611</v>
      </c>
      <c r="R353" s="819">
        <f t="shared" si="82"/>
        <v>234</v>
      </c>
      <c r="S353" s="819">
        <f t="shared" si="83"/>
        <v>338</v>
      </c>
      <c r="T353" s="819">
        <f t="shared" si="84"/>
        <v>1588</v>
      </c>
      <c r="U353" s="819">
        <f t="shared" si="85"/>
        <v>3853</v>
      </c>
      <c r="V353" s="819">
        <f t="shared" si="86"/>
        <v>1730</v>
      </c>
      <c r="W353" s="379">
        <f t="shared" si="87"/>
        <v>1730</v>
      </c>
      <c r="X353" s="819" t="str">
        <f t="shared" si="88"/>
        <v/>
      </c>
      <c r="Y353" s="837"/>
      <c r="Z353" s="839"/>
      <c r="AA353" s="838"/>
      <c r="AB353" s="839"/>
    </row>
    <row r="354" spans="1:28" ht="13.15">
      <c r="B354" s="819" t="s">
        <v>1094</v>
      </c>
      <c r="C354" s="819" t="s">
        <v>1095</v>
      </c>
      <c r="D354" s="379" t="s">
        <v>336</v>
      </c>
      <c r="E354" s="818" t="s">
        <v>645</v>
      </c>
      <c r="F354" s="820">
        <v>2.093489419</v>
      </c>
      <c r="G354" s="821">
        <v>0.99254204999999995</v>
      </c>
      <c r="H354" s="822">
        <v>142621354.527363</v>
      </c>
      <c r="I354" s="819">
        <v>0.01</v>
      </c>
      <c r="J354" s="820">
        <v>-3.8457927000000003E-2</v>
      </c>
      <c r="K354" s="819">
        <f t="shared" si="78"/>
        <v>633</v>
      </c>
      <c r="L354" s="819">
        <f t="shared" si="79"/>
        <v>812</v>
      </c>
      <c r="M354" s="819">
        <f t="shared" si="75"/>
        <v>633</v>
      </c>
      <c r="N354" s="819">
        <f t="shared" si="76"/>
        <v>344</v>
      </c>
      <c r="O354" s="819">
        <f t="shared" si="77"/>
        <v>1727</v>
      </c>
      <c r="P354" s="819">
        <f t="shared" si="80"/>
        <v>765</v>
      </c>
      <c r="Q354" s="819">
        <f t="shared" si="81"/>
        <v>389</v>
      </c>
      <c r="R354" s="819">
        <f t="shared" si="82"/>
        <v>551</v>
      </c>
      <c r="S354" s="819">
        <f t="shared" si="83"/>
        <v>318</v>
      </c>
      <c r="T354" s="819">
        <f t="shared" si="84"/>
        <v>1705</v>
      </c>
      <c r="U354" s="819">
        <f t="shared" si="85"/>
        <v>3728</v>
      </c>
      <c r="V354" s="819">
        <f t="shared" si="86"/>
        <v>1691</v>
      </c>
      <c r="W354" s="379">
        <f t="shared" si="87"/>
        <v>1691</v>
      </c>
      <c r="X354" s="819" t="str">
        <f t="shared" si="88"/>
        <v/>
      </c>
      <c r="Y354" s="837"/>
      <c r="Z354" s="839"/>
      <c r="AA354" s="838"/>
      <c r="AB354" s="839"/>
    </row>
    <row r="355" spans="1:28" ht="14.45">
      <c r="A355" s="816"/>
      <c r="B355" s="819" t="s">
        <v>1096</v>
      </c>
      <c r="C355" s="819" t="s">
        <v>1097</v>
      </c>
      <c r="D355" s="379" t="s">
        <v>336</v>
      </c>
      <c r="E355" s="818" t="s">
        <v>625</v>
      </c>
      <c r="F355" s="820">
        <v>0.71131586800000002</v>
      </c>
      <c r="G355" s="821">
        <v>1.953251686</v>
      </c>
      <c r="H355" s="822">
        <v>3247400763.5197802</v>
      </c>
      <c r="I355" s="819"/>
      <c r="J355" s="820">
        <v>-1.4749450000000001E-3</v>
      </c>
      <c r="K355" s="819">
        <f t="shared" si="78"/>
        <v>100</v>
      </c>
      <c r="L355" s="819">
        <f t="shared" si="79"/>
        <v>682</v>
      </c>
      <c r="M355" s="819">
        <f t="shared" si="75"/>
        <v>100</v>
      </c>
      <c r="N355" s="819">
        <f t="shared" si="76"/>
        <v>364</v>
      </c>
      <c r="O355" s="819">
        <f t="shared" si="77"/>
        <v>1459</v>
      </c>
      <c r="P355" s="819">
        <f t="shared" si="80"/>
        <v>1298</v>
      </c>
      <c r="Q355" s="819">
        <f t="shared" si="81"/>
        <v>259</v>
      </c>
      <c r="R355" s="819">
        <f t="shared" si="82"/>
        <v>18</v>
      </c>
      <c r="S355" s="819">
        <f t="shared" si="83"/>
        <v>338</v>
      </c>
      <c r="T355" s="819">
        <f t="shared" si="84"/>
        <v>1437</v>
      </c>
      <c r="U355" s="819">
        <f t="shared" si="85"/>
        <v>3350</v>
      </c>
      <c r="V355" s="819">
        <f t="shared" si="86"/>
        <v>1407</v>
      </c>
      <c r="W355" s="379">
        <f t="shared" si="87"/>
        <v>1407</v>
      </c>
      <c r="X355" s="819" t="str">
        <f t="shared" si="88"/>
        <v/>
      </c>
      <c r="Y355" s="837"/>
      <c r="Z355" s="839"/>
      <c r="AA355" s="838"/>
      <c r="AB355" s="839"/>
    </row>
    <row r="356" spans="1:28" ht="13.15">
      <c r="B356" s="819" t="s">
        <v>1098</v>
      </c>
      <c r="C356" s="819" t="s">
        <v>1099</v>
      </c>
      <c r="D356" s="379" t="s">
        <v>336</v>
      </c>
      <c r="E356" s="818" t="s">
        <v>453</v>
      </c>
      <c r="F356" s="820">
        <v>1.464257747</v>
      </c>
      <c r="G356" s="821">
        <v>3.5941443080000002</v>
      </c>
      <c r="H356" s="822">
        <v>125239104.64775901</v>
      </c>
      <c r="I356" s="819"/>
      <c r="J356" s="820">
        <v>-2.7633839999999998E-3</v>
      </c>
      <c r="K356" s="819">
        <f t="shared" si="78"/>
        <v>659</v>
      </c>
      <c r="L356" s="819">
        <f t="shared" si="79"/>
        <v>488</v>
      </c>
      <c r="M356" s="819">
        <f t="shared" si="75"/>
        <v>659</v>
      </c>
      <c r="N356" s="819">
        <f t="shared" si="76"/>
        <v>364</v>
      </c>
      <c r="O356" s="819">
        <f t="shared" si="77"/>
        <v>1537</v>
      </c>
      <c r="P356" s="819">
        <f t="shared" si="80"/>
        <v>739</v>
      </c>
      <c r="Q356" s="819">
        <f t="shared" si="81"/>
        <v>65</v>
      </c>
      <c r="R356" s="819">
        <f t="shared" si="82"/>
        <v>577</v>
      </c>
      <c r="S356" s="819">
        <f t="shared" si="83"/>
        <v>338</v>
      </c>
      <c r="T356" s="819">
        <f t="shared" si="84"/>
        <v>1515</v>
      </c>
      <c r="U356" s="819">
        <f t="shared" si="85"/>
        <v>3234</v>
      </c>
      <c r="V356" s="819">
        <f t="shared" si="86"/>
        <v>1246</v>
      </c>
      <c r="W356" s="379">
        <f t="shared" si="87"/>
        <v>1246</v>
      </c>
      <c r="X356" s="819" t="str">
        <f t="shared" si="88"/>
        <v/>
      </c>
      <c r="Y356" s="837"/>
      <c r="Z356" s="839"/>
      <c r="AA356" s="838"/>
      <c r="AB356" s="839"/>
    </row>
    <row r="357" spans="1:28" ht="14.45">
      <c r="A357" s="816"/>
      <c r="B357" s="819" t="s">
        <v>1100</v>
      </c>
      <c r="C357" s="819" t="s">
        <v>1101</v>
      </c>
      <c r="D357" s="379" t="s">
        <v>336</v>
      </c>
      <c r="E357" s="818" t="s">
        <v>453</v>
      </c>
      <c r="F357" s="820">
        <v>5.7877198229999998</v>
      </c>
      <c r="G357" s="821">
        <v>2.7177871809999998</v>
      </c>
      <c r="H357" s="822">
        <v>130602009.129142</v>
      </c>
      <c r="I357" s="819">
        <v>0.08</v>
      </c>
      <c r="J357" s="820">
        <v>-9.8560582999999993E-2</v>
      </c>
      <c r="K357" s="819">
        <f t="shared" si="78"/>
        <v>651</v>
      </c>
      <c r="L357" s="819">
        <f t="shared" si="79"/>
        <v>578</v>
      </c>
      <c r="M357" s="819">
        <f t="shared" si="75"/>
        <v>651</v>
      </c>
      <c r="N357" s="819">
        <f t="shared" si="76"/>
        <v>283</v>
      </c>
      <c r="O357" s="819">
        <f t="shared" si="77"/>
        <v>1749</v>
      </c>
      <c r="P357" s="819">
        <f t="shared" si="80"/>
        <v>747</v>
      </c>
      <c r="Q357" s="819">
        <f t="shared" si="81"/>
        <v>155</v>
      </c>
      <c r="R357" s="819">
        <f t="shared" si="82"/>
        <v>569</v>
      </c>
      <c r="S357" s="819">
        <f t="shared" si="83"/>
        <v>257</v>
      </c>
      <c r="T357" s="819">
        <f t="shared" si="84"/>
        <v>1727</v>
      </c>
      <c r="U357" s="819">
        <f t="shared" si="85"/>
        <v>3455</v>
      </c>
      <c r="V357" s="819">
        <f t="shared" si="86"/>
        <v>1513</v>
      </c>
      <c r="W357" s="379">
        <f t="shared" si="87"/>
        <v>1513</v>
      </c>
      <c r="X357" s="819" t="str">
        <f t="shared" si="88"/>
        <v/>
      </c>
      <c r="Y357" s="837"/>
      <c r="Z357" s="839"/>
      <c r="AA357" s="838"/>
      <c r="AB357" s="839"/>
    </row>
    <row r="358" spans="1:28" ht="13.15">
      <c r="B358" s="819" t="s">
        <v>1102</v>
      </c>
      <c r="C358" s="819" t="s">
        <v>1103</v>
      </c>
      <c r="D358" s="379" t="s">
        <v>336</v>
      </c>
      <c r="E358" s="818" t="s">
        <v>441</v>
      </c>
      <c r="F358" s="820">
        <v>0.92026755500000001</v>
      </c>
      <c r="G358" s="821">
        <v>0.23124835099999999</v>
      </c>
      <c r="H358" s="822">
        <v>6418494451.8540297</v>
      </c>
      <c r="I358" s="819"/>
      <c r="J358" s="820">
        <v>-4.08324E-4</v>
      </c>
      <c r="K358" s="819">
        <f t="shared" si="78"/>
        <v>62</v>
      </c>
      <c r="L358" s="819">
        <f t="shared" si="79"/>
        <v>976</v>
      </c>
      <c r="M358" s="819">
        <f t="shared" si="75"/>
        <v>62</v>
      </c>
      <c r="N358" s="819">
        <f t="shared" si="76"/>
        <v>364</v>
      </c>
      <c r="O358" s="819">
        <f t="shared" si="77"/>
        <v>1229</v>
      </c>
      <c r="P358" s="819">
        <f t="shared" si="80"/>
        <v>1336</v>
      </c>
      <c r="Q358" s="819">
        <f t="shared" si="81"/>
        <v>553</v>
      </c>
      <c r="R358" s="819">
        <f t="shared" si="82"/>
        <v>20</v>
      </c>
      <c r="S358" s="819">
        <f t="shared" si="83"/>
        <v>338</v>
      </c>
      <c r="T358" s="819">
        <f t="shared" si="84"/>
        <v>1207</v>
      </c>
      <c r="U358" s="819">
        <f t="shared" si="85"/>
        <v>3454</v>
      </c>
      <c r="V358" s="819">
        <f t="shared" si="86"/>
        <v>1511</v>
      </c>
      <c r="W358" s="379">
        <f t="shared" si="87"/>
        <v>1511</v>
      </c>
      <c r="X358" s="819" t="str">
        <f t="shared" si="88"/>
        <v/>
      </c>
      <c r="Y358" s="837"/>
      <c r="Z358" s="839"/>
      <c r="AA358" s="838"/>
      <c r="AB358" s="839"/>
    </row>
    <row r="359" spans="1:28" ht="14.45">
      <c r="A359" s="816"/>
      <c r="B359" s="819" t="s">
        <v>1104</v>
      </c>
      <c r="C359" s="819" t="s">
        <v>1105</v>
      </c>
      <c r="D359" s="379" t="s">
        <v>336</v>
      </c>
      <c r="E359" s="818" t="s">
        <v>676</v>
      </c>
      <c r="F359" s="820">
        <v>1.3941884389999999</v>
      </c>
      <c r="G359" s="821">
        <v>7.6010304000000001E-2</v>
      </c>
      <c r="H359" s="822">
        <v>24009179.527559102</v>
      </c>
      <c r="I359" s="819">
        <v>0</v>
      </c>
      <c r="J359" s="820">
        <v>-3.0743760000000002E-3</v>
      </c>
      <c r="K359" s="819">
        <f t="shared" si="78"/>
        <v>1058</v>
      </c>
      <c r="L359" s="819">
        <f t="shared" si="79"/>
        <v>1027</v>
      </c>
      <c r="M359" s="819">
        <f t="shared" si="75"/>
        <v>1058</v>
      </c>
      <c r="N359" s="819">
        <f t="shared" si="76"/>
        <v>364</v>
      </c>
      <c r="O359" s="819">
        <f t="shared" si="77"/>
        <v>1551</v>
      </c>
      <c r="P359" s="819">
        <f t="shared" si="80"/>
        <v>340</v>
      </c>
      <c r="Q359" s="819">
        <f t="shared" si="81"/>
        <v>604</v>
      </c>
      <c r="R359" s="819">
        <f t="shared" si="82"/>
        <v>976</v>
      </c>
      <c r="S359" s="819">
        <f t="shared" si="83"/>
        <v>338</v>
      </c>
      <c r="T359" s="819">
        <f t="shared" si="84"/>
        <v>1529</v>
      </c>
      <c r="U359" s="819">
        <f t="shared" si="85"/>
        <v>3787</v>
      </c>
      <c r="V359" s="819">
        <f t="shared" si="86"/>
        <v>1710</v>
      </c>
      <c r="W359" s="379">
        <f t="shared" si="87"/>
        <v>1710</v>
      </c>
      <c r="X359" s="819" t="str">
        <f t="shared" si="88"/>
        <v/>
      </c>
      <c r="Y359" s="837"/>
      <c r="Z359" s="839"/>
      <c r="AA359" s="838"/>
      <c r="AB359" s="839"/>
    </row>
    <row r="360" spans="1:28" ht="13.15">
      <c r="B360" s="819" t="s">
        <v>1106</v>
      </c>
      <c r="C360" s="819" t="s">
        <v>1107</v>
      </c>
      <c r="D360" s="379" t="s">
        <v>336</v>
      </c>
      <c r="E360" s="818" t="s">
        <v>711</v>
      </c>
      <c r="F360" s="820">
        <v>2.456368329</v>
      </c>
      <c r="G360" s="821">
        <v>0.376944999</v>
      </c>
      <c r="H360" s="822">
        <v>60179862.359503202</v>
      </c>
      <c r="I360" s="819"/>
      <c r="J360" s="820">
        <v>-1.6410700000000001E-4</v>
      </c>
      <c r="K360" s="819">
        <f t="shared" si="78"/>
        <v>841</v>
      </c>
      <c r="L360" s="819">
        <f t="shared" si="79"/>
        <v>943</v>
      </c>
      <c r="M360" s="819">
        <f t="shared" si="75"/>
        <v>841</v>
      </c>
      <c r="N360" s="819">
        <f t="shared" si="76"/>
        <v>364</v>
      </c>
      <c r="O360" s="819">
        <f t="shared" si="77"/>
        <v>1074</v>
      </c>
      <c r="P360" s="819">
        <f t="shared" si="80"/>
        <v>557</v>
      </c>
      <c r="Q360" s="819">
        <f t="shared" si="81"/>
        <v>520</v>
      </c>
      <c r="R360" s="819">
        <f t="shared" si="82"/>
        <v>759</v>
      </c>
      <c r="S360" s="819">
        <f t="shared" si="83"/>
        <v>338</v>
      </c>
      <c r="T360" s="819">
        <f t="shared" si="84"/>
        <v>1052</v>
      </c>
      <c r="U360" s="819">
        <f t="shared" si="85"/>
        <v>3226</v>
      </c>
      <c r="V360" s="819">
        <f t="shared" si="86"/>
        <v>1235</v>
      </c>
      <c r="W360" s="379">
        <f t="shared" si="87"/>
        <v>1235</v>
      </c>
      <c r="X360" s="819" t="str">
        <f t="shared" si="88"/>
        <v/>
      </c>
      <c r="Y360" s="837"/>
      <c r="Z360" s="839"/>
      <c r="AA360" s="838"/>
      <c r="AB360" s="839"/>
    </row>
    <row r="361" spans="1:28" ht="14.45">
      <c r="A361" s="816"/>
      <c r="B361" s="819" t="s">
        <v>1108</v>
      </c>
      <c r="C361" s="819" t="s">
        <v>1109</v>
      </c>
      <c r="D361" s="379" t="s">
        <v>336</v>
      </c>
      <c r="E361" s="818" t="s">
        <v>711</v>
      </c>
      <c r="F361" s="820">
        <v>-7.0111829339999998</v>
      </c>
      <c r="G361" s="821">
        <v>3.251528441</v>
      </c>
      <c r="H361" s="822">
        <v>6196587.47300216</v>
      </c>
      <c r="I361" s="819">
        <v>-0.09</v>
      </c>
      <c r="J361" s="820">
        <v>-1.8567897999999999E-2</v>
      </c>
      <c r="K361" s="819">
        <f t="shared" si="78"/>
        <v>1337</v>
      </c>
      <c r="L361" s="819">
        <f t="shared" si="79"/>
        <v>528</v>
      </c>
      <c r="M361" s="819">
        <f t="shared" si="75"/>
        <v>1337</v>
      </c>
      <c r="N361" s="819">
        <f t="shared" si="76"/>
        <v>376</v>
      </c>
      <c r="O361" s="819">
        <f t="shared" si="77"/>
        <v>1689</v>
      </c>
      <c r="P361" s="819">
        <f t="shared" si="80"/>
        <v>61</v>
      </c>
      <c r="Q361" s="819">
        <f t="shared" si="81"/>
        <v>105</v>
      </c>
      <c r="R361" s="819">
        <f t="shared" si="82"/>
        <v>1255</v>
      </c>
      <c r="S361" s="819">
        <f t="shared" si="83"/>
        <v>350</v>
      </c>
      <c r="T361" s="819">
        <f t="shared" si="84"/>
        <v>1667</v>
      </c>
      <c r="U361" s="819">
        <f t="shared" si="85"/>
        <v>3438</v>
      </c>
      <c r="V361" s="819">
        <f t="shared" si="86"/>
        <v>1496</v>
      </c>
      <c r="W361" s="379">
        <f t="shared" si="87"/>
        <v>1496</v>
      </c>
      <c r="X361" s="819" t="str">
        <f t="shared" si="88"/>
        <v/>
      </c>
      <c r="Y361" s="837"/>
      <c r="Z361" s="839"/>
      <c r="AA361" s="838"/>
      <c r="AB361" s="839"/>
    </row>
    <row r="362" spans="1:28" ht="13.15">
      <c r="B362" s="819" t="s">
        <v>1110</v>
      </c>
      <c r="C362" s="819" t="s">
        <v>1111</v>
      </c>
      <c r="D362" s="379" t="s">
        <v>336</v>
      </c>
      <c r="E362" s="818" t="s">
        <v>711</v>
      </c>
      <c r="F362" s="820">
        <v>0.23217538800000001</v>
      </c>
      <c r="G362" s="821">
        <v>2.5349542559999998</v>
      </c>
      <c r="H362" s="822">
        <v>454250811.08135301</v>
      </c>
      <c r="I362" s="819"/>
      <c r="J362" s="820">
        <v>-1.332976E-3</v>
      </c>
      <c r="K362" s="819">
        <f t="shared" si="78"/>
        <v>376</v>
      </c>
      <c r="L362" s="819">
        <f t="shared" si="79"/>
        <v>597</v>
      </c>
      <c r="M362" s="819">
        <f t="shared" si="75"/>
        <v>376</v>
      </c>
      <c r="N362" s="819">
        <f t="shared" si="76"/>
        <v>364</v>
      </c>
      <c r="O362" s="819">
        <f t="shared" si="77"/>
        <v>1437</v>
      </c>
      <c r="P362" s="819">
        <f t="shared" si="80"/>
        <v>1022</v>
      </c>
      <c r="Q362" s="819">
        <f t="shared" si="81"/>
        <v>174</v>
      </c>
      <c r="R362" s="819">
        <f t="shared" si="82"/>
        <v>294</v>
      </c>
      <c r="S362" s="819">
        <f t="shared" si="83"/>
        <v>338</v>
      </c>
      <c r="T362" s="819">
        <f t="shared" si="84"/>
        <v>1415</v>
      </c>
      <c r="U362" s="819">
        <f t="shared" si="85"/>
        <v>3243</v>
      </c>
      <c r="V362" s="819">
        <f t="shared" si="86"/>
        <v>1258</v>
      </c>
      <c r="W362" s="379">
        <f t="shared" si="87"/>
        <v>1258</v>
      </c>
      <c r="X362" s="819" t="str">
        <f t="shared" si="88"/>
        <v/>
      </c>
      <c r="Y362" s="837"/>
      <c r="Z362" s="839"/>
      <c r="AA362" s="838"/>
      <c r="AB362" s="839"/>
    </row>
    <row r="363" spans="1:28" ht="14.45">
      <c r="A363" s="816"/>
      <c r="B363" s="819" t="s">
        <v>1112</v>
      </c>
      <c r="C363" s="819" t="s">
        <v>1113</v>
      </c>
      <c r="D363" s="379" t="s">
        <v>336</v>
      </c>
      <c r="E363" s="818" t="s">
        <v>676</v>
      </c>
      <c r="F363" s="820">
        <v>0</v>
      </c>
      <c r="G363" s="821">
        <v>-0.87658876600000002</v>
      </c>
      <c r="H363" s="822">
        <v>192044825.653</v>
      </c>
      <c r="I363" s="819"/>
      <c r="J363" s="820">
        <v>2.6548199999999999E-4</v>
      </c>
      <c r="K363" s="819">
        <f t="shared" si="78"/>
        <v>579</v>
      </c>
      <c r="L363" s="819">
        <f t="shared" si="79"/>
        <v>1286</v>
      </c>
      <c r="M363" s="819">
        <f t="shared" si="75"/>
        <v>579</v>
      </c>
      <c r="N363" s="819">
        <f t="shared" si="76"/>
        <v>364</v>
      </c>
      <c r="O363" s="819">
        <f t="shared" si="77"/>
        <v>239</v>
      </c>
      <c r="P363" s="819">
        <f t="shared" si="80"/>
        <v>819</v>
      </c>
      <c r="Q363" s="819">
        <f t="shared" si="81"/>
        <v>863</v>
      </c>
      <c r="R363" s="819">
        <f t="shared" si="82"/>
        <v>497</v>
      </c>
      <c r="S363" s="819">
        <f t="shared" si="83"/>
        <v>338</v>
      </c>
      <c r="T363" s="819">
        <f t="shared" si="84"/>
        <v>217</v>
      </c>
      <c r="U363" s="819">
        <f t="shared" si="85"/>
        <v>2734</v>
      </c>
      <c r="V363" s="819">
        <f t="shared" si="86"/>
        <v>399</v>
      </c>
      <c r="W363" s="379">
        <f t="shared" si="87"/>
        <v>399</v>
      </c>
      <c r="X363" s="819" t="str">
        <f t="shared" si="88"/>
        <v/>
      </c>
      <c r="Y363" s="837"/>
      <c r="Z363" s="839"/>
      <c r="AA363" s="838"/>
      <c r="AB363" s="839"/>
    </row>
    <row r="364" spans="1:28" ht="13.15">
      <c r="B364" s="819" t="s">
        <v>1114</v>
      </c>
      <c r="C364" s="819" t="s">
        <v>1115</v>
      </c>
      <c r="D364" s="379" t="s">
        <v>336</v>
      </c>
      <c r="E364" s="818" t="s">
        <v>752</v>
      </c>
      <c r="F364" s="820">
        <v>1.8839750120000001</v>
      </c>
      <c r="G364" s="821">
        <v>3.9819574599999998</v>
      </c>
      <c r="H364" s="822">
        <v>2221774.9386862898</v>
      </c>
      <c r="I364" s="819"/>
      <c r="J364" s="820">
        <v>-4.9932709999999996E-3</v>
      </c>
      <c r="K364" s="819">
        <f t="shared" si="78"/>
        <v>1482</v>
      </c>
      <c r="L364" s="819">
        <f t="shared" si="79"/>
        <v>452</v>
      </c>
      <c r="M364" s="819">
        <f t="shared" si="75"/>
        <v>1482</v>
      </c>
      <c r="N364" s="819">
        <f t="shared" si="76"/>
        <v>364</v>
      </c>
      <c r="O364" s="819">
        <f t="shared" si="77"/>
        <v>1602</v>
      </c>
      <c r="P364" s="819">
        <f t="shared" si="80"/>
        <v>84</v>
      </c>
      <c r="Q364" s="819">
        <f t="shared" si="81"/>
        <v>29</v>
      </c>
      <c r="R364" s="819">
        <f t="shared" si="82"/>
        <v>1400</v>
      </c>
      <c r="S364" s="819">
        <f t="shared" si="83"/>
        <v>338</v>
      </c>
      <c r="T364" s="819">
        <f t="shared" si="84"/>
        <v>1580</v>
      </c>
      <c r="U364" s="819">
        <f t="shared" si="85"/>
        <v>3431</v>
      </c>
      <c r="V364" s="819">
        <f t="shared" si="86"/>
        <v>1489</v>
      </c>
      <c r="W364" s="379">
        <f t="shared" si="87"/>
        <v>1489</v>
      </c>
      <c r="X364" s="819" t="str">
        <f t="shared" si="88"/>
        <v/>
      </c>
      <c r="Y364" s="837"/>
      <c r="Z364" s="839"/>
      <c r="AA364" s="838"/>
      <c r="AB364" s="839"/>
    </row>
    <row r="365" spans="1:28" ht="14.45">
      <c r="A365" s="816"/>
      <c r="B365" s="819" t="s">
        <v>1116</v>
      </c>
      <c r="C365" s="819" t="s">
        <v>1117</v>
      </c>
      <c r="D365" s="379" t="s">
        <v>336</v>
      </c>
      <c r="E365" s="818" t="s">
        <v>425</v>
      </c>
      <c r="F365" s="820">
        <v>2.7776968809999998</v>
      </c>
      <c r="G365" s="821">
        <v>2.142157198</v>
      </c>
      <c r="H365" s="822">
        <v>743423834.50802195</v>
      </c>
      <c r="I365" s="819"/>
      <c r="J365" s="820">
        <v>-2.1343499999999999E-4</v>
      </c>
      <c r="K365" s="819">
        <f t="shared" si="78"/>
        <v>270</v>
      </c>
      <c r="L365" s="819">
        <f t="shared" si="79"/>
        <v>653</v>
      </c>
      <c r="M365" s="819">
        <f t="shared" si="75"/>
        <v>270</v>
      </c>
      <c r="N365" s="819">
        <f t="shared" si="76"/>
        <v>364</v>
      </c>
      <c r="O365" s="819">
        <f t="shared" si="77"/>
        <v>1118</v>
      </c>
      <c r="P365" s="819">
        <f t="shared" si="80"/>
        <v>1128</v>
      </c>
      <c r="Q365" s="819">
        <f t="shared" si="81"/>
        <v>230</v>
      </c>
      <c r="R365" s="819">
        <f t="shared" si="82"/>
        <v>188</v>
      </c>
      <c r="S365" s="819">
        <f t="shared" si="83"/>
        <v>338</v>
      </c>
      <c r="T365" s="819">
        <f t="shared" si="84"/>
        <v>1096</v>
      </c>
      <c r="U365" s="819">
        <f t="shared" si="85"/>
        <v>2980</v>
      </c>
      <c r="V365" s="819">
        <f t="shared" si="86"/>
        <v>901</v>
      </c>
      <c r="W365" s="379">
        <f t="shared" si="87"/>
        <v>901</v>
      </c>
      <c r="X365" s="819" t="str">
        <f t="shared" si="88"/>
        <v/>
      </c>
      <c r="Y365" s="837"/>
      <c r="Z365" s="839"/>
      <c r="AA365" s="838"/>
      <c r="AB365" s="839"/>
    </row>
    <row r="366" spans="1:28" ht="13.15">
      <c r="B366" s="819" t="s">
        <v>1118</v>
      </c>
      <c r="C366" s="819" t="s">
        <v>1119</v>
      </c>
      <c r="D366" s="379" t="s">
        <v>336</v>
      </c>
      <c r="E366" s="818" t="s">
        <v>418</v>
      </c>
      <c r="F366" s="820">
        <v>0.90944365500000002</v>
      </c>
      <c r="G366" s="821">
        <v>5.2419803739999997</v>
      </c>
      <c r="H366" s="822">
        <v>34188309.704149701</v>
      </c>
      <c r="I366" s="819"/>
      <c r="J366" s="820">
        <v>-2.8952200000000001E-4</v>
      </c>
      <c r="K366" s="819">
        <f t="shared" si="78"/>
        <v>963</v>
      </c>
      <c r="L366" s="819">
        <f t="shared" si="79"/>
        <v>367</v>
      </c>
      <c r="M366" s="819">
        <f t="shared" si="75"/>
        <v>963</v>
      </c>
      <c r="N366" s="819">
        <f t="shared" si="76"/>
        <v>364</v>
      </c>
      <c r="O366" s="819">
        <f t="shared" si="77"/>
        <v>1174</v>
      </c>
      <c r="P366" s="819">
        <f t="shared" si="80"/>
        <v>435</v>
      </c>
      <c r="Q366" s="819">
        <f t="shared" si="81"/>
        <v>56</v>
      </c>
      <c r="R366" s="819">
        <f t="shared" si="82"/>
        <v>881</v>
      </c>
      <c r="S366" s="819">
        <f t="shared" si="83"/>
        <v>338</v>
      </c>
      <c r="T366" s="819">
        <f t="shared" si="84"/>
        <v>1152</v>
      </c>
      <c r="U366" s="819">
        <f t="shared" si="85"/>
        <v>2862</v>
      </c>
      <c r="V366" s="819">
        <f t="shared" si="86"/>
        <v>743</v>
      </c>
      <c r="W366" s="379">
        <f t="shared" si="87"/>
        <v>743</v>
      </c>
      <c r="X366" s="819" t="str">
        <f t="shared" si="88"/>
        <v/>
      </c>
      <c r="Y366" s="837"/>
      <c r="Z366" s="839"/>
      <c r="AA366" s="838"/>
      <c r="AB366" s="839"/>
    </row>
    <row r="367" spans="1:28" ht="14.45">
      <c r="A367" s="816"/>
      <c r="B367" s="819" t="s">
        <v>1120</v>
      </c>
      <c r="C367" s="819" t="s">
        <v>1121</v>
      </c>
      <c r="D367" s="379" t="s">
        <v>336</v>
      </c>
      <c r="E367" s="818" t="s">
        <v>418</v>
      </c>
      <c r="F367" s="820">
        <v>5.4694098589999998</v>
      </c>
      <c r="G367" s="821">
        <v>0</v>
      </c>
      <c r="H367" s="822">
        <v>44730950.993720502</v>
      </c>
      <c r="I367" s="819"/>
      <c r="J367" s="820">
        <v>-3.1287900000000001E-4</v>
      </c>
      <c r="K367" s="819">
        <f t="shared" si="78"/>
        <v>902</v>
      </c>
      <c r="L367" s="819">
        <f t="shared" si="79"/>
        <v>1084</v>
      </c>
      <c r="M367" s="819">
        <f t="shared" si="75"/>
        <v>902</v>
      </c>
      <c r="N367" s="819">
        <f t="shared" si="76"/>
        <v>364</v>
      </c>
      <c r="O367" s="819">
        <f t="shared" si="77"/>
        <v>1184</v>
      </c>
      <c r="P367" s="819">
        <f t="shared" si="80"/>
        <v>496</v>
      </c>
      <c r="Q367" s="819">
        <f t="shared" si="81"/>
        <v>661</v>
      </c>
      <c r="R367" s="819">
        <f t="shared" si="82"/>
        <v>820</v>
      </c>
      <c r="S367" s="819">
        <f t="shared" si="83"/>
        <v>338</v>
      </c>
      <c r="T367" s="819">
        <f t="shared" si="84"/>
        <v>1162</v>
      </c>
      <c r="U367" s="819">
        <f t="shared" si="85"/>
        <v>3477</v>
      </c>
      <c r="V367" s="819">
        <f t="shared" si="86"/>
        <v>1532</v>
      </c>
      <c r="W367" s="379">
        <f t="shared" si="87"/>
        <v>1532</v>
      </c>
      <c r="X367" s="819" t="str">
        <f t="shared" si="88"/>
        <v/>
      </c>
      <c r="Y367" s="837"/>
      <c r="Z367" s="839"/>
      <c r="AA367" s="838"/>
      <c r="AB367" s="839"/>
    </row>
    <row r="368" spans="1:28" ht="13.15">
      <c r="B368" s="819" t="s">
        <v>1122</v>
      </c>
      <c r="C368" s="819" t="s">
        <v>1123</v>
      </c>
      <c r="D368" s="379" t="s">
        <v>336</v>
      </c>
      <c r="E368" s="818" t="s">
        <v>728</v>
      </c>
      <c r="F368" s="820">
        <v>14.54453861</v>
      </c>
      <c r="G368" s="821">
        <v>0</v>
      </c>
      <c r="H368" s="822">
        <v>8324210.7463934803</v>
      </c>
      <c r="I368" s="819"/>
      <c r="J368" s="820">
        <v>-8.2753300000000006E-5</v>
      </c>
      <c r="K368" s="819">
        <f t="shared" si="78"/>
        <v>1289</v>
      </c>
      <c r="L368" s="819">
        <f t="shared" si="79"/>
        <v>1084</v>
      </c>
      <c r="M368" s="819">
        <f t="shared" si="75"/>
        <v>1289</v>
      </c>
      <c r="N368" s="819">
        <f t="shared" si="76"/>
        <v>364</v>
      </c>
      <c r="O368" s="819">
        <f t="shared" si="77"/>
        <v>983</v>
      </c>
      <c r="P368" s="819">
        <f t="shared" si="80"/>
        <v>109</v>
      </c>
      <c r="Q368" s="819">
        <f t="shared" si="81"/>
        <v>661</v>
      </c>
      <c r="R368" s="819">
        <f t="shared" si="82"/>
        <v>1207</v>
      </c>
      <c r="S368" s="819">
        <f t="shared" si="83"/>
        <v>338</v>
      </c>
      <c r="T368" s="819">
        <f t="shared" si="84"/>
        <v>961</v>
      </c>
      <c r="U368" s="819">
        <f t="shared" si="85"/>
        <v>3276</v>
      </c>
      <c r="V368" s="819">
        <f t="shared" si="86"/>
        <v>1306</v>
      </c>
      <c r="W368" s="379">
        <f t="shared" si="87"/>
        <v>1306</v>
      </c>
      <c r="X368" s="819" t="str">
        <f t="shared" si="88"/>
        <v/>
      </c>
      <c r="Y368" s="837"/>
      <c r="Z368" s="839"/>
      <c r="AA368" s="838"/>
      <c r="AB368" s="839"/>
    </row>
    <row r="369" spans="1:28" ht="14.45">
      <c r="A369" s="816"/>
      <c r="B369" s="819" t="s">
        <v>1124</v>
      </c>
      <c r="C369" s="819" t="s">
        <v>1125</v>
      </c>
      <c r="D369" s="379" t="s">
        <v>336</v>
      </c>
      <c r="E369" s="818" t="s">
        <v>728</v>
      </c>
      <c r="F369" s="820">
        <v>2.373551065</v>
      </c>
      <c r="G369" s="821">
        <v>9.9324513589999999</v>
      </c>
      <c r="H369" s="822">
        <v>8613840.6857620701</v>
      </c>
      <c r="I369" s="819"/>
      <c r="J369" s="820">
        <v>-2.8251300000000002E-4</v>
      </c>
      <c r="K369" s="819">
        <f t="shared" si="78"/>
        <v>1281</v>
      </c>
      <c r="L369" s="819">
        <f t="shared" si="79"/>
        <v>196</v>
      </c>
      <c r="M369" s="819">
        <f t="shared" si="75"/>
        <v>1281</v>
      </c>
      <c r="N369" s="819">
        <f t="shared" si="76"/>
        <v>364</v>
      </c>
      <c r="O369" s="819">
        <f t="shared" si="77"/>
        <v>1170</v>
      </c>
      <c r="P369" s="819">
        <f t="shared" si="80"/>
        <v>117</v>
      </c>
      <c r="Q369" s="819">
        <f t="shared" si="81"/>
        <v>227</v>
      </c>
      <c r="R369" s="819">
        <f t="shared" si="82"/>
        <v>1199</v>
      </c>
      <c r="S369" s="819">
        <f t="shared" si="83"/>
        <v>338</v>
      </c>
      <c r="T369" s="819">
        <f t="shared" si="84"/>
        <v>1148</v>
      </c>
      <c r="U369" s="819">
        <f t="shared" si="85"/>
        <v>3029</v>
      </c>
      <c r="V369" s="819">
        <f t="shared" si="86"/>
        <v>963</v>
      </c>
      <c r="W369" s="379">
        <f t="shared" si="87"/>
        <v>963</v>
      </c>
      <c r="X369" s="819" t="str">
        <f t="shared" si="88"/>
        <v/>
      </c>
      <c r="Y369" s="837"/>
      <c r="Z369" s="839"/>
      <c r="AA369" s="838"/>
      <c r="AB369" s="839"/>
    </row>
    <row r="370" spans="1:28" ht="13.15">
      <c r="B370" s="819" t="s">
        <v>1126</v>
      </c>
      <c r="C370" s="819" t="s">
        <v>1127</v>
      </c>
      <c r="D370" s="379" t="s">
        <v>336</v>
      </c>
      <c r="E370" s="818" t="s">
        <v>896</v>
      </c>
      <c r="F370" s="820">
        <v>1.1538404449999999</v>
      </c>
      <c r="G370" s="821">
        <v>0</v>
      </c>
      <c r="H370" s="822">
        <v>10508474.576271201</v>
      </c>
      <c r="I370" s="819"/>
      <c r="J370" s="820">
        <v>-8.8777199999999994E-5</v>
      </c>
      <c r="K370" s="819">
        <f t="shared" si="78"/>
        <v>1246</v>
      </c>
      <c r="L370" s="819">
        <f t="shared" si="79"/>
        <v>1084</v>
      </c>
      <c r="M370" s="819">
        <f t="shared" si="75"/>
        <v>1246</v>
      </c>
      <c r="N370" s="819">
        <f t="shared" si="76"/>
        <v>364</v>
      </c>
      <c r="O370" s="819">
        <f t="shared" si="77"/>
        <v>993</v>
      </c>
      <c r="P370" s="819">
        <f t="shared" si="80"/>
        <v>152</v>
      </c>
      <c r="Q370" s="819">
        <f t="shared" si="81"/>
        <v>661</v>
      </c>
      <c r="R370" s="819">
        <f t="shared" si="82"/>
        <v>1164</v>
      </c>
      <c r="S370" s="819">
        <f t="shared" si="83"/>
        <v>338</v>
      </c>
      <c r="T370" s="819">
        <f t="shared" si="84"/>
        <v>971</v>
      </c>
      <c r="U370" s="819">
        <f t="shared" si="85"/>
        <v>3286</v>
      </c>
      <c r="V370" s="819">
        <f t="shared" si="86"/>
        <v>1319</v>
      </c>
      <c r="W370" s="379">
        <f t="shared" si="87"/>
        <v>1319</v>
      </c>
      <c r="X370" s="819" t="str">
        <f t="shared" si="88"/>
        <v/>
      </c>
      <c r="Y370" s="837"/>
      <c r="Z370" s="839"/>
      <c r="AA370" s="838"/>
      <c r="AB370" s="839"/>
    </row>
    <row r="371" spans="1:28" ht="14.45">
      <c r="A371" s="816"/>
      <c r="B371" s="819" t="s">
        <v>1128</v>
      </c>
      <c r="C371" s="819" t="s">
        <v>1129</v>
      </c>
      <c r="D371" s="379" t="s">
        <v>336</v>
      </c>
      <c r="E371" s="818" t="s">
        <v>896</v>
      </c>
      <c r="F371" s="820">
        <v>2.3521321830000002</v>
      </c>
      <c r="G371" s="821">
        <v>27.754407870000001</v>
      </c>
      <c r="H371" s="822">
        <v>16271186.440678</v>
      </c>
      <c r="I371" s="819"/>
      <c r="J371" s="820">
        <v>-2.1177199999999999E-4</v>
      </c>
      <c r="K371" s="819">
        <f t="shared" si="78"/>
        <v>1144</v>
      </c>
      <c r="L371" s="819">
        <f t="shared" si="79"/>
        <v>68</v>
      </c>
      <c r="M371" s="819">
        <f t="shared" si="75"/>
        <v>1144</v>
      </c>
      <c r="N371" s="819">
        <f t="shared" si="76"/>
        <v>364</v>
      </c>
      <c r="O371" s="819">
        <f t="shared" si="77"/>
        <v>1117</v>
      </c>
      <c r="P371" s="819">
        <f t="shared" si="80"/>
        <v>254</v>
      </c>
      <c r="Q371" s="819">
        <f t="shared" si="81"/>
        <v>355</v>
      </c>
      <c r="R371" s="819">
        <f t="shared" si="82"/>
        <v>1062</v>
      </c>
      <c r="S371" s="819">
        <f t="shared" si="83"/>
        <v>338</v>
      </c>
      <c r="T371" s="819">
        <f t="shared" si="84"/>
        <v>1095</v>
      </c>
      <c r="U371" s="819">
        <f t="shared" si="85"/>
        <v>3104</v>
      </c>
      <c r="V371" s="819">
        <f t="shared" si="86"/>
        <v>1071</v>
      </c>
      <c r="W371" s="379">
        <f t="shared" si="87"/>
        <v>1071</v>
      </c>
      <c r="X371" s="819" t="str">
        <f t="shared" si="88"/>
        <v/>
      </c>
      <c r="Y371" s="837"/>
      <c r="Z371" s="839"/>
      <c r="AA371" s="838"/>
      <c r="AB371" s="839"/>
    </row>
    <row r="372" spans="1:28" ht="13.15">
      <c r="B372" s="819" t="s">
        <v>1130</v>
      </c>
      <c r="C372" s="819" t="s">
        <v>1131</v>
      </c>
      <c r="D372" s="379" t="s">
        <v>336</v>
      </c>
      <c r="E372" s="818" t="s">
        <v>896</v>
      </c>
      <c r="F372" s="820">
        <v>0.28353922599999998</v>
      </c>
      <c r="G372" s="821">
        <v>10.828156</v>
      </c>
      <c r="H372" s="822">
        <v>10980565.8898305</v>
      </c>
      <c r="I372" s="819"/>
      <c r="J372" s="820">
        <v>-1.6121700000000001E-4</v>
      </c>
      <c r="K372" s="819">
        <f t="shared" si="78"/>
        <v>1234</v>
      </c>
      <c r="L372" s="819">
        <f t="shared" si="79"/>
        <v>175</v>
      </c>
      <c r="M372" s="819">
        <f t="shared" si="75"/>
        <v>1234</v>
      </c>
      <c r="N372" s="819">
        <f t="shared" si="76"/>
        <v>364</v>
      </c>
      <c r="O372" s="819">
        <f t="shared" si="77"/>
        <v>1071</v>
      </c>
      <c r="P372" s="819">
        <f t="shared" si="80"/>
        <v>164</v>
      </c>
      <c r="Q372" s="819">
        <f t="shared" si="81"/>
        <v>248</v>
      </c>
      <c r="R372" s="819">
        <f t="shared" si="82"/>
        <v>1152</v>
      </c>
      <c r="S372" s="819">
        <f t="shared" si="83"/>
        <v>338</v>
      </c>
      <c r="T372" s="819">
        <f t="shared" si="84"/>
        <v>1049</v>
      </c>
      <c r="U372" s="819">
        <f t="shared" si="85"/>
        <v>2951</v>
      </c>
      <c r="V372" s="819">
        <f t="shared" si="86"/>
        <v>864</v>
      </c>
      <c r="W372" s="379">
        <f t="shared" si="87"/>
        <v>864</v>
      </c>
      <c r="X372" s="819" t="str">
        <f t="shared" si="88"/>
        <v/>
      </c>
      <c r="Y372" s="837"/>
      <c r="Z372" s="839"/>
      <c r="AA372" s="838"/>
      <c r="AB372" s="839"/>
    </row>
    <row r="373" spans="1:28" ht="14.45">
      <c r="A373" s="816"/>
      <c r="B373" s="819" t="s">
        <v>1132</v>
      </c>
      <c r="C373" s="819" t="s">
        <v>1133</v>
      </c>
      <c r="D373" s="379" t="s">
        <v>336</v>
      </c>
      <c r="E373" s="818" t="s">
        <v>1134</v>
      </c>
      <c r="F373" s="820">
        <v>1.3447667910000001</v>
      </c>
      <c r="G373" s="821">
        <v>0.27813183299999999</v>
      </c>
      <c r="H373" s="822">
        <v>22393576.108002</v>
      </c>
      <c r="I373" s="819">
        <v>1.22</v>
      </c>
      <c r="J373" s="820">
        <v>-3.8425204999999997E-2</v>
      </c>
      <c r="K373" s="819">
        <f t="shared" si="78"/>
        <v>1079</v>
      </c>
      <c r="L373" s="819">
        <f t="shared" si="79"/>
        <v>964</v>
      </c>
      <c r="M373" s="819">
        <f t="shared" si="75"/>
        <v>1079</v>
      </c>
      <c r="N373" s="819">
        <f t="shared" si="76"/>
        <v>112</v>
      </c>
      <c r="O373" s="819">
        <f t="shared" si="77"/>
        <v>1726</v>
      </c>
      <c r="P373" s="819">
        <f t="shared" si="80"/>
        <v>319</v>
      </c>
      <c r="Q373" s="819">
        <f t="shared" si="81"/>
        <v>541</v>
      </c>
      <c r="R373" s="819">
        <f t="shared" si="82"/>
        <v>997</v>
      </c>
      <c r="S373" s="819">
        <f t="shared" si="83"/>
        <v>86</v>
      </c>
      <c r="T373" s="819">
        <f t="shared" si="84"/>
        <v>1704</v>
      </c>
      <c r="U373" s="819">
        <f t="shared" si="85"/>
        <v>3647</v>
      </c>
      <c r="V373" s="819">
        <f t="shared" si="86"/>
        <v>1650</v>
      </c>
      <c r="W373" s="379">
        <f t="shared" si="87"/>
        <v>1650</v>
      </c>
      <c r="X373" s="819" t="str">
        <f t="shared" si="88"/>
        <v/>
      </c>
      <c r="Y373" s="837"/>
      <c r="Z373" s="839"/>
      <c r="AA373" s="838"/>
      <c r="AB373" s="839"/>
    </row>
    <row r="374" spans="1:28" ht="13.15">
      <c r="B374" s="819" t="s">
        <v>1135</v>
      </c>
      <c r="C374" s="819" t="s">
        <v>1136</v>
      </c>
      <c r="D374" s="379" t="s">
        <v>336</v>
      </c>
      <c r="E374" s="818" t="s">
        <v>941</v>
      </c>
      <c r="F374" s="820">
        <v>3.005115247</v>
      </c>
      <c r="G374" s="821">
        <v>4.830076676</v>
      </c>
      <c r="H374" s="822">
        <v>670112361.17797697</v>
      </c>
      <c r="I374" s="819"/>
      <c r="J374" s="820">
        <v>-5.4856600000000001E-4</v>
      </c>
      <c r="K374" s="819">
        <f t="shared" si="78"/>
        <v>293</v>
      </c>
      <c r="L374" s="819">
        <f t="shared" si="79"/>
        <v>389</v>
      </c>
      <c r="M374" s="819">
        <f t="shared" si="75"/>
        <v>293</v>
      </c>
      <c r="N374" s="819">
        <f t="shared" si="76"/>
        <v>364</v>
      </c>
      <c r="O374" s="819">
        <f t="shared" si="77"/>
        <v>1287</v>
      </c>
      <c r="P374" s="819">
        <f t="shared" si="80"/>
        <v>1105</v>
      </c>
      <c r="Q374" s="819">
        <f t="shared" si="81"/>
        <v>34</v>
      </c>
      <c r="R374" s="819">
        <f t="shared" si="82"/>
        <v>211</v>
      </c>
      <c r="S374" s="819">
        <f t="shared" si="83"/>
        <v>338</v>
      </c>
      <c r="T374" s="819">
        <f t="shared" si="84"/>
        <v>1265</v>
      </c>
      <c r="U374" s="819">
        <f t="shared" si="85"/>
        <v>2953</v>
      </c>
      <c r="V374" s="819">
        <f t="shared" si="86"/>
        <v>871</v>
      </c>
      <c r="W374" s="379">
        <f t="shared" si="87"/>
        <v>871</v>
      </c>
      <c r="X374" s="819" t="str">
        <f t="shared" si="88"/>
        <v/>
      </c>
      <c r="Y374" s="837"/>
      <c r="Z374" s="839"/>
      <c r="AA374" s="838"/>
      <c r="AB374" s="839"/>
    </row>
    <row r="375" spans="1:28" ht="14.45">
      <c r="A375" s="816"/>
      <c r="B375" s="819" t="s">
        <v>1137</v>
      </c>
      <c r="C375" s="819" t="s">
        <v>1138</v>
      </c>
      <c r="D375" s="379" t="s">
        <v>336</v>
      </c>
      <c r="E375" s="818" t="s">
        <v>731</v>
      </c>
      <c r="F375" s="820">
        <v>2.0924266970000001</v>
      </c>
      <c r="G375" s="821">
        <v>16.872549020000001</v>
      </c>
      <c r="H375" s="822">
        <v>24599723.706615001</v>
      </c>
      <c r="I375" s="819"/>
      <c r="J375" s="820">
        <v>-1.8787099999999999E-4</v>
      </c>
      <c r="K375" s="819">
        <f t="shared" si="78"/>
        <v>1047</v>
      </c>
      <c r="L375" s="819">
        <f t="shared" si="79"/>
        <v>108</v>
      </c>
      <c r="M375" s="819">
        <f t="shared" si="75"/>
        <v>1047</v>
      </c>
      <c r="N375" s="819">
        <f t="shared" si="76"/>
        <v>364</v>
      </c>
      <c r="O375" s="819">
        <f t="shared" si="77"/>
        <v>1097</v>
      </c>
      <c r="P375" s="819">
        <f t="shared" si="80"/>
        <v>351</v>
      </c>
      <c r="Q375" s="819">
        <f t="shared" si="81"/>
        <v>315</v>
      </c>
      <c r="R375" s="819">
        <f t="shared" si="82"/>
        <v>965</v>
      </c>
      <c r="S375" s="819">
        <f t="shared" si="83"/>
        <v>338</v>
      </c>
      <c r="T375" s="819">
        <f t="shared" si="84"/>
        <v>1075</v>
      </c>
      <c r="U375" s="819">
        <f t="shared" si="85"/>
        <v>3044</v>
      </c>
      <c r="V375" s="819">
        <f t="shared" si="86"/>
        <v>991</v>
      </c>
      <c r="W375" s="379">
        <f t="shared" si="87"/>
        <v>991</v>
      </c>
      <c r="X375" s="819" t="str">
        <f t="shared" si="88"/>
        <v/>
      </c>
      <c r="Y375" s="837"/>
      <c r="Z375" s="839"/>
      <c r="AA375" s="838"/>
      <c r="AB375" s="839"/>
    </row>
    <row r="376" spans="1:28" ht="13.15">
      <c r="B376" s="819" t="s">
        <v>1139</v>
      </c>
      <c r="C376" s="819" t="s">
        <v>1140</v>
      </c>
      <c r="D376" s="379" t="s">
        <v>336</v>
      </c>
      <c r="E376" s="818" t="s">
        <v>418</v>
      </c>
      <c r="F376" s="820">
        <v>4.5385190140000002</v>
      </c>
      <c r="G376" s="821">
        <v>8.4409141860000005</v>
      </c>
      <c r="H376" s="822">
        <v>297731617.78986198</v>
      </c>
      <c r="I376" s="819"/>
      <c r="J376" s="820">
        <v>-2.7149E-5</v>
      </c>
      <c r="K376" s="819">
        <f t="shared" si="78"/>
        <v>474</v>
      </c>
      <c r="L376" s="819">
        <f t="shared" si="79"/>
        <v>245</v>
      </c>
      <c r="M376" s="819">
        <f t="shared" si="75"/>
        <v>474</v>
      </c>
      <c r="N376" s="819">
        <f t="shared" si="76"/>
        <v>364</v>
      </c>
      <c r="O376" s="819">
        <f t="shared" si="77"/>
        <v>872</v>
      </c>
      <c r="P376" s="819">
        <f t="shared" si="80"/>
        <v>924</v>
      </c>
      <c r="Q376" s="819">
        <f t="shared" si="81"/>
        <v>178</v>
      </c>
      <c r="R376" s="819">
        <f t="shared" si="82"/>
        <v>392</v>
      </c>
      <c r="S376" s="819">
        <f t="shared" si="83"/>
        <v>338</v>
      </c>
      <c r="T376" s="819">
        <f t="shared" si="84"/>
        <v>850</v>
      </c>
      <c r="U376" s="819">
        <f t="shared" si="85"/>
        <v>2682</v>
      </c>
      <c r="V376" s="819">
        <f t="shared" si="86"/>
        <v>341</v>
      </c>
      <c r="W376" s="379">
        <f t="shared" si="87"/>
        <v>341</v>
      </c>
      <c r="X376" s="819" t="str">
        <f t="shared" si="88"/>
        <v/>
      </c>
      <c r="Y376" s="837"/>
      <c r="Z376" s="839"/>
      <c r="AA376" s="838"/>
      <c r="AB376" s="839"/>
    </row>
    <row r="377" spans="1:28" ht="14.45">
      <c r="A377" s="816"/>
      <c r="B377" s="819" t="s">
        <v>1141</v>
      </c>
      <c r="C377" s="819" t="s">
        <v>1142</v>
      </c>
      <c r="D377" s="379" t="s">
        <v>336</v>
      </c>
      <c r="E377" s="818" t="s">
        <v>341</v>
      </c>
      <c r="F377" s="820">
        <v>6.1842373290000001</v>
      </c>
      <c r="G377" s="821">
        <v>8.4605721999999994E-2</v>
      </c>
      <c r="H377" s="822">
        <v>109797.891973034</v>
      </c>
      <c r="I377" s="819">
        <v>0.44</v>
      </c>
      <c r="J377" s="820">
        <v>-5.8709639000000001E-2</v>
      </c>
      <c r="K377" s="819">
        <f t="shared" si="78"/>
        <v>1654</v>
      </c>
      <c r="L377" s="819">
        <f t="shared" si="79"/>
        <v>1023</v>
      </c>
      <c r="M377" s="819">
        <f t="shared" si="75"/>
        <v>1654</v>
      </c>
      <c r="N377" s="819">
        <f t="shared" si="76"/>
        <v>171</v>
      </c>
      <c r="O377" s="819">
        <f t="shared" si="77"/>
        <v>1738</v>
      </c>
      <c r="P377" s="819">
        <f t="shared" si="80"/>
        <v>256</v>
      </c>
      <c r="Q377" s="819">
        <f t="shared" si="81"/>
        <v>600</v>
      </c>
      <c r="R377" s="819">
        <f t="shared" si="82"/>
        <v>1572</v>
      </c>
      <c r="S377" s="819">
        <f t="shared" si="83"/>
        <v>145</v>
      </c>
      <c r="T377" s="819">
        <f t="shared" si="84"/>
        <v>1716</v>
      </c>
      <c r="U377" s="819">
        <f t="shared" si="85"/>
        <v>4289</v>
      </c>
      <c r="V377" s="819">
        <f t="shared" si="86"/>
        <v>1763</v>
      </c>
      <c r="W377" s="379">
        <f t="shared" si="87"/>
        <v>1763</v>
      </c>
      <c r="X377" s="819" t="str">
        <f t="shared" si="88"/>
        <v/>
      </c>
      <c r="Y377" s="837"/>
      <c r="Z377" s="839"/>
      <c r="AA377" s="838"/>
      <c r="AB377" s="839"/>
    </row>
    <row r="378" spans="1:28" ht="13.15">
      <c r="B378" s="819" t="s">
        <v>1143</v>
      </c>
      <c r="C378" s="819" t="s">
        <v>1144</v>
      </c>
      <c r="D378" s="379" t="s">
        <v>336</v>
      </c>
      <c r="E378" s="818" t="s">
        <v>460</v>
      </c>
      <c r="F378" s="820">
        <v>1.5322405589999999</v>
      </c>
      <c r="G378" s="821">
        <v>2.6166156979999999</v>
      </c>
      <c r="H378" s="822">
        <v>28382170560.028801</v>
      </c>
      <c r="I378" s="819">
        <v>1.5</v>
      </c>
      <c r="J378" s="820">
        <v>-0.130311759</v>
      </c>
      <c r="K378" s="819">
        <f t="shared" si="78"/>
        <v>9</v>
      </c>
      <c r="L378" s="819">
        <f t="shared" si="79"/>
        <v>593</v>
      </c>
      <c r="M378" s="819">
        <f t="shared" si="75"/>
        <v>9</v>
      </c>
      <c r="N378" s="819">
        <f t="shared" si="76"/>
        <v>95</v>
      </c>
      <c r="O378" s="819">
        <f t="shared" si="77"/>
        <v>1754</v>
      </c>
      <c r="P378" s="819">
        <f t="shared" si="80"/>
        <v>1389</v>
      </c>
      <c r="Q378" s="819">
        <f t="shared" si="81"/>
        <v>170</v>
      </c>
      <c r="R378" s="819">
        <f t="shared" si="82"/>
        <v>73</v>
      </c>
      <c r="S378" s="819">
        <f t="shared" si="83"/>
        <v>69</v>
      </c>
      <c r="T378" s="819">
        <f t="shared" si="84"/>
        <v>1732</v>
      </c>
      <c r="U378" s="819">
        <f t="shared" si="85"/>
        <v>3433</v>
      </c>
      <c r="V378" s="819">
        <f t="shared" si="86"/>
        <v>1491</v>
      </c>
      <c r="W378" s="379">
        <f t="shared" si="87"/>
        <v>1491</v>
      </c>
      <c r="X378" s="819" t="str">
        <f t="shared" si="88"/>
        <v/>
      </c>
      <c r="Y378" s="837"/>
      <c r="Z378" s="839"/>
      <c r="AA378" s="838"/>
      <c r="AB378" s="839"/>
    </row>
    <row r="379" spans="1:28" ht="14.45">
      <c r="A379" s="816"/>
      <c r="B379" s="819" t="s">
        <v>1145</v>
      </c>
      <c r="C379" s="819" t="s">
        <v>1146</v>
      </c>
      <c r="D379" s="379" t="s">
        <v>336</v>
      </c>
      <c r="E379" s="818" t="s">
        <v>607</v>
      </c>
      <c r="F379" s="820">
        <v>2.1155526299999998</v>
      </c>
      <c r="G379" s="821">
        <v>1.3260007140000001</v>
      </c>
      <c r="H379" s="822">
        <v>9075331757.5988293</v>
      </c>
      <c r="I379" s="819"/>
      <c r="J379" s="820">
        <v>-3.3528550000000001E-3</v>
      </c>
      <c r="K379" s="819">
        <f t="shared" si="78"/>
        <v>39</v>
      </c>
      <c r="L379" s="819">
        <f t="shared" si="79"/>
        <v>768</v>
      </c>
      <c r="M379" s="819">
        <f t="shared" si="75"/>
        <v>39</v>
      </c>
      <c r="N379" s="819">
        <f t="shared" si="76"/>
        <v>364</v>
      </c>
      <c r="O379" s="819">
        <f t="shared" si="77"/>
        <v>1562</v>
      </c>
      <c r="P379" s="819">
        <f t="shared" si="80"/>
        <v>1359</v>
      </c>
      <c r="Q379" s="819">
        <f t="shared" si="81"/>
        <v>345</v>
      </c>
      <c r="R379" s="819">
        <f t="shared" si="82"/>
        <v>43</v>
      </c>
      <c r="S379" s="819">
        <f t="shared" si="83"/>
        <v>338</v>
      </c>
      <c r="T379" s="819">
        <f t="shared" si="84"/>
        <v>1540</v>
      </c>
      <c r="U379" s="819">
        <f t="shared" si="85"/>
        <v>3625</v>
      </c>
      <c r="V379" s="819">
        <f t="shared" si="86"/>
        <v>1638</v>
      </c>
      <c r="W379" s="379">
        <f t="shared" si="87"/>
        <v>1638</v>
      </c>
      <c r="X379" s="819" t="str">
        <f t="shared" si="88"/>
        <v/>
      </c>
      <c r="Y379" s="837"/>
      <c r="Z379" s="839"/>
      <c r="AA379" s="838"/>
      <c r="AB379" s="839"/>
    </row>
    <row r="380" spans="1:28" ht="13.15">
      <c r="B380" s="819" t="s">
        <v>1147</v>
      </c>
      <c r="C380" s="819" t="s">
        <v>1148</v>
      </c>
      <c r="D380" s="379" t="s">
        <v>336</v>
      </c>
      <c r="E380" s="818" t="s">
        <v>752</v>
      </c>
      <c r="F380" s="820">
        <v>4.8448956340000002</v>
      </c>
      <c r="G380" s="821">
        <v>4.1666434929999996</v>
      </c>
      <c r="H380" s="822">
        <v>108026663.040259</v>
      </c>
      <c r="I380" s="819"/>
      <c r="J380" s="820">
        <v>-1.318617E-3</v>
      </c>
      <c r="K380" s="819">
        <f t="shared" si="78"/>
        <v>701</v>
      </c>
      <c r="L380" s="819">
        <f t="shared" si="79"/>
        <v>438</v>
      </c>
      <c r="M380" s="819">
        <f t="shared" si="75"/>
        <v>701</v>
      </c>
      <c r="N380" s="819">
        <f t="shared" si="76"/>
        <v>364</v>
      </c>
      <c r="O380" s="819">
        <f t="shared" si="77"/>
        <v>1436</v>
      </c>
      <c r="P380" s="819">
        <f t="shared" si="80"/>
        <v>697</v>
      </c>
      <c r="Q380" s="819">
        <f t="shared" si="81"/>
        <v>15</v>
      </c>
      <c r="R380" s="819">
        <f t="shared" si="82"/>
        <v>619</v>
      </c>
      <c r="S380" s="819">
        <f t="shared" si="83"/>
        <v>338</v>
      </c>
      <c r="T380" s="819">
        <f t="shared" si="84"/>
        <v>1414</v>
      </c>
      <c r="U380" s="819">
        <f t="shared" si="85"/>
        <v>3083</v>
      </c>
      <c r="V380" s="819">
        <f t="shared" si="86"/>
        <v>1038</v>
      </c>
      <c r="W380" s="379">
        <f t="shared" si="87"/>
        <v>1038</v>
      </c>
      <c r="X380" s="819" t="str">
        <f t="shared" si="88"/>
        <v/>
      </c>
      <c r="Y380" s="837"/>
      <c r="Z380" s="839"/>
      <c r="AA380" s="838"/>
      <c r="AB380" s="839"/>
    </row>
    <row r="381" spans="1:28" ht="14.45">
      <c r="A381" s="816"/>
      <c r="B381" s="819" t="s">
        <v>1149</v>
      </c>
      <c r="C381" s="819" t="s">
        <v>1150</v>
      </c>
      <c r="D381" s="379" t="s">
        <v>336</v>
      </c>
      <c r="E381" s="818" t="s">
        <v>453</v>
      </c>
      <c r="F381" s="820">
        <v>3.5974341939999999</v>
      </c>
      <c r="G381" s="821">
        <v>12.02338741</v>
      </c>
      <c r="H381" s="822">
        <v>568895373.29656601</v>
      </c>
      <c r="I381" s="819"/>
      <c r="J381" s="820">
        <v>-1.3794300000000001E-3</v>
      </c>
      <c r="K381" s="819">
        <f t="shared" si="78"/>
        <v>324</v>
      </c>
      <c r="L381" s="819">
        <f t="shared" si="79"/>
        <v>161</v>
      </c>
      <c r="M381" s="819">
        <f t="shared" si="75"/>
        <v>324</v>
      </c>
      <c r="N381" s="819">
        <f t="shared" si="76"/>
        <v>364</v>
      </c>
      <c r="O381" s="819">
        <f t="shared" si="77"/>
        <v>1445</v>
      </c>
      <c r="P381" s="819">
        <f t="shared" si="80"/>
        <v>1074</v>
      </c>
      <c r="Q381" s="819">
        <f t="shared" si="81"/>
        <v>262</v>
      </c>
      <c r="R381" s="819">
        <f t="shared" si="82"/>
        <v>242</v>
      </c>
      <c r="S381" s="819">
        <f t="shared" si="83"/>
        <v>338</v>
      </c>
      <c r="T381" s="819">
        <f t="shared" si="84"/>
        <v>1423</v>
      </c>
      <c r="U381" s="819">
        <f t="shared" si="85"/>
        <v>3339</v>
      </c>
      <c r="V381" s="819">
        <f t="shared" si="86"/>
        <v>1393</v>
      </c>
      <c r="W381" s="379">
        <f t="shared" si="87"/>
        <v>1393</v>
      </c>
      <c r="X381" s="819" t="str">
        <f t="shared" si="88"/>
        <v/>
      </c>
      <c r="Y381" s="837"/>
      <c r="Z381" s="839"/>
      <c r="AA381" s="838"/>
      <c r="AB381" s="839"/>
    </row>
    <row r="382" spans="1:28" ht="13.15">
      <c r="B382" s="819" t="s">
        <v>1151</v>
      </c>
      <c r="C382" s="819" t="s">
        <v>1152</v>
      </c>
      <c r="D382" s="379" t="s">
        <v>336</v>
      </c>
      <c r="E382" s="818" t="s">
        <v>425</v>
      </c>
      <c r="F382" s="820">
        <v>2.3078425010000001</v>
      </c>
      <c r="G382" s="821">
        <v>7.7021488570000001</v>
      </c>
      <c r="H382" s="822">
        <v>197363755.37883699</v>
      </c>
      <c r="I382" s="819"/>
      <c r="J382" s="820">
        <v>-6.0976379999999998E-3</v>
      </c>
      <c r="K382" s="819">
        <f t="shared" si="78"/>
        <v>571</v>
      </c>
      <c r="L382" s="819">
        <f t="shared" si="79"/>
        <v>263</v>
      </c>
      <c r="M382" s="819">
        <f t="shared" si="75"/>
        <v>571</v>
      </c>
      <c r="N382" s="819">
        <f t="shared" si="76"/>
        <v>364</v>
      </c>
      <c r="O382" s="819">
        <f t="shared" si="77"/>
        <v>1616</v>
      </c>
      <c r="P382" s="819">
        <f t="shared" si="80"/>
        <v>827</v>
      </c>
      <c r="Q382" s="819">
        <f t="shared" si="81"/>
        <v>160</v>
      </c>
      <c r="R382" s="819">
        <f t="shared" si="82"/>
        <v>489</v>
      </c>
      <c r="S382" s="819">
        <f t="shared" si="83"/>
        <v>338</v>
      </c>
      <c r="T382" s="819">
        <f t="shared" si="84"/>
        <v>1594</v>
      </c>
      <c r="U382" s="819">
        <f t="shared" si="85"/>
        <v>3408</v>
      </c>
      <c r="V382" s="819">
        <f t="shared" si="86"/>
        <v>1470</v>
      </c>
      <c r="W382" s="379">
        <f t="shared" si="87"/>
        <v>1470</v>
      </c>
      <c r="X382" s="819" t="str">
        <f t="shared" si="88"/>
        <v/>
      </c>
      <c r="Y382" s="837"/>
      <c r="Z382" s="839"/>
      <c r="AA382" s="838"/>
      <c r="AB382" s="839"/>
    </row>
    <row r="383" spans="1:28" ht="14.45">
      <c r="A383" s="816"/>
      <c r="B383" s="819" t="s">
        <v>1153</v>
      </c>
      <c r="C383" s="819" t="s">
        <v>1154</v>
      </c>
      <c r="D383" s="379" t="s">
        <v>336</v>
      </c>
      <c r="E383" s="818" t="s">
        <v>425</v>
      </c>
      <c r="F383" s="820">
        <v>0.72066695000000003</v>
      </c>
      <c r="G383" s="821">
        <v>45.004572590000002</v>
      </c>
      <c r="H383" s="822">
        <v>547367903.56425202</v>
      </c>
      <c r="I383" s="819"/>
      <c r="J383" s="820">
        <v>-4.2135099999999998E-4</v>
      </c>
      <c r="K383" s="819">
        <f t="shared" si="78"/>
        <v>328</v>
      </c>
      <c r="L383" s="819">
        <f t="shared" si="79"/>
        <v>40</v>
      </c>
      <c r="M383" s="819">
        <f t="shared" si="75"/>
        <v>328</v>
      </c>
      <c r="N383" s="819">
        <f t="shared" si="76"/>
        <v>364</v>
      </c>
      <c r="O383" s="819">
        <f t="shared" si="77"/>
        <v>1239</v>
      </c>
      <c r="P383" s="819">
        <f t="shared" si="80"/>
        <v>1070</v>
      </c>
      <c r="Q383" s="819">
        <f t="shared" si="81"/>
        <v>383</v>
      </c>
      <c r="R383" s="819">
        <f t="shared" si="82"/>
        <v>246</v>
      </c>
      <c r="S383" s="819">
        <f t="shared" si="83"/>
        <v>338</v>
      </c>
      <c r="T383" s="819">
        <f t="shared" si="84"/>
        <v>1217</v>
      </c>
      <c r="U383" s="819">
        <f t="shared" si="85"/>
        <v>3254</v>
      </c>
      <c r="V383" s="819">
        <f t="shared" si="86"/>
        <v>1278</v>
      </c>
      <c r="W383" s="379">
        <f t="shared" si="87"/>
        <v>1278</v>
      </c>
      <c r="X383" s="819" t="str">
        <f t="shared" si="88"/>
        <v/>
      </c>
      <c r="Y383" s="837"/>
      <c r="Z383" s="839"/>
      <c r="AA383" s="838"/>
      <c r="AB383" s="839"/>
    </row>
    <row r="384" spans="1:28" ht="13.15">
      <c r="B384" s="819" t="s">
        <v>1155</v>
      </c>
      <c r="C384" s="819" t="s">
        <v>1156</v>
      </c>
      <c r="D384" s="379" t="s">
        <v>336</v>
      </c>
      <c r="E384" s="818" t="s">
        <v>425</v>
      </c>
      <c r="F384" s="820">
        <v>1.8523859519999999</v>
      </c>
      <c r="G384" s="821">
        <v>8.4451660000000005E-3</v>
      </c>
      <c r="H384" s="822">
        <v>185734861.430029</v>
      </c>
      <c r="I384" s="819">
        <v>2.72</v>
      </c>
      <c r="J384" s="820">
        <v>-1.0860742E-2</v>
      </c>
      <c r="K384" s="819">
        <f t="shared" si="78"/>
        <v>588</v>
      </c>
      <c r="L384" s="819">
        <f t="shared" si="79"/>
        <v>1071</v>
      </c>
      <c r="M384" s="819">
        <f t="shared" si="75"/>
        <v>588</v>
      </c>
      <c r="N384" s="819">
        <f t="shared" si="76"/>
        <v>71</v>
      </c>
      <c r="O384" s="819">
        <f t="shared" si="77"/>
        <v>1649</v>
      </c>
      <c r="P384" s="819">
        <f t="shared" si="80"/>
        <v>810</v>
      </c>
      <c r="Q384" s="819">
        <f t="shared" si="81"/>
        <v>648</v>
      </c>
      <c r="R384" s="819">
        <f t="shared" si="82"/>
        <v>506</v>
      </c>
      <c r="S384" s="819">
        <f t="shared" si="83"/>
        <v>45</v>
      </c>
      <c r="T384" s="819">
        <f t="shared" si="84"/>
        <v>1627</v>
      </c>
      <c r="U384" s="819">
        <f t="shared" si="85"/>
        <v>3636</v>
      </c>
      <c r="V384" s="819">
        <f t="shared" si="86"/>
        <v>1647</v>
      </c>
      <c r="W384" s="379">
        <f t="shared" si="87"/>
        <v>1647</v>
      </c>
      <c r="X384" s="819" t="str">
        <f t="shared" si="88"/>
        <v/>
      </c>
      <c r="Y384" s="837"/>
      <c r="Z384" s="839"/>
      <c r="AA384" s="838"/>
      <c r="AB384" s="839"/>
    </row>
    <row r="385" spans="1:28" ht="14.45">
      <c r="A385" s="816"/>
      <c r="B385" s="819" t="s">
        <v>1157</v>
      </c>
      <c r="C385" s="819" t="s">
        <v>1158</v>
      </c>
      <c r="D385" s="379" t="s">
        <v>336</v>
      </c>
      <c r="E385" s="818" t="s">
        <v>337</v>
      </c>
      <c r="F385" s="820">
        <v>3.157670398</v>
      </c>
      <c r="G385" s="821">
        <v>-0.89373491800000004</v>
      </c>
      <c r="H385" s="822">
        <v>906228209.39999998</v>
      </c>
      <c r="I385" s="819"/>
      <c r="J385" s="820">
        <v>6.4953600000000001E-5</v>
      </c>
      <c r="K385" s="819">
        <f t="shared" si="78"/>
        <v>237</v>
      </c>
      <c r="L385" s="819">
        <f t="shared" si="79"/>
        <v>1287</v>
      </c>
      <c r="M385" s="819">
        <f t="shared" si="75"/>
        <v>237</v>
      </c>
      <c r="N385" s="819">
        <f t="shared" si="76"/>
        <v>364</v>
      </c>
      <c r="O385" s="819">
        <f t="shared" si="77"/>
        <v>325</v>
      </c>
      <c r="P385" s="819">
        <f t="shared" si="80"/>
        <v>1161</v>
      </c>
      <c r="Q385" s="819">
        <f t="shared" si="81"/>
        <v>864</v>
      </c>
      <c r="R385" s="819">
        <f t="shared" si="82"/>
        <v>155</v>
      </c>
      <c r="S385" s="819">
        <f t="shared" si="83"/>
        <v>338</v>
      </c>
      <c r="T385" s="819">
        <f t="shared" si="84"/>
        <v>303</v>
      </c>
      <c r="U385" s="819">
        <f t="shared" si="85"/>
        <v>2821</v>
      </c>
      <c r="V385" s="819">
        <f t="shared" si="86"/>
        <v>663</v>
      </c>
      <c r="W385" s="379">
        <f t="shared" si="87"/>
        <v>663</v>
      </c>
      <c r="X385" s="819" t="str">
        <f t="shared" si="88"/>
        <v/>
      </c>
      <c r="Y385" s="837"/>
      <c r="Z385" s="839"/>
      <c r="AA385" s="838"/>
      <c r="AB385" s="839"/>
    </row>
    <row r="386" spans="1:28" ht="13.15">
      <c r="B386" s="819" t="s">
        <v>1159</v>
      </c>
      <c r="C386" s="819" t="s">
        <v>1160</v>
      </c>
      <c r="D386" s="379" t="s">
        <v>336</v>
      </c>
      <c r="E386" s="818" t="s">
        <v>337</v>
      </c>
      <c r="F386" s="820">
        <v>2.3820586590000001</v>
      </c>
      <c r="G386" s="821">
        <v>10.134891469999999</v>
      </c>
      <c r="H386" s="822">
        <v>4296710.18</v>
      </c>
      <c r="I386" s="819"/>
      <c r="J386" s="820">
        <v>-3.8429499999999999E-4</v>
      </c>
      <c r="K386" s="819">
        <f t="shared" si="78"/>
        <v>1393</v>
      </c>
      <c r="L386" s="819">
        <f t="shared" si="79"/>
        <v>192</v>
      </c>
      <c r="M386" s="819">
        <f t="shared" si="75"/>
        <v>1393</v>
      </c>
      <c r="N386" s="819">
        <f t="shared" si="76"/>
        <v>364</v>
      </c>
      <c r="O386" s="819">
        <f t="shared" si="77"/>
        <v>1212</v>
      </c>
      <c r="P386" s="819">
        <f t="shared" si="80"/>
        <v>5</v>
      </c>
      <c r="Q386" s="819">
        <f t="shared" si="81"/>
        <v>231</v>
      </c>
      <c r="R386" s="819">
        <f t="shared" si="82"/>
        <v>1311</v>
      </c>
      <c r="S386" s="819">
        <f t="shared" si="83"/>
        <v>338</v>
      </c>
      <c r="T386" s="819">
        <f t="shared" si="84"/>
        <v>1190</v>
      </c>
      <c r="U386" s="819">
        <f t="shared" si="85"/>
        <v>3075</v>
      </c>
      <c r="V386" s="819">
        <f t="shared" si="86"/>
        <v>1019</v>
      </c>
      <c r="W386" s="379">
        <f t="shared" si="87"/>
        <v>1019</v>
      </c>
      <c r="X386" s="819" t="str">
        <f t="shared" si="88"/>
        <v/>
      </c>
      <c r="Y386" s="837"/>
      <c r="Z386" s="839"/>
      <c r="AA386" s="838"/>
      <c r="AB386" s="839"/>
    </row>
    <row r="387" spans="1:28" ht="14.45">
      <c r="A387" s="816"/>
      <c r="B387" s="819" t="s">
        <v>1161</v>
      </c>
      <c r="C387" s="819" t="s">
        <v>1162</v>
      </c>
      <c r="D387" s="379" t="s">
        <v>336</v>
      </c>
      <c r="E387" s="818" t="s">
        <v>676</v>
      </c>
      <c r="F387" s="820"/>
      <c r="G387" s="821"/>
      <c r="H387" s="822">
        <v>40392071.680695102</v>
      </c>
      <c r="I387" s="819"/>
      <c r="J387" s="820">
        <v>0</v>
      </c>
      <c r="K387" s="819">
        <f t="shared" si="78"/>
        <v>926</v>
      </c>
      <c r="L387" s="819">
        <f t="shared" si="79"/>
        <v>1084</v>
      </c>
      <c r="M387" s="819">
        <f t="shared" si="75"/>
        <v>926</v>
      </c>
      <c r="N387" s="819">
        <f t="shared" si="76"/>
        <v>364</v>
      </c>
      <c r="O387" s="819">
        <f t="shared" si="77"/>
        <v>492</v>
      </c>
      <c r="P387" s="819">
        <f t="shared" si="80"/>
        <v>472</v>
      </c>
      <c r="Q387" s="819">
        <f t="shared" si="81"/>
        <v>661</v>
      </c>
      <c r="R387" s="819">
        <f t="shared" si="82"/>
        <v>844</v>
      </c>
      <c r="S387" s="819">
        <f t="shared" si="83"/>
        <v>338</v>
      </c>
      <c r="T387" s="819">
        <f t="shared" si="84"/>
        <v>470</v>
      </c>
      <c r="U387" s="819">
        <f t="shared" si="85"/>
        <v>2785</v>
      </c>
      <c r="V387" s="819">
        <f t="shared" si="86"/>
        <v>463</v>
      </c>
      <c r="W387" s="379">
        <f t="shared" si="87"/>
        <v>463</v>
      </c>
      <c r="X387" s="819" t="str">
        <f t="shared" si="88"/>
        <v/>
      </c>
      <c r="Y387" s="837"/>
      <c r="Z387" s="839"/>
      <c r="AA387" s="838"/>
      <c r="AB387" s="839"/>
    </row>
    <row r="388" spans="1:28" ht="13.15">
      <c r="B388" s="819" t="s">
        <v>1163</v>
      </c>
      <c r="C388" s="819" t="s">
        <v>1164</v>
      </c>
      <c r="D388" s="379" t="s">
        <v>336</v>
      </c>
      <c r="E388" s="818" t="s">
        <v>932</v>
      </c>
      <c r="F388" s="820">
        <v>1.369923174</v>
      </c>
      <c r="G388" s="821">
        <v>0.15801648900000001</v>
      </c>
      <c r="H388" s="822">
        <v>24154399.620469801</v>
      </c>
      <c r="I388" s="819"/>
      <c r="J388" s="820">
        <v>-6.4601700000000003E-4</v>
      </c>
      <c r="K388" s="819">
        <f t="shared" si="78"/>
        <v>1054</v>
      </c>
      <c r="L388" s="819">
        <f t="shared" si="79"/>
        <v>997</v>
      </c>
      <c r="M388" s="819">
        <f t="shared" ref="M388:M451" si="89">IFERROR(_xlfn.RANK.EQ(H388,H$3:H$1787),"N/A")</f>
        <v>1054</v>
      </c>
      <c r="N388" s="819">
        <f t="shared" ref="N388:N451" si="90">IFERROR(_xlfn.RANK.EQ(I388,I$3:I$1787),"N/A")</f>
        <v>364</v>
      </c>
      <c r="O388" s="819">
        <f t="shared" ref="O388:O451" si="91">IFERROR(_xlfn.RANK.EQ(J388,J$3:J$1787),"N/A")</f>
        <v>1329</v>
      </c>
      <c r="P388" s="819">
        <f t="shared" si="80"/>
        <v>344</v>
      </c>
      <c r="Q388" s="819">
        <f t="shared" si="81"/>
        <v>574</v>
      </c>
      <c r="R388" s="819">
        <f t="shared" si="82"/>
        <v>972</v>
      </c>
      <c r="S388" s="819">
        <f t="shared" si="83"/>
        <v>338</v>
      </c>
      <c r="T388" s="819">
        <f t="shared" si="84"/>
        <v>1307</v>
      </c>
      <c r="U388" s="819">
        <f t="shared" si="85"/>
        <v>3535</v>
      </c>
      <c r="V388" s="819">
        <f t="shared" si="86"/>
        <v>1583</v>
      </c>
      <c r="W388" s="379">
        <f t="shared" si="87"/>
        <v>1583</v>
      </c>
      <c r="X388" s="819" t="str">
        <f t="shared" si="88"/>
        <v/>
      </c>
      <c r="Y388" s="837"/>
      <c r="Z388" s="839"/>
      <c r="AA388" s="838"/>
      <c r="AB388" s="839"/>
    </row>
    <row r="389" spans="1:28" ht="14.45">
      <c r="A389" s="816"/>
      <c r="B389" s="819" t="s">
        <v>1165</v>
      </c>
      <c r="C389" s="819" t="s">
        <v>1166</v>
      </c>
      <c r="D389" s="379" t="s">
        <v>336</v>
      </c>
      <c r="E389" s="818" t="s">
        <v>453</v>
      </c>
      <c r="F389" s="820">
        <v>1.4033908509999999</v>
      </c>
      <c r="G389" s="821">
        <v>0.28291071800000001</v>
      </c>
      <c r="H389" s="822">
        <v>36122401.545144998</v>
      </c>
      <c r="I389" s="819">
        <v>24.34</v>
      </c>
      <c r="J389" s="820">
        <v>-1.8976014999999999E-2</v>
      </c>
      <c r="K389" s="819">
        <f t="shared" ref="K389:K452" si="92">IFERROR(_xlfn.RANK.EQ(H389,H$3:H$1787),"N/A")</f>
        <v>953</v>
      </c>
      <c r="L389" s="819">
        <f t="shared" ref="L389:L452" si="93">IFERROR(_xlfn.RANK.EQ(G389,G$3:G$1787),"N/A")</f>
        <v>963</v>
      </c>
      <c r="M389" s="819">
        <f t="shared" si="89"/>
        <v>953</v>
      </c>
      <c r="N389" s="819">
        <f t="shared" si="90"/>
        <v>24</v>
      </c>
      <c r="O389" s="819">
        <f t="shared" si="91"/>
        <v>1692</v>
      </c>
      <c r="P389" s="819">
        <f t="shared" ref="P389:P452" si="94">IFERROR(ABS(K$3-K389),"N/A")</f>
        <v>445</v>
      </c>
      <c r="Q389" s="819">
        <f t="shared" ref="Q389:Q452" si="95">IFERROR(ABS(L$3-L389),"N/A")</f>
        <v>540</v>
      </c>
      <c r="R389" s="819">
        <f t="shared" ref="R389:R452" si="96">IFERROR(ABS(M$3-M389),"N/A")</f>
        <v>871</v>
      </c>
      <c r="S389" s="819">
        <f t="shared" ref="S389:S452" si="97">IFERROR(ABS(N$3-N389),"N/A")</f>
        <v>2</v>
      </c>
      <c r="T389" s="819">
        <f t="shared" ref="T389:T452" si="98">IFERROR(ABS(O$3-O389),"N/A")</f>
        <v>1670</v>
      </c>
      <c r="U389" s="819">
        <f t="shared" ref="U389:U452" si="99">SUM(P389:T389)</f>
        <v>3528</v>
      </c>
      <c r="V389" s="819">
        <f t="shared" ref="V389:V452" si="100">_xlfn.RANK.EQ(U389,$U$4:$U$1787,1)</f>
        <v>1579</v>
      </c>
      <c r="W389" s="379">
        <f t="shared" ref="W389:W452" si="101">IF(Y389="Not suitable","-",V389)</f>
        <v>1579</v>
      </c>
      <c r="X389" s="819" t="str">
        <f t="shared" si="88"/>
        <v/>
      </c>
      <c r="Y389" s="837"/>
      <c r="Z389" s="839"/>
      <c r="AA389" s="838"/>
      <c r="AB389" s="839"/>
    </row>
    <row r="390" spans="1:28" ht="13.15">
      <c r="B390" s="819" t="s">
        <v>1167</v>
      </c>
      <c r="C390" s="819" t="s">
        <v>1168</v>
      </c>
      <c r="D390" s="379" t="s">
        <v>336</v>
      </c>
      <c r="E390" s="818" t="s">
        <v>941</v>
      </c>
      <c r="F390" s="820">
        <v>1.2649029860000001</v>
      </c>
      <c r="G390" s="821">
        <v>0.96923466400000002</v>
      </c>
      <c r="H390" s="822">
        <v>1782402137.1867599</v>
      </c>
      <c r="I390" s="819"/>
      <c r="J390" s="820">
        <v>-7.4049859999999997E-3</v>
      </c>
      <c r="K390" s="819">
        <f t="shared" si="92"/>
        <v>162</v>
      </c>
      <c r="L390" s="819">
        <f t="shared" si="93"/>
        <v>822</v>
      </c>
      <c r="M390" s="819">
        <f t="shared" si="89"/>
        <v>162</v>
      </c>
      <c r="N390" s="819">
        <f t="shared" si="90"/>
        <v>364</v>
      </c>
      <c r="O390" s="819">
        <f t="shared" si="91"/>
        <v>1632</v>
      </c>
      <c r="P390" s="819">
        <f t="shared" si="94"/>
        <v>1236</v>
      </c>
      <c r="Q390" s="819">
        <f t="shared" si="95"/>
        <v>399</v>
      </c>
      <c r="R390" s="819">
        <f t="shared" si="96"/>
        <v>80</v>
      </c>
      <c r="S390" s="819">
        <f t="shared" si="97"/>
        <v>338</v>
      </c>
      <c r="T390" s="819">
        <f t="shared" si="98"/>
        <v>1610</v>
      </c>
      <c r="U390" s="819">
        <f t="shared" si="99"/>
        <v>3663</v>
      </c>
      <c r="V390" s="819">
        <f t="shared" si="100"/>
        <v>1660</v>
      </c>
      <c r="W390" s="379">
        <f t="shared" si="101"/>
        <v>1660</v>
      </c>
      <c r="X390" s="819" t="str">
        <f t="shared" ref="X390:X453" si="102">IF(L390="N/A","Y","")</f>
        <v/>
      </c>
      <c r="Y390" s="837"/>
      <c r="Z390" s="839"/>
      <c r="AA390" s="838"/>
      <c r="AB390" s="839"/>
    </row>
    <row r="391" spans="1:28" ht="14.45">
      <c r="A391" s="816"/>
      <c r="B391" s="819" t="s">
        <v>1169</v>
      </c>
      <c r="C391" s="819" t="s">
        <v>1170</v>
      </c>
      <c r="D391" s="379" t="s">
        <v>336</v>
      </c>
      <c r="E391" s="818" t="s">
        <v>1171</v>
      </c>
      <c r="F391" s="820">
        <v>4.1998848359999998</v>
      </c>
      <c r="G391" s="821">
        <v>2.208377434</v>
      </c>
      <c r="H391" s="822">
        <v>1197100494.75792</v>
      </c>
      <c r="I391" s="819"/>
      <c r="J391" s="820">
        <v>-5.2116200000000001E-5</v>
      </c>
      <c r="K391" s="819">
        <f t="shared" si="92"/>
        <v>200</v>
      </c>
      <c r="L391" s="819">
        <f t="shared" si="93"/>
        <v>646</v>
      </c>
      <c r="M391" s="819">
        <f t="shared" si="89"/>
        <v>200</v>
      </c>
      <c r="N391" s="819">
        <f t="shared" si="90"/>
        <v>364</v>
      </c>
      <c r="O391" s="819">
        <f t="shared" si="91"/>
        <v>925</v>
      </c>
      <c r="P391" s="819">
        <f t="shared" si="94"/>
        <v>1198</v>
      </c>
      <c r="Q391" s="819">
        <f t="shared" si="95"/>
        <v>223</v>
      </c>
      <c r="R391" s="819">
        <f t="shared" si="96"/>
        <v>118</v>
      </c>
      <c r="S391" s="819">
        <f t="shared" si="97"/>
        <v>338</v>
      </c>
      <c r="T391" s="819">
        <f t="shared" si="98"/>
        <v>903</v>
      </c>
      <c r="U391" s="819">
        <f t="shared" si="99"/>
        <v>2780</v>
      </c>
      <c r="V391" s="819">
        <f t="shared" si="100"/>
        <v>459</v>
      </c>
      <c r="W391" s="379">
        <f t="shared" si="101"/>
        <v>459</v>
      </c>
      <c r="X391" s="819" t="str">
        <f t="shared" si="102"/>
        <v/>
      </c>
      <c r="Y391" s="837"/>
      <c r="Z391" s="839"/>
      <c r="AA391" s="838"/>
      <c r="AB391" s="839"/>
    </row>
    <row r="392" spans="1:28" ht="13.15">
      <c r="B392" s="819" t="s">
        <v>1172</v>
      </c>
      <c r="C392" s="819" t="s">
        <v>1173</v>
      </c>
      <c r="D392" s="379" t="s">
        <v>336</v>
      </c>
      <c r="E392" s="818" t="s">
        <v>1174</v>
      </c>
      <c r="F392" s="820">
        <v>3.22149989</v>
      </c>
      <c r="G392" s="821">
        <v>11.05765841</v>
      </c>
      <c r="H392" s="822">
        <v>260931733.33722499</v>
      </c>
      <c r="I392" s="819"/>
      <c r="J392" s="820">
        <v>-3.7103800000000002E-4</v>
      </c>
      <c r="K392" s="819">
        <f t="shared" si="92"/>
        <v>505</v>
      </c>
      <c r="L392" s="819">
        <f t="shared" si="93"/>
        <v>172</v>
      </c>
      <c r="M392" s="819">
        <f t="shared" si="89"/>
        <v>505</v>
      </c>
      <c r="N392" s="819">
        <f t="shared" si="90"/>
        <v>364</v>
      </c>
      <c r="O392" s="819">
        <f t="shared" si="91"/>
        <v>1205</v>
      </c>
      <c r="P392" s="819">
        <f t="shared" si="94"/>
        <v>893</v>
      </c>
      <c r="Q392" s="819">
        <f t="shared" si="95"/>
        <v>251</v>
      </c>
      <c r="R392" s="819">
        <f t="shared" si="96"/>
        <v>423</v>
      </c>
      <c r="S392" s="819">
        <f t="shared" si="97"/>
        <v>338</v>
      </c>
      <c r="T392" s="819">
        <f t="shared" si="98"/>
        <v>1183</v>
      </c>
      <c r="U392" s="819">
        <f t="shared" si="99"/>
        <v>3088</v>
      </c>
      <c r="V392" s="819">
        <f t="shared" si="100"/>
        <v>1051</v>
      </c>
      <c r="W392" s="379">
        <f t="shared" si="101"/>
        <v>1051</v>
      </c>
      <c r="X392" s="819" t="str">
        <f t="shared" si="102"/>
        <v/>
      </c>
      <c r="Y392" s="837"/>
      <c r="Z392" s="839"/>
      <c r="AA392" s="838"/>
      <c r="AB392" s="839"/>
    </row>
    <row r="393" spans="1:28" ht="14.45">
      <c r="A393" s="816"/>
      <c r="B393" s="819" t="s">
        <v>1175</v>
      </c>
      <c r="C393" s="819" t="s">
        <v>1176</v>
      </c>
      <c r="D393" s="379" t="s">
        <v>336</v>
      </c>
      <c r="E393" s="818" t="s">
        <v>752</v>
      </c>
      <c r="F393" s="820">
        <v>0.98956756999999995</v>
      </c>
      <c r="G393" s="821">
        <v>2.6487395070000002</v>
      </c>
      <c r="H393" s="822">
        <v>15771539.747280899</v>
      </c>
      <c r="I393" s="819"/>
      <c r="J393" s="820">
        <v>-1.5989500000000001E-4</v>
      </c>
      <c r="K393" s="819">
        <f t="shared" si="92"/>
        <v>1152</v>
      </c>
      <c r="L393" s="819">
        <f t="shared" si="93"/>
        <v>586</v>
      </c>
      <c r="M393" s="819">
        <f t="shared" si="89"/>
        <v>1152</v>
      </c>
      <c r="N393" s="819">
        <f t="shared" si="90"/>
        <v>364</v>
      </c>
      <c r="O393" s="819">
        <f t="shared" si="91"/>
        <v>1070</v>
      </c>
      <c r="P393" s="819">
        <f t="shared" si="94"/>
        <v>246</v>
      </c>
      <c r="Q393" s="819">
        <f t="shared" si="95"/>
        <v>163</v>
      </c>
      <c r="R393" s="819">
        <f t="shared" si="96"/>
        <v>1070</v>
      </c>
      <c r="S393" s="819">
        <f t="shared" si="97"/>
        <v>338</v>
      </c>
      <c r="T393" s="819">
        <f t="shared" si="98"/>
        <v>1048</v>
      </c>
      <c r="U393" s="819">
        <f t="shared" si="99"/>
        <v>2865</v>
      </c>
      <c r="V393" s="819">
        <f t="shared" si="100"/>
        <v>747</v>
      </c>
      <c r="W393" s="379">
        <f t="shared" si="101"/>
        <v>747</v>
      </c>
      <c r="X393" s="819" t="str">
        <f t="shared" si="102"/>
        <v/>
      </c>
      <c r="Y393" s="837"/>
      <c r="Z393" s="839"/>
      <c r="AA393" s="838"/>
      <c r="AB393" s="839"/>
    </row>
    <row r="394" spans="1:28" ht="13.15">
      <c r="B394" s="819" t="s">
        <v>1177</v>
      </c>
      <c r="C394" s="819" t="s">
        <v>1178</v>
      </c>
      <c r="D394" s="379" t="s">
        <v>336</v>
      </c>
      <c r="E394" s="818" t="s">
        <v>842</v>
      </c>
      <c r="F394" s="820">
        <v>-0.84422741400000001</v>
      </c>
      <c r="G394" s="821">
        <v>-1.8286101029999999</v>
      </c>
      <c r="H394" s="822">
        <v>2485232.9141214499</v>
      </c>
      <c r="I394" s="819"/>
      <c r="J394" s="820">
        <v>1.89366E-4</v>
      </c>
      <c r="K394" s="819">
        <f t="shared" si="92"/>
        <v>1468</v>
      </c>
      <c r="L394" s="819">
        <f t="shared" si="93"/>
        <v>1338</v>
      </c>
      <c r="M394" s="819">
        <f t="shared" si="89"/>
        <v>1468</v>
      </c>
      <c r="N394" s="819">
        <f t="shared" si="90"/>
        <v>364</v>
      </c>
      <c r="O394" s="819">
        <f t="shared" si="91"/>
        <v>257</v>
      </c>
      <c r="P394" s="819">
        <f t="shared" si="94"/>
        <v>70</v>
      </c>
      <c r="Q394" s="819">
        <f t="shared" si="95"/>
        <v>915</v>
      </c>
      <c r="R394" s="819">
        <f t="shared" si="96"/>
        <v>1386</v>
      </c>
      <c r="S394" s="819">
        <f t="shared" si="97"/>
        <v>338</v>
      </c>
      <c r="T394" s="819">
        <f t="shared" si="98"/>
        <v>235</v>
      </c>
      <c r="U394" s="819">
        <f t="shared" si="99"/>
        <v>2944</v>
      </c>
      <c r="V394" s="819">
        <f t="shared" si="100"/>
        <v>858</v>
      </c>
      <c r="W394" s="379">
        <f t="shared" si="101"/>
        <v>858</v>
      </c>
      <c r="X394" s="819" t="str">
        <f t="shared" si="102"/>
        <v/>
      </c>
      <c r="Y394" s="837"/>
      <c r="Z394" s="839"/>
      <c r="AA394" s="838"/>
      <c r="AB394" s="839"/>
    </row>
    <row r="395" spans="1:28" ht="14.45">
      <c r="A395" s="816"/>
      <c r="B395" s="819" t="s">
        <v>1179</v>
      </c>
      <c r="C395" s="819" t="s">
        <v>1180</v>
      </c>
      <c r="D395" s="379" t="s">
        <v>336</v>
      </c>
      <c r="E395" s="818" t="s">
        <v>842</v>
      </c>
      <c r="F395" s="820"/>
      <c r="G395" s="821"/>
      <c r="H395" s="822">
        <v>1990798.71721164</v>
      </c>
      <c r="I395" s="819"/>
      <c r="J395" s="820">
        <v>0</v>
      </c>
      <c r="K395" s="819">
        <f t="shared" si="92"/>
        <v>1501</v>
      </c>
      <c r="L395" s="819">
        <f t="shared" si="93"/>
        <v>1084</v>
      </c>
      <c r="M395" s="819">
        <f t="shared" si="89"/>
        <v>1501</v>
      </c>
      <c r="N395" s="819">
        <f t="shared" si="90"/>
        <v>364</v>
      </c>
      <c r="O395" s="819">
        <f t="shared" si="91"/>
        <v>492</v>
      </c>
      <c r="P395" s="819">
        <f t="shared" si="94"/>
        <v>103</v>
      </c>
      <c r="Q395" s="819">
        <f t="shared" si="95"/>
        <v>661</v>
      </c>
      <c r="R395" s="819">
        <f t="shared" si="96"/>
        <v>1419</v>
      </c>
      <c r="S395" s="819">
        <f t="shared" si="97"/>
        <v>338</v>
      </c>
      <c r="T395" s="819">
        <f t="shared" si="98"/>
        <v>470</v>
      </c>
      <c r="U395" s="819">
        <f t="shared" si="99"/>
        <v>2991</v>
      </c>
      <c r="V395" s="819">
        <f t="shared" si="100"/>
        <v>916</v>
      </c>
      <c r="W395" s="379">
        <f t="shared" si="101"/>
        <v>916</v>
      </c>
      <c r="X395" s="819" t="str">
        <f t="shared" si="102"/>
        <v/>
      </c>
      <c r="Y395" s="837"/>
      <c r="Z395" s="839"/>
      <c r="AA395" s="838"/>
      <c r="AB395" s="839"/>
    </row>
    <row r="396" spans="1:28" ht="13.15">
      <c r="B396" s="819" t="s">
        <v>1181</v>
      </c>
      <c r="C396" s="819" t="s">
        <v>1182</v>
      </c>
      <c r="D396" s="379" t="s">
        <v>336</v>
      </c>
      <c r="E396" s="818" t="s">
        <v>842</v>
      </c>
      <c r="F396" s="820">
        <v>1.7077721859999999</v>
      </c>
      <c r="G396" s="821">
        <v>4.3760798349999996</v>
      </c>
      <c r="H396" s="822"/>
      <c r="I396" s="819"/>
      <c r="J396" s="820">
        <v>-4.0547199999999998E-4</v>
      </c>
      <c r="K396" s="819" t="str">
        <f t="shared" si="92"/>
        <v>N/A</v>
      </c>
      <c r="L396" s="819">
        <f t="shared" si="93"/>
        <v>424</v>
      </c>
      <c r="M396" s="819" t="str">
        <f t="shared" si="89"/>
        <v>N/A</v>
      </c>
      <c r="N396" s="819">
        <f t="shared" si="90"/>
        <v>364</v>
      </c>
      <c r="O396" s="819">
        <f t="shared" si="91"/>
        <v>1228</v>
      </c>
      <c r="P396" s="819" t="str">
        <f t="shared" si="94"/>
        <v>N/A</v>
      </c>
      <c r="Q396" s="819">
        <f t="shared" si="95"/>
        <v>1</v>
      </c>
      <c r="R396" s="819" t="str">
        <f t="shared" si="96"/>
        <v>N/A</v>
      </c>
      <c r="S396" s="819">
        <f t="shared" si="97"/>
        <v>338</v>
      </c>
      <c r="T396" s="819">
        <f t="shared" si="98"/>
        <v>1206</v>
      </c>
      <c r="U396" s="819">
        <f t="shared" si="99"/>
        <v>1545</v>
      </c>
      <c r="V396" s="819">
        <f t="shared" si="100"/>
        <v>57</v>
      </c>
      <c r="W396" s="379">
        <f t="shared" si="101"/>
        <v>57</v>
      </c>
      <c r="X396" s="819" t="str">
        <f t="shared" si="102"/>
        <v/>
      </c>
      <c r="Y396" s="837"/>
      <c r="Z396" s="839"/>
      <c r="AA396" s="838"/>
      <c r="AB396" s="839"/>
    </row>
    <row r="397" spans="1:28" ht="14.45">
      <c r="A397" s="816"/>
      <c r="B397" s="819" t="s">
        <v>1183</v>
      </c>
      <c r="C397" s="819" t="s">
        <v>1184</v>
      </c>
      <c r="D397" s="379" t="s">
        <v>336</v>
      </c>
      <c r="E397" s="818" t="s">
        <v>842</v>
      </c>
      <c r="F397" s="820"/>
      <c r="G397" s="821">
        <v>0</v>
      </c>
      <c r="H397" s="822">
        <v>7522247.3904060395</v>
      </c>
      <c r="I397" s="819"/>
      <c r="J397" s="820">
        <v>-7.3266600000000003E-6</v>
      </c>
      <c r="K397" s="819">
        <f t="shared" si="92"/>
        <v>1309</v>
      </c>
      <c r="L397" s="819">
        <f t="shared" si="93"/>
        <v>1084</v>
      </c>
      <c r="M397" s="819">
        <f t="shared" si="89"/>
        <v>1309</v>
      </c>
      <c r="N397" s="819">
        <f t="shared" si="90"/>
        <v>364</v>
      </c>
      <c r="O397" s="819">
        <f t="shared" si="91"/>
        <v>791</v>
      </c>
      <c r="P397" s="819">
        <f t="shared" si="94"/>
        <v>89</v>
      </c>
      <c r="Q397" s="819">
        <f t="shared" si="95"/>
        <v>661</v>
      </c>
      <c r="R397" s="819">
        <f t="shared" si="96"/>
        <v>1227</v>
      </c>
      <c r="S397" s="819">
        <f t="shared" si="97"/>
        <v>338</v>
      </c>
      <c r="T397" s="819">
        <f t="shared" si="98"/>
        <v>769</v>
      </c>
      <c r="U397" s="819">
        <f t="shared" si="99"/>
        <v>3084</v>
      </c>
      <c r="V397" s="819">
        <f t="shared" si="100"/>
        <v>1042</v>
      </c>
      <c r="W397" s="379">
        <f t="shared" si="101"/>
        <v>1042</v>
      </c>
      <c r="X397" s="819" t="str">
        <f t="shared" si="102"/>
        <v/>
      </c>
      <c r="Y397" s="837"/>
      <c r="Z397" s="839"/>
      <c r="AA397" s="838"/>
      <c r="AB397" s="839"/>
    </row>
    <row r="398" spans="1:28" ht="13.15">
      <c r="B398" s="819" t="s">
        <v>1185</v>
      </c>
      <c r="C398" s="819" t="s">
        <v>1186</v>
      </c>
      <c r="D398" s="379" t="s">
        <v>336</v>
      </c>
      <c r="E398" s="818" t="s">
        <v>842</v>
      </c>
      <c r="F398" s="820">
        <v>1.7575279690000001</v>
      </c>
      <c r="G398" s="821">
        <v>3.090163827</v>
      </c>
      <c r="H398" s="822">
        <v>2094086.5307865201</v>
      </c>
      <c r="I398" s="819"/>
      <c r="J398" s="820">
        <v>-5.4119900000000002E-4</v>
      </c>
      <c r="K398" s="819">
        <f t="shared" si="92"/>
        <v>1490</v>
      </c>
      <c r="L398" s="819">
        <f t="shared" si="93"/>
        <v>539</v>
      </c>
      <c r="M398" s="819">
        <f t="shared" si="89"/>
        <v>1490</v>
      </c>
      <c r="N398" s="819">
        <f t="shared" si="90"/>
        <v>364</v>
      </c>
      <c r="O398" s="819">
        <f t="shared" si="91"/>
        <v>1284</v>
      </c>
      <c r="P398" s="819">
        <f t="shared" si="94"/>
        <v>92</v>
      </c>
      <c r="Q398" s="819">
        <f t="shared" si="95"/>
        <v>116</v>
      </c>
      <c r="R398" s="819">
        <f t="shared" si="96"/>
        <v>1408</v>
      </c>
      <c r="S398" s="819">
        <f t="shared" si="97"/>
        <v>338</v>
      </c>
      <c r="T398" s="819">
        <f t="shared" si="98"/>
        <v>1262</v>
      </c>
      <c r="U398" s="819">
        <f t="shared" si="99"/>
        <v>3216</v>
      </c>
      <c r="V398" s="819">
        <f t="shared" si="100"/>
        <v>1223</v>
      </c>
      <c r="W398" s="379">
        <f t="shared" si="101"/>
        <v>1223</v>
      </c>
      <c r="X398" s="819" t="str">
        <f t="shared" si="102"/>
        <v/>
      </c>
      <c r="Y398" s="837"/>
      <c r="Z398" s="839"/>
      <c r="AA398" s="838"/>
      <c r="AB398" s="839"/>
    </row>
    <row r="399" spans="1:28" ht="14.45">
      <c r="A399" s="816"/>
      <c r="B399" s="819" t="s">
        <v>1187</v>
      </c>
      <c r="C399" s="819" t="s">
        <v>1188</v>
      </c>
      <c r="D399" s="379" t="s">
        <v>336</v>
      </c>
      <c r="E399" s="818" t="s">
        <v>625</v>
      </c>
      <c r="F399" s="820">
        <v>5.1063170710000003</v>
      </c>
      <c r="G399" s="821">
        <v>2.0816172380000002</v>
      </c>
      <c r="H399" s="822">
        <v>70212583.436341196</v>
      </c>
      <c r="I399" s="819"/>
      <c r="J399" s="820">
        <v>-3.2113085E-2</v>
      </c>
      <c r="K399" s="819">
        <f t="shared" si="92"/>
        <v>795</v>
      </c>
      <c r="L399" s="819">
        <f t="shared" si="93"/>
        <v>661</v>
      </c>
      <c r="M399" s="819">
        <f t="shared" si="89"/>
        <v>795</v>
      </c>
      <c r="N399" s="819">
        <f t="shared" si="90"/>
        <v>364</v>
      </c>
      <c r="O399" s="819">
        <f t="shared" si="91"/>
        <v>1715</v>
      </c>
      <c r="P399" s="819">
        <f t="shared" si="94"/>
        <v>603</v>
      </c>
      <c r="Q399" s="819">
        <f t="shared" si="95"/>
        <v>238</v>
      </c>
      <c r="R399" s="819">
        <f t="shared" si="96"/>
        <v>713</v>
      </c>
      <c r="S399" s="819">
        <f t="shared" si="97"/>
        <v>338</v>
      </c>
      <c r="T399" s="819">
        <f t="shared" si="98"/>
        <v>1693</v>
      </c>
      <c r="U399" s="819">
        <f t="shared" si="99"/>
        <v>3585</v>
      </c>
      <c r="V399" s="819">
        <f t="shared" si="100"/>
        <v>1616</v>
      </c>
      <c r="W399" s="379">
        <f t="shared" si="101"/>
        <v>1616</v>
      </c>
      <c r="X399" s="819" t="str">
        <f t="shared" si="102"/>
        <v/>
      </c>
      <c r="Y399" s="837"/>
      <c r="Z399" s="839"/>
      <c r="AA399" s="838"/>
      <c r="AB399" s="839"/>
    </row>
    <row r="400" spans="1:28" ht="13.15">
      <c r="B400" s="819" t="s">
        <v>1189</v>
      </c>
      <c r="C400" s="819" t="s">
        <v>1190</v>
      </c>
      <c r="D400" s="379" t="s">
        <v>336</v>
      </c>
      <c r="E400" s="818" t="s">
        <v>522</v>
      </c>
      <c r="F400" s="820">
        <v>2.423573051</v>
      </c>
      <c r="G400" s="821">
        <v>-0.13997915899999999</v>
      </c>
      <c r="H400" s="822">
        <v>1023783957.60936</v>
      </c>
      <c r="I400" s="819"/>
      <c r="J400" s="820">
        <v>3.63789E-3</v>
      </c>
      <c r="K400" s="819">
        <f t="shared" si="92"/>
        <v>219</v>
      </c>
      <c r="L400" s="819">
        <f t="shared" si="93"/>
        <v>1226</v>
      </c>
      <c r="M400" s="819">
        <f t="shared" si="89"/>
        <v>219</v>
      </c>
      <c r="N400" s="819">
        <f t="shared" si="90"/>
        <v>364</v>
      </c>
      <c r="O400" s="819">
        <f t="shared" si="91"/>
        <v>154</v>
      </c>
      <c r="P400" s="819">
        <f t="shared" si="94"/>
        <v>1179</v>
      </c>
      <c r="Q400" s="819">
        <f t="shared" si="95"/>
        <v>803</v>
      </c>
      <c r="R400" s="819">
        <f t="shared" si="96"/>
        <v>137</v>
      </c>
      <c r="S400" s="819">
        <f t="shared" si="97"/>
        <v>338</v>
      </c>
      <c r="T400" s="819">
        <f t="shared" si="98"/>
        <v>132</v>
      </c>
      <c r="U400" s="819">
        <f t="shared" si="99"/>
        <v>2589</v>
      </c>
      <c r="V400" s="819">
        <f t="shared" si="100"/>
        <v>281</v>
      </c>
      <c r="W400" s="379">
        <f t="shared" si="101"/>
        <v>281</v>
      </c>
      <c r="X400" s="819" t="str">
        <f t="shared" si="102"/>
        <v/>
      </c>
      <c r="Y400" s="837"/>
      <c r="Z400" s="839"/>
      <c r="AA400" s="838"/>
      <c r="AB400" s="839"/>
    </row>
    <row r="401" spans="1:28" ht="14.45">
      <c r="A401" s="816"/>
      <c r="B401" s="819" t="s">
        <v>1191</v>
      </c>
      <c r="C401" s="819" t="s">
        <v>1192</v>
      </c>
      <c r="D401" s="379" t="s">
        <v>336</v>
      </c>
      <c r="E401" s="818" t="s">
        <v>522</v>
      </c>
      <c r="F401" s="820">
        <v>1.5875126369999999</v>
      </c>
      <c r="G401" s="821">
        <v>1.6978041399999999</v>
      </c>
      <c r="H401" s="822"/>
      <c r="I401" s="819"/>
      <c r="J401" s="820">
        <v>-1.6504700000000001E-4</v>
      </c>
      <c r="K401" s="819" t="str">
        <f t="shared" si="92"/>
        <v>N/A</v>
      </c>
      <c r="L401" s="819">
        <f t="shared" si="93"/>
        <v>719</v>
      </c>
      <c r="M401" s="819" t="str">
        <f t="shared" si="89"/>
        <v>N/A</v>
      </c>
      <c r="N401" s="819">
        <f t="shared" si="90"/>
        <v>364</v>
      </c>
      <c r="O401" s="819">
        <f t="shared" si="91"/>
        <v>1075</v>
      </c>
      <c r="P401" s="819" t="str">
        <f t="shared" si="94"/>
        <v>N/A</v>
      </c>
      <c r="Q401" s="819">
        <f t="shared" si="95"/>
        <v>296</v>
      </c>
      <c r="R401" s="819" t="str">
        <f t="shared" si="96"/>
        <v>N/A</v>
      </c>
      <c r="S401" s="819">
        <f t="shared" si="97"/>
        <v>338</v>
      </c>
      <c r="T401" s="819">
        <f t="shared" si="98"/>
        <v>1053</v>
      </c>
      <c r="U401" s="819">
        <f t="shared" si="99"/>
        <v>1687</v>
      </c>
      <c r="V401" s="819">
        <f t="shared" si="100"/>
        <v>86</v>
      </c>
      <c r="W401" s="379">
        <f t="shared" si="101"/>
        <v>86</v>
      </c>
      <c r="X401" s="819" t="str">
        <f t="shared" si="102"/>
        <v/>
      </c>
      <c r="Y401" s="837"/>
      <c r="Z401" s="839"/>
      <c r="AA401" s="838"/>
      <c r="AB401" s="839"/>
    </row>
    <row r="402" spans="1:28" ht="13.15">
      <c r="B402" s="819" t="s">
        <v>1193</v>
      </c>
      <c r="C402" s="819" t="s">
        <v>1194</v>
      </c>
      <c r="D402" s="379" t="s">
        <v>336</v>
      </c>
      <c r="E402" s="818" t="s">
        <v>842</v>
      </c>
      <c r="F402" s="820">
        <v>1.828619379</v>
      </c>
      <c r="G402" s="821">
        <v>2.7709863100000001</v>
      </c>
      <c r="H402" s="822">
        <v>2037369.7448796299</v>
      </c>
      <c r="I402" s="819"/>
      <c r="J402" s="820">
        <v>-1.574535E-3</v>
      </c>
      <c r="K402" s="819">
        <f t="shared" si="92"/>
        <v>1496</v>
      </c>
      <c r="L402" s="819">
        <f t="shared" si="93"/>
        <v>573</v>
      </c>
      <c r="M402" s="819">
        <f t="shared" si="89"/>
        <v>1496</v>
      </c>
      <c r="N402" s="819">
        <f t="shared" si="90"/>
        <v>364</v>
      </c>
      <c r="O402" s="819">
        <f t="shared" si="91"/>
        <v>1468</v>
      </c>
      <c r="P402" s="819">
        <f t="shared" si="94"/>
        <v>98</v>
      </c>
      <c r="Q402" s="819">
        <f t="shared" si="95"/>
        <v>150</v>
      </c>
      <c r="R402" s="819">
        <f t="shared" si="96"/>
        <v>1414</v>
      </c>
      <c r="S402" s="819">
        <f t="shared" si="97"/>
        <v>338</v>
      </c>
      <c r="T402" s="819">
        <f t="shared" si="98"/>
        <v>1446</v>
      </c>
      <c r="U402" s="819">
        <f t="shared" si="99"/>
        <v>3446</v>
      </c>
      <c r="V402" s="819">
        <f t="shared" si="100"/>
        <v>1504</v>
      </c>
      <c r="W402" s="379">
        <f t="shared" si="101"/>
        <v>1504</v>
      </c>
      <c r="X402" s="819" t="str">
        <f t="shared" si="102"/>
        <v/>
      </c>
      <c r="Y402" s="837"/>
      <c r="Z402" s="839"/>
      <c r="AA402" s="838"/>
      <c r="AB402" s="839"/>
    </row>
    <row r="403" spans="1:28" ht="14.45">
      <c r="A403" s="816"/>
      <c r="B403" s="819" t="s">
        <v>1195</v>
      </c>
      <c r="C403" s="819" t="s">
        <v>1196</v>
      </c>
      <c r="D403" s="379" t="s">
        <v>336</v>
      </c>
      <c r="E403" s="818" t="s">
        <v>842</v>
      </c>
      <c r="F403" s="820"/>
      <c r="G403" s="821"/>
      <c r="H403" s="822">
        <v>7101347.3230327005</v>
      </c>
      <c r="I403" s="819"/>
      <c r="J403" s="820">
        <v>0</v>
      </c>
      <c r="K403" s="819">
        <f t="shared" si="92"/>
        <v>1317</v>
      </c>
      <c r="L403" s="819">
        <f t="shared" si="93"/>
        <v>1084</v>
      </c>
      <c r="M403" s="819">
        <f t="shared" si="89"/>
        <v>1317</v>
      </c>
      <c r="N403" s="819">
        <f t="shared" si="90"/>
        <v>364</v>
      </c>
      <c r="O403" s="819">
        <f t="shared" si="91"/>
        <v>492</v>
      </c>
      <c r="P403" s="819">
        <f t="shared" si="94"/>
        <v>81</v>
      </c>
      <c r="Q403" s="819">
        <f t="shared" si="95"/>
        <v>661</v>
      </c>
      <c r="R403" s="819">
        <f t="shared" si="96"/>
        <v>1235</v>
      </c>
      <c r="S403" s="819">
        <f t="shared" si="97"/>
        <v>338</v>
      </c>
      <c r="T403" s="819">
        <f t="shared" si="98"/>
        <v>470</v>
      </c>
      <c r="U403" s="819">
        <f t="shared" si="99"/>
        <v>2785</v>
      </c>
      <c r="V403" s="819">
        <f t="shared" si="100"/>
        <v>463</v>
      </c>
      <c r="W403" s="379">
        <f t="shared" si="101"/>
        <v>463</v>
      </c>
      <c r="X403" s="819" t="str">
        <f t="shared" si="102"/>
        <v/>
      </c>
      <c r="Y403" s="837"/>
      <c r="Z403" s="839"/>
      <c r="AA403" s="838"/>
      <c r="AB403" s="839"/>
    </row>
    <row r="404" spans="1:28" ht="13.15">
      <c r="B404" s="819" t="s">
        <v>1197</v>
      </c>
      <c r="C404" s="819" t="s">
        <v>1198</v>
      </c>
      <c r="D404" s="379" t="s">
        <v>336</v>
      </c>
      <c r="E404" s="818" t="s">
        <v>1199</v>
      </c>
      <c r="F404" s="820">
        <v>3.7572204920000001</v>
      </c>
      <c r="G404" s="821">
        <v>15.481878610000001</v>
      </c>
      <c r="H404" s="822"/>
      <c r="I404" s="819"/>
      <c r="J404" s="820">
        <v>-2.0486049999999998E-3</v>
      </c>
      <c r="K404" s="819" t="str">
        <f t="shared" si="92"/>
        <v>N/A</v>
      </c>
      <c r="L404" s="819">
        <f t="shared" si="93"/>
        <v>119</v>
      </c>
      <c r="M404" s="819" t="str">
        <f t="shared" si="89"/>
        <v>N/A</v>
      </c>
      <c r="N404" s="819">
        <f t="shared" si="90"/>
        <v>364</v>
      </c>
      <c r="O404" s="819">
        <f t="shared" si="91"/>
        <v>1494</v>
      </c>
      <c r="P404" s="819" t="str">
        <f t="shared" si="94"/>
        <v>N/A</v>
      </c>
      <c r="Q404" s="819">
        <f t="shared" si="95"/>
        <v>304</v>
      </c>
      <c r="R404" s="819" t="str">
        <f t="shared" si="96"/>
        <v>N/A</v>
      </c>
      <c r="S404" s="819">
        <f t="shared" si="97"/>
        <v>338</v>
      </c>
      <c r="T404" s="819">
        <f t="shared" si="98"/>
        <v>1472</v>
      </c>
      <c r="U404" s="819">
        <f t="shared" si="99"/>
        <v>2114</v>
      </c>
      <c r="V404" s="819">
        <f t="shared" si="100"/>
        <v>189</v>
      </c>
      <c r="W404" s="379">
        <f t="shared" si="101"/>
        <v>189</v>
      </c>
      <c r="X404" s="819" t="str">
        <f t="shared" si="102"/>
        <v/>
      </c>
      <c r="Y404" s="837"/>
      <c r="Z404" s="839"/>
      <c r="AA404" s="838"/>
      <c r="AB404" s="839"/>
    </row>
    <row r="405" spans="1:28" ht="14.45">
      <c r="A405" s="816"/>
      <c r="B405" s="819" t="s">
        <v>1200</v>
      </c>
      <c r="C405" s="819" t="s">
        <v>1201</v>
      </c>
      <c r="D405" s="379" t="s">
        <v>336</v>
      </c>
      <c r="E405" s="818" t="s">
        <v>441</v>
      </c>
      <c r="F405" s="820">
        <v>1.7617606240000001</v>
      </c>
      <c r="G405" s="821">
        <v>0</v>
      </c>
      <c r="H405" s="822">
        <v>608265311.92715502</v>
      </c>
      <c r="I405" s="819"/>
      <c r="J405" s="820">
        <v>-2.2458199999999999E-6</v>
      </c>
      <c r="K405" s="819">
        <f t="shared" si="92"/>
        <v>310</v>
      </c>
      <c r="L405" s="819">
        <f t="shared" si="93"/>
        <v>1084</v>
      </c>
      <c r="M405" s="819">
        <f t="shared" si="89"/>
        <v>310</v>
      </c>
      <c r="N405" s="819">
        <f t="shared" si="90"/>
        <v>364</v>
      </c>
      <c r="O405" s="819">
        <f t="shared" si="91"/>
        <v>765</v>
      </c>
      <c r="P405" s="819">
        <f t="shared" si="94"/>
        <v>1088</v>
      </c>
      <c r="Q405" s="819">
        <f t="shared" si="95"/>
        <v>661</v>
      </c>
      <c r="R405" s="819">
        <f t="shared" si="96"/>
        <v>228</v>
      </c>
      <c r="S405" s="819">
        <f t="shared" si="97"/>
        <v>338</v>
      </c>
      <c r="T405" s="819">
        <f t="shared" si="98"/>
        <v>743</v>
      </c>
      <c r="U405" s="819">
        <f t="shared" si="99"/>
        <v>3058</v>
      </c>
      <c r="V405" s="819">
        <f t="shared" si="100"/>
        <v>1002</v>
      </c>
      <c r="W405" s="379">
        <f t="shared" si="101"/>
        <v>1002</v>
      </c>
      <c r="X405" s="819" t="str">
        <f t="shared" si="102"/>
        <v/>
      </c>
      <c r="Y405" s="837"/>
      <c r="Z405" s="839"/>
      <c r="AA405" s="838"/>
      <c r="AB405" s="839"/>
    </row>
    <row r="406" spans="1:28" ht="13.15">
      <c r="B406" s="819" t="s">
        <v>1202</v>
      </c>
      <c r="C406" s="819" t="s">
        <v>1203</v>
      </c>
      <c r="D406" s="379" t="s">
        <v>336</v>
      </c>
      <c r="E406" s="818" t="s">
        <v>842</v>
      </c>
      <c r="F406" s="820">
        <v>3.3181972129999999</v>
      </c>
      <c r="G406" s="821">
        <v>6.7738391450000002</v>
      </c>
      <c r="H406" s="822">
        <v>742469.33945348905</v>
      </c>
      <c r="I406" s="819">
        <v>9.17</v>
      </c>
      <c r="J406" s="820">
        <v>-3.7328017999999998E-2</v>
      </c>
      <c r="K406" s="819">
        <f t="shared" si="92"/>
        <v>1581</v>
      </c>
      <c r="L406" s="819">
        <f t="shared" si="93"/>
        <v>293</v>
      </c>
      <c r="M406" s="819">
        <f t="shared" si="89"/>
        <v>1581</v>
      </c>
      <c r="N406" s="819">
        <f t="shared" si="90"/>
        <v>36</v>
      </c>
      <c r="O406" s="819">
        <f t="shared" si="91"/>
        <v>1723</v>
      </c>
      <c r="P406" s="819">
        <f t="shared" si="94"/>
        <v>183</v>
      </c>
      <c r="Q406" s="819">
        <f t="shared" si="95"/>
        <v>130</v>
      </c>
      <c r="R406" s="819">
        <f t="shared" si="96"/>
        <v>1499</v>
      </c>
      <c r="S406" s="819">
        <f t="shared" si="97"/>
        <v>10</v>
      </c>
      <c r="T406" s="819">
        <f t="shared" si="98"/>
        <v>1701</v>
      </c>
      <c r="U406" s="819">
        <f t="shared" si="99"/>
        <v>3523</v>
      </c>
      <c r="V406" s="819">
        <f t="shared" si="100"/>
        <v>1577</v>
      </c>
      <c r="W406" s="379">
        <f t="shared" si="101"/>
        <v>1577</v>
      </c>
      <c r="X406" s="819" t="str">
        <f t="shared" si="102"/>
        <v/>
      </c>
      <c r="Y406" s="837"/>
      <c r="Z406" s="839"/>
      <c r="AA406" s="838"/>
      <c r="AB406" s="839"/>
    </row>
    <row r="407" spans="1:28" ht="14.45">
      <c r="A407" s="816"/>
      <c r="B407" s="819" t="s">
        <v>1204</v>
      </c>
      <c r="C407" s="819" t="s">
        <v>1205</v>
      </c>
      <c r="D407" s="379" t="s">
        <v>336</v>
      </c>
      <c r="E407" s="818" t="s">
        <v>941</v>
      </c>
      <c r="F407" s="820">
        <v>2.2997886360000002</v>
      </c>
      <c r="G407" s="821">
        <v>2.2171199999999999E-3</v>
      </c>
      <c r="H407" s="822">
        <v>1254955433.32724</v>
      </c>
      <c r="I407" s="819"/>
      <c r="J407" s="820">
        <v>-1.37799E-4</v>
      </c>
      <c r="K407" s="819">
        <f t="shared" si="92"/>
        <v>192</v>
      </c>
      <c r="L407" s="819">
        <f t="shared" si="93"/>
        <v>1079</v>
      </c>
      <c r="M407" s="819">
        <f t="shared" si="89"/>
        <v>192</v>
      </c>
      <c r="N407" s="819">
        <f t="shared" si="90"/>
        <v>364</v>
      </c>
      <c r="O407" s="819">
        <f t="shared" si="91"/>
        <v>1050</v>
      </c>
      <c r="P407" s="819">
        <f t="shared" si="94"/>
        <v>1206</v>
      </c>
      <c r="Q407" s="819">
        <f t="shared" si="95"/>
        <v>656</v>
      </c>
      <c r="R407" s="819">
        <f t="shared" si="96"/>
        <v>110</v>
      </c>
      <c r="S407" s="819">
        <f t="shared" si="97"/>
        <v>338</v>
      </c>
      <c r="T407" s="819">
        <f t="shared" si="98"/>
        <v>1028</v>
      </c>
      <c r="U407" s="819">
        <f t="shared" si="99"/>
        <v>3338</v>
      </c>
      <c r="V407" s="819">
        <f t="shared" si="100"/>
        <v>1390</v>
      </c>
      <c r="W407" s="379">
        <f t="shared" si="101"/>
        <v>1390</v>
      </c>
      <c r="X407" s="819" t="str">
        <f t="shared" si="102"/>
        <v/>
      </c>
      <c r="Y407" s="837"/>
      <c r="Z407" s="839"/>
      <c r="AA407" s="838"/>
      <c r="AB407" s="839"/>
    </row>
    <row r="408" spans="1:28" ht="13.15">
      <c r="B408" s="819" t="s">
        <v>1206</v>
      </c>
      <c r="C408" s="819" t="s">
        <v>1207</v>
      </c>
      <c r="D408" s="379" t="s">
        <v>336</v>
      </c>
      <c r="E408" s="818" t="s">
        <v>842</v>
      </c>
      <c r="F408" s="820">
        <v>1.766178606</v>
      </c>
      <c r="G408" s="821">
        <v>0.35394332099999998</v>
      </c>
      <c r="H408" s="822">
        <v>5174272.3679482602</v>
      </c>
      <c r="I408" s="819"/>
      <c r="J408" s="820">
        <v>-1.1885559999999999E-3</v>
      </c>
      <c r="K408" s="819">
        <f t="shared" si="92"/>
        <v>1362</v>
      </c>
      <c r="L408" s="819">
        <f t="shared" si="93"/>
        <v>949</v>
      </c>
      <c r="M408" s="819">
        <f t="shared" si="89"/>
        <v>1362</v>
      </c>
      <c r="N408" s="819">
        <f t="shared" si="90"/>
        <v>364</v>
      </c>
      <c r="O408" s="819">
        <f t="shared" si="91"/>
        <v>1426</v>
      </c>
      <c r="P408" s="819">
        <f t="shared" si="94"/>
        <v>36</v>
      </c>
      <c r="Q408" s="819">
        <f t="shared" si="95"/>
        <v>526</v>
      </c>
      <c r="R408" s="819">
        <f t="shared" si="96"/>
        <v>1280</v>
      </c>
      <c r="S408" s="819">
        <f t="shared" si="97"/>
        <v>338</v>
      </c>
      <c r="T408" s="819">
        <f t="shared" si="98"/>
        <v>1404</v>
      </c>
      <c r="U408" s="819">
        <f t="shared" si="99"/>
        <v>3584</v>
      </c>
      <c r="V408" s="819">
        <f t="shared" si="100"/>
        <v>1614</v>
      </c>
      <c r="W408" s="379">
        <f t="shared" si="101"/>
        <v>1614</v>
      </c>
      <c r="X408" s="819" t="str">
        <f t="shared" si="102"/>
        <v/>
      </c>
      <c r="Y408" s="837"/>
      <c r="Z408" s="839"/>
      <c r="AA408" s="838"/>
      <c r="AB408" s="839"/>
    </row>
    <row r="409" spans="1:28" ht="14.45">
      <c r="A409" s="816"/>
      <c r="B409" s="819" t="s">
        <v>1208</v>
      </c>
      <c r="C409" s="819" t="s">
        <v>1209</v>
      </c>
      <c r="D409" s="379" t="s">
        <v>336</v>
      </c>
      <c r="E409" s="818" t="s">
        <v>842</v>
      </c>
      <c r="F409" s="820">
        <v>3.1091512680000002</v>
      </c>
      <c r="G409" s="821">
        <v>11.383082529999999</v>
      </c>
      <c r="H409" s="822">
        <v>37190082.6446281</v>
      </c>
      <c r="I409" s="819">
        <v>2.3199999999999998</v>
      </c>
      <c r="J409" s="820">
        <v>-9.8951119999999993E-3</v>
      </c>
      <c r="K409" s="819">
        <f t="shared" si="92"/>
        <v>947</v>
      </c>
      <c r="L409" s="819">
        <f t="shared" si="93"/>
        <v>166</v>
      </c>
      <c r="M409" s="819">
        <f t="shared" si="89"/>
        <v>947</v>
      </c>
      <c r="N409" s="819">
        <f t="shared" si="90"/>
        <v>75</v>
      </c>
      <c r="O409" s="819">
        <f t="shared" si="91"/>
        <v>1646</v>
      </c>
      <c r="P409" s="819">
        <f t="shared" si="94"/>
        <v>451</v>
      </c>
      <c r="Q409" s="819">
        <f t="shared" si="95"/>
        <v>257</v>
      </c>
      <c r="R409" s="819">
        <f t="shared" si="96"/>
        <v>865</v>
      </c>
      <c r="S409" s="819">
        <f t="shared" si="97"/>
        <v>49</v>
      </c>
      <c r="T409" s="819">
        <f t="shared" si="98"/>
        <v>1624</v>
      </c>
      <c r="U409" s="819">
        <f t="shared" si="99"/>
        <v>3246</v>
      </c>
      <c r="V409" s="819">
        <f t="shared" si="100"/>
        <v>1262</v>
      </c>
      <c r="W409" s="379">
        <f t="shared" si="101"/>
        <v>1262</v>
      </c>
      <c r="X409" s="819" t="str">
        <f t="shared" si="102"/>
        <v/>
      </c>
      <c r="Y409" s="837"/>
      <c r="Z409" s="839"/>
      <c r="AA409" s="838"/>
      <c r="AB409" s="839"/>
    </row>
    <row r="410" spans="1:28" ht="13.15">
      <c r="B410" s="819" t="s">
        <v>1210</v>
      </c>
      <c r="C410" s="819" t="s">
        <v>1211</v>
      </c>
      <c r="D410" s="379" t="s">
        <v>336</v>
      </c>
      <c r="E410" s="818" t="s">
        <v>941</v>
      </c>
      <c r="F410" s="820">
        <v>1.469651815</v>
      </c>
      <c r="G410" s="821">
        <v>-0.24344972100000001</v>
      </c>
      <c r="H410" s="822">
        <v>569492938.25498402</v>
      </c>
      <c r="I410" s="819"/>
      <c r="J410" s="820">
        <v>5.7610609999999996E-3</v>
      </c>
      <c r="K410" s="819">
        <f t="shared" si="92"/>
        <v>323</v>
      </c>
      <c r="L410" s="819">
        <f t="shared" si="93"/>
        <v>1247</v>
      </c>
      <c r="M410" s="819">
        <f t="shared" si="89"/>
        <v>323</v>
      </c>
      <c r="N410" s="819">
        <f t="shared" si="90"/>
        <v>364</v>
      </c>
      <c r="O410" s="819">
        <f t="shared" si="91"/>
        <v>144</v>
      </c>
      <c r="P410" s="819">
        <f t="shared" si="94"/>
        <v>1075</v>
      </c>
      <c r="Q410" s="819">
        <f t="shared" si="95"/>
        <v>824</v>
      </c>
      <c r="R410" s="819">
        <f t="shared" si="96"/>
        <v>241</v>
      </c>
      <c r="S410" s="819">
        <f t="shared" si="97"/>
        <v>338</v>
      </c>
      <c r="T410" s="819">
        <f t="shared" si="98"/>
        <v>122</v>
      </c>
      <c r="U410" s="819">
        <f t="shared" si="99"/>
        <v>2600</v>
      </c>
      <c r="V410" s="819">
        <f t="shared" si="100"/>
        <v>283</v>
      </c>
      <c r="W410" s="379">
        <f t="shared" si="101"/>
        <v>283</v>
      </c>
      <c r="X410" s="819" t="str">
        <f t="shared" si="102"/>
        <v/>
      </c>
      <c r="Y410" s="837"/>
      <c r="Z410" s="839"/>
      <c r="AA410" s="838"/>
      <c r="AB410" s="839"/>
    </row>
    <row r="411" spans="1:28" ht="14.45">
      <c r="A411" s="816"/>
      <c r="B411" s="819" t="s">
        <v>1212</v>
      </c>
      <c r="C411" s="819" t="s">
        <v>1213</v>
      </c>
      <c r="D411" s="379" t="s">
        <v>336</v>
      </c>
      <c r="E411" s="818" t="s">
        <v>941</v>
      </c>
      <c r="F411" s="820">
        <v>1.773329709</v>
      </c>
      <c r="G411" s="821">
        <v>4.171482943</v>
      </c>
      <c r="H411" s="822">
        <v>331531004.20706099</v>
      </c>
      <c r="I411" s="819"/>
      <c r="J411" s="820">
        <v>-1.290647E-3</v>
      </c>
      <c r="K411" s="819">
        <f t="shared" si="92"/>
        <v>449</v>
      </c>
      <c r="L411" s="819">
        <f t="shared" si="93"/>
        <v>436</v>
      </c>
      <c r="M411" s="819">
        <f t="shared" si="89"/>
        <v>449</v>
      </c>
      <c r="N411" s="819">
        <f t="shared" si="90"/>
        <v>364</v>
      </c>
      <c r="O411" s="819">
        <f t="shared" si="91"/>
        <v>1434</v>
      </c>
      <c r="P411" s="819">
        <f t="shared" si="94"/>
        <v>949</v>
      </c>
      <c r="Q411" s="819">
        <f t="shared" si="95"/>
        <v>13</v>
      </c>
      <c r="R411" s="819">
        <f t="shared" si="96"/>
        <v>367</v>
      </c>
      <c r="S411" s="819">
        <f t="shared" si="97"/>
        <v>338</v>
      </c>
      <c r="T411" s="819">
        <f t="shared" si="98"/>
        <v>1412</v>
      </c>
      <c r="U411" s="819">
        <f t="shared" si="99"/>
        <v>3079</v>
      </c>
      <c r="V411" s="819">
        <f t="shared" si="100"/>
        <v>1025</v>
      </c>
      <c r="W411" s="379">
        <f t="shared" si="101"/>
        <v>1025</v>
      </c>
      <c r="X411" s="819" t="str">
        <f t="shared" si="102"/>
        <v/>
      </c>
      <c r="Y411" s="837"/>
      <c r="Z411" s="839"/>
      <c r="AA411" s="838"/>
      <c r="AB411" s="839"/>
    </row>
    <row r="412" spans="1:28" ht="13.15">
      <c r="B412" s="819" t="s">
        <v>1214</v>
      </c>
      <c r="C412" s="819" t="s">
        <v>1215</v>
      </c>
      <c r="D412" s="379" t="s">
        <v>336</v>
      </c>
      <c r="E412" s="818" t="s">
        <v>941</v>
      </c>
      <c r="F412" s="820">
        <v>1.196638418</v>
      </c>
      <c r="G412" s="821">
        <v>-11.92183215</v>
      </c>
      <c r="H412" s="822">
        <v>62393113.5540516</v>
      </c>
      <c r="I412" s="819"/>
      <c r="J412" s="820">
        <v>1.9991539999999999E-3</v>
      </c>
      <c r="K412" s="819">
        <f t="shared" si="92"/>
        <v>831</v>
      </c>
      <c r="L412" s="819">
        <f t="shared" si="93"/>
        <v>1460</v>
      </c>
      <c r="M412" s="819">
        <f t="shared" si="89"/>
        <v>831</v>
      </c>
      <c r="N412" s="819">
        <f t="shared" si="90"/>
        <v>364</v>
      </c>
      <c r="O412" s="819">
        <f t="shared" si="91"/>
        <v>162</v>
      </c>
      <c r="P412" s="819">
        <f t="shared" si="94"/>
        <v>567</v>
      </c>
      <c r="Q412" s="819">
        <f t="shared" si="95"/>
        <v>1037</v>
      </c>
      <c r="R412" s="819">
        <f t="shared" si="96"/>
        <v>749</v>
      </c>
      <c r="S412" s="819">
        <f t="shared" si="97"/>
        <v>338</v>
      </c>
      <c r="T412" s="819">
        <f t="shared" si="98"/>
        <v>140</v>
      </c>
      <c r="U412" s="819">
        <f t="shared" si="99"/>
        <v>2831</v>
      </c>
      <c r="V412" s="819">
        <f t="shared" si="100"/>
        <v>688</v>
      </c>
      <c r="W412" s="379">
        <f t="shared" si="101"/>
        <v>688</v>
      </c>
      <c r="X412" s="819" t="str">
        <f t="shared" si="102"/>
        <v/>
      </c>
      <c r="Y412" s="837"/>
      <c r="Z412" s="839"/>
      <c r="AA412" s="838"/>
      <c r="AB412" s="839"/>
    </row>
    <row r="413" spans="1:28" ht="14.45">
      <c r="A413" s="816"/>
      <c r="B413" s="819" t="s">
        <v>1216</v>
      </c>
      <c r="C413" s="819" t="s">
        <v>1217</v>
      </c>
      <c r="D413" s="379" t="s">
        <v>336</v>
      </c>
      <c r="E413" s="818" t="s">
        <v>941</v>
      </c>
      <c r="F413" s="820">
        <v>2.1120207400000002</v>
      </c>
      <c r="G413" s="821">
        <v>2.2162850079999998</v>
      </c>
      <c r="H413" s="822">
        <v>134625937.442839</v>
      </c>
      <c r="I413" s="819">
        <v>13.49</v>
      </c>
      <c r="J413" s="820">
        <v>-1.2107066999999999E-2</v>
      </c>
      <c r="K413" s="819">
        <f t="shared" si="92"/>
        <v>647</v>
      </c>
      <c r="L413" s="819">
        <f t="shared" si="93"/>
        <v>644</v>
      </c>
      <c r="M413" s="819">
        <f t="shared" si="89"/>
        <v>647</v>
      </c>
      <c r="N413" s="819">
        <f t="shared" si="90"/>
        <v>27</v>
      </c>
      <c r="O413" s="819">
        <f t="shared" si="91"/>
        <v>1658</v>
      </c>
      <c r="P413" s="819">
        <f t="shared" si="94"/>
        <v>751</v>
      </c>
      <c r="Q413" s="819">
        <f t="shared" si="95"/>
        <v>221</v>
      </c>
      <c r="R413" s="819">
        <f t="shared" si="96"/>
        <v>565</v>
      </c>
      <c r="S413" s="819">
        <f t="shared" si="97"/>
        <v>1</v>
      </c>
      <c r="T413" s="819">
        <f t="shared" si="98"/>
        <v>1636</v>
      </c>
      <c r="U413" s="819">
        <f t="shared" si="99"/>
        <v>3174</v>
      </c>
      <c r="V413" s="819">
        <f t="shared" si="100"/>
        <v>1165</v>
      </c>
      <c r="W413" s="379">
        <f t="shared" si="101"/>
        <v>1165</v>
      </c>
      <c r="X413" s="819" t="str">
        <f t="shared" si="102"/>
        <v/>
      </c>
      <c r="Y413" s="837"/>
      <c r="Z413" s="839"/>
      <c r="AA413" s="838"/>
      <c r="AB413" s="839"/>
    </row>
    <row r="414" spans="1:28" ht="13.15">
      <c r="B414" s="819" t="s">
        <v>1218</v>
      </c>
      <c r="C414" s="819" t="s">
        <v>1219</v>
      </c>
      <c r="D414" s="379" t="s">
        <v>336</v>
      </c>
      <c r="E414" s="818" t="s">
        <v>941</v>
      </c>
      <c r="F414" s="820">
        <v>2.7964395880000001</v>
      </c>
      <c r="G414" s="821">
        <v>4.7990106289999996</v>
      </c>
      <c r="H414" s="822">
        <v>1670022714.4686301</v>
      </c>
      <c r="I414" s="819"/>
      <c r="J414" s="820">
        <v>-2.147431E-3</v>
      </c>
      <c r="K414" s="819">
        <f t="shared" si="92"/>
        <v>169</v>
      </c>
      <c r="L414" s="819">
        <f t="shared" si="93"/>
        <v>392</v>
      </c>
      <c r="M414" s="819">
        <f t="shared" si="89"/>
        <v>169</v>
      </c>
      <c r="N414" s="819">
        <f t="shared" si="90"/>
        <v>364</v>
      </c>
      <c r="O414" s="819">
        <f t="shared" si="91"/>
        <v>1504</v>
      </c>
      <c r="P414" s="819">
        <f t="shared" si="94"/>
        <v>1229</v>
      </c>
      <c r="Q414" s="819">
        <f t="shared" si="95"/>
        <v>31</v>
      </c>
      <c r="R414" s="819">
        <f t="shared" si="96"/>
        <v>87</v>
      </c>
      <c r="S414" s="819">
        <f t="shared" si="97"/>
        <v>338</v>
      </c>
      <c r="T414" s="819">
        <f t="shared" si="98"/>
        <v>1482</v>
      </c>
      <c r="U414" s="819">
        <f t="shared" si="99"/>
        <v>3167</v>
      </c>
      <c r="V414" s="819">
        <f t="shared" si="100"/>
        <v>1149</v>
      </c>
      <c r="W414" s="379">
        <f t="shared" si="101"/>
        <v>1149</v>
      </c>
      <c r="X414" s="819" t="str">
        <f t="shared" si="102"/>
        <v/>
      </c>
      <c r="Y414" s="837"/>
      <c r="Z414" s="839"/>
      <c r="AA414" s="838"/>
      <c r="AB414" s="839"/>
    </row>
    <row r="415" spans="1:28" ht="14.45">
      <c r="A415" s="816"/>
      <c r="B415" s="819" t="s">
        <v>1220</v>
      </c>
      <c r="C415" s="819" t="s">
        <v>1221</v>
      </c>
      <c r="D415" s="379" t="s">
        <v>336</v>
      </c>
      <c r="E415" s="818" t="s">
        <v>941</v>
      </c>
      <c r="F415" s="820">
        <v>2.1464716340000001</v>
      </c>
      <c r="G415" s="821">
        <v>1.854525188</v>
      </c>
      <c r="H415" s="822">
        <v>103476780.098774</v>
      </c>
      <c r="I415" s="819"/>
      <c r="J415" s="820">
        <v>-2.09774E-4</v>
      </c>
      <c r="K415" s="819">
        <f t="shared" si="92"/>
        <v>717</v>
      </c>
      <c r="L415" s="819">
        <f t="shared" si="93"/>
        <v>692</v>
      </c>
      <c r="M415" s="819">
        <f t="shared" si="89"/>
        <v>717</v>
      </c>
      <c r="N415" s="819">
        <f t="shared" si="90"/>
        <v>364</v>
      </c>
      <c r="O415" s="819">
        <f t="shared" si="91"/>
        <v>1114</v>
      </c>
      <c r="P415" s="819">
        <f t="shared" si="94"/>
        <v>681</v>
      </c>
      <c r="Q415" s="819">
        <f t="shared" si="95"/>
        <v>269</v>
      </c>
      <c r="R415" s="819">
        <f t="shared" si="96"/>
        <v>635</v>
      </c>
      <c r="S415" s="819">
        <f t="shared" si="97"/>
        <v>338</v>
      </c>
      <c r="T415" s="819">
        <f t="shared" si="98"/>
        <v>1092</v>
      </c>
      <c r="U415" s="819">
        <f t="shared" si="99"/>
        <v>3015</v>
      </c>
      <c r="V415" s="819">
        <f t="shared" si="100"/>
        <v>945</v>
      </c>
      <c r="W415" s="379">
        <f t="shared" si="101"/>
        <v>945</v>
      </c>
      <c r="X415" s="819" t="str">
        <f t="shared" si="102"/>
        <v/>
      </c>
      <c r="Y415" s="837"/>
      <c r="Z415" s="839"/>
      <c r="AA415" s="838"/>
      <c r="AB415" s="839"/>
    </row>
    <row r="416" spans="1:28" ht="13.15">
      <c r="B416" s="819" t="s">
        <v>1222</v>
      </c>
      <c r="C416" s="819" t="s">
        <v>1223</v>
      </c>
      <c r="D416" s="379" t="s">
        <v>336</v>
      </c>
      <c r="E416" s="818" t="s">
        <v>842</v>
      </c>
      <c r="F416" s="820">
        <v>9.6682639229999996</v>
      </c>
      <c r="G416" s="821">
        <v>42.030666510000003</v>
      </c>
      <c r="H416" s="822">
        <v>3568428.85375494</v>
      </c>
      <c r="I416" s="819"/>
      <c r="J416" s="820">
        <v>-1.94694E-5</v>
      </c>
      <c r="K416" s="819">
        <f t="shared" si="92"/>
        <v>1425</v>
      </c>
      <c r="L416" s="819">
        <f t="shared" si="93"/>
        <v>42</v>
      </c>
      <c r="M416" s="819">
        <f t="shared" si="89"/>
        <v>1425</v>
      </c>
      <c r="N416" s="819">
        <f t="shared" si="90"/>
        <v>364</v>
      </c>
      <c r="O416" s="819">
        <f t="shared" si="91"/>
        <v>851</v>
      </c>
      <c r="P416" s="819">
        <f t="shared" si="94"/>
        <v>27</v>
      </c>
      <c r="Q416" s="819">
        <f t="shared" si="95"/>
        <v>381</v>
      </c>
      <c r="R416" s="819">
        <f t="shared" si="96"/>
        <v>1343</v>
      </c>
      <c r="S416" s="819">
        <f t="shared" si="97"/>
        <v>338</v>
      </c>
      <c r="T416" s="819">
        <f t="shared" si="98"/>
        <v>829</v>
      </c>
      <c r="U416" s="819">
        <f t="shared" si="99"/>
        <v>2918</v>
      </c>
      <c r="V416" s="819">
        <f t="shared" si="100"/>
        <v>830</v>
      </c>
      <c r="W416" s="379">
        <f t="shared" si="101"/>
        <v>830</v>
      </c>
      <c r="X416" s="819" t="str">
        <f t="shared" si="102"/>
        <v/>
      </c>
      <c r="Y416" s="837"/>
      <c r="Z416" s="839"/>
      <c r="AA416" s="838"/>
      <c r="AB416" s="839"/>
    </row>
    <row r="417" spans="1:28" ht="14.45">
      <c r="A417" s="816"/>
      <c r="B417" s="819" t="s">
        <v>1224</v>
      </c>
      <c r="C417" s="819" t="s">
        <v>1225</v>
      </c>
      <c r="D417" s="379" t="s">
        <v>336</v>
      </c>
      <c r="E417" s="818" t="s">
        <v>418</v>
      </c>
      <c r="F417" s="820">
        <v>1.0779697619999999</v>
      </c>
      <c r="G417" s="821">
        <v>0</v>
      </c>
      <c r="H417" s="822">
        <v>23128892.341554999</v>
      </c>
      <c r="I417" s="819"/>
      <c r="J417" s="820">
        <v>-8.93894E-4</v>
      </c>
      <c r="K417" s="819">
        <f t="shared" si="92"/>
        <v>1069</v>
      </c>
      <c r="L417" s="819">
        <f t="shared" si="93"/>
        <v>1084</v>
      </c>
      <c r="M417" s="819">
        <f t="shared" si="89"/>
        <v>1069</v>
      </c>
      <c r="N417" s="819">
        <f t="shared" si="90"/>
        <v>364</v>
      </c>
      <c r="O417" s="819">
        <f t="shared" si="91"/>
        <v>1379</v>
      </c>
      <c r="P417" s="819">
        <f t="shared" si="94"/>
        <v>329</v>
      </c>
      <c r="Q417" s="819">
        <f t="shared" si="95"/>
        <v>661</v>
      </c>
      <c r="R417" s="819">
        <f t="shared" si="96"/>
        <v>987</v>
      </c>
      <c r="S417" s="819">
        <f t="shared" si="97"/>
        <v>338</v>
      </c>
      <c r="T417" s="819">
        <f t="shared" si="98"/>
        <v>1357</v>
      </c>
      <c r="U417" s="819">
        <f t="shared" si="99"/>
        <v>3672</v>
      </c>
      <c r="V417" s="819">
        <f t="shared" si="100"/>
        <v>1664</v>
      </c>
      <c r="W417" s="379">
        <f t="shared" si="101"/>
        <v>1664</v>
      </c>
      <c r="X417" s="819" t="str">
        <f t="shared" si="102"/>
        <v/>
      </c>
      <c r="Y417" s="837"/>
      <c r="Z417" s="839"/>
      <c r="AA417" s="838"/>
      <c r="AB417" s="839"/>
    </row>
    <row r="418" spans="1:28" ht="13.15">
      <c r="B418" s="819" t="s">
        <v>1226</v>
      </c>
      <c r="C418" s="819" t="s">
        <v>1227</v>
      </c>
      <c r="D418" s="379" t="s">
        <v>336</v>
      </c>
      <c r="E418" s="818" t="s">
        <v>373</v>
      </c>
      <c r="F418" s="820">
        <v>5.5312789100000002</v>
      </c>
      <c r="G418" s="821">
        <v>4.2545732589999998</v>
      </c>
      <c r="H418" s="822">
        <v>115488215.488216</v>
      </c>
      <c r="I418" s="819"/>
      <c r="J418" s="820">
        <v>-3.8561379999999998E-3</v>
      </c>
      <c r="K418" s="819">
        <f t="shared" si="92"/>
        <v>682</v>
      </c>
      <c r="L418" s="819">
        <f t="shared" si="93"/>
        <v>431</v>
      </c>
      <c r="M418" s="819">
        <f t="shared" si="89"/>
        <v>682</v>
      </c>
      <c r="N418" s="819">
        <f t="shared" si="90"/>
        <v>364</v>
      </c>
      <c r="O418" s="819">
        <f t="shared" si="91"/>
        <v>1582</v>
      </c>
      <c r="P418" s="819">
        <f t="shared" si="94"/>
        <v>716</v>
      </c>
      <c r="Q418" s="819">
        <f t="shared" si="95"/>
        <v>8</v>
      </c>
      <c r="R418" s="819">
        <f t="shared" si="96"/>
        <v>600</v>
      </c>
      <c r="S418" s="819">
        <f t="shared" si="97"/>
        <v>338</v>
      </c>
      <c r="T418" s="819">
        <f t="shared" si="98"/>
        <v>1560</v>
      </c>
      <c r="U418" s="819">
        <f t="shared" si="99"/>
        <v>3222</v>
      </c>
      <c r="V418" s="819">
        <f t="shared" si="100"/>
        <v>1229</v>
      </c>
      <c r="W418" s="379">
        <f t="shared" si="101"/>
        <v>1229</v>
      </c>
      <c r="X418" s="819" t="str">
        <f t="shared" si="102"/>
        <v/>
      </c>
      <c r="Y418" s="837"/>
      <c r="Z418" s="839"/>
      <c r="AA418" s="838"/>
      <c r="AB418" s="839"/>
    </row>
    <row r="419" spans="1:28" ht="14.45">
      <c r="A419" s="816"/>
      <c r="B419" s="819" t="s">
        <v>1228</v>
      </c>
      <c r="C419" s="819" t="s">
        <v>1229</v>
      </c>
      <c r="D419" s="379" t="s">
        <v>336</v>
      </c>
      <c r="E419" s="818" t="s">
        <v>842</v>
      </c>
      <c r="F419" s="820">
        <v>4.8044602059999999</v>
      </c>
      <c r="G419" s="821">
        <v>1.491041192</v>
      </c>
      <c r="H419" s="822">
        <v>274013866.39381999</v>
      </c>
      <c r="I419" s="819"/>
      <c r="J419" s="820">
        <v>-3.5963039999999998E-3</v>
      </c>
      <c r="K419" s="819">
        <f t="shared" si="92"/>
        <v>493</v>
      </c>
      <c r="L419" s="819">
        <f t="shared" si="93"/>
        <v>741</v>
      </c>
      <c r="M419" s="819">
        <f t="shared" si="89"/>
        <v>493</v>
      </c>
      <c r="N419" s="819">
        <f t="shared" si="90"/>
        <v>364</v>
      </c>
      <c r="O419" s="819">
        <f t="shared" si="91"/>
        <v>1570</v>
      </c>
      <c r="P419" s="819">
        <f t="shared" si="94"/>
        <v>905</v>
      </c>
      <c r="Q419" s="819">
        <f t="shared" si="95"/>
        <v>318</v>
      </c>
      <c r="R419" s="819">
        <f t="shared" si="96"/>
        <v>411</v>
      </c>
      <c r="S419" s="819">
        <f t="shared" si="97"/>
        <v>338</v>
      </c>
      <c r="T419" s="819">
        <f t="shared" si="98"/>
        <v>1548</v>
      </c>
      <c r="U419" s="819">
        <f t="shared" si="99"/>
        <v>3520</v>
      </c>
      <c r="V419" s="819">
        <f t="shared" si="100"/>
        <v>1573</v>
      </c>
      <c r="W419" s="379">
        <f t="shared" si="101"/>
        <v>1573</v>
      </c>
      <c r="X419" s="819" t="str">
        <f t="shared" si="102"/>
        <v/>
      </c>
      <c r="Y419" s="837"/>
      <c r="Z419" s="839"/>
      <c r="AA419" s="838"/>
      <c r="AB419" s="839"/>
    </row>
    <row r="420" spans="1:28" ht="13.15">
      <c r="B420" s="819" t="s">
        <v>1230</v>
      </c>
      <c r="C420" s="819" t="s">
        <v>1231</v>
      </c>
      <c r="D420" s="379" t="s">
        <v>336</v>
      </c>
      <c r="E420" s="818" t="s">
        <v>842</v>
      </c>
      <c r="F420" s="820">
        <v>1.5082121989999999</v>
      </c>
      <c r="G420" s="821">
        <v>24.364408340000001</v>
      </c>
      <c r="H420" s="822">
        <v>100560039.723967</v>
      </c>
      <c r="I420" s="819"/>
      <c r="J420" s="820">
        <v>-2.43494E-4</v>
      </c>
      <c r="K420" s="819">
        <f t="shared" si="92"/>
        <v>724</v>
      </c>
      <c r="L420" s="819">
        <f t="shared" si="93"/>
        <v>79</v>
      </c>
      <c r="M420" s="819">
        <f t="shared" si="89"/>
        <v>724</v>
      </c>
      <c r="N420" s="819">
        <f t="shared" si="90"/>
        <v>364</v>
      </c>
      <c r="O420" s="819">
        <f t="shared" si="91"/>
        <v>1142</v>
      </c>
      <c r="P420" s="819">
        <f t="shared" si="94"/>
        <v>674</v>
      </c>
      <c r="Q420" s="819">
        <f t="shared" si="95"/>
        <v>344</v>
      </c>
      <c r="R420" s="819">
        <f t="shared" si="96"/>
        <v>642</v>
      </c>
      <c r="S420" s="819">
        <f t="shared" si="97"/>
        <v>338</v>
      </c>
      <c r="T420" s="819">
        <f t="shared" si="98"/>
        <v>1120</v>
      </c>
      <c r="U420" s="819">
        <f t="shared" si="99"/>
        <v>3118</v>
      </c>
      <c r="V420" s="819">
        <f t="shared" si="100"/>
        <v>1089</v>
      </c>
      <c r="W420" s="379">
        <f t="shared" si="101"/>
        <v>1089</v>
      </c>
      <c r="X420" s="819" t="str">
        <f t="shared" si="102"/>
        <v/>
      </c>
      <c r="Y420" s="837"/>
      <c r="Z420" s="839"/>
      <c r="AA420" s="838"/>
      <c r="AB420" s="839"/>
    </row>
    <row r="421" spans="1:28" ht="14.45">
      <c r="A421" s="816"/>
      <c r="B421" s="819" t="s">
        <v>1232</v>
      </c>
      <c r="C421" s="819" t="s">
        <v>1233</v>
      </c>
      <c r="D421" s="379" t="s">
        <v>336</v>
      </c>
      <c r="E421" s="818" t="s">
        <v>1234</v>
      </c>
      <c r="F421" s="820">
        <v>1.5571804469999999</v>
      </c>
      <c r="G421" s="821">
        <v>0.181281621</v>
      </c>
      <c r="H421" s="822">
        <v>76672965.070962295</v>
      </c>
      <c r="I421" s="819"/>
      <c r="J421" s="820">
        <v>-5.4039699999999997E-4</v>
      </c>
      <c r="K421" s="819">
        <f t="shared" si="92"/>
        <v>779</v>
      </c>
      <c r="L421" s="819">
        <f t="shared" si="93"/>
        <v>990</v>
      </c>
      <c r="M421" s="819">
        <f t="shared" si="89"/>
        <v>779</v>
      </c>
      <c r="N421" s="819">
        <f t="shared" si="90"/>
        <v>364</v>
      </c>
      <c r="O421" s="819">
        <f t="shared" si="91"/>
        <v>1283</v>
      </c>
      <c r="P421" s="819">
        <f t="shared" si="94"/>
        <v>619</v>
      </c>
      <c r="Q421" s="819">
        <f t="shared" si="95"/>
        <v>567</v>
      </c>
      <c r="R421" s="819">
        <f t="shared" si="96"/>
        <v>697</v>
      </c>
      <c r="S421" s="819">
        <f t="shared" si="97"/>
        <v>338</v>
      </c>
      <c r="T421" s="819">
        <f t="shared" si="98"/>
        <v>1261</v>
      </c>
      <c r="U421" s="819">
        <f t="shared" si="99"/>
        <v>3482</v>
      </c>
      <c r="V421" s="819">
        <f t="shared" si="100"/>
        <v>1534</v>
      </c>
      <c r="W421" s="379">
        <f t="shared" si="101"/>
        <v>1534</v>
      </c>
      <c r="X421" s="819" t="str">
        <f t="shared" si="102"/>
        <v/>
      </c>
      <c r="Y421" s="837"/>
      <c r="Z421" s="839"/>
      <c r="AA421" s="838"/>
      <c r="AB421" s="839"/>
    </row>
    <row r="422" spans="1:28" ht="13.15">
      <c r="B422" s="819" t="s">
        <v>1235</v>
      </c>
      <c r="C422" s="819" t="s">
        <v>1236</v>
      </c>
      <c r="D422" s="379" t="s">
        <v>336</v>
      </c>
      <c r="E422" s="818" t="s">
        <v>373</v>
      </c>
      <c r="F422" s="820">
        <v>2.173194702</v>
      </c>
      <c r="G422" s="821">
        <v>0.42436291300000001</v>
      </c>
      <c r="H422" s="822">
        <v>101010101.01010101</v>
      </c>
      <c r="I422" s="819">
        <v>6.78</v>
      </c>
      <c r="J422" s="820">
        <v>-8.4801419999999995E-3</v>
      </c>
      <c r="K422" s="819">
        <f t="shared" si="92"/>
        <v>721</v>
      </c>
      <c r="L422" s="819">
        <f t="shared" si="93"/>
        <v>941</v>
      </c>
      <c r="M422" s="819">
        <f t="shared" si="89"/>
        <v>721</v>
      </c>
      <c r="N422" s="819">
        <f t="shared" si="90"/>
        <v>38</v>
      </c>
      <c r="O422" s="819">
        <f t="shared" si="91"/>
        <v>1640</v>
      </c>
      <c r="P422" s="819">
        <f t="shared" si="94"/>
        <v>677</v>
      </c>
      <c r="Q422" s="819">
        <f t="shared" si="95"/>
        <v>518</v>
      </c>
      <c r="R422" s="819">
        <f t="shared" si="96"/>
        <v>639</v>
      </c>
      <c r="S422" s="819">
        <f t="shared" si="97"/>
        <v>12</v>
      </c>
      <c r="T422" s="819">
        <f t="shared" si="98"/>
        <v>1618</v>
      </c>
      <c r="U422" s="819">
        <f t="shared" si="99"/>
        <v>3464</v>
      </c>
      <c r="V422" s="819">
        <f t="shared" si="100"/>
        <v>1522</v>
      </c>
      <c r="W422" s="379">
        <f t="shared" si="101"/>
        <v>1522</v>
      </c>
      <c r="X422" s="819" t="str">
        <f t="shared" si="102"/>
        <v/>
      </c>
      <c r="Y422" s="837"/>
      <c r="Z422" s="839"/>
      <c r="AA422" s="838"/>
      <c r="AB422" s="839"/>
    </row>
    <row r="423" spans="1:28" ht="14.45">
      <c r="A423" s="816"/>
      <c r="B423" s="819" t="s">
        <v>1237</v>
      </c>
      <c r="C423" s="819" t="s">
        <v>1238</v>
      </c>
      <c r="D423" s="379" t="s">
        <v>336</v>
      </c>
      <c r="E423" s="818" t="s">
        <v>941</v>
      </c>
      <c r="F423" s="820">
        <v>3.5255261870000001</v>
      </c>
      <c r="G423" s="821">
        <v>1.6853004380000001</v>
      </c>
      <c r="H423" s="822">
        <v>507428107.84708297</v>
      </c>
      <c r="I423" s="819"/>
      <c r="J423" s="820">
        <v>-9.6793899999999995E-3</v>
      </c>
      <c r="K423" s="819">
        <f t="shared" si="92"/>
        <v>346</v>
      </c>
      <c r="L423" s="819">
        <f t="shared" si="93"/>
        <v>720</v>
      </c>
      <c r="M423" s="819">
        <f t="shared" si="89"/>
        <v>346</v>
      </c>
      <c r="N423" s="819">
        <f t="shared" si="90"/>
        <v>364</v>
      </c>
      <c r="O423" s="819">
        <f t="shared" si="91"/>
        <v>1645</v>
      </c>
      <c r="P423" s="819">
        <f t="shared" si="94"/>
        <v>1052</v>
      </c>
      <c r="Q423" s="819">
        <f t="shared" si="95"/>
        <v>297</v>
      </c>
      <c r="R423" s="819">
        <f t="shared" si="96"/>
        <v>264</v>
      </c>
      <c r="S423" s="819">
        <f t="shared" si="97"/>
        <v>338</v>
      </c>
      <c r="T423" s="819">
        <f t="shared" si="98"/>
        <v>1623</v>
      </c>
      <c r="U423" s="819">
        <f t="shared" si="99"/>
        <v>3574</v>
      </c>
      <c r="V423" s="819">
        <f t="shared" si="100"/>
        <v>1611</v>
      </c>
      <c r="W423" s="379">
        <f t="shared" si="101"/>
        <v>1611</v>
      </c>
      <c r="X423" s="819" t="str">
        <f t="shared" si="102"/>
        <v/>
      </c>
      <c r="Y423" s="837"/>
      <c r="Z423" s="839"/>
      <c r="AA423" s="838"/>
      <c r="AB423" s="839"/>
    </row>
    <row r="424" spans="1:28" ht="13.15">
      <c r="B424" s="819" t="s">
        <v>1239</v>
      </c>
      <c r="C424" s="819" t="s">
        <v>1240</v>
      </c>
      <c r="D424" s="379" t="s">
        <v>336</v>
      </c>
      <c r="E424" s="818" t="s">
        <v>941</v>
      </c>
      <c r="F424" s="820">
        <v>1.451753681</v>
      </c>
      <c r="G424" s="821">
        <v>5.1078546620000003</v>
      </c>
      <c r="H424" s="822">
        <v>253460290.909091</v>
      </c>
      <c r="I424" s="819"/>
      <c r="J424" s="820">
        <v>-3.582366E-3</v>
      </c>
      <c r="K424" s="819">
        <f t="shared" si="92"/>
        <v>511</v>
      </c>
      <c r="L424" s="819">
        <f t="shared" si="93"/>
        <v>372</v>
      </c>
      <c r="M424" s="819">
        <f t="shared" si="89"/>
        <v>511</v>
      </c>
      <c r="N424" s="819">
        <f t="shared" si="90"/>
        <v>364</v>
      </c>
      <c r="O424" s="819">
        <f t="shared" si="91"/>
        <v>1569</v>
      </c>
      <c r="P424" s="819">
        <f t="shared" si="94"/>
        <v>887</v>
      </c>
      <c r="Q424" s="819">
        <f t="shared" si="95"/>
        <v>51</v>
      </c>
      <c r="R424" s="819">
        <f t="shared" si="96"/>
        <v>429</v>
      </c>
      <c r="S424" s="819">
        <f t="shared" si="97"/>
        <v>338</v>
      </c>
      <c r="T424" s="819">
        <f t="shared" si="98"/>
        <v>1547</v>
      </c>
      <c r="U424" s="819">
        <f t="shared" si="99"/>
        <v>3252</v>
      </c>
      <c r="V424" s="819">
        <f t="shared" si="100"/>
        <v>1274</v>
      </c>
      <c r="W424" s="379">
        <f t="shared" si="101"/>
        <v>1274</v>
      </c>
      <c r="X424" s="819" t="str">
        <f t="shared" si="102"/>
        <v/>
      </c>
      <c r="Y424" s="837"/>
      <c r="Z424" s="839"/>
      <c r="AA424" s="838"/>
      <c r="AB424" s="839"/>
    </row>
    <row r="425" spans="1:28" ht="14.45">
      <c r="A425" s="816"/>
      <c r="B425" s="819" t="s">
        <v>1241</v>
      </c>
      <c r="C425" s="819" t="s">
        <v>1242</v>
      </c>
      <c r="D425" s="379" t="s">
        <v>336</v>
      </c>
      <c r="E425" s="818" t="s">
        <v>941</v>
      </c>
      <c r="F425" s="820">
        <v>7.499677438</v>
      </c>
      <c r="G425" s="821">
        <v>8.8410510660000003</v>
      </c>
      <c r="H425" s="822">
        <v>169649167.733675</v>
      </c>
      <c r="I425" s="819">
        <v>5.79</v>
      </c>
      <c r="J425" s="820">
        <v>-0.15290820999999999</v>
      </c>
      <c r="K425" s="819">
        <f t="shared" si="92"/>
        <v>610</v>
      </c>
      <c r="L425" s="819">
        <f t="shared" si="93"/>
        <v>230</v>
      </c>
      <c r="M425" s="819">
        <f t="shared" si="89"/>
        <v>610</v>
      </c>
      <c r="N425" s="819">
        <f t="shared" si="90"/>
        <v>40</v>
      </c>
      <c r="O425" s="819">
        <f t="shared" si="91"/>
        <v>1759</v>
      </c>
      <c r="P425" s="819">
        <f t="shared" si="94"/>
        <v>788</v>
      </c>
      <c r="Q425" s="819">
        <f t="shared" si="95"/>
        <v>193</v>
      </c>
      <c r="R425" s="819">
        <f t="shared" si="96"/>
        <v>528</v>
      </c>
      <c r="S425" s="819">
        <f t="shared" si="97"/>
        <v>14</v>
      </c>
      <c r="T425" s="819">
        <f t="shared" si="98"/>
        <v>1737</v>
      </c>
      <c r="U425" s="819">
        <f t="shared" si="99"/>
        <v>3260</v>
      </c>
      <c r="V425" s="819">
        <f t="shared" si="100"/>
        <v>1288</v>
      </c>
      <c r="W425" s="379">
        <f t="shared" si="101"/>
        <v>1288</v>
      </c>
      <c r="X425" s="819" t="str">
        <f t="shared" si="102"/>
        <v/>
      </c>
      <c r="Y425" s="837"/>
      <c r="Z425" s="839"/>
      <c r="AA425" s="838"/>
      <c r="AB425" s="839"/>
    </row>
    <row r="426" spans="1:28" ht="13.15">
      <c r="B426" s="819" t="s">
        <v>1243</v>
      </c>
      <c r="C426" s="819" t="s">
        <v>1244</v>
      </c>
      <c r="D426" s="379" t="s">
        <v>336</v>
      </c>
      <c r="E426" s="818" t="s">
        <v>941</v>
      </c>
      <c r="F426" s="820">
        <v>3.2851320930000001</v>
      </c>
      <c r="G426" s="821">
        <v>4.3136870820000004</v>
      </c>
      <c r="H426" s="822">
        <v>3088133862.59374</v>
      </c>
      <c r="I426" s="819"/>
      <c r="J426" s="820">
        <v>-5.1720430000000003E-3</v>
      </c>
      <c r="K426" s="819">
        <f t="shared" si="92"/>
        <v>104</v>
      </c>
      <c r="L426" s="819">
        <f t="shared" si="93"/>
        <v>427</v>
      </c>
      <c r="M426" s="819">
        <f t="shared" si="89"/>
        <v>104</v>
      </c>
      <c r="N426" s="819">
        <f t="shared" si="90"/>
        <v>364</v>
      </c>
      <c r="O426" s="819">
        <f t="shared" si="91"/>
        <v>1605</v>
      </c>
      <c r="P426" s="819">
        <f t="shared" si="94"/>
        <v>1294</v>
      </c>
      <c r="Q426" s="819">
        <f t="shared" si="95"/>
        <v>4</v>
      </c>
      <c r="R426" s="819">
        <f t="shared" si="96"/>
        <v>22</v>
      </c>
      <c r="S426" s="819">
        <f t="shared" si="97"/>
        <v>338</v>
      </c>
      <c r="T426" s="819">
        <f t="shared" si="98"/>
        <v>1583</v>
      </c>
      <c r="U426" s="819">
        <f t="shared" si="99"/>
        <v>3241</v>
      </c>
      <c r="V426" s="819">
        <f t="shared" si="100"/>
        <v>1257</v>
      </c>
      <c r="W426" s="379">
        <f t="shared" si="101"/>
        <v>1257</v>
      </c>
      <c r="X426" s="819" t="str">
        <f t="shared" si="102"/>
        <v/>
      </c>
      <c r="Y426" s="837"/>
      <c r="Z426" s="839"/>
      <c r="AA426" s="838"/>
      <c r="AB426" s="839"/>
    </row>
    <row r="427" spans="1:28" ht="14.45">
      <c r="A427" s="816"/>
      <c r="B427" s="819" t="s">
        <v>1245</v>
      </c>
      <c r="C427" s="819" t="s">
        <v>1246</v>
      </c>
      <c r="D427" s="379" t="s">
        <v>336</v>
      </c>
      <c r="E427" s="818" t="s">
        <v>941</v>
      </c>
      <c r="F427" s="820">
        <v>2.4034683810000002</v>
      </c>
      <c r="G427" s="821">
        <v>8.4305925980000005</v>
      </c>
      <c r="H427" s="822">
        <v>71160322.992500499</v>
      </c>
      <c r="I427" s="819"/>
      <c r="J427" s="820">
        <v>-3.472808E-3</v>
      </c>
      <c r="K427" s="819">
        <f t="shared" si="92"/>
        <v>791</v>
      </c>
      <c r="L427" s="819">
        <f t="shared" si="93"/>
        <v>246</v>
      </c>
      <c r="M427" s="819">
        <f t="shared" si="89"/>
        <v>791</v>
      </c>
      <c r="N427" s="819">
        <f t="shared" si="90"/>
        <v>364</v>
      </c>
      <c r="O427" s="819">
        <f t="shared" si="91"/>
        <v>1566</v>
      </c>
      <c r="P427" s="819">
        <f t="shared" si="94"/>
        <v>607</v>
      </c>
      <c r="Q427" s="819">
        <f t="shared" si="95"/>
        <v>177</v>
      </c>
      <c r="R427" s="819">
        <f t="shared" si="96"/>
        <v>709</v>
      </c>
      <c r="S427" s="819">
        <f t="shared" si="97"/>
        <v>338</v>
      </c>
      <c r="T427" s="819">
        <f t="shared" si="98"/>
        <v>1544</v>
      </c>
      <c r="U427" s="819">
        <f t="shared" si="99"/>
        <v>3375</v>
      </c>
      <c r="V427" s="819">
        <f t="shared" si="100"/>
        <v>1439</v>
      </c>
      <c r="W427" s="379">
        <f t="shared" si="101"/>
        <v>1439</v>
      </c>
      <c r="X427" s="819" t="str">
        <f t="shared" si="102"/>
        <v/>
      </c>
      <c r="Y427" s="837"/>
      <c r="Z427" s="839"/>
      <c r="AA427" s="838"/>
      <c r="AB427" s="839"/>
    </row>
    <row r="428" spans="1:28" ht="13.15">
      <c r="B428" s="819" t="s">
        <v>1247</v>
      </c>
      <c r="C428" s="819" t="s">
        <v>1248</v>
      </c>
      <c r="D428" s="379" t="s">
        <v>336</v>
      </c>
      <c r="E428" s="818" t="s">
        <v>941</v>
      </c>
      <c r="F428" s="820">
        <v>2.7128126610000001</v>
      </c>
      <c r="G428" s="821">
        <v>14.043670280000001</v>
      </c>
      <c r="H428" s="822">
        <v>221209759.063472</v>
      </c>
      <c r="I428" s="819"/>
      <c r="J428" s="820">
        <v>-1.1357209999999999E-3</v>
      </c>
      <c r="K428" s="819">
        <f t="shared" si="92"/>
        <v>537</v>
      </c>
      <c r="L428" s="819">
        <f t="shared" si="93"/>
        <v>138</v>
      </c>
      <c r="M428" s="819">
        <f t="shared" si="89"/>
        <v>537</v>
      </c>
      <c r="N428" s="819">
        <f t="shared" si="90"/>
        <v>364</v>
      </c>
      <c r="O428" s="819">
        <f t="shared" si="91"/>
        <v>1420</v>
      </c>
      <c r="P428" s="819">
        <f t="shared" si="94"/>
        <v>861</v>
      </c>
      <c r="Q428" s="819">
        <f t="shared" si="95"/>
        <v>285</v>
      </c>
      <c r="R428" s="819">
        <f t="shared" si="96"/>
        <v>455</v>
      </c>
      <c r="S428" s="819">
        <f t="shared" si="97"/>
        <v>338</v>
      </c>
      <c r="T428" s="819">
        <f t="shared" si="98"/>
        <v>1398</v>
      </c>
      <c r="U428" s="819">
        <f t="shared" si="99"/>
        <v>3337</v>
      </c>
      <c r="V428" s="819">
        <f t="shared" si="100"/>
        <v>1388</v>
      </c>
      <c r="W428" s="379">
        <f t="shared" si="101"/>
        <v>1388</v>
      </c>
      <c r="X428" s="819" t="str">
        <f t="shared" si="102"/>
        <v/>
      </c>
      <c r="Y428" s="837"/>
      <c r="Z428" s="839"/>
      <c r="AA428" s="838"/>
      <c r="AB428" s="839"/>
    </row>
    <row r="429" spans="1:28" ht="14.45">
      <c r="A429" s="816"/>
      <c r="B429" s="819" t="s">
        <v>1249</v>
      </c>
      <c r="C429" s="819" t="s">
        <v>1250</v>
      </c>
      <c r="D429" s="379" t="s">
        <v>336</v>
      </c>
      <c r="E429" s="818" t="s">
        <v>941</v>
      </c>
      <c r="F429" s="820">
        <v>1.562803508</v>
      </c>
      <c r="G429" s="821">
        <v>58.854004430000003</v>
      </c>
      <c r="H429" s="822">
        <v>75507591.000548795</v>
      </c>
      <c r="I429" s="819">
        <v>1.1599999999999999</v>
      </c>
      <c r="J429" s="820">
        <v>-5.8340200000000001E-4</v>
      </c>
      <c r="K429" s="819">
        <f t="shared" si="92"/>
        <v>784</v>
      </c>
      <c r="L429" s="819">
        <f t="shared" si="93"/>
        <v>30</v>
      </c>
      <c r="M429" s="819">
        <f t="shared" si="89"/>
        <v>784</v>
      </c>
      <c r="N429" s="819">
        <f t="shared" si="90"/>
        <v>118</v>
      </c>
      <c r="O429" s="819">
        <f t="shared" si="91"/>
        <v>1303</v>
      </c>
      <c r="P429" s="819">
        <f t="shared" si="94"/>
        <v>614</v>
      </c>
      <c r="Q429" s="819">
        <f t="shared" si="95"/>
        <v>393</v>
      </c>
      <c r="R429" s="819">
        <f t="shared" si="96"/>
        <v>702</v>
      </c>
      <c r="S429" s="819">
        <f t="shared" si="97"/>
        <v>92</v>
      </c>
      <c r="T429" s="819">
        <f t="shared" si="98"/>
        <v>1281</v>
      </c>
      <c r="U429" s="819">
        <f t="shared" si="99"/>
        <v>3082</v>
      </c>
      <c r="V429" s="819">
        <f t="shared" si="100"/>
        <v>1033</v>
      </c>
      <c r="W429" s="379">
        <f t="shared" si="101"/>
        <v>1033</v>
      </c>
      <c r="X429" s="819" t="str">
        <f t="shared" si="102"/>
        <v/>
      </c>
      <c r="Y429" s="837"/>
      <c r="Z429" s="839"/>
      <c r="AA429" s="838"/>
      <c r="AB429" s="839"/>
    </row>
    <row r="430" spans="1:28" ht="13.15">
      <c r="B430" s="819" t="s">
        <v>1251</v>
      </c>
      <c r="C430" s="819" t="s">
        <v>1252</v>
      </c>
      <c r="D430" s="379" t="s">
        <v>336</v>
      </c>
      <c r="E430" s="818" t="s">
        <v>941</v>
      </c>
      <c r="F430" s="820">
        <v>0.95889104700000005</v>
      </c>
      <c r="G430" s="821">
        <v>4.2579877609999999</v>
      </c>
      <c r="H430" s="822">
        <v>227262763.490031</v>
      </c>
      <c r="I430" s="819"/>
      <c r="J430" s="820">
        <v>-3.6939400000000001E-5</v>
      </c>
      <c r="K430" s="819">
        <f t="shared" si="92"/>
        <v>531</v>
      </c>
      <c r="L430" s="819">
        <f t="shared" si="93"/>
        <v>430</v>
      </c>
      <c r="M430" s="819">
        <f t="shared" si="89"/>
        <v>531</v>
      </c>
      <c r="N430" s="819">
        <f t="shared" si="90"/>
        <v>364</v>
      </c>
      <c r="O430" s="819">
        <f t="shared" si="91"/>
        <v>890</v>
      </c>
      <c r="P430" s="819">
        <f t="shared" si="94"/>
        <v>867</v>
      </c>
      <c r="Q430" s="819">
        <f t="shared" si="95"/>
        <v>7</v>
      </c>
      <c r="R430" s="819">
        <f t="shared" si="96"/>
        <v>449</v>
      </c>
      <c r="S430" s="819">
        <f t="shared" si="97"/>
        <v>338</v>
      </c>
      <c r="T430" s="819">
        <f t="shared" si="98"/>
        <v>868</v>
      </c>
      <c r="U430" s="819">
        <f t="shared" si="99"/>
        <v>2529</v>
      </c>
      <c r="V430" s="819">
        <f t="shared" si="100"/>
        <v>259</v>
      </c>
      <c r="W430" s="379">
        <f t="shared" si="101"/>
        <v>259</v>
      </c>
      <c r="X430" s="819" t="str">
        <f t="shared" si="102"/>
        <v/>
      </c>
      <c r="Y430" s="837"/>
      <c r="Z430" s="839"/>
      <c r="AA430" s="838"/>
      <c r="AB430" s="839"/>
    </row>
    <row r="431" spans="1:28" ht="14.45">
      <c r="A431" s="816"/>
      <c r="B431" s="819" t="s">
        <v>1253</v>
      </c>
      <c r="C431" s="819" t="s">
        <v>1254</v>
      </c>
      <c r="D431" s="379" t="s">
        <v>336</v>
      </c>
      <c r="E431" s="818" t="s">
        <v>941</v>
      </c>
      <c r="F431" s="820">
        <v>1.1203716859999999</v>
      </c>
      <c r="G431" s="821">
        <v>4.7396766970000002</v>
      </c>
      <c r="H431" s="822">
        <v>50312932.138284303</v>
      </c>
      <c r="I431" s="819"/>
      <c r="J431" s="820">
        <v>-1.7253900000000001E-4</v>
      </c>
      <c r="K431" s="819">
        <f t="shared" si="92"/>
        <v>878</v>
      </c>
      <c r="L431" s="819">
        <f t="shared" si="93"/>
        <v>397</v>
      </c>
      <c r="M431" s="819">
        <f t="shared" si="89"/>
        <v>878</v>
      </c>
      <c r="N431" s="819">
        <f t="shared" si="90"/>
        <v>364</v>
      </c>
      <c r="O431" s="819">
        <f t="shared" si="91"/>
        <v>1087</v>
      </c>
      <c r="P431" s="819">
        <f t="shared" si="94"/>
        <v>520</v>
      </c>
      <c r="Q431" s="819">
        <f t="shared" si="95"/>
        <v>26</v>
      </c>
      <c r="R431" s="819">
        <f t="shared" si="96"/>
        <v>796</v>
      </c>
      <c r="S431" s="819">
        <f t="shared" si="97"/>
        <v>338</v>
      </c>
      <c r="T431" s="819">
        <f t="shared" si="98"/>
        <v>1065</v>
      </c>
      <c r="U431" s="819">
        <f t="shared" si="99"/>
        <v>2745</v>
      </c>
      <c r="V431" s="819">
        <f t="shared" si="100"/>
        <v>410</v>
      </c>
      <c r="W431" s="379">
        <f t="shared" si="101"/>
        <v>410</v>
      </c>
      <c r="X431" s="819" t="str">
        <f t="shared" si="102"/>
        <v/>
      </c>
      <c r="Y431" s="837"/>
      <c r="Z431" s="839"/>
      <c r="AA431" s="838"/>
      <c r="AB431" s="839"/>
    </row>
    <row r="432" spans="1:28" ht="13.15">
      <c r="B432" s="819" t="s">
        <v>1255</v>
      </c>
      <c r="C432" s="819" t="s">
        <v>1256</v>
      </c>
      <c r="D432" s="379" t="s">
        <v>336</v>
      </c>
      <c r="E432" s="818" t="s">
        <v>842</v>
      </c>
      <c r="F432" s="820">
        <v>0.78126893900000005</v>
      </c>
      <c r="G432" s="821">
        <v>1.5363603100000001</v>
      </c>
      <c r="H432" s="822">
        <v>13928260.8695652</v>
      </c>
      <c r="I432" s="819"/>
      <c r="J432" s="820">
        <v>-2.7092300000000001E-4</v>
      </c>
      <c r="K432" s="819">
        <f t="shared" si="92"/>
        <v>1180</v>
      </c>
      <c r="L432" s="819">
        <f t="shared" si="93"/>
        <v>736</v>
      </c>
      <c r="M432" s="819">
        <f t="shared" si="89"/>
        <v>1180</v>
      </c>
      <c r="N432" s="819">
        <f t="shared" si="90"/>
        <v>364</v>
      </c>
      <c r="O432" s="819">
        <f t="shared" si="91"/>
        <v>1159</v>
      </c>
      <c r="P432" s="819">
        <f t="shared" si="94"/>
        <v>218</v>
      </c>
      <c r="Q432" s="819">
        <f t="shared" si="95"/>
        <v>313</v>
      </c>
      <c r="R432" s="819">
        <f t="shared" si="96"/>
        <v>1098</v>
      </c>
      <c r="S432" s="819">
        <f t="shared" si="97"/>
        <v>338</v>
      </c>
      <c r="T432" s="819">
        <f t="shared" si="98"/>
        <v>1137</v>
      </c>
      <c r="U432" s="819">
        <f t="shared" si="99"/>
        <v>3104</v>
      </c>
      <c r="V432" s="819">
        <f t="shared" si="100"/>
        <v>1071</v>
      </c>
      <c r="W432" s="379">
        <f t="shared" si="101"/>
        <v>1071</v>
      </c>
      <c r="X432" s="819" t="str">
        <f t="shared" si="102"/>
        <v/>
      </c>
      <c r="Y432" s="837"/>
      <c r="Z432" s="839"/>
      <c r="AA432" s="838"/>
      <c r="AB432" s="839"/>
    </row>
    <row r="433" spans="1:28" ht="14.45">
      <c r="A433" s="816"/>
      <c r="B433" s="819" t="s">
        <v>1257</v>
      </c>
      <c r="C433" s="819" t="s">
        <v>1258</v>
      </c>
      <c r="D433" s="379" t="s">
        <v>336</v>
      </c>
      <c r="E433" s="818" t="s">
        <v>842</v>
      </c>
      <c r="F433" s="820">
        <v>2.9193783720000002</v>
      </c>
      <c r="G433" s="821">
        <v>3.6140195039999998</v>
      </c>
      <c r="H433" s="822">
        <v>2234352.9711821801</v>
      </c>
      <c r="I433" s="819"/>
      <c r="J433" s="820">
        <v>-3.3459600000000001E-5</v>
      </c>
      <c r="K433" s="819">
        <f t="shared" si="92"/>
        <v>1480</v>
      </c>
      <c r="L433" s="819">
        <f t="shared" si="93"/>
        <v>485</v>
      </c>
      <c r="M433" s="819">
        <f t="shared" si="89"/>
        <v>1480</v>
      </c>
      <c r="N433" s="819">
        <f t="shared" si="90"/>
        <v>364</v>
      </c>
      <c r="O433" s="819">
        <f t="shared" si="91"/>
        <v>882</v>
      </c>
      <c r="P433" s="819">
        <f t="shared" si="94"/>
        <v>82</v>
      </c>
      <c r="Q433" s="819">
        <f t="shared" si="95"/>
        <v>62</v>
      </c>
      <c r="R433" s="819">
        <f t="shared" si="96"/>
        <v>1398</v>
      </c>
      <c r="S433" s="819">
        <f t="shared" si="97"/>
        <v>338</v>
      </c>
      <c r="T433" s="819">
        <f t="shared" si="98"/>
        <v>860</v>
      </c>
      <c r="U433" s="819">
        <f t="shared" si="99"/>
        <v>2740</v>
      </c>
      <c r="V433" s="819">
        <f t="shared" si="100"/>
        <v>405</v>
      </c>
      <c r="W433" s="379">
        <f t="shared" si="101"/>
        <v>405</v>
      </c>
      <c r="X433" s="819" t="str">
        <f t="shared" si="102"/>
        <v/>
      </c>
      <c r="Y433" s="837"/>
      <c r="Z433" s="839"/>
      <c r="AA433" s="838"/>
      <c r="AB433" s="839"/>
    </row>
    <row r="434" spans="1:28" ht="13.15">
      <c r="B434" s="819" t="s">
        <v>1259</v>
      </c>
      <c r="C434" s="819" t="s">
        <v>1260</v>
      </c>
      <c r="D434" s="379" t="s">
        <v>336</v>
      </c>
      <c r="E434" s="818" t="s">
        <v>842</v>
      </c>
      <c r="F434" s="820">
        <v>2.8314913650000002</v>
      </c>
      <c r="G434" s="821">
        <v>0.275868059</v>
      </c>
      <c r="H434" s="822">
        <v>724937.11821775103</v>
      </c>
      <c r="I434" s="819"/>
      <c r="J434" s="820">
        <v>-6.9837499999999999E-4</v>
      </c>
      <c r="K434" s="819">
        <f t="shared" si="92"/>
        <v>1583</v>
      </c>
      <c r="L434" s="819">
        <f t="shared" si="93"/>
        <v>965</v>
      </c>
      <c r="M434" s="819">
        <f t="shared" si="89"/>
        <v>1583</v>
      </c>
      <c r="N434" s="819">
        <f t="shared" si="90"/>
        <v>364</v>
      </c>
      <c r="O434" s="819">
        <f t="shared" si="91"/>
        <v>1343</v>
      </c>
      <c r="P434" s="819">
        <f t="shared" si="94"/>
        <v>185</v>
      </c>
      <c r="Q434" s="819">
        <f t="shared" si="95"/>
        <v>542</v>
      </c>
      <c r="R434" s="819">
        <f t="shared" si="96"/>
        <v>1501</v>
      </c>
      <c r="S434" s="819">
        <f t="shared" si="97"/>
        <v>338</v>
      </c>
      <c r="T434" s="819">
        <f t="shared" si="98"/>
        <v>1321</v>
      </c>
      <c r="U434" s="819">
        <f t="shared" si="99"/>
        <v>3887</v>
      </c>
      <c r="V434" s="819">
        <f t="shared" si="100"/>
        <v>1735</v>
      </c>
      <c r="W434" s="379">
        <f t="shared" si="101"/>
        <v>1735</v>
      </c>
      <c r="X434" s="819" t="str">
        <f t="shared" si="102"/>
        <v/>
      </c>
      <c r="Y434" s="837"/>
      <c r="Z434" s="839"/>
      <c r="AA434" s="838"/>
      <c r="AB434" s="839"/>
    </row>
    <row r="435" spans="1:28" ht="14.45">
      <c r="A435" s="816"/>
      <c r="B435" s="819" t="s">
        <v>1261</v>
      </c>
      <c r="C435" s="819" t="s">
        <v>1262</v>
      </c>
      <c r="D435" s="379" t="s">
        <v>336</v>
      </c>
      <c r="E435" s="818" t="s">
        <v>842</v>
      </c>
      <c r="F435" s="820">
        <v>0.70806375799999999</v>
      </c>
      <c r="G435" s="821">
        <v>-16.075716239999998</v>
      </c>
      <c r="H435" s="822">
        <v>14600592.322924901</v>
      </c>
      <c r="I435" s="819"/>
      <c r="J435" s="820">
        <v>1.6708238E-2</v>
      </c>
      <c r="K435" s="819">
        <f t="shared" si="92"/>
        <v>1172</v>
      </c>
      <c r="L435" s="819">
        <f t="shared" si="93"/>
        <v>1474</v>
      </c>
      <c r="M435" s="819">
        <f t="shared" si="89"/>
        <v>1172</v>
      </c>
      <c r="N435" s="819">
        <f t="shared" si="90"/>
        <v>364</v>
      </c>
      <c r="O435" s="819">
        <f t="shared" si="91"/>
        <v>125</v>
      </c>
      <c r="P435" s="819">
        <f t="shared" si="94"/>
        <v>226</v>
      </c>
      <c r="Q435" s="819">
        <f t="shared" si="95"/>
        <v>1051</v>
      </c>
      <c r="R435" s="819">
        <f t="shared" si="96"/>
        <v>1090</v>
      </c>
      <c r="S435" s="819">
        <f t="shared" si="97"/>
        <v>338</v>
      </c>
      <c r="T435" s="819">
        <f t="shared" si="98"/>
        <v>103</v>
      </c>
      <c r="U435" s="819">
        <f t="shared" si="99"/>
        <v>2808</v>
      </c>
      <c r="V435" s="819">
        <f t="shared" si="100"/>
        <v>643</v>
      </c>
      <c r="W435" s="379">
        <f t="shared" si="101"/>
        <v>643</v>
      </c>
      <c r="X435" s="819" t="str">
        <f t="shared" si="102"/>
        <v/>
      </c>
      <c r="Y435" s="837"/>
      <c r="Z435" s="839"/>
      <c r="AA435" s="838"/>
      <c r="AB435" s="839"/>
    </row>
    <row r="436" spans="1:28" ht="13.15">
      <c r="B436" s="819" t="s">
        <v>1263</v>
      </c>
      <c r="C436" s="819" t="s">
        <v>1264</v>
      </c>
      <c r="D436" s="379" t="s">
        <v>336</v>
      </c>
      <c r="E436" s="818" t="s">
        <v>441</v>
      </c>
      <c r="F436" s="820">
        <v>1.218400055</v>
      </c>
      <c r="G436" s="821">
        <v>-12.85906821</v>
      </c>
      <c r="H436" s="822">
        <v>747909905.08418405</v>
      </c>
      <c r="I436" s="819"/>
      <c r="J436" s="820">
        <v>1.6772099999999999E-3</v>
      </c>
      <c r="K436" s="819">
        <f t="shared" si="92"/>
        <v>269</v>
      </c>
      <c r="L436" s="819">
        <f t="shared" si="93"/>
        <v>1466</v>
      </c>
      <c r="M436" s="819">
        <f t="shared" si="89"/>
        <v>269</v>
      </c>
      <c r="N436" s="819">
        <f t="shared" si="90"/>
        <v>364</v>
      </c>
      <c r="O436" s="819">
        <f t="shared" si="91"/>
        <v>169</v>
      </c>
      <c r="P436" s="819">
        <f t="shared" si="94"/>
        <v>1129</v>
      </c>
      <c r="Q436" s="819">
        <f t="shared" si="95"/>
        <v>1043</v>
      </c>
      <c r="R436" s="819">
        <f t="shared" si="96"/>
        <v>187</v>
      </c>
      <c r="S436" s="819">
        <f t="shared" si="97"/>
        <v>338</v>
      </c>
      <c r="T436" s="819">
        <f t="shared" si="98"/>
        <v>147</v>
      </c>
      <c r="U436" s="819">
        <f t="shared" si="99"/>
        <v>2844</v>
      </c>
      <c r="V436" s="819">
        <f t="shared" si="100"/>
        <v>710</v>
      </c>
      <c r="W436" s="379">
        <f t="shared" si="101"/>
        <v>710</v>
      </c>
      <c r="X436" s="819" t="str">
        <f t="shared" si="102"/>
        <v/>
      </c>
      <c r="Y436" s="837"/>
      <c r="Z436" s="839"/>
      <c r="AA436" s="838"/>
      <c r="AB436" s="839"/>
    </row>
    <row r="437" spans="1:28" ht="14.45">
      <c r="A437" s="816"/>
      <c r="B437" s="819" t="s">
        <v>1265</v>
      </c>
      <c r="C437" s="819" t="s">
        <v>1266</v>
      </c>
      <c r="D437" s="379" t="s">
        <v>336</v>
      </c>
      <c r="E437" s="818" t="s">
        <v>441</v>
      </c>
      <c r="F437" s="820">
        <v>18.946347289999999</v>
      </c>
      <c r="G437" s="821">
        <v>0.52692034200000004</v>
      </c>
      <c r="H437" s="822">
        <v>485530753.477696</v>
      </c>
      <c r="I437" s="819"/>
      <c r="J437" s="820">
        <v>-1.1291453999999999E-2</v>
      </c>
      <c r="K437" s="819">
        <f t="shared" si="92"/>
        <v>360</v>
      </c>
      <c r="L437" s="819">
        <f t="shared" si="93"/>
        <v>916</v>
      </c>
      <c r="M437" s="819">
        <f t="shared" si="89"/>
        <v>360</v>
      </c>
      <c r="N437" s="819">
        <f t="shared" si="90"/>
        <v>364</v>
      </c>
      <c r="O437" s="819">
        <f t="shared" si="91"/>
        <v>1652</v>
      </c>
      <c r="P437" s="819">
        <f t="shared" si="94"/>
        <v>1038</v>
      </c>
      <c r="Q437" s="819">
        <f t="shared" si="95"/>
        <v>493</v>
      </c>
      <c r="R437" s="819">
        <f t="shared" si="96"/>
        <v>278</v>
      </c>
      <c r="S437" s="819">
        <f t="shared" si="97"/>
        <v>338</v>
      </c>
      <c r="T437" s="819">
        <f t="shared" si="98"/>
        <v>1630</v>
      </c>
      <c r="U437" s="819">
        <f t="shared" si="99"/>
        <v>3777</v>
      </c>
      <c r="V437" s="819">
        <f t="shared" si="100"/>
        <v>1705</v>
      </c>
      <c r="W437" s="379">
        <f t="shared" si="101"/>
        <v>1705</v>
      </c>
      <c r="X437" s="819" t="str">
        <f t="shared" si="102"/>
        <v/>
      </c>
      <c r="Y437" s="837"/>
      <c r="Z437" s="839"/>
      <c r="AA437" s="838"/>
      <c r="AB437" s="839"/>
    </row>
    <row r="438" spans="1:28" ht="13.15">
      <c r="B438" s="819" t="s">
        <v>1267</v>
      </c>
      <c r="C438" s="819" t="s">
        <v>1268</v>
      </c>
      <c r="D438" s="379" t="s">
        <v>336</v>
      </c>
      <c r="E438" s="818" t="s">
        <v>842</v>
      </c>
      <c r="F438" s="820">
        <v>9.4249327350000005</v>
      </c>
      <c r="G438" s="821">
        <v>22.399744989999999</v>
      </c>
      <c r="H438" s="822">
        <v>1236009100.9184699</v>
      </c>
      <c r="I438" s="819">
        <v>0.7</v>
      </c>
      <c r="J438" s="820">
        <v>-3.7522749999999998E-3</v>
      </c>
      <c r="K438" s="819">
        <f t="shared" si="92"/>
        <v>196</v>
      </c>
      <c r="L438" s="819">
        <f t="shared" si="93"/>
        <v>88</v>
      </c>
      <c r="M438" s="819">
        <f t="shared" si="89"/>
        <v>196</v>
      </c>
      <c r="N438" s="819">
        <f t="shared" si="90"/>
        <v>152</v>
      </c>
      <c r="O438" s="819">
        <f t="shared" si="91"/>
        <v>1579</v>
      </c>
      <c r="P438" s="819">
        <f t="shared" si="94"/>
        <v>1202</v>
      </c>
      <c r="Q438" s="819">
        <f t="shared" si="95"/>
        <v>335</v>
      </c>
      <c r="R438" s="819">
        <f t="shared" si="96"/>
        <v>114</v>
      </c>
      <c r="S438" s="819">
        <f t="shared" si="97"/>
        <v>126</v>
      </c>
      <c r="T438" s="819">
        <f t="shared" si="98"/>
        <v>1557</v>
      </c>
      <c r="U438" s="819">
        <f t="shared" si="99"/>
        <v>3334</v>
      </c>
      <c r="V438" s="819">
        <f t="shared" si="100"/>
        <v>1384</v>
      </c>
      <c r="W438" s="379">
        <f t="shared" si="101"/>
        <v>1384</v>
      </c>
      <c r="X438" s="819" t="str">
        <f t="shared" si="102"/>
        <v/>
      </c>
      <c r="Y438" s="837"/>
      <c r="Z438" s="839"/>
      <c r="AA438" s="838"/>
      <c r="AB438" s="839"/>
    </row>
    <row r="439" spans="1:28" ht="14.45">
      <c r="A439" s="816"/>
      <c r="B439" s="819" t="s">
        <v>1269</v>
      </c>
      <c r="C439" s="819" t="s">
        <v>1270</v>
      </c>
      <c r="D439" s="379" t="s">
        <v>336</v>
      </c>
      <c r="E439" s="818" t="s">
        <v>941</v>
      </c>
      <c r="F439" s="820">
        <v>2.9080088759999998</v>
      </c>
      <c r="G439" s="821">
        <v>2.9875782160000002</v>
      </c>
      <c r="H439" s="822">
        <v>341669390.52496803</v>
      </c>
      <c r="I439" s="819"/>
      <c r="J439" s="820">
        <v>-1.26706E-4</v>
      </c>
      <c r="K439" s="819">
        <f t="shared" si="92"/>
        <v>441</v>
      </c>
      <c r="L439" s="819">
        <f t="shared" si="93"/>
        <v>544</v>
      </c>
      <c r="M439" s="819">
        <f t="shared" si="89"/>
        <v>441</v>
      </c>
      <c r="N439" s="819">
        <f t="shared" si="90"/>
        <v>364</v>
      </c>
      <c r="O439" s="819">
        <f t="shared" si="91"/>
        <v>1034</v>
      </c>
      <c r="P439" s="819">
        <f t="shared" si="94"/>
        <v>957</v>
      </c>
      <c r="Q439" s="819">
        <f t="shared" si="95"/>
        <v>121</v>
      </c>
      <c r="R439" s="819">
        <f t="shared" si="96"/>
        <v>359</v>
      </c>
      <c r="S439" s="819">
        <f t="shared" si="97"/>
        <v>338</v>
      </c>
      <c r="T439" s="819">
        <f t="shared" si="98"/>
        <v>1012</v>
      </c>
      <c r="U439" s="819">
        <f t="shared" si="99"/>
        <v>2787</v>
      </c>
      <c r="V439" s="819">
        <f t="shared" si="100"/>
        <v>605</v>
      </c>
      <c r="W439" s="379">
        <f t="shared" si="101"/>
        <v>605</v>
      </c>
      <c r="X439" s="819" t="str">
        <f t="shared" si="102"/>
        <v/>
      </c>
      <c r="Y439" s="837"/>
      <c r="Z439" s="839"/>
      <c r="AA439" s="838"/>
      <c r="AB439" s="839"/>
    </row>
    <row r="440" spans="1:28" ht="13.15">
      <c r="B440" s="819" t="s">
        <v>1271</v>
      </c>
      <c r="C440" s="819" t="s">
        <v>1272</v>
      </c>
      <c r="D440" s="379" t="s">
        <v>336</v>
      </c>
      <c r="E440" s="818" t="s">
        <v>842</v>
      </c>
      <c r="F440" s="820">
        <v>1.901134967</v>
      </c>
      <c r="G440" s="821">
        <v>5.8721386899999999</v>
      </c>
      <c r="H440" s="822">
        <v>3346264.6920589302</v>
      </c>
      <c r="I440" s="819"/>
      <c r="J440" s="820">
        <v>-3.9907400000000002E-4</v>
      </c>
      <c r="K440" s="819">
        <f t="shared" si="92"/>
        <v>1436</v>
      </c>
      <c r="L440" s="819">
        <f t="shared" si="93"/>
        <v>329</v>
      </c>
      <c r="M440" s="819">
        <f t="shared" si="89"/>
        <v>1436</v>
      </c>
      <c r="N440" s="819">
        <f t="shared" si="90"/>
        <v>364</v>
      </c>
      <c r="O440" s="819">
        <f t="shared" si="91"/>
        <v>1224</v>
      </c>
      <c r="P440" s="819">
        <f t="shared" si="94"/>
        <v>38</v>
      </c>
      <c r="Q440" s="819">
        <f t="shared" si="95"/>
        <v>94</v>
      </c>
      <c r="R440" s="819">
        <f t="shared" si="96"/>
        <v>1354</v>
      </c>
      <c r="S440" s="819">
        <f t="shared" si="97"/>
        <v>338</v>
      </c>
      <c r="T440" s="819">
        <f t="shared" si="98"/>
        <v>1202</v>
      </c>
      <c r="U440" s="819">
        <f t="shared" si="99"/>
        <v>3026</v>
      </c>
      <c r="V440" s="819">
        <f t="shared" si="100"/>
        <v>958</v>
      </c>
      <c r="W440" s="379">
        <f t="shared" si="101"/>
        <v>958</v>
      </c>
      <c r="X440" s="819" t="str">
        <f t="shared" si="102"/>
        <v/>
      </c>
      <c r="Y440" s="837"/>
      <c r="Z440" s="839"/>
      <c r="AA440" s="838"/>
      <c r="AB440" s="839"/>
    </row>
    <row r="441" spans="1:28" ht="14.45">
      <c r="A441" s="816"/>
      <c r="B441" s="819" t="s">
        <v>1273</v>
      </c>
      <c r="C441" s="819" t="s">
        <v>1274</v>
      </c>
      <c r="D441" s="379" t="s">
        <v>336</v>
      </c>
      <c r="E441" s="818" t="s">
        <v>842</v>
      </c>
      <c r="F441" s="820">
        <v>1.4179394240000001</v>
      </c>
      <c r="G441" s="821">
        <v>0</v>
      </c>
      <c r="H441" s="822">
        <v>8729279.1448077597</v>
      </c>
      <c r="I441" s="819"/>
      <c r="J441" s="820">
        <v>8.9343899999999997E-6</v>
      </c>
      <c r="K441" s="819">
        <f t="shared" si="92"/>
        <v>1276</v>
      </c>
      <c r="L441" s="819">
        <f t="shared" si="93"/>
        <v>1084</v>
      </c>
      <c r="M441" s="819">
        <f t="shared" si="89"/>
        <v>1276</v>
      </c>
      <c r="N441" s="819">
        <f t="shared" si="90"/>
        <v>364</v>
      </c>
      <c r="O441" s="819">
        <f t="shared" si="91"/>
        <v>424</v>
      </c>
      <c r="P441" s="819">
        <f t="shared" si="94"/>
        <v>122</v>
      </c>
      <c r="Q441" s="819">
        <f t="shared" si="95"/>
        <v>661</v>
      </c>
      <c r="R441" s="819">
        <f t="shared" si="96"/>
        <v>1194</v>
      </c>
      <c r="S441" s="819">
        <f t="shared" si="97"/>
        <v>338</v>
      </c>
      <c r="T441" s="819">
        <f t="shared" si="98"/>
        <v>402</v>
      </c>
      <c r="U441" s="819">
        <f t="shared" si="99"/>
        <v>2717</v>
      </c>
      <c r="V441" s="819">
        <f t="shared" si="100"/>
        <v>377</v>
      </c>
      <c r="W441" s="379">
        <f t="shared" si="101"/>
        <v>377</v>
      </c>
      <c r="X441" s="819" t="str">
        <f t="shared" si="102"/>
        <v/>
      </c>
      <c r="Y441" s="837"/>
      <c r="Z441" s="839"/>
      <c r="AA441" s="838"/>
      <c r="AB441" s="839"/>
    </row>
    <row r="442" spans="1:28" ht="13.15">
      <c r="B442" s="819" t="s">
        <v>1275</v>
      </c>
      <c r="C442" s="819" t="s">
        <v>1276</v>
      </c>
      <c r="D442" s="379" t="s">
        <v>336</v>
      </c>
      <c r="E442" s="818" t="s">
        <v>600</v>
      </c>
      <c r="F442" s="820"/>
      <c r="G442" s="821"/>
      <c r="H442" s="822">
        <v>4365500.2848348403</v>
      </c>
      <c r="I442" s="819"/>
      <c r="J442" s="820">
        <v>0</v>
      </c>
      <c r="K442" s="819">
        <f t="shared" si="92"/>
        <v>1389</v>
      </c>
      <c r="L442" s="819">
        <f t="shared" si="93"/>
        <v>1084</v>
      </c>
      <c r="M442" s="819">
        <f t="shared" si="89"/>
        <v>1389</v>
      </c>
      <c r="N442" s="819">
        <f t="shared" si="90"/>
        <v>364</v>
      </c>
      <c r="O442" s="819">
        <f t="shared" si="91"/>
        <v>492</v>
      </c>
      <c r="P442" s="819">
        <f t="shared" si="94"/>
        <v>9</v>
      </c>
      <c r="Q442" s="819">
        <f t="shared" si="95"/>
        <v>661</v>
      </c>
      <c r="R442" s="819">
        <f t="shared" si="96"/>
        <v>1307</v>
      </c>
      <c r="S442" s="819">
        <f t="shared" si="97"/>
        <v>338</v>
      </c>
      <c r="T442" s="819">
        <f t="shared" si="98"/>
        <v>470</v>
      </c>
      <c r="U442" s="819">
        <f t="shared" si="99"/>
        <v>2785</v>
      </c>
      <c r="V442" s="819">
        <f t="shared" si="100"/>
        <v>463</v>
      </c>
      <c r="W442" s="379">
        <f t="shared" si="101"/>
        <v>463</v>
      </c>
      <c r="X442" s="819" t="str">
        <f t="shared" si="102"/>
        <v/>
      </c>
      <c r="Y442" s="837"/>
      <c r="Z442" s="839"/>
      <c r="AA442" s="838"/>
      <c r="AB442" s="839"/>
    </row>
    <row r="443" spans="1:28" ht="14.45">
      <c r="A443" s="816"/>
      <c r="B443" s="819" t="s">
        <v>1277</v>
      </c>
      <c r="C443" s="819" t="s">
        <v>1278</v>
      </c>
      <c r="D443" s="379" t="s">
        <v>336</v>
      </c>
      <c r="E443" s="818" t="s">
        <v>842</v>
      </c>
      <c r="F443" s="820">
        <v>3.3636819299999998</v>
      </c>
      <c r="G443" s="821">
        <v>0.452710481</v>
      </c>
      <c r="H443" s="822"/>
      <c r="I443" s="819"/>
      <c r="J443" s="820">
        <v>-1.4334529999999999E-3</v>
      </c>
      <c r="K443" s="819" t="str">
        <f t="shared" si="92"/>
        <v>N/A</v>
      </c>
      <c r="L443" s="819">
        <f t="shared" si="93"/>
        <v>935</v>
      </c>
      <c r="M443" s="819" t="str">
        <f t="shared" si="89"/>
        <v>N/A</v>
      </c>
      <c r="N443" s="819">
        <f t="shared" si="90"/>
        <v>364</v>
      </c>
      <c r="O443" s="819">
        <f t="shared" si="91"/>
        <v>1454</v>
      </c>
      <c r="P443" s="819" t="str">
        <f t="shared" si="94"/>
        <v>N/A</v>
      </c>
      <c r="Q443" s="819">
        <f t="shared" si="95"/>
        <v>512</v>
      </c>
      <c r="R443" s="819" t="str">
        <f t="shared" si="96"/>
        <v>N/A</v>
      </c>
      <c r="S443" s="819">
        <f t="shared" si="97"/>
        <v>338</v>
      </c>
      <c r="T443" s="819">
        <f t="shared" si="98"/>
        <v>1432</v>
      </c>
      <c r="U443" s="819">
        <f t="shared" si="99"/>
        <v>2282</v>
      </c>
      <c r="V443" s="819">
        <f t="shared" si="100"/>
        <v>213</v>
      </c>
      <c r="W443" s="379">
        <f t="shared" si="101"/>
        <v>213</v>
      </c>
      <c r="X443" s="819" t="str">
        <f t="shared" si="102"/>
        <v/>
      </c>
      <c r="Y443" s="837"/>
      <c r="Z443" s="839"/>
      <c r="AA443" s="838"/>
      <c r="AB443" s="839"/>
    </row>
    <row r="444" spans="1:28" ht="13.15">
      <c r="B444" s="819" t="s">
        <v>1279</v>
      </c>
      <c r="C444" s="819" t="s">
        <v>1280</v>
      </c>
      <c r="D444" s="379" t="s">
        <v>336</v>
      </c>
      <c r="E444" s="818" t="s">
        <v>842</v>
      </c>
      <c r="F444" s="820">
        <v>1.8650162969999999</v>
      </c>
      <c r="G444" s="821">
        <v>1.8503104770000001</v>
      </c>
      <c r="H444" s="822">
        <v>14054762.3140496</v>
      </c>
      <c r="I444" s="819"/>
      <c r="J444" s="820">
        <v>-2.030188E-3</v>
      </c>
      <c r="K444" s="819">
        <f t="shared" si="92"/>
        <v>1179</v>
      </c>
      <c r="L444" s="819">
        <f t="shared" si="93"/>
        <v>693</v>
      </c>
      <c r="M444" s="819">
        <f t="shared" si="89"/>
        <v>1179</v>
      </c>
      <c r="N444" s="819">
        <f t="shared" si="90"/>
        <v>364</v>
      </c>
      <c r="O444" s="819">
        <f t="shared" si="91"/>
        <v>1493</v>
      </c>
      <c r="P444" s="819">
        <f t="shared" si="94"/>
        <v>219</v>
      </c>
      <c r="Q444" s="819">
        <f t="shared" si="95"/>
        <v>270</v>
      </c>
      <c r="R444" s="819">
        <f t="shared" si="96"/>
        <v>1097</v>
      </c>
      <c r="S444" s="819">
        <f t="shared" si="97"/>
        <v>338</v>
      </c>
      <c r="T444" s="819">
        <f t="shared" si="98"/>
        <v>1471</v>
      </c>
      <c r="U444" s="819">
        <f t="shared" si="99"/>
        <v>3395</v>
      </c>
      <c r="V444" s="819">
        <f t="shared" si="100"/>
        <v>1457</v>
      </c>
      <c r="W444" s="379">
        <f t="shared" si="101"/>
        <v>1457</v>
      </c>
      <c r="X444" s="819" t="str">
        <f t="shared" si="102"/>
        <v/>
      </c>
      <c r="Y444" s="837"/>
      <c r="Z444" s="839"/>
      <c r="AA444" s="838"/>
      <c r="AB444" s="839"/>
    </row>
    <row r="445" spans="1:28" ht="14.45">
      <c r="A445" s="816"/>
      <c r="B445" s="819" t="s">
        <v>1281</v>
      </c>
      <c r="C445" s="819" t="s">
        <v>1282</v>
      </c>
      <c r="D445" s="379" t="s">
        <v>336</v>
      </c>
      <c r="E445" s="818" t="s">
        <v>752</v>
      </c>
      <c r="F445" s="820">
        <v>5.6241399049999998</v>
      </c>
      <c r="G445" s="821">
        <v>2.0713528750000001</v>
      </c>
      <c r="H445" s="822">
        <v>108327023.03263</v>
      </c>
      <c r="I445" s="819"/>
      <c r="J445" s="820">
        <v>-1.919385E-3</v>
      </c>
      <c r="K445" s="819">
        <f t="shared" si="92"/>
        <v>700</v>
      </c>
      <c r="L445" s="819">
        <f t="shared" si="93"/>
        <v>663</v>
      </c>
      <c r="M445" s="819">
        <f t="shared" si="89"/>
        <v>700</v>
      </c>
      <c r="N445" s="819">
        <f t="shared" si="90"/>
        <v>364</v>
      </c>
      <c r="O445" s="819">
        <f t="shared" si="91"/>
        <v>1488</v>
      </c>
      <c r="P445" s="819">
        <f t="shared" si="94"/>
        <v>698</v>
      </c>
      <c r="Q445" s="819">
        <f t="shared" si="95"/>
        <v>240</v>
      </c>
      <c r="R445" s="819">
        <f t="shared" si="96"/>
        <v>618</v>
      </c>
      <c r="S445" s="819">
        <f t="shared" si="97"/>
        <v>338</v>
      </c>
      <c r="T445" s="819">
        <f t="shared" si="98"/>
        <v>1466</v>
      </c>
      <c r="U445" s="819">
        <f t="shared" si="99"/>
        <v>3360</v>
      </c>
      <c r="V445" s="819">
        <f t="shared" si="100"/>
        <v>1421</v>
      </c>
      <c r="W445" s="379">
        <f t="shared" si="101"/>
        <v>1421</v>
      </c>
      <c r="X445" s="819" t="str">
        <f t="shared" si="102"/>
        <v/>
      </c>
      <c r="Y445" s="837"/>
      <c r="Z445" s="839"/>
      <c r="AA445" s="838"/>
      <c r="AB445" s="839"/>
    </row>
    <row r="446" spans="1:28" ht="13.15">
      <c r="B446" s="819" t="s">
        <v>1283</v>
      </c>
      <c r="C446" s="819" t="s">
        <v>1284</v>
      </c>
      <c r="D446" s="379" t="s">
        <v>336</v>
      </c>
      <c r="E446" s="818" t="s">
        <v>842</v>
      </c>
      <c r="F446" s="820"/>
      <c r="G446" s="821">
        <v>0</v>
      </c>
      <c r="H446" s="822">
        <v>141912991.933166</v>
      </c>
      <c r="I446" s="819"/>
      <c r="J446" s="820">
        <v>-2.9570300000000002E-4</v>
      </c>
      <c r="K446" s="819">
        <f t="shared" si="92"/>
        <v>635</v>
      </c>
      <c r="L446" s="819">
        <f t="shared" si="93"/>
        <v>1084</v>
      </c>
      <c r="M446" s="819">
        <f t="shared" si="89"/>
        <v>635</v>
      </c>
      <c r="N446" s="819">
        <f t="shared" si="90"/>
        <v>364</v>
      </c>
      <c r="O446" s="819">
        <f t="shared" si="91"/>
        <v>1178</v>
      </c>
      <c r="P446" s="819">
        <f t="shared" si="94"/>
        <v>763</v>
      </c>
      <c r="Q446" s="819">
        <f t="shared" si="95"/>
        <v>661</v>
      </c>
      <c r="R446" s="819">
        <f t="shared" si="96"/>
        <v>553</v>
      </c>
      <c r="S446" s="819">
        <f t="shared" si="97"/>
        <v>338</v>
      </c>
      <c r="T446" s="819">
        <f t="shared" si="98"/>
        <v>1156</v>
      </c>
      <c r="U446" s="819">
        <f t="shared" si="99"/>
        <v>3471</v>
      </c>
      <c r="V446" s="819">
        <f t="shared" si="100"/>
        <v>1529</v>
      </c>
      <c r="W446" s="379">
        <f t="shared" si="101"/>
        <v>1529</v>
      </c>
      <c r="X446" s="819" t="str">
        <f t="shared" si="102"/>
        <v/>
      </c>
      <c r="Y446" s="837"/>
      <c r="Z446" s="839"/>
      <c r="AA446" s="838"/>
      <c r="AB446" s="839"/>
    </row>
    <row r="447" spans="1:28" ht="14.45">
      <c r="A447" s="816"/>
      <c r="B447" s="819" t="s">
        <v>1285</v>
      </c>
      <c r="C447" s="819" t="s">
        <v>1286</v>
      </c>
      <c r="D447" s="379" t="s">
        <v>336</v>
      </c>
      <c r="E447" s="818" t="s">
        <v>842</v>
      </c>
      <c r="F447" s="820">
        <v>4.4494649390000003</v>
      </c>
      <c r="G447" s="821">
        <v>1.505455057</v>
      </c>
      <c r="H447" s="822">
        <v>84300599.439777195</v>
      </c>
      <c r="I447" s="819"/>
      <c r="J447" s="820">
        <v>-3.8127199999999999E-4</v>
      </c>
      <c r="K447" s="819">
        <f t="shared" si="92"/>
        <v>760</v>
      </c>
      <c r="L447" s="819">
        <f t="shared" si="93"/>
        <v>738</v>
      </c>
      <c r="M447" s="819">
        <f t="shared" si="89"/>
        <v>760</v>
      </c>
      <c r="N447" s="819">
        <f t="shared" si="90"/>
        <v>364</v>
      </c>
      <c r="O447" s="819">
        <f t="shared" si="91"/>
        <v>1209</v>
      </c>
      <c r="P447" s="819">
        <f t="shared" si="94"/>
        <v>638</v>
      </c>
      <c r="Q447" s="819">
        <f t="shared" si="95"/>
        <v>315</v>
      </c>
      <c r="R447" s="819">
        <f t="shared" si="96"/>
        <v>678</v>
      </c>
      <c r="S447" s="819">
        <f t="shared" si="97"/>
        <v>338</v>
      </c>
      <c r="T447" s="819">
        <f t="shared" si="98"/>
        <v>1187</v>
      </c>
      <c r="U447" s="819">
        <f t="shared" si="99"/>
        <v>3156</v>
      </c>
      <c r="V447" s="819">
        <f t="shared" si="100"/>
        <v>1135</v>
      </c>
      <c r="W447" s="379">
        <f t="shared" si="101"/>
        <v>1135</v>
      </c>
      <c r="X447" s="819" t="str">
        <f t="shared" si="102"/>
        <v/>
      </c>
      <c r="Y447" s="837"/>
      <c r="Z447" s="839"/>
      <c r="AA447" s="838"/>
      <c r="AB447" s="839"/>
    </row>
    <row r="448" spans="1:28" ht="13.15">
      <c r="B448" s="819" t="s">
        <v>1287</v>
      </c>
      <c r="C448" s="819" t="s">
        <v>1288</v>
      </c>
      <c r="D448" s="379" t="s">
        <v>336</v>
      </c>
      <c r="E448" s="818" t="s">
        <v>842</v>
      </c>
      <c r="F448" s="820">
        <v>2.2036056679999998</v>
      </c>
      <c r="G448" s="821">
        <v>0.90040404299999999</v>
      </c>
      <c r="H448" s="822">
        <v>5549342.9249011902</v>
      </c>
      <c r="I448" s="819"/>
      <c r="J448" s="820">
        <v>-1.68389E-3</v>
      </c>
      <c r="K448" s="819">
        <f t="shared" si="92"/>
        <v>1353</v>
      </c>
      <c r="L448" s="819">
        <f t="shared" si="93"/>
        <v>830</v>
      </c>
      <c r="M448" s="819">
        <f t="shared" si="89"/>
        <v>1353</v>
      </c>
      <c r="N448" s="819">
        <f t="shared" si="90"/>
        <v>364</v>
      </c>
      <c r="O448" s="819">
        <f t="shared" si="91"/>
        <v>1473</v>
      </c>
      <c r="P448" s="819">
        <f t="shared" si="94"/>
        <v>45</v>
      </c>
      <c r="Q448" s="819">
        <f t="shared" si="95"/>
        <v>407</v>
      </c>
      <c r="R448" s="819">
        <f t="shared" si="96"/>
        <v>1271</v>
      </c>
      <c r="S448" s="819">
        <f t="shared" si="97"/>
        <v>338</v>
      </c>
      <c r="T448" s="819">
        <f t="shared" si="98"/>
        <v>1451</v>
      </c>
      <c r="U448" s="819">
        <f t="shared" si="99"/>
        <v>3512</v>
      </c>
      <c r="V448" s="819">
        <f t="shared" si="100"/>
        <v>1564</v>
      </c>
      <c r="W448" s="379">
        <f t="shared" si="101"/>
        <v>1564</v>
      </c>
      <c r="X448" s="819" t="str">
        <f t="shared" si="102"/>
        <v/>
      </c>
      <c r="Y448" s="837"/>
      <c r="Z448" s="839"/>
      <c r="AA448" s="838"/>
      <c r="AB448" s="839"/>
    </row>
    <row r="449" spans="1:28" ht="14.45">
      <c r="A449" s="816"/>
      <c r="B449" s="819" t="s">
        <v>1289</v>
      </c>
      <c r="C449" s="819" t="s">
        <v>1290</v>
      </c>
      <c r="D449" s="379" t="s">
        <v>336</v>
      </c>
      <c r="E449" s="818" t="s">
        <v>676</v>
      </c>
      <c r="F449" s="820">
        <v>2.2765078829999998</v>
      </c>
      <c r="G449" s="821">
        <v>6.3607250999999998</v>
      </c>
      <c r="H449" s="822">
        <v>109986424.110779</v>
      </c>
      <c r="I449" s="819"/>
      <c r="J449" s="820">
        <v>-2.9944949999999998E-3</v>
      </c>
      <c r="K449" s="819">
        <f t="shared" si="92"/>
        <v>697</v>
      </c>
      <c r="L449" s="819">
        <f t="shared" si="93"/>
        <v>308</v>
      </c>
      <c r="M449" s="819">
        <f t="shared" si="89"/>
        <v>697</v>
      </c>
      <c r="N449" s="819">
        <f t="shared" si="90"/>
        <v>364</v>
      </c>
      <c r="O449" s="819">
        <f t="shared" si="91"/>
        <v>1545</v>
      </c>
      <c r="P449" s="819">
        <f t="shared" si="94"/>
        <v>701</v>
      </c>
      <c r="Q449" s="819">
        <f t="shared" si="95"/>
        <v>115</v>
      </c>
      <c r="R449" s="819">
        <f t="shared" si="96"/>
        <v>615</v>
      </c>
      <c r="S449" s="819">
        <f t="shared" si="97"/>
        <v>338</v>
      </c>
      <c r="T449" s="819">
        <f t="shared" si="98"/>
        <v>1523</v>
      </c>
      <c r="U449" s="819">
        <f t="shared" si="99"/>
        <v>3292</v>
      </c>
      <c r="V449" s="819">
        <f t="shared" si="100"/>
        <v>1329</v>
      </c>
      <c r="W449" s="379">
        <f t="shared" si="101"/>
        <v>1329</v>
      </c>
      <c r="X449" s="819" t="str">
        <f t="shared" si="102"/>
        <v/>
      </c>
      <c r="Y449" s="837"/>
      <c r="Z449" s="839"/>
      <c r="AA449" s="838"/>
      <c r="AB449" s="839"/>
    </row>
    <row r="450" spans="1:28" ht="13.15">
      <c r="B450" s="819" t="s">
        <v>1291</v>
      </c>
      <c r="C450" s="819" t="s">
        <v>1292</v>
      </c>
      <c r="D450" s="379" t="s">
        <v>336</v>
      </c>
      <c r="E450" s="818" t="s">
        <v>863</v>
      </c>
      <c r="F450" s="820">
        <v>0</v>
      </c>
      <c r="G450" s="821">
        <v>-1.06779661</v>
      </c>
      <c r="H450" s="822">
        <v>257108350.59858</v>
      </c>
      <c r="I450" s="819"/>
      <c r="J450" s="820">
        <v>1.5463699999999999E-5</v>
      </c>
      <c r="K450" s="819">
        <f t="shared" si="92"/>
        <v>509</v>
      </c>
      <c r="L450" s="819">
        <f t="shared" si="93"/>
        <v>1298</v>
      </c>
      <c r="M450" s="819">
        <f t="shared" si="89"/>
        <v>509</v>
      </c>
      <c r="N450" s="819">
        <f t="shared" si="90"/>
        <v>364</v>
      </c>
      <c r="O450" s="819">
        <f t="shared" si="91"/>
        <v>414</v>
      </c>
      <c r="P450" s="819">
        <f t="shared" si="94"/>
        <v>889</v>
      </c>
      <c r="Q450" s="819">
        <f t="shared" si="95"/>
        <v>875</v>
      </c>
      <c r="R450" s="819">
        <f t="shared" si="96"/>
        <v>427</v>
      </c>
      <c r="S450" s="819">
        <f t="shared" si="97"/>
        <v>338</v>
      </c>
      <c r="T450" s="819">
        <f t="shared" si="98"/>
        <v>392</v>
      </c>
      <c r="U450" s="819">
        <f t="shared" si="99"/>
        <v>2921</v>
      </c>
      <c r="V450" s="819">
        <f t="shared" si="100"/>
        <v>834</v>
      </c>
      <c r="W450" s="379">
        <f t="shared" si="101"/>
        <v>834</v>
      </c>
      <c r="X450" s="819" t="str">
        <f t="shared" si="102"/>
        <v/>
      </c>
      <c r="Y450" s="837"/>
      <c r="Z450" s="839"/>
      <c r="AA450" s="838"/>
      <c r="AB450" s="839"/>
    </row>
    <row r="451" spans="1:28" ht="14.45">
      <c r="A451" s="816"/>
      <c r="B451" s="819" t="s">
        <v>1293</v>
      </c>
      <c r="C451" s="819" t="s">
        <v>1294</v>
      </c>
      <c r="D451" s="379" t="s">
        <v>336</v>
      </c>
      <c r="E451" s="818" t="s">
        <v>863</v>
      </c>
      <c r="F451" s="820">
        <v>1.7635196959999999</v>
      </c>
      <c r="G451" s="821">
        <v>7.779482507</v>
      </c>
      <c r="H451" s="822">
        <v>42585261.1961013</v>
      </c>
      <c r="I451" s="819"/>
      <c r="J451" s="820">
        <v>-2.3882090000000001E-3</v>
      </c>
      <c r="K451" s="819">
        <f t="shared" si="92"/>
        <v>913</v>
      </c>
      <c r="L451" s="819">
        <f t="shared" si="93"/>
        <v>261</v>
      </c>
      <c r="M451" s="819">
        <f t="shared" si="89"/>
        <v>913</v>
      </c>
      <c r="N451" s="819">
        <f t="shared" si="90"/>
        <v>364</v>
      </c>
      <c r="O451" s="819">
        <f t="shared" si="91"/>
        <v>1519</v>
      </c>
      <c r="P451" s="819">
        <f t="shared" si="94"/>
        <v>485</v>
      </c>
      <c r="Q451" s="819">
        <f t="shared" si="95"/>
        <v>162</v>
      </c>
      <c r="R451" s="819">
        <f t="shared" si="96"/>
        <v>831</v>
      </c>
      <c r="S451" s="819">
        <f t="shared" si="97"/>
        <v>338</v>
      </c>
      <c r="T451" s="819">
        <f t="shared" si="98"/>
        <v>1497</v>
      </c>
      <c r="U451" s="819">
        <f t="shared" si="99"/>
        <v>3313</v>
      </c>
      <c r="V451" s="819">
        <f t="shared" si="100"/>
        <v>1363</v>
      </c>
      <c r="W451" s="379">
        <f t="shared" si="101"/>
        <v>1363</v>
      </c>
      <c r="X451" s="819" t="str">
        <f t="shared" si="102"/>
        <v/>
      </c>
      <c r="Y451" s="837"/>
      <c r="Z451" s="839"/>
      <c r="AA451" s="838"/>
      <c r="AB451" s="839"/>
    </row>
    <row r="452" spans="1:28" ht="13.15">
      <c r="B452" s="819" t="s">
        <v>1295</v>
      </c>
      <c r="C452" s="819" t="s">
        <v>1296</v>
      </c>
      <c r="D452" s="379" t="s">
        <v>336</v>
      </c>
      <c r="E452" s="818" t="s">
        <v>863</v>
      </c>
      <c r="F452" s="820">
        <v>1.5108681289999999</v>
      </c>
      <c r="G452" s="821">
        <v>6.6639846560000002</v>
      </c>
      <c r="H452" s="822">
        <v>119191614.619515</v>
      </c>
      <c r="I452" s="819"/>
      <c r="J452" s="820">
        <v>-3.7069830000000001E-3</v>
      </c>
      <c r="K452" s="819">
        <f t="shared" si="92"/>
        <v>673</v>
      </c>
      <c r="L452" s="819">
        <f t="shared" si="93"/>
        <v>298</v>
      </c>
      <c r="M452" s="819">
        <f t="shared" ref="M452:M515" si="103">IFERROR(_xlfn.RANK.EQ(H452,H$3:H$1787),"N/A")</f>
        <v>673</v>
      </c>
      <c r="N452" s="819">
        <f t="shared" ref="N452:N515" si="104">IFERROR(_xlfn.RANK.EQ(I452,I$3:I$1787),"N/A")</f>
        <v>364</v>
      </c>
      <c r="O452" s="819">
        <f t="shared" ref="O452:O515" si="105">IFERROR(_xlfn.RANK.EQ(J452,J$3:J$1787),"N/A")</f>
        <v>1578</v>
      </c>
      <c r="P452" s="819">
        <f t="shared" si="94"/>
        <v>725</v>
      </c>
      <c r="Q452" s="819">
        <f t="shared" si="95"/>
        <v>125</v>
      </c>
      <c r="R452" s="819">
        <f t="shared" si="96"/>
        <v>591</v>
      </c>
      <c r="S452" s="819">
        <f t="shared" si="97"/>
        <v>338</v>
      </c>
      <c r="T452" s="819">
        <f t="shared" si="98"/>
        <v>1556</v>
      </c>
      <c r="U452" s="819">
        <f t="shared" si="99"/>
        <v>3335</v>
      </c>
      <c r="V452" s="819">
        <f t="shared" si="100"/>
        <v>1386</v>
      </c>
      <c r="W452" s="379">
        <f t="shared" si="101"/>
        <v>1386</v>
      </c>
      <c r="X452" s="819" t="str">
        <f t="shared" si="102"/>
        <v/>
      </c>
      <c r="Y452" s="837"/>
      <c r="Z452" s="839"/>
      <c r="AA452" s="838"/>
      <c r="AB452" s="839"/>
    </row>
    <row r="453" spans="1:28" ht="14.45">
      <c r="A453" s="816"/>
      <c r="B453" s="819" t="s">
        <v>1297</v>
      </c>
      <c r="C453" s="819" t="s">
        <v>1298</v>
      </c>
      <c r="D453" s="379" t="s">
        <v>336</v>
      </c>
      <c r="E453" s="818" t="s">
        <v>863</v>
      </c>
      <c r="F453" s="820">
        <v>6.7239692000000004E-2</v>
      </c>
      <c r="G453" s="821">
        <v>0</v>
      </c>
      <c r="H453" s="822">
        <v>356371218.28032601</v>
      </c>
      <c r="I453" s="819"/>
      <c r="J453" s="820">
        <v>1.5452E-4</v>
      </c>
      <c r="K453" s="819">
        <f t="shared" ref="K453:K516" si="106">IFERROR(_xlfn.RANK.EQ(H453,H$3:H$1787),"N/A")</f>
        <v>434</v>
      </c>
      <c r="L453" s="819">
        <f t="shared" ref="L453:L516" si="107">IFERROR(_xlfn.RANK.EQ(G453,G$3:G$1787),"N/A")</f>
        <v>1084</v>
      </c>
      <c r="M453" s="819">
        <f t="shared" si="103"/>
        <v>434</v>
      </c>
      <c r="N453" s="819">
        <f t="shared" si="104"/>
        <v>364</v>
      </c>
      <c r="O453" s="819">
        <f t="shared" si="105"/>
        <v>271</v>
      </c>
      <c r="P453" s="819">
        <f t="shared" ref="P453:P516" si="108">IFERROR(ABS(K$3-K453),"N/A")</f>
        <v>964</v>
      </c>
      <c r="Q453" s="819">
        <f t="shared" ref="Q453:Q516" si="109">IFERROR(ABS(L$3-L453),"N/A")</f>
        <v>661</v>
      </c>
      <c r="R453" s="819">
        <f t="shared" ref="R453:R516" si="110">IFERROR(ABS(M$3-M453),"N/A")</f>
        <v>352</v>
      </c>
      <c r="S453" s="819">
        <f t="shared" ref="S453:S516" si="111">IFERROR(ABS(N$3-N453),"N/A")</f>
        <v>338</v>
      </c>
      <c r="T453" s="819">
        <f t="shared" ref="T453:T516" si="112">IFERROR(ABS(O$3-O453),"N/A")</f>
        <v>249</v>
      </c>
      <c r="U453" s="819">
        <f t="shared" ref="U453:U516" si="113">SUM(P453:T453)</f>
        <v>2564</v>
      </c>
      <c r="V453" s="819">
        <f t="shared" ref="V453:V516" si="114">_xlfn.RANK.EQ(U453,$U$4:$U$1787,1)</f>
        <v>271</v>
      </c>
      <c r="W453" s="379">
        <f t="shared" ref="W453:W516" si="115">IF(Y453="Not suitable","-",V453)</f>
        <v>271</v>
      </c>
      <c r="X453" s="819" t="str">
        <f t="shared" si="102"/>
        <v/>
      </c>
      <c r="Y453" s="837"/>
      <c r="Z453" s="839"/>
      <c r="AA453" s="838"/>
      <c r="AB453" s="839"/>
    </row>
    <row r="454" spans="1:28" ht="13.15">
      <c r="B454" s="819" t="s">
        <v>1299</v>
      </c>
      <c r="C454" s="819" t="s">
        <v>1300</v>
      </c>
      <c r="D454" s="379" t="s">
        <v>336</v>
      </c>
      <c r="E454" s="818" t="s">
        <v>789</v>
      </c>
      <c r="F454" s="820">
        <v>3.3568525789999999</v>
      </c>
      <c r="G454" s="821">
        <v>2.0074876399999999</v>
      </c>
      <c r="H454" s="822">
        <v>1824661.9411123199</v>
      </c>
      <c r="I454" s="819"/>
      <c r="J454" s="820">
        <v>-1.4138079999999999E-3</v>
      </c>
      <c r="K454" s="819">
        <f t="shared" si="106"/>
        <v>1511</v>
      </c>
      <c r="L454" s="819">
        <f t="shared" si="107"/>
        <v>673</v>
      </c>
      <c r="M454" s="819">
        <f t="shared" si="103"/>
        <v>1511</v>
      </c>
      <c r="N454" s="819">
        <f t="shared" si="104"/>
        <v>364</v>
      </c>
      <c r="O454" s="819">
        <f t="shared" si="105"/>
        <v>1450</v>
      </c>
      <c r="P454" s="819">
        <f t="shared" si="108"/>
        <v>113</v>
      </c>
      <c r="Q454" s="819">
        <f t="shared" si="109"/>
        <v>250</v>
      </c>
      <c r="R454" s="819">
        <f t="shared" si="110"/>
        <v>1429</v>
      </c>
      <c r="S454" s="819">
        <f t="shared" si="111"/>
        <v>338</v>
      </c>
      <c r="T454" s="819">
        <f t="shared" si="112"/>
        <v>1428</v>
      </c>
      <c r="U454" s="819">
        <f t="shared" si="113"/>
        <v>3558</v>
      </c>
      <c r="V454" s="819">
        <f t="shared" si="114"/>
        <v>1599</v>
      </c>
      <c r="W454" s="379">
        <f t="shared" si="115"/>
        <v>1599</v>
      </c>
      <c r="X454" s="819" t="str">
        <f t="shared" ref="X454:X517" si="116">IF(L454="N/A","Y","")</f>
        <v/>
      </c>
      <c r="Y454" s="837"/>
      <c r="Z454" s="839"/>
      <c r="AA454" s="838"/>
      <c r="AB454" s="839"/>
    </row>
    <row r="455" spans="1:28" ht="14.45">
      <c r="A455" s="816"/>
      <c r="B455" s="819" t="s">
        <v>1301</v>
      </c>
      <c r="C455" s="819" t="s">
        <v>1302</v>
      </c>
      <c r="D455" s="379" t="s">
        <v>336</v>
      </c>
      <c r="E455" s="818" t="s">
        <v>842</v>
      </c>
      <c r="F455" s="820">
        <v>1.611283314</v>
      </c>
      <c r="G455" s="821">
        <v>17.1497855</v>
      </c>
      <c r="H455" s="822">
        <v>27914537.549407098</v>
      </c>
      <c r="I455" s="819"/>
      <c r="J455" s="820">
        <v>-6.2791380000000001E-3</v>
      </c>
      <c r="K455" s="819">
        <f t="shared" si="106"/>
        <v>1023</v>
      </c>
      <c r="L455" s="819">
        <f t="shared" si="107"/>
        <v>106</v>
      </c>
      <c r="M455" s="819">
        <f t="shared" si="103"/>
        <v>1023</v>
      </c>
      <c r="N455" s="819">
        <f t="shared" si="104"/>
        <v>364</v>
      </c>
      <c r="O455" s="819">
        <f t="shared" si="105"/>
        <v>1620</v>
      </c>
      <c r="P455" s="819">
        <f t="shared" si="108"/>
        <v>375</v>
      </c>
      <c r="Q455" s="819">
        <f t="shared" si="109"/>
        <v>317</v>
      </c>
      <c r="R455" s="819">
        <f t="shared" si="110"/>
        <v>941</v>
      </c>
      <c r="S455" s="819">
        <f t="shared" si="111"/>
        <v>338</v>
      </c>
      <c r="T455" s="819">
        <f t="shared" si="112"/>
        <v>1598</v>
      </c>
      <c r="U455" s="819">
        <f t="shared" si="113"/>
        <v>3569</v>
      </c>
      <c r="V455" s="819">
        <f t="shared" si="114"/>
        <v>1608</v>
      </c>
      <c r="W455" s="379">
        <f t="shared" si="115"/>
        <v>1608</v>
      </c>
      <c r="X455" s="819" t="str">
        <f t="shared" si="116"/>
        <v/>
      </c>
      <c r="Y455" s="837"/>
      <c r="Z455" s="839"/>
      <c r="AA455" s="838"/>
      <c r="AB455" s="839"/>
    </row>
    <row r="456" spans="1:28" ht="13.15">
      <c r="B456" s="819" t="s">
        <v>1303</v>
      </c>
      <c r="C456" s="819" t="s">
        <v>1304</v>
      </c>
      <c r="D456" s="379" t="s">
        <v>336</v>
      </c>
      <c r="E456" s="818" t="s">
        <v>941</v>
      </c>
      <c r="F456" s="820">
        <v>-1.9230303449999999</v>
      </c>
      <c r="G456" s="821">
        <v>6.0458421299999996</v>
      </c>
      <c r="H456" s="822">
        <v>444556120.285348</v>
      </c>
      <c r="I456" s="819"/>
      <c r="J456" s="820">
        <v>-8.5243700000000005E-5</v>
      </c>
      <c r="K456" s="819">
        <f t="shared" si="106"/>
        <v>380</v>
      </c>
      <c r="L456" s="819">
        <f t="shared" si="107"/>
        <v>324</v>
      </c>
      <c r="M456" s="819">
        <f t="shared" si="103"/>
        <v>380</v>
      </c>
      <c r="N456" s="819">
        <f t="shared" si="104"/>
        <v>364</v>
      </c>
      <c r="O456" s="819">
        <f t="shared" si="105"/>
        <v>988</v>
      </c>
      <c r="P456" s="819">
        <f t="shared" si="108"/>
        <v>1018</v>
      </c>
      <c r="Q456" s="819">
        <f t="shared" si="109"/>
        <v>99</v>
      </c>
      <c r="R456" s="819">
        <f t="shared" si="110"/>
        <v>298</v>
      </c>
      <c r="S456" s="819">
        <f t="shared" si="111"/>
        <v>338</v>
      </c>
      <c r="T456" s="819">
        <f t="shared" si="112"/>
        <v>966</v>
      </c>
      <c r="U456" s="819">
        <f t="shared" si="113"/>
        <v>2719</v>
      </c>
      <c r="V456" s="819">
        <f t="shared" si="114"/>
        <v>379</v>
      </c>
      <c r="W456" s="379">
        <f t="shared" si="115"/>
        <v>379</v>
      </c>
      <c r="X456" s="819" t="str">
        <f t="shared" si="116"/>
        <v/>
      </c>
      <c r="Y456" s="837"/>
      <c r="Z456" s="839"/>
      <c r="AA456" s="838"/>
      <c r="AB456" s="839"/>
    </row>
    <row r="457" spans="1:28" ht="14.45">
      <c r="A457" s="816"/>
      <c r="B457" s="819" t="s">
        <v>1305</v>
      </c>
      <c r="C457" s="819" t="s">
        <v>1306</v>
      </c>
      <c r="D457" s="379" t="s">
        <v>336</v>
      </c>
      <c r="E457" s="818" t="s">
        <v>842</v>
      </c>
      <c r="F457" s="820">
        <v>3.5110060449999998</v>
      </c>
      <c r="G457" s="821">
        <v>2.6384923530000002</v>
      </c>
      <c r="H457" s="822"/>
      <c r="I457" s="819"/>
      <c r="J457" s="820">
        <v>-7.7940600000000004E-5</v>
      </c>
      <c r="K457" s="819" t="str">
        <f t="shared" si="106"/>
        <v>N/A</v>
      </c>
      <c r="L457" s="819">
        <f t="shared" si="107"/>
        <v>589</v>
      </c>
      <c r="M457" s="819" t="str">
        <f t="shared" si="103"/>
        <v>N/A</v>
      </c>
      <c r="N457" s="819">
        <f t="shared" si="104"/>
        <v>364</v>
      </c>
      <c r="O457" s="819">
        <f t="shared" si="105"/>
        <v>970</v>
      </c>
      <c r="P457" s="819" t="str">
        <f t="shared" si="108"/>
        <v>N/A</v>
      </c>
      <c r="Q457" s="819">
        <f t="shared" si="109"/>
        <v>166</v>
      </c>
      <c r="R457" s="819" t="str">
        <f t="shared" si="110"/>
        <v>N/A</v>
      </c>
      <c r="S457" s="819">
        <f t="shared" si="111"/>
        <v>338</v>
      </c>
      <c r="T457" s="819">
        <f t="shared" si="112"/>
        <v>948</v>
      </c>
      <c r="U457" s="819">
        <f t="shared" si="113"/>
        <v>1452</v>
      </c>
      <c r="V457" s="819">
        <f t="shared" si="114"/>
        <v>18</v>
      </c>
      <c r="W457" s="379">
        <f t="shared" si="115"/>
        <v>18</v>
      </c>
      <c r="X457" s="819" t="str">
        <f t="shared" si="116"/>
        <v/>
      </c>
      <c r="Y457" s="837"/>
      <c r="Z457" s="839"/>
      <c r="AA457" s="838"/>
      <c r="AB457" s="839"/>
    </row>
    <row r="458" spans="1:28" ht="13.15">
      <c r="B458" s="819" t="s">
        <v>1307</v>
      </c>
      <c r="C458" s="819" t="s">
        <v>1308</v>
      </c>
      <c r="D458" s="379" t="s">
        <v>336</v>
      </c>
      <c r="E458" s="818" t="s">
        <v>842</v>
      </c>
      <c r="F458" s="820">
        <v>3.1152565280000002</v>
      </c>
      <c r="G458" s="821"/>
      <c r="H458" s="822">
        <v>2957448.3471074398</v>
      </c>
      <c r="I458" s="819"/>
      <c r="J458" s="820">
        <v>0</v>
      </c>
      <c r="K458" s="819">
        <f t="shared" si="106"/>
        <v>1450</v>
      </c>
      <c r="L458" s="819">
        <f t="shared" si="107"/>
        <v>1084</v>
      </c>
      <c r="M458" s="819">
        <f t="shared" si="103"/>
        <v>1450</v>
      </c>
      <c r="N458" s="819">
        <f t="shared" si="104"/>
        <v>364</v>
      </c>
      <c r="O458" s="819">
        <f t="shared" si="105"/>
        <v>492</v>
      </c>
      <c r="P458" s="819">
        <f t="shared" si="108"/>
        <v>52</v>
      </c>
      <c r="Q458" s="819">
        <f t="shared" si="109"/>
        <v>661</v>
      </c>
      <c r="R458" s="819">
        <f t="shared" si="110"/>
        <v>1368</v>
      </c>
      <c r="S458" s="819">
        <f t="shared" si="111"/>
        <v>338</v>
      </c>
      <c r="T458" s="819">
        <f t="shared" si="112"/>
        <v>470</v>
      </c>
      <c r="U458" s="819">
        <f t="shared" si="113"/>
        <v>2889</v>
      </c>
      <c r="V458" s="819">
        <f t="shared" si="114"/>
        <v>793</v>
      </c>
      <c r="W458" s="379">
        <f t="shared" si="115"/>
        <v>793</v>
      </c>
      <c r="X458" s="819" t="str">
        <f t="shared" si="116"/>
        <v/>
      </c>
      <c r="Y458" s="837"/>
      <c r="Z458" s="839"/>
      <c r="AA458" s="838"/>
      <c r="AB458" s="839"/>
    </row>
    <row r="459" spans="1:28" ht="14.45">
      <c r="A459" s="816"/>
      <c r="B459" s="819" t="s">
        <v>1309</v>
      </c>
      <c r="C459" s="819" t="s">
        <v>1310</v>
      </c>
      <c r="D459" s="379" t="s">
        <v>336</v>
      </c>
      <c r="E459" s="818" t="s">
        <v>842</v>
      </c>
      <c r="F459" s="820">
        <v>2.8418087559999998</v>
      </c>
      <c r="G459" s="821">
        <v>0.51139197199999997</v>
      </c>
      <c r="H459" s="822">
        <v>6198347.1074380204</v>
      </c>
      <c r="I459" s="819"/>
      <c r="J459" s="820">
        <v>-3.7586210000000002E-3</v>
      </c>
      <c r="K459" s="819">
        <f t="shared" si="106"/>
        <v>1336</v>
      </c>
      <c r="L459" s="819">
        <f t="shared" si="107"/>
        <v>919</v>
      </c>
      <c r="M459" s="819">
        <f t="shared" si="103"/>
        <v>1336</v>
      </c>
      <c r="N459" s="819">
        <f t="shared" si="104"/>
        <v>364</v>
      </c>
      <c r="O459" s="819">
        <f t="shared" si="105"/>
        <v>1580</v>
      </c>
      <c r="P459" s="819">
        <f t="shared" si="108"/>
        <v>62</v>
      </c>
      <c r="Q459" s="819">
        <f t="shared" si="109"/>
        <v>496</v>
      </c>
      <c r="R459" s="819">
        <f t="shared" si="110"/>
        <v>1254</v>
      </c>
      <c r="S459" s="819">
        <f t="shared" si="111"/>
        <v>338</v>
      </c>
      <c r="T459" s="819">
        <f t="shared" si="112"/>
        <v>1558</v>
      </c>
      <c r="U459" s="819">
        <f t="shared" si="113"/>
        <v>3708</v>
      </c>
      <c r="V459" s="819">
        <f t="shared" si="114"/>
        <v>1680</v>
      </c>
      <c r="W459" s="379">
        <f t="shared" si="115"/>
        <v>1680</v>
      </c>
      <c r="X459" s="819" t="str">
        <f t="shared" si="116"/>
        <v/>
      </c>
      <c r="Y459" s="837"/>
      <c r="Z459" s="839"/>
      <c r="AA459" s="838"/>
      <c r="AB459" s="839"/>
    </row>
    <row r="460" spans="1:28" ht="13.15">
      <c r="B460" s="819" t="s">
        <v>1311</v>
      </c>
      <c r="C460" s="819" t="s">
        <v>1312</v>
      </c>
      <c r="D460" s="379" t="s">
        <v>336</v>
      </c>
      <c r="E460" s="818" t="s">
        <v>842</v>
      </c>
      <c r="F460" s="820">
        <v>3.3289942639999999</v>
      </c>
      <c r="G460" s="821">
        <v>10.5953496</v>
      </c>
      <c r="H460" s="822">
        <v>265509494.660438</v>
      </c>
      <c r="I460" s="819">
        <v>0.26</v>
      </c>
      <c r="J460" s="820">
        <v>-0.24579287499999999</v>
      </c>
      <c r="K460" s="819">
        <f t="shared" si="106"/>
        <v>500</v>
      </c>
      <c r="L460" s="819">
        <f t="shared" si="107"/>
        <v>180</v>
      </c>
      <c r="M460" s="819">
        <f t="shared" si="103"/>
        <v>500</v>
      </c>
      <c r="N460" s="819">
        <f t="shared" si="104"/>
        <v>203</v>
      </c>
      <c r="O460" s="819">
        <f t="shared" si="105"/>
        <v>1769</v>
      </c>
      <c r="P460" s="819">
        <f t="shared" si="108"/>
        <v>898</v>
      </c>
      <c r="Q460" s="819">
        <f t="shared" si="109"/>
        <v>243</v>
      </c>
      <c r="R460" s="819">
        <f t="shared" si="110"/>
        <v>418</v>
      </c>
      <c r="S460" s="819">
        <f t="shared" si="111"/>
        <v>177</v>
      </c>
      <c r="T460" s="819">
        <f t="shared" si="112"/>
        <v>1747</v>
      </c>
      <c r="U460" s="819">
        <f t="shared" si="113"/>
        <v>3483</v>
      </c>
      <c r="V460" s="819">
        <f t="shared" si="114"/>
        <v>1536</v>
      </c>
      <c r="W460" s="379">
        <f t="shared" si="115"/>
        <v>1536</v>
      </c>
      <c r="X460" s="819" t="str">
        <f t="shared" si="116"/>
        <v/>
      </c>
      <c r="Y460" s="837"/>
      <c r="Z460" s="839"/>
      <c r="AA460" s="838"/>
      <c r="AB460" s="839"/>
    </row>
    <row r="461" spans="1:28" ht="14.45">
      <c r="A461" s="816"/>
      <c r="B461" s="819" t="s">
        <v>1313</v>
      </c>
      <c r="C461" s="819" t="s">
        <v>1314</v>
      </c>
      <c r="D461" s="379" t="s">
        <v>336</v>
      </c>
      <c r="E461" s="818" t="s">
        <v>444</v>
      </c>
      <c r="F461" s="820">
        <v>2.083197067</v>
      </c>
      <c r="G461" s="821">
        <v>17.604539469999999</v>
      </c>
      <c r="H461" s="822">
        <v>15272085632.7106</v>
      </c>
      <c r="I461" s="819"/>
      <c r="J461" s="820">
        <v>-2.53591E-6</v>
      </c>
      <c r="K461" s="819">
        <f t="shared" si="106"/>
        <v>22</v>
      </c>
      <c r="L461" s="819">
        <f t="shared" si="107"/>
        <v>102</v>
      </c>
      <c r="M461" s="819">
        <f t="shared" si="103"/>
        <v>22</v>
      </c>
      <c r="N461" s="819">
        <f t="shared" si="104"/>
        <v>364</v>
      </c>
      <c r="O461" s="819">
        <f t="shared" si="105"/>
        <v>770</v>
      </c>
      <c r="P461" s="819">
        <f t="shared" si="108"/>
        <v>1376</v>
      </c>
      <c r="Q461" s="819">
        <f t="shared" si="109"/>
        <v>321</v>
      </c>
      <c r="R461" s="819">
        <f t="shared" si="110"/>
        <v>60</v>
      </c>
      <c r="S461" s="819">
        <f t="shared" si="111"/>
        <v>338</v>
      </c>
      <c r="T461" s="819">
        <f t="shared" si="112"/>
        <v>748</v>
      </c>
      <c r="U461" s="819">
        <f t="shared" si="113"/>
        <v>2843</v>
      </c>
      <c r="V461" s="819">
        <f t="shared" si="114"/>
        <v>708</v>
      </c>
      <c r="W461" s="379">
        <f t="shared" si="115"/>
        <v>708</v>
      </c>
      <c r="X461" s="819" t="str">
        <f t="shared" si="116"/>
        <v/>
      </c>
      <c r="Y461" s="837"/>
      <c r="Z461" s="839"/>
      <c r="AA461" s="838"/>
      <c r="AB461" s="839"/>
    </row>
    <row r="462" spans="1:28" ht="13.15">
      <c r="B462" s="819" t="s">
        <v>1315</v>
      </c>
      <c r="C462" s="819" t="s">
        <v>1316</v>
      </c>
      <c r="D462" s="379" t="s">
        <v>336</v>
      </c>
      <c r="E462" s="818" t="s">
        <v>702</v>
      </c>
      <c r="F462" s="820">
        <v>2.440290997</v>
      </c>
      <c r="G462" s="821">
        <v>-25.74744119</v>
      </c>
      <c r="H462" s="822">
        <v>1865638.7955390301</v>
      </c>
      <c r="I462" s="819"/>
      <c r="J462" s="820">
        <v>3.3995299999999999E-4</v>
      </c>
      <c r="K462" s="819">
        <f t="shared" si="106"/>
        <v>1507</v>
      </c>
      <c r="L462" s="819">
        <f t="shared" si="107"/>
        <v>1487</v>
      </c>
      <c r="M462" s="819">
        <f t="shared" si="103"/>
        <v>1507</v>
      </c>
      <c r="N462" s="819">
        <f t="shared" si="104"/>
        <v>364</v>
      </c>
      <c r="O462" s="819">
        <f t="shared" si="105"/>
        <v>225</v>
      </c>
      <c r="P462" s="819">
        <f t="shared" si="108"/>
        <v>109</v>
      </c>
      <c r="Q462" s="819">
        <f t="shared" si="109"/>
        <v>1064</v>
      </c>
      <c r="R462" s="819">
        <f t="shared" si="110"/>
        <v>1425</v>
      </c>
      <c r="S462" s="819">
        <f t="shared" si="111"/>
        <v>338</v>
      </c>
      <c r="T462" s="819">
        <f t="shared" si="112"/>
        <v>203</v>
      </c>
      <c r="U462" s="819">
        <f t="shared" si="113"/>
        <v>3139</v>
      </c>
      <c r="V462" s="819">
        <f t="shared" si="114"/>
        <v>1107</v>
      </c>
      <c r="W462" s="379">
        <f t="shared" si="115"/>
        <v>1107</v>
      </c>
      <c r="X462" s="819" t="str">
        <f t="shared" si="116"/>
        <v/>
      </c>
      <c r="Y462" s="837"/>
      <c r="Z462" s="839"/>
      <c r="AA462" s="838"/>
      <c r="AB462" s="839"/>
    </row>
    <row r="463" spans="1:28" ht="14.45">
      <c r="A463" s="816"/>
      <c r="B463" s="819" t="s">
        <v>1317</v>
      </c>
      <c r="C463" s="819" t="s">
        <v>1318</v>
      </c>
      <c r="D463" s="379" t="s">
        <v>336</v>
      </c>
      <c r="E463" s="818" t="s">
        <v>453</v>
      </c>
      <c r="F463" s="820">
        <v>2.6339671079999998</v>
      </c>
      <c r="G463" s="821">
        <v>-14.338927760000001</v>
      </c>
      <c r="H463" s="822">
        <v>114895937.63961001</v>
      </c>
      <c r="I463" s="819"/>
      <c r="J463" s="820">
        <v>1.8322399999999999E-5</v>
      </c>
      <c r="K463" s="819">
        <f t="shared" si="106"/>
        <v>683</v>
      </c>
      <c r="L463" s="819">
        <f t="shared" si="107"/>
        <v>1472</v>
      </c>
      <c r="M463" s="819">
        <f t="shared" si="103"/>
        <v>683</v>
      </c>
      <c r="N463" s="819">
        <f t="shared" si="104"/>
        <v>364</v>
      </c>
      <c r="O463" s="819">
        <f t="shared" si="105"/>
        <v>407</v>
      </c>
      <c r="P463" s="819">
        <f t="shared" si="108"/>
        <v>715</v>
      </c>
      <c r="Q463" s="819">
        <f t="shared" si="109"/>
        <v>1049</v>
      </c>
      <c r="R463" s="819">
        <f t="shared" si="110"/>
        <v>601</v>
      </c>
      <c r="S463" s="819">
        <f t="shared" si="111"/>
        <v>338</v>
      </c>
      <c r="T463" s="819">
        <f t="shared" si="112"/>
        <v>385</v>
      </c>
      <c r="U463" s="819">
        <f t="shared" si="113"/>
        <v>3088</v>
      </c>
      <c r="V463" s="819">
        <f t="shared" si="114"/>
        <v>1051</v>
      </c>
      <c r="W463" s="379">
        <f t="shared" si="115"/>
        <v>1051</v>
      </c>
      <c r="X463" s="819" t="str">
        <f t="shared" si="116"/>
        <v/>
      </c>
      <c r="Y463" s="837"/>
      <c r="Z463" s="839"/>
      <c r="AA463" s="838"/>
      <c r="AB463" s="839"/>
    </row>
    <row r="464" spans="1:28" ht="13.15">
      <c r="B464" s="819" t="s">
        <v>1319</v>
      </c>
      <c r="C464" s="819" t="s">
        <v>1320</v>
      </c>
      <c r="D464" s="379" t="s">
        <v>336</v>
      </c>
      <c r="E464" s="818" t="s">
        <v>842</v>
      </c>
      <c r="F464" s="820">
        <v>1.9063226929999999</v>
      </c>
      <c r="G464" s="821">
        <v>0.35967617000000002</v>
      </c>
      <c r="H464" s="822">
        <v>1362687.74703557</v>
      </c>
      <c r="I464" s="819"/>
      <c r="J464" s="820">
        <v>-8.0988800000000006E-5</v>
      </c>
      <c r="K464" s="819">
        <f t="shared" si="106"/>
        <v>1537</v>
      </c>
      <c r="L464" s="819">
        <f t="shared" si="107"/>
        <v>947</v>
      </c>
      <c r="M464" s="819">
        <f t="shared" si="103"/>
        <v>1537</v>
      </c>
      <c r="N464" s="819">
        <f t="shared" si="104"/>
        <v>364</v>
      </c>
      <c r="O464" s="819">
        <f t="shared" si="105"/>
        <v>976</v>
      </c>
      <c r="P464" s="819">
        <f t="shared" si="108"/>
        <v>139</v>
      </c>
      <c r="Q464" s="819">
        <f t="shared" si="109"/>
        <v>524</v>
      </c>
      <c r="R464" s="819">
        <f t="shared" si="110"/>
        <v>1455</v>
      </c>
      <c r="S464" s="819">
        <f t="shared" si="111"/>
        <v>338</v>
      </c>
      <c r="T464" s="819">
        <f t="shared" si="112"/>
        <v>954</v>
      </c>
      <c r="U464" s="819">
        <f t="shared" si="113"/>
        <v>3410</v>
      </c>
      <c r="V464" s="819">
        <f t="shared" si="114"/>
        <v>1472</v>
      </c>
      <c r="W464" s="379">
        <f t="shared" si="115"/>
        <v>1472</v>
      </c>
      <c r="X464" s="819" t="str">
        <f t="shared" si="116"/>
        <v/>
      </c>
      <c r="Y464" s="837"/>
      <c r="Z464" s="839"/>
      <c r="AA464" s="838"/>
      <c r="AB464" s="839"/>
    </row>
    <row r="465" spans="1:28" ht="14.45">
      <c r="A465" s="816"/>
      <c r="B465" s="819" t="s">
        <v>1321</v>
      </c>
      <c r="C465" s="819" t="s">
        <v>1322</v>
      </c>
      <c r="D465" s="379" t="s">
        <v>336</v>
      </c>
      <c r="E465" s="818" t="s">
        <v>842</v>
      </c>
      <c r="F465" s="820">
        <v>2.7956537799999999</v>
      </c>
      <c r="G465" s="821">
        <v>2.021157541</v>
      </c>
      <c r="H465" s="822">
        <v>873521.73913043505</v>
      </c>
      <c r="I465" s="819"/>
      <c r="J465" s="820">
        <v>-3.2910399999999999E-4</v>
      </c>
      <c r="K465" s="819">
        <f t="shared" si="106"/>
        <v>1567</v>
      </c>
      <c r="L465" s="819">
        <f t="shared" si="107"/>
        <v>670</v>
      </c>
      <c r="M465" s="819">
        <f t="shared" si="103"/>
        <v>1567</v>
      </c>
      <c r="N465" s="819">
        <f t="shared" si="104"/>
        <v>364</v>
      </c>
      <c r="O465" s="819">
        <f t="shared" si="105"/>
        <v>1193</v>
      </c>
      <c r="P465" s="819">
        <f t="shared" si="108"/>
        <v>169</v>
      </c>
      <c r="Q465" s="819">
        <f t="shared" si="109"/>
        <v>247</v>
      </c>
      <c r="R465" s="819">
        <f t="shared" si="110"/>
        <v>1485</v>
      </c>
      <c r="S465" s="819">
        <f t="shared" si="111"/>
        <v>338</v>
      </c>
      <c r="T465" s="819">
        <f t="shared" si="112"/>
        <v>1171</v>
      </c>
      <c r="U465" s="819">
        <f t="shared" si="113"/>
        <v>3410</v>
      </c>
      <c r="V465" s="819">
        <f t="shared" si="114"/>
        <v>1472</v>
      </c>
      <c r="W465" s="379">
        <f t="shared" si="115"/>
        <v>1472</v>
      </c>
      <c r="X465" s="819" t="str">
        <f t="shared" si="116"/>
        <v/>
      </c>
      <c r="Y465" s="837"/>
      <c r="Z465" s="839"/>
      <c r="AA465" s="838"/>
      <c r="AB465" s="839"/>
    </row>
    <row r="466" spans="1:28" ht="13.15">
      <c r="B466" s="819" t="s">
        <v>1323</v>
      </c>
      <c r="C466" s="819" t="s">
        <v>1324</v>
      </c>
      <c r="D466" s="379" t="s">
        <v>336</v>
      </c>
      <c r="E466" s="818" t="s">
        <v>842</v>
      </c>
      <c r="F466" s="820">
        <v>4.1732175930000004</v>
      </c>
      <c r="G466" s="821">
        <v>3.349867208</v>
      </c>
      <c r="H466" s="822">
        <v>4574441.5666546896</v>
      </c>
      <c r="I466" s="819"/>
      <c r="J466" s="820">
        <v>-1.2998799999999999E-4</v>
      </c>
      <c r="K466" s="819">
        <f t="shared" si="106"/>
        <v>1377</v>
      </c>
      <c r="L466" s="819">
        <f t="shared" si="107"/>
        <v>520</v>
      </c>
      <c r="M466" s="819">
        <f t="shared" si="103"/>
        <v>1377</v>
      </c>
      <c r="N466" s="819">
        <f t="shared" si="104"/>
        <v>364</v>
      </c>
      <c r="O466" s="819">
        <f t="shared" si="105"/>
        <v>1039</v>
      </c>
      <c r="P466" s="819">
        <f t="shared" si="108"/>
        <v>21</v>
      </c>
      <c r="Q466" s="819">
        <f t="shared" si="109"/>
        <v>97</v>
      </c>
      <c r="R466" s="819">
        <f t="shared" si="110"/>
        <v>1295</v>
      </c>
      <c r="S466" s="819">
        <f t="shared" si="111"/>
        <v>338</v>
      </c>
      <c r="T466" s="819">
        <f t="shared" si="112"/>
        <v>1017</v>
      </c>
      <c r="U466" s="819">
        <f t="shared" si="113"/>
        <v>2768</v>
      </c>
      <c r="V466" s="819">
        <f t="shared" si="114"/>
        <v>442</v>
      </c>
      <c r="W466" s="379">
        <f t="shared" si="115"/>
        <v>442</v>
      </c>
      <c r="X466" s="819" t="str">
        <f t="shared" si="116"/>
        <v/>
      </c>
      <c r="Y466" s="837"/>
      <c r="Z466" s="839"/>
      <c r="AA466" s="838"/>
      <c r="AB466" s="839"/>
    </row>
    <row r="467" spans="1:28" ht="14.45">
      <c r="A467" s="816"/>
      <c r="B467" s="819" t="s">
        <v>1325</v>
      </c>
      <c r="C467" s="819" t="s">
        <v>1326</v>
      </c>
      <c r="D467" s="379" t="s">
        <v>336</v>
      </c>
      <c r="E467" s="818" t="s">
        <v>842</v>
      </c>
      <c r="F467" s="820">
        <v>2.4199768580000001</v>
      </c>
      <c r="G467" s="821">
        <v>3.6714184649999999</v>
      </c>
      <c r="H467" s="822">
        <v>3405508.1739130402</v>
      </c>
      <c r="I467" s="819"/>
      <c r="J467" s="820">
        <v>-1.5730599999999999E-4</v>
      </c>
      <c r="K467" s="819">
        <f t="shared" si="106"/>
        <v>1432</v>
      </c>
      <c r="L467" s="819">
        <f t="shared" si="107"/>
        <v>479</v>
      </c>
      <c r="M467" s="819">
        <f t="shared" si="103"/>
        <v>1432</v>
      </c>
      <c r="N467" s="819">
        <f t="shared" si="104"/>
        <v>364</v>
      </c>
      <c r="O467" s="819">
        <f t="shared" si="105"/>
        <v>1069</v>
      </c>
      <c r="P467" s="819">
        <f t="shared" si="108"/>
        <v>34</v>
      </c>
      <c r="Q467" s="819">
        <f t="shared" si="109"/>
        <v>56</v>
      </c>
      <c r="R467" s="819">
        <f t="shared" si="110"/>
        <v>1350</v>
      </c>
      <c r="S467" s="819">
        <f t="shared" si="111"/>
        <v>338</v>
      </c>
      <c r="T467" s="819">
        <f t="shared" si="112"/>
        <v>1047</v>
      </c>
      <c r="U467" s="819">
        <f t="shared" si="113"/>
        <v>2825</v>
      </c>
      <c r="V467" s="819">
        <f t="shared" si="114"/>
        <v>668</v>
      </c>
      <c r="W467" s="379">
        <f t="shared" si="115"/>
        <v>668</v>
      </c>
      <c r="X467" s="819" t="str">
        <f t="shared" si="116"/>
        <v/>
      </c>
      <c r="Y467" s="837"/>
      <c r="Z467" s="839"/>
      <c r="AA467" s="838"/>
      <c r="AB467" s="839"/>
    </row>
    <row r="468" spans="1:28" ht="13.15">
      <c r="B468" s="819" t="s">
        <v>1327</v>
      </c>
      <c r="C468" s="819" t="s">
        <v>1328</v>
      </c>
      <c r="D468" s="379" t="s">
        <v>336</v>
      </c>
      <c r="E468" s="818" t="s">
        <v>842</v>
      </c>
      <c r="F468" s="820">
        <v>1.656072598</v>
      </c>
      <c r="G468" s="821">
        <v>0.94723442000000002</v>
      </c>
      <c r="H468" s="822">
        <v>15212899.748472899</v>
      </c>
      <c r="I468" s="819"/>
      <c r="J468" s="820">
        <v>-1.538057E-3</v>
      </c>
      <c r="K468" s="819">
        <f t="shared" si="106"/>
        <v>1158</v>
      </c>
      <c r="L468" s="819">
        <f t="shared" si="107"/>
        <v>825</v>
      </c>
      <c r="M468" s="819">
        <f t="shared" si="103"/>
        <v>1158</v>
      </c>
      <c r="N468" s="819">
        <f t="shared" si="104"/>
        <v>364</v>
      </c>
      <c r="O468" s="819">
        <f t="shared" si="105"/>
        <v>1467</v>
      </c>
      <c r="P468" s="819">
        <f t="shared" si="108"/>
        <v>240</v>
      </c>
      <c r="Q468" s="819">
        <f t="shared" si="109"/>
        <v>402</v>
      </c>
      <c r="R468" s="819">
        <f t="shared" si="110"/>
        <v>1076</v>
      </c>
      <c r="S468" s="819">
        <f t="shared" si="111"/>
        <v>338</v>
      </c>
      <c r="T468" s="819">
        <f t="shared" si="112"/>
        <v>1445</v>
      </c>
      <c r="U468" s="819">
        <f t="shared" si="113"/>
        <v>3501</v>
      </c>
      <c r="V468" s="819">
        <f t="shared" si="114"/>
        <v>1555</v>
      </c>
      <c r="W468" s="379">
        <f t="shared" si="115"/>
        <v>1555</v>
      </c>
      <c r="X468" s="819" t="str">
        <f t="shared" si="116"/>
        <v/>
      </c>
      <c r="Y468" s="837"/>
      <c r="Z468" s="839"/>
      <c r="AA468" s="838"/>
      <c r="AB468" s="839"/>
    </row>
    <row r="469" spans="1:28" ht="14.45">
      <c r="A469" s="816"/>
      <c r="B469" s="819" t="s">
        <v>1329</v>
      </c>
      <c r="C469" s="819" t="s">
        <v>1330</v>
      </c>
      <c r="D469" s="379" t="s">
        <v>336</v>
      </c>
      <c r="E469" s="818" t="s">
        <v>842</v>
      </c>
      <c r="F469" s="820">
        <v>2.6857175760000001</v>
      </c>
      <c r="G469" s="821">
        <v>0.637205252</v>
      </c>
      <c r="H469" s="822">
        <v>41765595.199425101</v>
      </c>
      <c r="I469" s="819"/>
      <c r="J469" s="820">
        <v>-2.77547E-4</v>
      </c>
      <c r="K469" s="819">
        <f t="shared" si="106"/>
        <v>918</v>
      </c>
      <c r="L469" s="819">
        <f t="shared" si="107"/>
        <v>893</v>
      </c>
      <c r="M469" s="819">
        <f t="shared" si="103"/>
        <v>918</v>
      </c>
      <c r="N469" s="819">
        <f t="shared" si="104"/>
        <v>364</v>
      </c>
      <c r="O469" s="819">
        <f t="shared" si="105"/>
        <v>1165</v>
      </c>
      <c r="P469" s="819">
        <f t="shared" si="108"/>
        <v>480</v>
      </c>
      <c r="Q469" s="819">
        <f t="shared" si="109"/>
        <v>470</v>
      </c>
      <c r="R469" s="819">
        <f t="shared" si="110"/>
        <v>836</v>
      </c>
      <c r="S469" s="819">
        <f t="shared" si="111"/>
        <v>338</v>
      </c>
      <c r="T469" s="819">
        <f t="shared" si="112"/>
        <v>1143</v>
      </c>
      <c r="U469" s="819">
        <f t="shared" si="113"/>
        <v>3267</v>
      </c>
      <c r="V469" s="819">
        <f t="shared" si="114"/>
        <v>1295</v>
      </c>
      <c r="W469" s="379">
        <f t="shared" si="115"/>
        <v>1295</v>
      </c>
      <c r="X469" s="819" t="str">
        <f t="shared" si="116"/>
        <v/>
      </c>
      <c r="Y469" s="837"/>
      <c r="Z469" s="839"/>
      <c r="AA469" s="838"/>
      <c r="AB469" s="839"/>
    </row>
    <row r="470" spans="1:28" ht="13.15">
      <c r="B470" s="819" t="s">
        <v>1331</v>
      </c>
      <c r="C470" s="819" t="s">
        <v>1332</v>
      </c>
      <c r="D470" s="379" t="s">
        <v>336</v>
      </c>
      <c r="E470" s="818" t="s">
        <v>842</v>
      </c>
      <c r="F470" s="820">
        <v>2.2086474389999999</v>
      </c>
      <c r="G470" s="821">
        <v>6.6369534999999993E-2</v>
      </c>
      <c r="H470" s="822">
        <v>1590533.5968379399</v>
      </c>
      <c r="I470" s="819"/>
      <c r="J470" s="820">
        <v>-3.0259050000000002E-3</v>
      </c>
      <c r="K470" s="819">
        <f t="shared" si="106"/>
        <v>1525</v>
      </c>
      <c r="L470" s="819">
        <f t="shared" si="107"/>
        <v>1032</v>
      </c>
      <c r="M470" s="819">
        <f t="shared" si="103"/>
        <v>1525</v>
      </c>
      <c r="N470" s="819">
        <f t="shared" si="104"/>
        <v>364</v>
      </c>
      <c r="O470" s="819">
        <f t="shared" si="105"/>
        <v>1548</v>
      </c>
      <c r="P470" s="819">
        <f t="shared" si="108"/>
        <v>127</v>
      </c>
      <c r="Q470" s="819">
        <f t="shared" si="109"/>
        <v>609</v>
      </c>
      <c r="R470" s="819">
        <f t="shared" si="110"/>
        <v>1443</v>
      </c>
      <c r="S470" s="819">
        <f t="shared" si="111"/>
        <v>338</v>
      </c>
      <c r="T470" s="819">
        <f t="shared" si="112"/>
        <v>1526</v>
      </c>
      <c r="U470" s="819">
        <f t="shared" si="113"/>
        <v>4043</v>
      </c>
      <c r="V470" s="819">
        <f t="shared" si="114"/>
        <v>1749</v>
      </c>
      <c r="W470" s="379">
        <f t="shared" si="115"/>
        <v>1749</v>
      </c>
      <c r="X470" s="819" t="str">
        <f t="shared" si="116"/>
        <v/>
      </c>
      <c r="Y470" s="837"/>
      <c r="Z470" s="839"/>
      <c r="AA470" s="838"/>
      <c r="AB470" s="839"/>
    </row>
    <row r="471" spans="1:28" ht="14.45">
      <c r="A471" s="816"/>
      <c r="B471" s="819" t="s">
        <v>1333</v>
      </c>
      <c r="C471" s="819" t="s">
        <v>1334</v>
      </c>
      <c r="D471" s="379" t="s">
        <v>336</v>
      </c>
      <c r="E471" s="818" t="s">
        <v>842</v>
      </c>
      <c r="F471" s="820">
        <v>3.69158477</v>
      </c>
      <c r="G471" s="821">
        <v>3.856991571</v>
      </c>
      <c r="H471" s="822">
        <v>443583021.06130099</v>
      </c>
      <c r="I471" s="819">
        <v>0.23</v>
      </c>
      <c r="J471" s="820">
        <v>-0.16917410199999999</v>
      </c>
      <c r="K471" s="819">
        <f t="shared" si="106"/>
        <v>381</v>
      </c>
      <c r="L471" s="819">
        <f t="shared" si="107"/>
        <v>463</v>
      </c>
      <c r="M471" s="819">
        <f t="shared" si="103"/>
        <v>381</v>
      </c>
      <c r="N471" s="819">
        <f t="shared" si="104"/>
        <v>211</v>
      </c>
      <c r="O471" s="819">
        <f t="shared" si="105"/>
        <v>1763</v>
      </c>
      <c r="P471" s="819">
        <f t="shared" si="108"/>
        <v>1017</v>
      </c>
      <c r="Q471" s="819">
        <f t="shared" si="109"/>
        <v>40</v>
      </c>
      <c r="R471" s="819">
        <f t="shared" si="110"/>
        <v>299</v>
      </c>
      <c r="S471" s="819">
        <f t="shared" si="111"/>
        <v>185</v>
      </c>
      <c r="T471" s="819">
        <f t="shared" si="112"/>
        <v>1741</v>
      </c>
      <c r="U471" s="819">
        <f t="shared" si="113"/>
        <v>3282</v>
      </c>
      <c r="V471" s="819">
        <f t="shared" si="114"/>
        <v>1313</v>
      </c>
      <c r="W471" s="379">
        <f t="shared" si="115"/>
        <v>1313</v>
      </c>
      <c r="X471" s="819" t="str">
        <f t="shared" si="116"/>
        <v/>
      </c>
      <c r="Y471" s="837"/>
      <c r="Z471" s="839"/>
      <c r="AA471" s="838"/>
      <c r="AB471" s="839"/>
    </row>
    <row r="472" spans="1:28" ht="13.15">
      <c r="B472" s="819" t="s">
        <v>1335</v>
      </c>
      <c r="C472" s="819" t="s">
        <v>1336</v>
      </c>
      <c r="D472" s="379" t="s">
        <v>336</v>
      </c>
      <c r="E472" s="818" t="s">
        <v>522</v>
      </c>
      <c r="F472" s="820">
        <v>1.1704641680000001</v>
      </c>
      <c r="G472" s="821">
        <v>2.915376083</v>
      </c>
      <c r="H472" s="822">
        <v>18733381750.249001</v>
      </c>
      <c r="I472" s="819"/>
      <c r="J472" s="820">
        <v>-4.6635859999999999E-3</v>
      </c>
      <c r="K472" s="819">
        <f t="shared" si="106"/>
        <v>20</v>
      </c>
      <c r="L472" s="819">
        <f t="shared" si="107"/>
        <v>558</v>
      </c>
      <c r="M472" s="819">
        <f t="shared" si="103"/>
        <v>20</v>
      </c>
      <c r="N472" s="819">
        <f t="shared" si="104"/>
        <v>364</v>
      </c>
      <c r="O472" s="819">
        <f t="shared" si="105"/>
        <v>1596</v>
      </c>
      <c r="P472" s="819">
        <f t="shared" si="108"/>
        <v>1378</v>
      </c>
      <c r="Q472" s="819">
        <f t="shared" si="109"/>
        <v>135</v>
      </c>
      <c r="R472" s="819">
        <f t="shared" si="110"/>
        <v>62</v>
      </c>
      <c r="S472" s="819">
        <f t="shared" si="111"/>
        <v>338</v>
      </c>
      <c r="T472" s="819">
        <f t="shared" si="112"/>
        <v>1574</v>
      </c>
      <c r="U472" s="819">
        <f t="shared" si="113"/>
        <v>3487</v>
      </c>
      <c r="V472" s="819">
        <f t="shared" si="114"/>
        <v>1540</v>
      </c>
      <c r="W472" s="379">
        <f t="shared" si="115"/>
        <v>1540</v>
      </c>
      <c r="X472" s="819" t="str">
        <f t="shared" si="116"/>
        <v/>
      </c>
      <c r="Y472" s="837"/>
      <c r="Z472" s="839"/>
      <c r="AA472" s="838"/>
      <c r="AB472" s="839"/>
    </row>
    <row r="473" spans="1:28" ht="14.45">
      <c r="A473" s="816"/>
      <c r="B473" s="819" t="s">
        <v>1337</v>
      </c>
      <c r="C473" s="819" t="s">
        <v>1338</v>
      </c>
      <c r="D473" s="379" t="s">
        <v>336</v>
      </c>
      <c r="E473" s="818" t="s">
        <v>1339</v>
      </c>
      <c r="F473" s="820">
        <v>2.756695058</v>
      </c>
      <c r="G473" s="821">
        <v>2.8884056849999999</v>
      </c>
      <c r="H473" s="822">
        <v>1048454226.05595</v>
      </c>
      <c r="I473" s="819"/>
      <c r="J473" s="820">
        <v>-2.5180290000000002E-3</v>
      </c>
      <c r="K473" s="819">
        <f t="shared" si="106"/>
        <v>214</v>
      </c>
      <c r="L473" s="819">
        <f t="shared" si="107"/>
        <v>561</v>
      </c>
      <c r="M473" s="819">
        <f t="shared" si="103"/>
        <v>214</v>
      </c>
      <c r="N473" s="819">
        <f t="shared" si="104"/>
        <v>364</v>
      </c>
      <c r="O473" s="819">
        <f t="shared" si="105"/>
        <v>1528</v>
      </c>
      <c r="P473" s="819">
        <f t="shared" si="108"/>
        <v>1184</v>
      </c>
      <c r="Q473" s="819">
        <f t="shared" si="109"/>
        <v>138</v>
      </c>
      <c r="R473" s="819">
        <f t="shared" si="110"/>
        <v>132</v>
      </c>
      <c r="S473" s="819">
        <f t="shared" si="111"/>
        <v>338</v>
      </c>
      <c r="T473" s="819">
        <f t="shared" si="112"/>
        <v>1506</v>
      </c>
      <c r="U473" s="819">
        <f t="shared" si="113"/>
        <v>3298</v>
      </c>
      <c r="V473" s="819">
        <f t="shared" si="114"/>
        <v>1339</v>
      </c>
      <c r="W473" s="379">
        <f t="shared" si="115"/>
        <v>1339</v>
      </c>
      <c r="X473" s="819" t="str">
        <f t="shared" si="116"/>
        <v/>
      </c>
      <c r="Y473" s="837"/>
      <c r="Z473" s="839"/>
      <c r="AA473" s="838"/>
      <c r="AB473" s="839"/>
    </row>
    <row r="474" spans="1:28" ht="13.15">
      <c r="B474" s="819" t="s">
        <v>1340</v>
      </c>
      <c r="C474" s="819" t="s">
        <v>1341</v>
      </c>
      <c r="D474" s="379" t="s">
        <v>336</v>
      </c>
      <c r="E474" s="818" t="s">
        <v>460</v>
      </c>
      <c r="F474" s="820">
        <v>3.2803566900000001</v>
      </c>
      <c r="G474" s="821">
        <v>4.596497565</v>
      </c>
      <c r="H474" s="822">
        <v>179818811.35614601</v>
      </c>
      <c r="I474" s="819"/>
      <c r="J474" s="820">
        <v>-1.081736E-3</v>
      </c>
      <c r="K474" s="819">
        <f t="shared" si="106"/>
        <v>595</v>
      </c>
      <c r="L474" s="819">
        <f t="shared" si="107"/>
        <v>407</v>
      </c>
      <c r="M474" s="819">
        <f t="shared" si="103"/>
        <v>595</v>
      </c>
      <c r="N474" s="819">
        <f t="shared" si="104"/>
        <v>364</v>
      </c>
      <c r="O474" s="819">
        <f t="shared" si="105"/>
        <v>1410</v>
      </c>
      <c r="P474" s="819">
        <f t="shared" si="108"/>
        <v>803</v>
      </c>
      <c r="Q474" s="819">
        <f t="shared" si="109"/>
        <v>16</v>
      </c>
      <c r="R474" s="819">
        <f t="shared" si="110"/>
        <v>513</v>
      </c>
      <c r="S474" s="819">
        <f t="shared" si="111"/>
        <v>338</v>
      </c>
      <c r="T474" s="819">
        <f t="shared" si="112"/>
        <v>1388</v>
      </c>
      <c r="U474" s="819">
        <f t="shared" si="113"/>
        <v>3058</v>
      </c>
      <c r="V474" s="819">
        <f t="shared" si="114"/>
        <v>1002</v>
      </c>
      <c r="W474" s="379">
        <f t="shared" si="115"/>
        <v>1002</v>
      </c>
      <c r="X474" s="819" t="str">
        <f t="shared" si="116"/>
        <v/>
      </c>
      <c r="Y474" s="837"/>
      <c r="Z474" s="839"/>
      <c r="AA474" s="838"/>
      <c r="AB474" s="839"/>
    </row>
    <row r="475" spans="1:28" ht="14.45">
      <c r="A475" s="816"/>
      <c r="B475" s="819" t="s">
        <v>1342</v>
      </c>
      <c r="C475" s="819" t="s">
        <v>1343</v>
      </c>
      <c r="D475" s="379" t="s">
        <v>336</v>
      </c>
      <c r="E475" s="818" t="s">
        <v>460</v>
      </c>
      <c r="F475" s="820">
        <v>1.02663335</v>
      </c>
      <c r="G475" s="821">
        <v>2.8430628999999999E-2</v>
      </c>
      <c r="H475" s="822">
        <v>214574119.65002701</v>
      </c>
      <c r="I475" s="819"/>
      <c r="J475" s="820">
        <v>-1.5847299999999999E-3</v>
      </c>
      <c r="K475" s="819">
        <f t="shared" si="106"/>
        <v>548</v>
      </c>
      <c r="L475" s="819">
        <f t="shared" si="107"/>
        <v>1052</v>
      </c>
      <c r="M475" s="819">
        <f t="shared" si="103"/>
        <v>548</v>
      </c>
      <c r="N475" s="819">
        <f t="shared" si="104"/>
        <v>364</v>
      </c>
      <c r="O475" s="819">
        <f t="shared" si="105"/>
        <v>1469</v>
      </c>
      <c r="P475" s="819">
        <f t="shared" si="108"/>
        <v>850</v>
      </c>
      <c r="Q475" s="819">
        <f t="shared" si="109"/>
        <v>629</v>
      </c>
      <c r="R475" s="819">
        <f t="shared" si="110"/>
        <v>466</v>
      </c>
      <c r="S475" s="819">
        <f t="shared" si="111"/>
        <v>338</v>
      </c>
      <c r="T475" s="819">
        <f t="shared" si="112"/>
        <v>1447</v>
      </c>
      <c r="U475" s="819">
        <f t="shared" si="113"/>
        <v>3730</v>
      </c>
      <c r="V475" s="819">
        <f t="shared" si="114"/>
        <v>1693</v>
      </c>
      <c r="W475" s="379">
        <f t="shared" si="115"/>
        <v>1693</v>
      </c>
      <c r="X475" s="819" t="str">
        <f t="shared" si="116"/>
        <v/>
      </c>
      <c r="Y475" s="837"/>
      <c r="Z475" s="839"/>
      <c r="AA475" s="838"/>
      <c r="AB475" s="839"/>
    </row>
    <row r="476" spans="1:28" ht="13.15">
      <c r="B476" s="819" t="s">
        <v>1344</v>
      </c>
      <c r="C476" s="819" t="s">
        <v>1345</v>
      </c>
      <c r="D476" s="379" t="s">
        <v>336</v>
      </c>
      <c r="E476" s="818" t="s">
        <v>418</v>
      </c>
      <c r="F476" s="820">
        <v>0.98364131099999996</v>
      </c>
      <c r="G476" s="821">
        <v>0.44741964499999998</v>
      </c>
      <c r="H476" s="822">
        <v>223331391.20864901</v>
      </c>
      <c r="I476" s="819"/>
      <c r="J476" s="820">
        <v>-6.6439500000000002E-4</v>
      </c>
      <c r="K476" s="819">
        <f t="shared" si="106"/>
        <v>535</v>
      </c>
      <c r="L476" s="819">
        <f t="shared" si="107"/>
        <v>938</v>
      </c>
      <c r="M476" s="819">
        <f t="shared" si="103"/>
        <v>535</v>
      </c>
      <c r="N476" s="819">
        <f t="shared" si="104"/>
        <v>364</v>
      </c>
      <c r="O476" s="819">
        <f t="shared" si="105"/>
        <v>1336</v>
      </c>
      <c r="P476" s="819">
        <f t="shared" si="108"/>
        <v>863</v>
      </c>
      <c r="Q476" s="819">
        <f t="shared" si="109"/>
        <v>515</v>
      </c>
      <c r="R476" s="819">
        <f t="shared" si="110"/>
        <v>453</v>
      </c>
      <c r="S476" s="819">
        <f t="shared" si="111"/>
        <v>338</v>
      </c>
      <c r="T476" s="819">
        <f t="shared" si="112"/>
        <v>1314</v>
      </c>
      <c r="U476" s="819">
        <f t="shared" si="113"/>
        <v>3483</v>
      </c>
      <c r="V476" s="819">
        <f t="shared" si="114"/>
        <v>1536</v>
      </c>
      <c r="W476" s="379">
        <f t="shared" si="115"/>
        <v>1536</v>
      </c>
      <c r="X476" s="819" t="str">
        <f t="shared" si="116"/>
        <v/>
      </c>
      <c r="Y476" s="837"/>
      <c r="Z476" s="839"/>
      <c r="AA476" s="838"/>
      <c r="AB476" s="839"/>
    </row>
    <row r="477" spans="1:28" ht="14.45">
      <c r="A477" s="816"/>
      <c r="B477" s="819" t="s">
        <v>1346</v>
      </c>
      <c r="C477" s="819" t="s">
        <v>1347</v>
      </c>
      <c r="D477" s="379" t="s">
        <v>336</v>
      </c>
      <c r="E477" s="818" t="s">
        <v>685</v>
      </c>
      <c r="F477" s="820">
        <v>4.0629808059999997</v>
      </c>
      <c r="G477" s="821">
        <v>0.80896693200000003</v>
      </c>
      <c r="H477" s="822">
        <v>68973665.375547305</v>
      </c>
      <c r="I477" s="819"/>
      <c r="J477" s="820">
        <v>-2.8872100000000001E-5</v>
      </c>
      <c r="K477" s="819">
        <f t="shared" si="106"/>
        <v>802</v>
      </c>
      <c r="L477" s="819">
        <f t="shared" si="107"/>
        <v>848</v>
      </c>
      <c r="M477" s="819">
        <f t="shared" si="103"/>
        <v>802</v>
      </c>
      <c r="N477" s="819">
        <f t="shared" si="104"/>
        <v>364</v>
      </c>
      <c r="O477" s="819">
        <f t="shared" si="105"/>
        <v>874</v>
      </c>
      <c r="P477" s="819">
        <f t="shared" si="108"/>
        <v>596</v>
      </c>
      <c r="Q477" s="819">
        <f t="shared" si="109"/>
        <v>425</v>
      </c>
      <c r="R477" s="819">
        <f t="shared" si="110"/>
        <v>720</v>
      </c>
      <c r="S477" s="819">
        <f t="shared" si="111"/>
        <v>338</v>
      </c>
      <c r="T477" s="819">
        <f t="shared" si="112"/>
        <v>852</v>
      </c>
      <c r="U477" s="819">
        <f t="shared" si="113"/>
        <v>2931</v>
      </c>
      <c r="V477" s="819">
        <f t="shared" si="114"/>
        <v>846</v>
      </c>
      <c r="W477" s="379">
        <f t="shared" si="115"/>
        <v>846</v>
      </c>
      <c r="X477" s="819" t="str">
        <f t="shared" si="116"/>
        <v/>
      </c>
      <c r="Y477" s="837"/>
      <c r="Z477" s="839"/>
      <c r="AA477" s="838"/>
      <c r="AB477" s="839"/>
    </row>
    <row r="478" spans="1:28" ht="13.15">
      <c r="B478" s="819" t="s">
        <v>1348</v>
      </c>
      <c r="C478" s="819" t="s">
        <v>1349</v>
      </c>
      <c r="D478" s="379" t="s">
        <v>336</v>
      </c>
      <c r="E478" s="818" t="s">
        <v>685</v>
      </c>
      <c r="F478" s="820">
        <v>0.80593063499999995</v>
      </c>
      <c r="G478" s="821">
        <v>0.129041566</v>
      </c>
      <c r="H478" s="822">
        <v>25861906.365779702</v>
      </c>
      <c r="I478" s="819"/>
      <c r="J478" s="820">
        <v>-8.3921500000000006E-6</v>
      </c>
      <c r="K478" s="819">
        <f t="shared" si="106"/>
        <v>1037</v>
      </c>
      <c r="L478" s="819">
        <f t="shared" si="107"/>
        <v>1003</v>
      </c>
      <c r="M478" s="819">
        <f t="shared" si="103"/>
        <v>1037</v>
      </c>
      <c r="N478" s="819">
        <f t="shared" si="104"/>
        <v>364</v>
      </c>
      <c r="O478" s="819">
        <f t="shared" si="105"/>
        <v>795</v>
      </c>
      <c r="P478" s="819">
        <f t="shared" si="108"/>
        <v>361</v>
      </c>
      <c r="Q478" s="819">
        <f t="shared" si="109"/>
        <v>580</v>
      </c>
      <c r="R478" s="819">
        <f t="shared" si="110"/>
        <v>955</v>
      </c>
      <c r="S478" s="819">
        <f t="shared" si="111"/>
        <v>338</v>
      </c>
      <c r="T478" s="819">
        <f t="shared" si="112"/>
        <v>773</v>
      </c>
      <c r="U478" s="819">
        <f t="shared" si="113"/>
        <v>3007</v>
      </c>
      <c r="V478" s="819">
        <f t="shared" si="114"/>
        <v>937</v>
      </c>
      <c r="W478" s="379">
        <f t="shared" si="115"/>
        <v>937</v>
      </c>
      <c r="X478" s="819" t="str">
        <f t="shared" si="116"/>
        <v/>
      </c>
      <c r="Y478" s="837"/>
      <c r="Z478" s="839"/>
      <c r="AA478" s="838"/>
      <c r="AB478" s="839"/>
    </row>
    <row r="479" spans="1:28" ht="14.45">
      <c r="A479" s="816"/>
      <c r="B479" s="819" t="s">
        <v>1350</v>
      </c>
      <c r="C479" s="819" t="s">
        <v>1351</v>
      </c>
      <c r="D479" s="379" t="s">
        <v>336</v>
      </c>
      <c r="E479" s="818" t="s">
        <v>460</v>
      </c>
      <c r="F479" s="820">
        <v>3.0566538730000001</v>
      </c>
      <c r="G479" s="821">
        <v>5.364825991</v>
      </c>
      <c r="H479" s="822">
        <v>9470533.9485827293</v>
      </c>
      <c r="I479" s="819"/>
      <c r="J479" s="820">
        <v>-5.5966700000000001E-5</v>
      </c>
      <c r="K479" s="819">
        <f t="shared" si="106"/>
        <v>1261</v>
      </c>
      <c r="L479" s="819">
        <f t="shared" si="107"/>
        <v>362</v>
      </c>
      <c r="M479" s="819">
        <f t="shared" si="103"/>
        <v>1261</v>
      </c>
      <c r="N479" s="819">
        <f t="shared" si="104"/>
        <v>364</v>
      </c>
      <c r="O479" s="819">
        <f t="shared" si="105"/>
        <v>933</v>
      </c>
      <c r="P479" s="819">
        <f t="shared" si="108"/>
        <v>137</v>
      </c>
      <c r="Q479" s="819">
        <f t="shared" si="109"/>
        <v>61</v>
      </c>
      <c r="R479" s="819">
        <f t="shared" si="110"/>
        <v>1179</v>
      </c>
      <c r="S479" s="819">
        <f t="shared" si="111"/>
        <v>338</v>
      </c>
      <c r="T479" s="819">
        <f t="shared" si="112"/>
        <v>911</v>
      </c>
      <c r="U479" s="819">
        <f t="shared" si="113"/>
        <v>2626</v>
      </c>
      <c r="V479" s="819">
        <f t="shared" si="114"/>
        <v>298</v>
      </c>
      <c r="W479" s="379">
        <f t="shared" si="115"/>
        <v>298</v>
      </c>
      <c r="X479" s="819" t="str">
        <f t="shared" si="116"/>
        <v/>
      </c>
      <c r="Y479" s="837"/>
      <c r="Z479" s="839"/>
      <c r="AA479" s="838"/>
      <c r="AB479" s="839"/>
    </row>
    <row r="480" spans="1:28" ht="13.15">
      <c r="B480" s="819" t="s">
        <v>1352</v>
      </c>
      <c r="C480" s="819" t="s">
        <v>1353</v>
      </c>
      <c r="D480" s="379" t="s">
        <v>336</v>
      </c>
      <c r="E480" s="818" t="s">
        <v>685</v>
      </c>
      <c r="F480" s="820">
        <v>3.8602686849999999</v>
      </c>
      <c r="G480" s="821">
        <v>0.55197250899999994</v>
      </c>
      <c r="H480" s="822">
        <v>13269619.400471499</v>
      </c>
      <c r="I480" s="819"/>
      <c r="J480" s="820">
        <v>-2.5380200000000002E-4</v>
      </c>
      <c r="K480" s="819">
        <f t="shared" si="106"/>
        <v>1196</v>
      </c>
      <c r="L480" s="819">
        <f t="shared" si="107"/>
        <v>911</v>
      </c>
      <c r="M480" s="819">
        <f t="shared" si="103"/>
        <v>1196</v>
      </c>
      <c r="N480" s="819">
        <f t="shared" si="104"/>
        <v>364</v>
      </c>
      <c r="O480" s="819">
        <f t="shared" si="105"/>
        <v>1151</v>
      </c>
      <c r="P480" s="819">
        <f t="shared" si="108"/>
        <v>202</v>
      </c>
      <c r="Q480" s="819">
        <f t="shared" si="109"/>
        <v>488</v>
      </c>
      <c r="R480" s="819">
        <f t="shared" si="110"/>
        <v>1114</v>
      </c>
      <c r="S480" s="819">
        <f t="shared" si="111"/>
        <v>338</v>
      </c>
      <c r="T480" s="819">
        <f t="shared" si="112"/>
        <v>1129</v>
      </c>
      <c r="U480" s="819">
        <f t="shared" si="113"/>
        <v>3271</v>
      </c>
      <c r="V480" s="819">
        <f t="shared" si="114"/>
        <v>1300</v>
      </c>
      <c r="W480" s="379">
        <f t="shared" si="115"/>
        <v>1300</v>
      </c>
      <c r="X480" s="819" t="str">
        <f t="shared" si="116"/>
        <v/>
      </c>
      <c r="Y480" s="837"/>
      <c r="Z480" s="839"/>
      <c r="AA480" s="838"/>
      <c r="AB480" s="839"/>
    </row>
    <row r="481" spans="1:28" ht="14.45">
      <c r="A481" s="816"/>
      <c r="B481" s="819" t="s">
        <v>1354</v>
      </c>
      <c r="C481" s="819" t="s">
        <v>1355</v>
      </c>
      <c r="D481" s="379" t="s">
        <v>336</v>
      </c>
      <c r="E481" s="818" t="s">
        <v>685</v>
      </c>
      <c r="F481" s="820">
        <v>0.96374689300000005</v>
      </c>
      <c r="G481" s="821">
        <v>4.4770711739999998</v>
      </c>
      <c r="H481" s="822">
        <v>45132873.021219298</v>
      </c>
      <c r="I481" s="819"/>
      <c r="J481" s="820">
        <v>-2.82883E-4</v>
      </c>
      <c r="K481" s="819">
        <f t="shared" si="106"/>
        <v>900</v>
      </c>
      <c r="L481" s="819">
        <f t="shared" si="107"/>
        <v>415</v>
      </c>
      <c r="M481" s="819">
        <f t="shared" si="103"/>
        <v>900</v>
      </c>
      <c r="N481" s="819">
        <f t="shared" si="104"/>
        <v>364</v>
      </c>
      <c r="O481" s="819">
        <f t="shared" si="105"/>
        <v>1171</v>
      </c>
      <c r="P481" s="819">
        <f t="shared" si="108"/>
        <v>498</v>
      </c>
      <c r="Q481" s="819">
        <f t="shared" si="109"/>
        <v>8</v>
      </c>
      <c r="R481" s="819">
        <f t="shared" si="110"/>
        <v>818</v>
      </c>
      <c r="S481" s="819">
        <f t="shared" si="111"/>
        <v>338</v>
      </c>
      <c r="T481" s="819">
        <f t="shared" si="112"/>
        <v>1149</v>
      </c>
      <c r="U481" s="819">
        <f t="shared" si="113"/>
        <v>2811</v>
      </c>
      <c r="V481" s="819">
        <f t="shared" si="114"/>
        <v>648</v>
      </c>
      <c r="W481" s="379">
        <f t="shared" si="115"/>
        <v>648</v>
      </c>
      <c r="X481" s="819" t="str">
        <f t="shared" si="116"/>
        <v/>
      </c>
      <c r="Y481" s="837"/>
      <c r="Z481" s="839"/>
      <c r="AA481" s="838"/>
      <c r="AB481" s="839"/>
    </row>
    <row r="482" spans="1:28" ht="13.15">
      <c r="B482" s="819" t="s">
        <v>1356</v>
      </c>
      <c r="C482" s="819" t="s">
        <v>1357</v>
      </c>
      <c r="D482" s="379" t="s">
        <v>336</v>
      </c>
      <c r="E482" s="818" t="s">
        <v>685</v>
      </c>
      <c r="F482" s="820">
        <v>3.2952107380000002</v>
      </c>
      <c r="G482" s="821">
        <v>1.4666540459999999</v>
      </c>
      <c r="H482" s="822">
        <v>44726628.494442597</v>
      </c>
      <c r="I482" s="819"/>
      <c r="J482" s="820">
        <v>-2.2121700000000001E-4</v>
      </c>
      <c r="K482" s="819">
        <f t="shared" si="106"/>
        <v>903</v>
      </c>
      <c r="L482" s="819">
        <f t="shared" si="107"/>
        <v>747</v>
      </c>
      <c r="M482" s="819">
        <f t="shared" si="103"/>
        <v>903</v>
      </c>
      <c r="N482" s="819">
        <f t="shared" si="104"/>
        <v>364</v>
      </c>
      <c r="O482" s="819">
        <f t="shared" si="105"/>
        <v>1124</v>
      </c>
      <c r="P482" s="819">
        <f t="shared" si="108"/>
        <v>495</v>
      </c>
      <c r="Q482" s="819">
        <f t="shared" si="109"/>
        <v>324</v>
      </c>
      <c r="R482" s="819">
        <f t="shared" si="110"/>
        <v>821</v>
      </c>
      <c r="S482" s="819">
        <f t="shared" si="111"/>
        <v>338</v>
      </c>
      <c r="T482" s="819">
        <f t="shared" si="112"/>
        <v>1102</v>
      </c>
      <c r="U482" s="819">
        <f t="shared" si="113"/>
        <v>3080</v>
      </c>
      <c r="V482" s="819">
        <f t="shared" si="114"/>
        <v>1029</v>
      </c>
      <c r="W482" s="379">
        <f t="shared" si="115"/>
        <v>1029</v>
      </c>
      <c r="X482" s="819" t="str">
        <f t="shared" si="116"/>
        <v/>
      </c>
      <c r="Y482" s="837"/>
      <c r="Z482" s="839"/>
      <c r="AA482" s="838"/>
      <c r="AB482" s="839"/>
    </row>
    <row r="483" spans="1:28" ht="14.45">
      <c r="A483" s="816"/>
      <c r="B483" s="819" t="s">
        <v>1358</v>
      </c>
      <c r="C483" s="819" t="s">
        <v>1359</v>
      </c>
      <c r="D483" s="379" t="s">
        <v>336</v>
      </c>
      <c r="E483" s="818" t="s">
        <v>685</v>
      </c>
      <c r="F483" s="820">
        <v>3.8555072730000002</v>
      </c>
      <c r="G483" s="821">
        <v>9.1434709949999995</v>
      </c>
      <c r="H483" s="822">
        <v>8310668.5752778696</v>
      </c>
      <c r="I483" s="819"/>
      <c r="J483" s="820">
        <v>-3.9571300000000001E-4</v>
      </c>
      <c r="K483" s="819">
        <f t="shared" si="106"/>
        <v>1291</v>
      </c>
      <c r="L483" s="819">
        <f t="shared" si="107"/>
        <v>222</v>
      </c>
      <c r="M483" s="819">
        <f t="shared" si="103"/>
        <v>1291</v>
      </c>
      <c r="N483" s="819">
        <f t="shared" si="104"/>
        <v>364</v>
      </c>
      <c r="O483" s="819">
        <f t="shared" si="105"/>
        <v>1220</v>
      </c>
      <c r="P483" s="819">
        <f t="shared" si="108"/>
        <v>107</v>
      </c>
      <c r="Q483" s="819">
        <f t="shared" si="109"/>
        <v>201</v>
      </c>
      <c r="R483" s="819">
        <f t="shared" si="110"/>
        <v>1209</v>
      </c>
      <c r="S483" s="819">
        <f t="shared" si="111"/>
        <v>338</v>
      </c>
      <c r="T483" s="819">
        <f t="shared" si="112"/>
        <v>1198</v>
      </c>
      <c r="U483" s="819">
        <f t="shared" si="113"/>
        <v>3053</v>
      </c>
      <c r="V483" s="819">
        <f t="shared" si="114"/>
        <v>998</v>
      </c>
      <c r="W483" s="379">
        <f t="shared" si="115"/>
        <v>998</v>
      </c>
      <c r="X483" s="819" t="str">
        <f t="shared" si="116"/>
        <v/>
      </c>
      <c r="Y483" s="837"/>
      <c r="Z483" s="839"/>
      <c r="AA483" s="838"/>
      <c r="AB483" s="839"/>
    </row>
    <row r="484" spans="1:28" ht="13.15">
      <c r="B484" s="819" t="s">
        <v>1360</v>
      </c>
      <c r="C484" s="819" t="s">
        <v>1361</v>
      </c>
      <c r="D484" s="379" t="s">
        <v>336</v>
      </c>
      <c r="E484" s="818" t="s">
        <v>460</v>
      </c>
      <c r="F484" s="820">
        <v>0.75352802399999996</v>
      </c>
      <c r="G484" s="821">
        <v>1.168151164</v>
      </c>
      <c r="H484" s="822">
        <v>45593755.905794904</v>
      </c>
      <c r="I484" s="819"/>
      <c r="J484" s="820">
        <v>-5.2975899999999998E-4</v>
      </c>
      <c r="K484" s="819">
        <f t="shared" si="106"/>
        <v>896</v>
      </c>
      <c r="L484" s="819">
        <f t="shared" si="107"/>
        <v>788</v>
      </c>
      <c r="M484" s="819">
        <f t="shared" si="103"/>
        <v>896</v>
      </c>
      <c r="N484" s="819">
        <f t="shared" si="104"/>
        <v>364</v>
      </c>
      <c r="O484" s="819">
        <f t="shared" si="105"/>
        <v>1280</v>
      </c>
      <c r="P484" s="819">
        <f t="shared" si="108"/>
        <v>502</v>
      </c>
      <c r="Q484" s="819">
        <f t="shared" si="109"/>
        <v>365</v>
      </c>
      <c r="R484" s="819">
        <f t="shared" si="110"/>
        <v>814</v>
      </c>
      <c r="S484" s="819">
        <f t="shared" si="111"/>
        <v>338</v>
      </c>
      <c r="T484" s="819">
        <f t="shared" si="112"/>
        <v>1258</v>
      </c>
      <c r="U484" s="819">
        <f t="shared" si="113"/>
        <v>3277</v>
      </c>
      <c r="V484" s="819">
        <f t="shared" si="114"/>
        <v>1307</v>
      </c>
      <c r="W484" s="379">
        <f t="shared" si="115"/>
        <v>1307</v>
      </c>
      <c r="X484" s="819" t="str">
        <f t="shared" si="116"/>
        <v/>
      </c>
      <c r="Y484" s="837"/>
      <c r="Z484" s="839"/>
      <c r="AA484" s="838"/>
      <c r="AB484" s="839"/>
    </row>
    <row r="485" spans="1:28" ht="14.45">
      <c r="A485" s="816"/>
      <c r="B485" s="819" t="s">
        <v>1362</v>
      </c>
      <c r="C485" s="819" t="s">
        <v>1363</v>
      </c>
      <c r="D485" s="379" t="s">
        <v>336</v>
      </c>
      <c r="E485" s="818" t="s">
        <v>373</v>
      </c>
      <c r="F485" s="820">
        <v>4.1410212199999998</v>
      </c>
      <c r="G485" s="821">
        <v>8.9767536779999997</v>
      </c>
      <c r="H485" s="822">
        <v>47914360.300925903</v>
      </c>
      <c r="I485" s="819"/>
      <c r="J485" s="820">
        <v>-1.1635320000000001E-3</v>
      </c>
      <c r="K485" s="819">
        <f t="shared" si="106"/>
        <v>888</v>
      </c>
      <c r="L485" s="819">
        <f t="shared" si="107"/>
        <v>226</v>
      </c>
      <c r="M485" s="819">
        <f t="shared" si="103"/>
        <v>888</v>
      </c>
      <c r="N485" s="819">
        <f t="shared" si="104"/>
        <v>364</v>
      </c>
      <c r="O485" s="819">
        <f t="shared" si="105"/>
        <v>1425</v>
      </c>
      <c r="P485" s="819">
        <f t="shared" si="108"/>
        <v>510</v>
      </c>
      <c r="Q485" s="819">
        <f t="shared" si="109"/>
        <v>197</v>
      </c>
      <c r="R485" s="819">
        <f t="shared" si="110"/>
        <v>806</v>
      </c>
      <c r="S485" s="819">
        <f t="shared" si="111"/>
        <v>338</v>
      </c>
      <c r="T485" s="819">
        <f t="shared" si="112"/>
        <v>1403</v>
      </c>
      <c r="U485" s="819">
        <f t="shared" si="113"/>
        <v>3254</v>
      </c>
      <c r="V485" s="819">
        <f t="shared" si="114"/>
        <v>1278</v>
      </c>
      <c r="W485" s="379">
        <f t="shared" si="115"/>
        <v>1278</v>
      </c>
      <c r="X485" s="819" t="str">
        <f t="shared" si="116"/>
        <v/>
      </c>
      <c r="Y485" s="837"/>
      <c r="Z485" s="839"/>
      <c r="AA485" s="838"/>
      <c r="AB485" s="839"/>
    </row>
    <row r="486" spans="1:28" ht="13.15">
      <c r="B486" s="819" t="s">
        <v>1364</v>
      </c>
      <c r="C486" s="819" t="s">
        <v>1365</v>
      </c>
      <c r="D486" s="379" t="s">
        <v>336</v>
      </c>
      <c r="E486" s="818" t="s">
        <v>425</v>
      </c>
      <c r="F486" s="820">
        <v>1.233054442</v>
      </c>
      <c r="G486" s="821">
        <v>0.86848685599999997</v>
      </c>
      <c r="H486" s="822">
        <v>445802937.06760597</v>
      </c>
      <c r="I486" s="819"/>
      <c r="J486" s="820">
        <v>-1.9277500000000001E-4</v>
      </c>
      <c r="K486" s="819">
        <f t="shared" si="106"/>
        <v>379</v>
      </c>
      <c r="L486" s="819">
        <f t="shared" si="107"/>
        <v>834</v>
      </c>
      <c r="M486" s="819">
        <f t="shared" si="103"/>
        <v>379</v>
      </c>
      <c r="N486" s="819">
        <f t="shared" si="104"/>
        <v>364</v>
      </c>
      <c r="O486" s="819">
        <f t="shared" si="105"/>
        <v>1102</v>
      </c>
      <c r="P486" s="819">
        <f t="shared" si="108"/>
        <v>1019</v>
      </c>
      <c r="Q486" s="819">
        <f t="shared" si="109"/>
        <v>411</v>
      </c>
      <c r="R486" s="819">
        <f t="shared" si="110"/>
        <v>297</v>
      </c>
      <c r="S486" s="819">
        <f t="shared" si="111"/>
        <v>338</v>
      </c>
      <c r="T486" s="819">
        <f t="shared" si="112"/>
        <v>1080</v>
      </c>
      <c r="U486" s="819">
        <f t="shared" si="113"/>
        <v>3145</v>
      </c>
      <c r="V486" s="819">
        <f t="shared" si="114"/>
        <v>1118</v>
      </c>
      <c r="W486" s="379">
        <f t="shared" si="115"/>
        <v>1118</v>
      </c>
      <c r="X486" s="819" t="str">
        <f t="shared" si="116"/>
        <v/>
      </c>
      <c r="Y486" s="837"/>
      <c r="Z486" s="839"/>
      <c r="AA486" s="838"/>
      <c r="AB486" s="839"/>
    </row>
    <row r="487" spans="1:28" ht="14.45">
      <c r="A487" s="816"/>
      <c r="B487" s="819" t="s">
        <v>1366</v>
      </c>
      <c r="C487" s="819" t="s">
        <v>1367</v>
      </c>
      <c r="D487" s="379" t="s">
        <v>336</v>
      </c>
      <c r="E487" s="818" t="s">
        <v>418</v>
      </c>
      <c r="F487" s="820">
        <v>1.611376065</v>
      </c>
      <c r="G487" s="821">
        <v>4.7946253949999997</v>
      </c>
      <c r="H487" s="822">
        <v>32112691.1892277</v>
      </c>
      <c r="I487" s="819">
        <v>0.32</v>
      </c>
      <c r="J487" s="820">
        <v>-3.6538180000000001E-3</v>
      </c>
      <c r="K487" s="819">
        <f t="shared" si="106"/>
        <v>985</v>
      </c>
      <c r="L487" s="819">
        <f t="shared" si="107"/>
        <v>393</v>
      </c>
      <c r="M487" s="819">
        <f t="shared" si="103"/>
        <v>985</v>
      </c>
      <c r="N487" s="819">
        <f t="shared" si="104"/>
        <v>185</v>
      </c>
      <c r="O487" s="819">
        <f t="shared" si="105"/>
        <v>1573</v>
      </c>
      <c r="P487" s="819">
        <f t="shared" si="108"/>
        <v>413</v>
      </c>
      <c r="Q487" s="819">
        <f t="shared" si="109"/>
        <v>30</v>
      </c>
      <c r="R487" s="819">
        <f t="shared" si="110"/>
        <v>903</v>
      </c>
      <c r="S487" s="819">
        <f t="shared" si="111"/>
        <v>159</v>
      </c>
      <c r="T487" s="819">
        <f t="shared" si="112"/>
        <v>1551</v>
      </c>
      <c r="U487" s="819">
        <f t="shared" si="113"/>
        <v>3056</v>
      </c>
      <c r="V487" s="819">
        <f t="shared" si="114"/>
        <v>1000</v>
      </c>
      <c r="W487" s="379">
        <f t="shared" si="115"/>
        <v>1000</v>
      </c>
      <c r="X487" s="819" t="str">
        <f t="shared" si="116"/>
        <v/>
      </c>
      <c r="Y487" s="837"/>
      <c r="Z487" s="839"/>
      <c r="AA487" s="838"/>
      <c r="AB487" s="839"/>
    </row>
    <row r="488" spans="1:28" ht="13.15">
      <c r="B488" s="819" t="s">
        <v>1368</v>
      </c>
      <c r="C488" s="819" t="s">
        <v>1369</v>
      </c>
      <c r="D488" s="379" t="s">
        <v>336</v>
      </c>
      <c r="E488" s="818" t="s">
        <v>460</v>
      </c>
      <c r="F488" s="820">
        <v>1.442186006</v>
      </c>
      <c r="G488" s="821">
        <v>-4.0889535999999997E-2</v>
      </c>
      <c r="H488" s="822">
        <v>946904828.21358001</v>
      </c>
      <c r="I488" s="819">
        <v>-0.01</v>
      </c>
      <c r="J488" s="820">
        <v>5.4819259999999998E-3</v>
      </c>
      <c r="K488" s="819">
        <f t="shared" si="106"/>
        <v>228</v>
      </c>
      <c r="L488" s="819">
        <f t="shared" si="107"/>
        <v>1209</v>
      </c>
      <c r="M488" s="819">
        <f t="shared" si="103"/>
        <v>228</v>
      </c>
      <c r="N488" s="819">
        <f t="shared" si="104"/>
        <v>373</v>
      </c>
      <c r="O488" s="819">
        <f t="shared" si="105"/>
        <v>145</v>
      </c>
      <c r="P488" s="819">
        <f t="shared" si="108"/>
        <v>1170</v>
      </c>
      <c r="Q488" s="819">
        <f t="shared" si="109"/>
        <v>786</v>
      </c>
      <c r="R488" s="819">
        <f t="shared" si="110"/>
        <v>146</v>
      </c>
      <c r="S488" s="819">
        <f t="shared" si="111"/>
        <v>347</v>
      </c>
      <c r="T488" s="819">
        <f t="shared" si="112"/>
        <v>123</v>
      </c>
      <c r="U488" s="819">
        <f t="shared" si="113"/>
        <v>2572</v>
      </c>
      <c r="V488" s="819">
        <f t="shared" si="114"/>
        <v>273</v>
      </c>
      <c r="W488" s="379">
        <f t="shared" si="115"/>
        <v>273</v>
      </c>
      <c r="X488" s="819" t="str">
        <f t="shared" si="116"/>
        <v/>
      </c>
      <c r="Y488" s="837"/>
      <c r="Z488" s="839"/>
      <c r="AA488" s="838"/>
      <c r="AB488" s="839"/>
    </row>
    <row r="489" spans="1:28" ht="14.45">
      <c r="A489" s="816"/>
      <c r="B489" s="819" t="s">
        <v>1370</v>
      </c>
      <c r="C489" s="819" t="s">
        <v>1371</v>
      </c>
      <c r="D489" s="379" t="s">
        <v>336</v>
      </c>
      <c r="E489" s="818" t="s">
        <v>600</v>
      </c>
      <c r="F489" s="820">
        <v>-8.9347900000000006E-6</v>
      </c>
      <c r="G489" s="821">
        <v>0</v>
      </c>
      <c r="H489" s="822">
        <v>84898408.147326604</v>
      </c>
      <c r="I489" s="819"/>
      <c r="J489" s="820">
        <v>5.5955799999999997E-5</v>
      </c>
      <c r="K489" s="819">
        <f t="shared" si="106"/>
        <v>756</v>
      </c>
      <c r="L489" s="819">
        <f t="shared" si="107"/>
        <v>1084</v>
      </c>
      <c r="M489" s="819">
        <f t="shared" si="103"/>
        <v>756</v>
      </c>
      <c r="N489" s="819">
        <f t="shared" si="104"/>
        <v>364</v>
      </c>
      <c r="O489" s="819">
        <f t="shared" si="105"/>
        <v>340</v>
      </c>
      <c r="P489" s="819">
        <f t="shared" si="108"/>
        <v>642</v>
      </c>
      <c r="Q489" s="819">
        <f t="shared" si="109"/>
        <v>661</v>
      </c>
      <c r="R489" s="819">
        <f t="shared" si="110"/>
        <v>674</v>
      </c>
      <c r="S489" s="819">
        <f t="shared" si="111"/>
        <v>338</v>
      </c>
      <c r="T489" s="819">
        <f t="shared" si="112"/>
        <v>318</v>
      </c>
      <c r="U489" s="819">
        <f t="shared" si="113"/>
        <v>2633</v>
      </c>
      <c r="V489" s="819">
        <f t="shared" si="114"/>
        <v>308</v>
      </c>
      <c r="W489" s="379">
        <f t="shared" si="115"/>
        <v>308</v>
      </c>
      <c r="X489" s="819" t="str">
        <f t="shared" si="116"/>
        <v/>
      </c>
      <c r="Y489" s="837"/>
      <c r="Z489" s="839"/>
      <c r="AA489" s="838"/>
      <c r="AB489" s="839"/>
    </row>
    <row r="490" spans="1:28" ht="13.15">
      <c r="B490" s="819" t="s">
        <v>1372</v>
      </c>
      <c r="C490" s="819" t="s">
        <v>1373</v>
      </c>
      <c r="D490" s="379" t="s">
        <v>336</v>
      </c>
      <c r="E490" s="818" t="s">
        <v>522</v>
      </c>
      <c r="F490" s="820">
        <v>1.900681507</v>
      </c>
      <c r="G490" s="821">
        <v>14.60075408</v>
      </c>
      <c r="H490" s="822"/>
      <c r="I490" s="819"/>
      <c r="J490" s="820">
        <v>-1.57229E-4</v>
      </c>
      <c r="K490" s="819" t="str">
        <f t="shared" si="106"/>
        <v>N/A</v>
      </c>
      <c r="L490" s="819">
        <f t="shared" si="107"/>
        <v>133</v>
      </c>
      <c r="M490" s="819" t="str">
        <f t="shared" si="103"/>
        <v>N/A</v>
      </c>
      <c r="N490" s="819">
        <f t="shared" si="104"/>
        <v>364</v>
      </c>
      <c r="O490" s="819">
        <f t="shared" si="105"/>
        <v>1068</v>
      </c>
      <c r="P490" s="819" t="str">
        <f t="shared" si="108"/>
        <v>N/A</v>
      </c>
      <c r="Q490" s="819">
        <f t="shared" si="109"/>
        <v>290</v>
      </c>
      <c r="R490" s="819" t="str">
        <f t="shared" si="110"/>
        <v>N/A</v>
      </c>
      <c r="S490" s="819">
        <f t="shared" si="111"/>
        <v>338</v>
      </c>
      <c r="T490" s="819">
        <f t="shared" si="112"/>
        <v>1046</v>
      </c>
      <c r="U490" s="819">
        <f t="shared" si="113"/>
        <v>1674</v>
      </c>
      <c r="V490" s="819">
        <f t="shared" si="114"/>
        <v>84</v>
      </c>
      <c r="W490" s="379">
        <f t="shared" si="115"/>
        <v>84</v>
      </c>
      <c r="X490" s="819" t="str">
        <f t="shared" si="116"/>
        <v/>
      </c>
      <c r="Y490" s="837"/>
      <c r="Z490" s="839"/>
      <c r="AA490" s="838"/>
      <c r="AB490" s="839"/>
    </row>
    <row r="491" spans="1:28" ht="14.45">
      <c r="A491" s="816"/>
      <c r="B491" s="819" t="s">
        <v>1374</v>
      </c>
      <c r="C491" s="819" t="s">
        <v>1375</v>
      </c>
      <c r="D491" s="379" t="s">
        <v>336</v>
      </c>
      <c r="E491" s="818" t="s">
        <v>941</v>
      </c>
      <c r="F491" s="820">
        <v>2.4241473199999999</v>
      </c>
      <c r="G491" s="821">
        <v>103.6043207</v>
      </c>
      <c r="H491" s="822">
        <v>76091381.0682275</v>
      </c>
      <c r="I491" s="819"/>
      <c r="J491" s="820">
        <v>-1.6427599999999998E-5</v>
      </c>
      <c r="K491" s="819">
        <f t="shared" si="106"/>
        <v>783</v>
      </c>
      <c r="L491" s="819">
        <f t="shared" si="107"/>
        <v>15</v>
      </c>
      <c r="M491" s="819">
        <f t="shared" si="103"/>
        <v>783</v>
      </c>
      <c r="N491" s="819">
        <f t="shared" si="104"/>
        <v>364</v>
      </c>
      <c r="O491" s="819">
        <f t="shared" si="105"/>
        <v>837</v>
      </c>
      <c r="P491" s="819">
        <f t="shared" si="108"/>
        <v>615</v>
      </c>
      <c r="Q491" s="819">
        <f t="shared" si="109"/>
        <v>408</v>
      </c>
      <c r="R491" s="819">
        <f t="shared" si="110"/>
        <v>701</v>
      </c>
      <c r="S491" s="819">
        <f t="shared" si="111"/>
        <v>338</v>
      </c>
      <c r="T491" s="819">
        <f t="shared" si="112"/>
        <v>815</v>
      </c>
      <c r="U491" s="819">
        <f t="shared" si="113"/>
        <v>2877</v>
      </c>
      <c r="V491" s="819">
        <f t="shared" si="114"/>
        <v>767</v>
      </c>
      <c r="W491" s="379">
        <f t="shared" si="115"/>
        <v>767</v>
      </c>
      <c r="X491" s="819" t="str">
        <f t="shared" si="116"/>
        <v/>
      </c>
      <c r="Y491" s="837"/>
      <c r="Z491" s="839"/>
      <c r="AA491" s="838"/>
      <c r="AB491" s="839"/>
    </row>
    <row r="492" spans="1:28" ht="13.15">
      <c r="B492" s="819" t="s">
        <v>1376</v>
      </c>
      <c r="C492" s="819" t="s">
        <v>1377</v>
      </c>
      <c r="D492" s="379" t="s">
        <v>336</v>
      </c>
      <c r="E492" s="818" t="s">
        <v>941</v>
      </c>
      <c r="F492" s="820">
        <v>1.940064725</v>
      </c>
      <c r="G492" s="821">
        <v>9.3156128079999991</v>
      </c>
      <c r="H492" s="822">
        <v>50236748.6423999</v>
      </c>
      <c r="I492" s="819"/>
      <c r="J492" s="820">
        <v>-4.7312500000000002E-4</v>
      </c>
      <c r="K492" s="819">
        <f t="shared" si="106"/>
        <v>879</v>
      </c>
      <c r="L492" s="819">
        <f t="shared" si="107"/>
        <v>216</v>
      </c>
      <c r="M492" s="819">
        <f t="shared" si="103"/>
        <v>879</v>
      </c>
      <c r="N492" s="819">
        <f t="shared" si="104"/>
        <v>364</v>
      </c>
      <c r="O492" s="819">
        <f t="shared" si="105"/>
        <v>1259</v>
      </c>
      <c r="P492" s="819">
        <f t="shared" si="108"/>
        <v>519</v>
      </c>
      <c r="Q492" s="819">
        <f t="shared" si="109"/>
        <v>207</v>
      </c>
      <c r="R492" s="819">
        <f t="shared" si="110"/>
        <v>797</v>
      </c>
      <c r="S492" s="819">
        <f t="shared" si="111"/>
        <v>338</v>
      </c>
      <c r="T492" s="819">
        <f t="shared" si="112"/>
        <v>1237</v>
      </c>
      <c r="U492" s="819">
        <f t="shared" si="113"/>
        <v>3098</v>
      </c>
      <c r="V492" s="819">
        <f t="shared" si="114"/>
        <v>1066</v>
      </c>
      <c r="W492" s="379">
        <f t="shared" si="115"/>
        <v>1066</v>
      </c>
      <c r="X492" s="819" t="str">
        <f t="shared" si="116"/>
        <v/>
      </c>
      <c r="Y492" s="837"/>
      <c r="Z492" s="839"/>
      <c r="AA492" s="838"/>
      <c r="AB492" s="839"/>
    </row>
    <row r="493" spans="1:28" ht="14.45">
      <c r="A493" s="816"/>
      <c r="B493" s="819" t="s">
        <v>1378</v>
      </c>
      <c r="C493" s="819" t="s">
        <v>1379</v>
      </c>
      <c r="D493" s="379" t="s">
        <v>336</v>
      </c>
      <c r="E493" s="818" t="s">
        <v>941</v>
      </c>
      <c r="F493" s="820"/>
      <c r="G493" s="821"/>
      <c r="H493" s="822">
        <v>104364133.89427499</v>
      </c>
      <c r="I493" s="819">
        <v>0.97</v>
      </c>
      <c r="J493" s="820">
        <v>0</v>
      </c>
      <c r="K493" s="819">
        <f t="shared" si="106"/>
        <v>716</v>
      </c>
      <c r="L493" s="819">
        <f t="shared" si="107"/>
        <v>1084</v>
      </c>
      <c r="M493" s="819">
        <f t="shared" si="103"/>
        <v>716</v>
      </c>
      <c r="N493" s="819">
        <f t="shared" si="104"/>
        <v>133</v>
      </c>
      <c r="O493" s="819">
        <f t="shared" si="105"/>
        <v>492</v>
      </c>
      <c r="P493" s="819">
        <f t="shared" si="108"/>
        <v>682</v>
      </c>
      <c r="Q493" s="819">
        <f t="shared" si="109"/>
        <v>661</v>
      </c>
      <c r="R493" s="819">
        <f t="shared" si="110"/>
        <v>634</v>
      </c>
      <c r="S493" s="819">
        <f t="shared" si="111"/>
        <v>107</v>
      </c>
      <c r="T493" s="819">
        <f t="shared" si="112"/>
        <v>470</v>
      </c>
      <c r="U493" s="819">
        <f t="shared" si="113"/>
        <v>2554</v>
      </c>
      <c r="V493" s="819">
        <f t="shared" si="114"/>
        <v>268</v>
      </c>
      <c r="W493" s="379">
        <f t="shared" si="115"/>
        <v>268</v>
      </c>
      <c r="X493" s="819" t="str">
        <f t="shared" si="116"/>
        <v/>
      </c>
      <c r="Y493" s="837"/>
      <c r="Z493" s="839"/>
      <c r="AA493" s="838"/>
      <c r="AB493" s="839"/>
    </row>
    <row r="494" spans="1:28" ht="13.15">
      <c r="B494" s="819" t="s">
        <v>1380</v>
      </c>
      <c r="C494" s="819" t="s">
        <v>1381</v>
      </c>
      <c r="D494" s="379" t="s">
        <v>336</v>
      </c>
      <c r="E494" s="818" t="s">
        <v>1382</v>
      </c>
      <c r="F494" s="820">
        <v>0.83882746799999997</v>
      </c>
      <c r="G494" s="821">
        <v>0</v>
      </c>
      <c r="H494" s="822">
        <v>1824473490.4147</v>
      </c>
      <c r="I494" s="819"/>
      <c r="J494" s="820">
        <v>4.8862199999999996E-6</v>
      </c>
      <c r="K494" s="819">
        <f t="shared" si="106"/>
        <v>160</v>
      </c>
      <c r="L494" s="819">
        <f t="shared" si="107"/>
        <v>1084</v>
      </c>
      <c r="M494" s="819">
        <f t="shared" si="103"/>
        <v>160</v>
      </c>
      <c r="N494" s="819">
        <f t="shared" si="104"/>
        <v>364</v>
      </c>
      <c r="O494" s="819">
        <f t="shared" si="105"/>
        <v>444</v>
      </c>
      <c r="P494" s="819">
        <f t="shared" si="108"/>
        <v>1238</v>
      </c>
      <c r="Q494" s="819">
        <f t="shared" si="109"/>
        <v>661</v>
      </c>
      <c r="R494" s="819">
        <f t="shared" si="110"/>
        <v>78</v>
      </c>
      <c r="S494" s="819">
        <f t="shared" si="111"/>
        <v>338</v>
      </c>
      <c r="T494" s="819">
        <f t="shared" si="112"/>
        <v>422</v>
      </c>
      <c r="U494" s="819">
        <f t="shared" si="113"/>
        <v>2737</v>
      </c>
      <c r="V494" s="819">
        <f t="shared" si="114"/>
        <v>402</v>
      </c>
      <c r="W494" s="379">
        <f t="shared" si="115"/>
        <v>402</v>
      </c>
      <c r="X494" s="819" t="str">
        <f t="shared" si="116"/>
        <v/>
      </c>
      <c r="Y494" s="837"/>
      <c r="Z494" s="839"/>
      <c r="AA494" s="838"/>
      <c r="AB494" s="839"/>
    </row>
    <row r="495" spans="1:28" ht="14.45">
      <c r="A495" s="816"/>
      <c r="B495" s="819" t="s">
        <v>1383</v>
      </c>
      <c r="C495" s="819" t="s">
        <v>1384</v>
      </c>
      <c r="D495" s="379" t="s">
        <v>336</v>
      </c>
      <c r="E495" s="818" t="s">
        <v>460</v>
      </c>
      <c r="F495" s="820"/>
      <c r="G495" s="821"/>
      <c r="H495" s="822">
        <v>9415537.3644154109</v>
      </c>
      <c r="I495" s="819"/>
      <c r="J495" s="820">
        <v>0</v>
      </c>
      <c r="K495" s="819">
        <f t="shared" si="106"/>
        <v>1262</v>
      </c>
      <c r="L495" s="819">
        <f t="shared" si="107"/>
        <v>1084</v>
      </c>
      <c r="M495" s="819">
        <f t="shared" si="103"/>
        <v>1262</v>
      </c>
      <c r="N495" s="819">
        <f t="shared" si="104"/>
        <v>364</v>
      </c>
      <c r="O495" s="819">
        <f t="shared" si="105"/>
        <v>492</v>
      </c>
      <c r="P495" s="819">
        <f t="shared" si="108"/>
        <v>136</v>
      </c>
      <c r="Q495" s="819">
        <f t="shared" si="109"/>
        <v>661</v>
      </c>
      <c r="R495" s="819">
        <f t="shared" si="110"/>
        <v>1180</v>
      </c>
      <c r="S495" s="819">
        <f t="shared" si="111"/>
        <v>338</v>
      </c>
      <c r="T495" s="819">
        <f t="shared" si="112"/>
        <v>470</v>
      </c>
      <c r="U495" s="819">
        <f t="shared" si="113"/>
        <v>2785</v>
      </c>
      <c r="V495" s="819">
        <f t="shared" si="114"/>
        <v>463</v>
      </c>
      <c r="W495" s="379">
        <f t="shared" si="115"/>
        <v>463</v>
      </c>
      <c r="X495" s="819" t="str">
        <f t="shared" si="116"/>
        <v/>
      </c>
      <c r="Y495" s="837"/>
      <c r="Z495" s="839"/>
      <c r="AA495" s="838"/>
      <c r="AB495" s="839"/>
    </row>
    <row r="496" spans="1:28" ht="13.15">
      <c r="B496" s="819" t="s">
        <v>1385</v>
      </c>
      <c r="C496" s="819" t="s">
        <v>1386</v>
      </c>
      <c r="D496" s="379" t="s">
        <v>336</v>
      </c>
      <c r="E496" s="818" t="s">
        <v>1382</v>
      </c>
      <c r="F496" s="820">
        <v>2.9422244759999998</v>
      </c>
      <c r="G496" s="821">
        <v>0.46092478199999998</v>
      </c>
      <c r="H496" s="822">
        <v>752432491.97924495</v>
      </c>
      <c r="I496" s="819"/>
      <c r="J496" s="820">
        <v>-1.7801259999999999E-3</v>
      </c>
      <c r="K496" s="819">
        <f t="shared" si="106"/>
        <v>266</v>
      </c>
      <c r="L496" s="819">
        <f t="shared" si="107"/>
        <v>933</v>
      </c>
      <c r="M496" s="819">
        <f t="shared" si="103"/>
        <v>266</v>
      </c>
      <c r="N496" s="819">
        <f t="shared" si="104"/>
        <v>364</v>
      </c>
      <c r="O496" s="819">
        <f t="shared" si="105"/>
        <v>1480</v>
      </c>
      <c r="P496" s="819">
        <f t="shared" si="108"/>
        <v>1132</v>
      </c>
      <c r="Q496" s="819">
        <f t="shared" si="109"/>
        <v>510</v>
      </c>
      <c r="R496" s="819">
        <f t="shared" si="110"/>
        <v>184</v>
      </c>
      <c r="S496" s="819">
        <f t="shared" si="111"/>
        <v>338</v>
      </c>
      <c r="T496" s="819">
        <f t="shared" si="112"/>
        <v>1458</v>
      </c>
      <c r="U496" s="819">
        <f t="shared" si="113"/>
        <v>3622</v>
      </c>
      <c r="V496" s="819">
        <f t="shared" si="114"/>
        <v>1635</v>
      </c>
      <c r="W496" s="379">
        <f t="shared" si="115"/>
        <v>1635</v>
      </c>
      <c r="X496" s="819" t="str">
        <f t="shared" si="116"/>
        <v/>
      </c>
      <c r="Y496" s="837"/>
      <c r="Z496" s="839"/>
      <c r="AA496" s="838"/>
      <c r="AB496" s="839"/>
    </row>
    <row r="497" spans="1:28" ht="14.45">
      <c r="A497" s="816"/>
      <c r="B497" s="819" t="s">
        <v>1387</v>
      </c>
      <c r="C497" s="819" t="s">
        <v>1388</v>
      </c>
      <c r="D497" s="379" t="s">
        <v>336</v>
      </c>
      <c r="E497" s="818" t="s">
        <v>711</v>
      </c>
      <c r="F497" s="820">
        <v>1.9002696100000001</v>
      </c>
      <c r="G497" s="821">
        <v>0.30206992199999999</v>
      </c>
      <c r="H497" s="822">
        <v>90222055.636717096</v>
      </c>
      <c r="I497" s="819"/>
      <c r="J497" s="820">
        <v>-2.5305010000000001E-3</v>
      </c>
      <c r="K497" s="819">
        <f t="shared" si="106"/>
        <v>746</v>
      </c>
      <c r="L497" s="819">
        <f t="shared" si="107"/>
        <v>957</v>
      </c>
      <c r="M497" s="819">
        <f t="shared" si="103"/>
        <v>746</v>
      </c>
      <c r="N497" s="819">
        <f t="shared" si="104"/>
        <v>364</v>
      </c>
      <c r="O497" s="819">
        <f t="shared" si="105"/>
        <v>1529</v>
      </c>
      <c r="P497" s="819">
        <f t="shared" si="108"/>
        <v>652</v>
      </c>
      <c r="Q497" s="819">
        <f t="shared" si="109"/>
        <v>534</v>
      </c>
      <c r="R497" s="819">
        <f t="shared" si="110"/>
        <v>664</v>
      </c>
      <c r="S497" s="819">
        <f t="shared" si="111"/>
        <v>338</v>
      </c>
      <c r="T497" s="819">
        <f t="shared" si="112"/>
        <v>1507</v>
      </c>
      <c r="U497" s="819">
        <f t="shared" si="113"/>
        <v>3695</v>
      </c>
      <c r="V497" s="819">
        <f t="shared" si="114"/>
        <v>1677</v>
      </c>
      <c r="W497" s="379">
        <f t="shared" si="115"/>
        <v>1677</v>
      </c>
      <c r="X497" s="819" t="str">
        <f t="shared" si="116"/>
        <v/>
      </c>
      <c r="Y497" s="837"/>
      <c r="Z497" s="839"/>
      <c r="AA497" s="838"/>
      <c r="AB497" s="839"/>
    </row>
    <row r="498" spans="1:28" ht="13.15">
      <c r="B498" s="819" t="s">
        <v>1389</v>
      </c>
      <c r="C498" s="819" t="s">
        <v>1390</v>
      </c>
      <c r="D498" s="379" t="s">
        <v>336</v>
      </c>
      <c r="E498" s="818" t="s">
        <v>711</v>
      </c>
      <c r="F498" s="820">
        <v>1.348152996</v>
      </c>
      <c r="G498" s="821">
        <v>3.746027153</v>
      </c>
      <c r="H498" s="822">
        <v>159671760.259179</v>
      </c>
      <c r="I498" s="819">
        <v>0.22</v>
      </c>
      <c r="J498" s="820">
        <v>-1.5683077E-2</v>
      </c>
      <c r="K498" s="819">
        <f t="shared" si="106"/>
        <v>616</v>
      </c>
      <c r="L498" s="819">
        <f t="shared" si="107"/>
        <v>473</v>
      </c>
      <c r="M498" s="819">
        <f t="shared" si="103"/>
        <v>616</v>
      </c>
      <c r="N498" s="819">
        <f t="shared" si="104"/>
        <v>213</v>
      </c>
      <c r="O498" s="819">
        <f t="shared" si="105"/>
        <v>1679</v>
      </c>
      <c r="P498" s="819">
        <f t="shared" si="108"/>
        <v>782</v>
      </c>
      <c r="Q498" s="819">
        <f t="shared" si="109"/>
        <v>50</v>
      </c>
      <c r="R498" s="819">
        <f t="shared" si="110"/>
        <v>534</v>
      </c>
      <c r="S498" s="819">
        <f t="shared" si="111"/>
        <v>187</v>
      </c>
      <c r="T498" s="819">
        <f t="shared" si="112"/>
        <v>1657</v>
      </c>
      <c r="U498" s="819">
        <f t="shared" si="113"/>
        <v>3210</v>
      </c>
      <c r="V498" s="819">
        <f t="shared" si="114"/>
        <v>1213</v>
      </c>
      <c r="W498" s="379">
        <f t="shared" si="115"/>
        <v>1213</v>
      </c>
      <c r="X498" s="819" t="str">
        <f t="shared" si="116"/>
        <v/>
      </c>
      <c r="Y498" s="837"/>
      <c r="Z498" s="839"/>
      <c r="AA498" s="838"/>
      <c r="AB498" s="839"/>
    </row>
    <row r="499" spans="1:28" ht="14.45">
      <c r="A499" s="816"/>
      <c r="B499" s="819" t="s">
        <v>1391</v>
      </c>
      <c r="C499" s="819" t="s">
        <v>1392</v>
      </c>
      <c r="D499" s="379" t="s">
        <v>336</v>
      </c>
      <c r="E499" s="818" t="s">
        <v>441</v>
      </c>
      <c r="F499" s="820">
        <v>3.883773288</v>
      </c>
      <c r="G499" s="821">
        <v>4.0510471199999998</v>
      </c>
      <c r="H499" s="822">
        <v>3577814230.4360399</v>
      </c>
      <c r="I499" s="819">
        <v>1.31</v>
      </c>
      <c r="J499" s="820">
        <v>-2.6254059999999998E-3</v>
      </c>
      <c r="K499" s="819">
        <f t="shared" si="106"/>
        <v>92</v>
      </c>
      <c r="L499" s="819">
        <f t="shared" si="107"/>
        <v>445</v>
      </c>
      <c r="M499" s="819">
        <f t="shared" si="103"/>
        <v>92</v>
      </c>
      <c r="N499" s="819">
        <f t="shared" si="104"/>
        <v>105</v>
      </c>
      <c r="O499" s="819">
        <f t="shared" si="105"/>
        <v>1532</v>
      </c>
      <c r="P499" s="819">
        <f t="shared" si="108"/>
        <v>1306</v>
      </c>
      <c r="Q499" s="819">
        <f t="shared" si="109"/>
        <v>22</v>
      </c>
      <c r="R499" s="819">
        <f t="shared" si="110"/>
        <v>10</v>
      </c>
      <c r="S499" s="819">
        <f t="shared" si="111"/>
        <v>79</v>
      </c>
      <c r="T499" s="819">
        <f t="shared" si="112"/>
        <v>1510</v>
      </c>
      <c r="U499" s="819">
        <f t="shared" si="113"/>
        <v>2927</v>
      </c>
      <c r="V499" s="819">
        <f t="shared" si="114"/>
        <v>843</v>
      </c>
      <c r="W499" s="379">
        <f t="shared" si="115"/>
        <v>843</v>
      </c>
      <c r="X499" s="819" t="str">
        <f t="shared" si="116"/>
        <v/>
      </c>
      <c r="Y499" s="837"/>
      <c r="Z499" s="839"/>
      <c r="AA499" s="838"/>
      <c r="AB499" s="839"/>
    </row>
    <row r="500" spans="1:28" ht="13.15">
      <c r="B500" s="819" t="s">
        <v>1393</v>
      </c>
      <c r="C500" s="819" t="s">
        <v>1394</v>
      </c>
      <c r="D500" s="379" t="s">
        <v>336</v>
      </c>
      <c r="E500" s="818" t="s">
        <v>418</v>
      </c>
      <c r="F500" s="820">
        <v>2.2384899709999999</v>
      </c>
      <c r="G500" s="821">
        <v>28.953900709999999</v>
      </c>
      <c r="H500" s="822">
        <v>270426711.98290902</v>
      </c>
      <c r="I500" s="819">
        <v>0.83</v>
      </c>
      <c r="J500" s="820">
        <v>-1.55859E-4</v>
      </c>
      <c r="K500" s="819">
        <f t="shared" si="106"/>
        <v>497</v>
      </c>
      <c r="L500" s="819">
        <f t="shared" si="107"/>
        <v>61</v>
      </c>
      <c r="M500" s="819">
        <f t="shared" si="103"/>
        <v>497</v>
      </c>
      <c r="N500" s="819">
        <f t="shared" si="104"/>
        <v>143</v>
      </c>
      <c r="O500" s="819">
        <f t="shared" si="105"/>
        <v>1067</v>
      </c>
      <c r="P500" s="819">
        <f t="shared" si="108"/>
        <v>901</v>
      </c>
      <c r="Q500" s="819">
        <f t="shared" si="109"/>
        <v>362</v>
      </c>
      <c r="R500" s="819">
        <f t="shared" si="110"/>
        <v>415</v>
      </c>
      <c r="S500" s="819">
        <f t="shared" si="111"/>
        <v>117</v>
      </c>
      <c r="T500" s="819">
        <f t="shared" si="112"/>
        <v>1045</v>
      </c>
      <c r="U500" s="819">
        <f t="shared" si="113"/>
        <v>2840</v>
      </c>
      <c r="V500" s="819">
        <f t="shared" si="114"/>
        <v>700</v>
      </c>
      <c r="W500" s="379">
        <f t="shared" si="115"/>
        <v>700</v>
      </c>
      <c r="X500" s="819" t="str">
        <f t="shared" si="116"/>
        <v/>
      </c>
      <c r="Y500" s="837"/>
      <c r="Z500" s="839"/>
      <c r="AA500" s="838"/>
      <c r="AB500" s="839"/>
    </row>
    <row r="501" spans="1:28" ht="14.45">
      <c r="A501" s="816"/>
      <c r="B501" s="819" t="s">
        <v>1395</v>
      </c>
      <c r="C501" s="819" t="s">
        <v>1396</v>
      </c>
      <c r="D501" s="379" t="s">
        <v>336</v>
      </c>
      <c r="E501" s="818" t="s">
        <v>418</v>
      </c>
      <c r="F501" s="820">
        <v>3.9283648339999999</v>
      </c>
      <c r="G501" s="821">
        <v>0.82226976299999999</v>
      </c>
      <c r="H501" s="822">
        <v>239775024.276559</v>
      </c>
      <c r="I501" s="819"/>
      <c r="J501" s="820">
        <v>-2.4275329999999999E-3</v>
      </c>
      <c r="K501" s="819">
        <f t="shared" si="106"/>
        <v>523</v>
      </c>
      <c r="L501" s="819">
        <f t="shared" si="107"/>
        <v>844</v>
      </c>
      <c r="M501" s="819">
        <f t="shared" si="103"/>
        <v>523</v>
      </c>
      <c r="N501" s="819">
        <f t="shared" si="104"/>
        <v>364</v>
      </c>
      <c r="O501" s="819">
        <f t="shared" si="105"/>
        <v>1522</v>
      </c>
      <c r="P501" s="819">
        <f t="shared" si="108"/>
        <v>875</v>
      </c>
      <c r="Q501" s="819">
        <f t="shared" si="109"/>
        <v>421</v>
      </c>
      <c r="R501" s="819">
        <f t="shared" si="110"/>
        <v>441</v>
      </c>
      <c r="S501" s="819">
        <f t="shared" si="111"/>
        <v>338</v>
      </c>
      <c r="T501" s="819">
        <f t="shared" si="112"/>
        <v>1500</v>
      </c>
      <c r="U501" s="819">
        <f t="shared" si="113"/>
        <v>3575</v>
      </c>
      <c r="V501" s="819">
        <f t="shared" si="114"/>
        <v>1612</v>
      </c>
      <c r="W501" s="379">
        <f t="shared" si="115"/>
        <v>1612</v>
      </c>
      <c r="X501" s="819" t="str">
        <f t="shared" si="116"/>
        <v/>
      </c>
      <c r="Y501" s="837"/>
      <c r="Z501" s="839"/>
      <c r="AA501" s="838"/>
      <c r="AB501" s="839"/>
    </row>
    <row r="502" spans="1:28" ht="13.15">
      <c r="B502" s="819" t="s">
        <v>1397</v>
      </c>
      <c r="C502" s="819" t="s">
        <v>1398</v>
      </c>
      <c r="D502" s="379" t="s">
        <v>336</v>
      </c>
      <c r="E502" s="818" t="s">
        <v>1399</v>
      </c>
      <c r="F502" s="820">
        <v>0</v>
      </c>
      <c r="G502" s="821">
        <v>0</v>
      </c>
      <c r="H502" s="822">
        <v>207396049.880339</v>
      </c>
      <c r="I502" s="819"/>
      <c r="J502" s="820">
        <v>-7.7989999999999994E-6</v>
      </c>
      <c r="K502" s="819">
        <f t="shared" si="106"/>
        <v>558</v>
      </c>
      <c r="L502" s="819">
        <f t="shared" si="107"/>
        <v>1084</v>
      </c>
      <c r="M502" s="819">
        <f t="shared" si="103"/>
        <v>558</v>
      </c>
      <c r="N502" s="819">
        <f t="shared" si="104"/>
        <v>364</v>
      </c>
      <c r="O502" s="819">
        <f t="shared" si="105"/>
        <v>793</v>
      </c>
      <c r="P502" s="819">
        <f t="shared" si="108"/>
        <v>840</v>
      </c>
      <c r="Q502" s="819">
        <f t="shared" si="109"/>
        <v>661</v>
      </c>
      <c r="R502" s="819">
        <f t="shared" si="110"/>
        <v>476</v>
      </c>
      <c r="S502" s="819">
        <f t="shared" si="111"/>
        <v>338</v>
      </c>
      <c r="T502" s="819">
        <f t="shared" si="112"/>
        <v>771</v>
      </c>
      <c r="U502" s="819">
        <f t="shared" si="113"/>
        <v>3086</v>
      </c>
      <c r="V502" s="819">
        <f t="shared" si="114"/>
        <v>1047</v>
      </c>
      <c r="W502" s="379">
        <f t="shared" si="115"/>
        <v>1047</v>
      </c>
      <c r="X502" s="819" t="str">
        <f t="shared" si="116"/>
        <v/>
      </c>
      <c r="Y502" s="837"/>
      <c r="Z502" s="839"/>
      <c r="AA502" s="838"/>
      <c r="AB502" s="839"/>
    </row>
    <row r="503" spans="1:28" ht="14.45">
      <c r="A503" s="816"/>
      <c r="B503" s="819" t="s">
        <v>1400</v>
      </c>
      <c r="C503" s="819" t="s">
        <v>1401</v>
      </c>
      <c r="D503" s="379" t="s">
        <v>336</v>
      </c>
      <c r="E503" s="818" t="s">
        <v>711</v>
      </c>
      <c r="F503" s="820">
        <v>1.7650364919999999</v>
      </c>
      <c r="G503" s="821">
        <v>-9.6793739779999992</v>
      </c>
      <c r="H503" s="822">
        <v>1593984.2228941701</v>
      </c>
      <c r="I503" s="819">
        <v>0.28000000000000003</v>
      </c>
      <c r="J503" s="820">
        <v>6.2240660000000003E-3</v>
      </c>
      <c r="K503" s="819">
        <f t="shared" si="106"/>
        <v>1524</v>
      </c>
      <c r="L503" s="819">
        <f t="shared" si="107"/>
        <v>1447</v>
      </c>
      <c r="M503" s="819">
        <f t="shared" si="103"/>
        <v>1524</v>
      </c>
      <c r="N503" s="819">
        <f t="shared" si="104"/>
        <v>193</v>
      </c>
      <c r="O503" s="819">
        <f t="shared" si="105"/>
        <v>141</v>
      </c>
      <c r="P503" s="819">
        <f t="shared" si="108"/>
        <v>126</v>
      </c>
      <c r="Q503" s="819">
        <f t="shared" si="109"/>
        <v>1024</v>
      </c>
      <c r="R503" s="819">
        <f t="shared" si="110"/>
        <v>1442</v>
      </c>
      <c r="S503" s="819">
        <f t="shared" si="111"/>
        <v>167</v>
      </c>
      <c r="T503" s="819">
        <f t="shared" si="112"/>
        <v>119</v>
      </c>
      <c r="U503" s="819">
        <f t="shared" si="113"/>
        <v>2878</v>
      </c>
      <c r="V503" s="819">
        <f t="shared" si="114"/>
        <v>769</v>
      </c>
      <c r="W503" s="379">
        <f t="shared" si="115"/>
        <v>769</v>
      </c>
      <c r="X503" s="819" t="str">
        <f t="shared" si="116"/>
        <v/>
      </c>
      <c r="Y503" s="837"/>
      <c r="Z503" s="839"/>
      <c r="AA503" s="838"/>
      <c r="AB503" s="839"/>
    </row>
    <row r="504" spans="1:28" ht="13.15">
      <c r="B504" s="819" t="s">
        <v>1402</v>
      </c>
      <c r="C504" s="819" t="s">
        <v>1403</v>
      </c>
      <c r="D504" s="379" t="s">
        <v>336</v>
      </c>
      <c r="E504" s="818" t="s">
        <v>337</v>
      </c>
      <c r="F504" s="820">
        <v>2.9142755180000002</v>
      </c>
      <c r="G504" s="821">
        <v>1.7756481180000001</v>
      </c>
      <c r="H504" s="822">
        <v>624335374.60000002</v>
      </c>
      <c r="I504" s="819"/>
      <c r="J504" s="820">
        <v>-4.8253100000000002E-4</v>
      </c>
      <c r="K504" s="819">
        <f t="shared" si="106"/>
        <v>306</v>
      </c>
      <c r="L504" s="819">
        <f t="shared" si="107"/>
        <v>707</v>
      </c>
      <c r="M504" s="819">
        <f t="shared" si="103"/>
        <v>306</v>
      </c>
      <c r="N504" s="819">
        <f t="shared" si="104"/>
        <v>364</v>
      </c>
      <c r="O504" s="819">
        <f t="shared" si="105"/>
        <v>1263</v>
      </c>
      <c r="P504" s="819">
        <f t="shared" si="108"/>
        <v>1092</v>
      </c>
      <c r="Q504" s="819">
        <f t="shared" si="109"/>
        <v>284</v>
      </c>
      <c r="R504" s="819">
        <f t="shared" si="110"/>
        <v>224</v>
      </c>
      <c r="S504" s="819">
        <f t="shared" si="111"/>
        <v>338</v>
      </c>
      <c r="T504" s="819">
        <f t="shared" si="112"/>
        <v>1241</v>
      </c>
      <c r="U504" s="819">
        <f t="shared" si="113"/>
        <v>3179</v>
      </c>
      <c r="V504" s="819">
        <f t="shared" si="114"/>
        <v>1169</v>
      </c>
      <c r="W504" s="379">
        <f t="shared" si="115"/>
        <v>1169</v>
      </c>
      <c r="X504" s="819" t="str">
        <f t="shared" si="116"/>
        <v/>
      </c>
      <c r="Y504" s="837"/>
      <c r="Z504" s="839"/>
      <c r="AA504" s="838"/>
      <c r="AB504" s="839"/>
    </row>
    <row r="505" spans="1:28" ht="14.45">
      <c r="A505" s="816"/>
      <c r="B505" s="819" t="s">
        <v>1404</v>
      </c>
      <c r="C505" s="819" t="s">
        <v>1405</v>
      </c>
      <c r="D505" s="379" t="s">
        <v>336</v>
      </c>
      <c r="E505" s="818" t="s">
        <v>625</v>
      </c>
      <c r="F505" s="820">
        <v>1.999039513</v>
      </c>
      <c r="G505" s="821">
        <v>21.667878420000001</v>
      </c>
      <c r="H505" s="822">
        <v>54217579.4190358</v>
      </c>
      <c r="I505" s="819"/>
      <c r="J505" s="820">
        <v>-3.7258099999999998E-4</v>
      </c>
      <c r="K505" s="819">
        <f t="shared" si="106"/>
        <v>857</v>
      </c>
      <c r="L505" s="819">
        <f t="shared" si="107"/>
        <v>90</v>
      </c>
      <c r="M505" s="819">
        <f t="shared" si="103"/>
        <v>857</v>
      </c>
      <c r="N505" s="819">
        <f t="shared" si="104"/>
        <v>364</v>
      </c>
      <c r="O505" s="819">
        <f t="shared" si="105"/>
        <v>1206</v>
      </c>
      <c r="P505" s="819">
        <f t="shared" si="108"/>
        <v>541</v>
      </c>
      <c r="Q505" s="819">
        <f t="shared" si="109"/>
        <v>333</v>
      </c>
      <c r="R505" s="819">
        <f t="shared" si="110"/>
        <v>775</v>
      </c>
      <c r="S505" s="819">
        <f t="shared" si="111"/>
        <v>338</v>
      </c>
      <c r="T505" s="819">
        <f t="shared" si="112"/>
        <v>1184</v>
      </c>
      <c r="U505" s="819">
        <f t="shared" si="113"/>
        <v>3171</v>
      </c>
      <c r="V505" s="819">
        <f t="shared" si="114"/>
        <v>1158</v>
      </c>
      <c r="W505" s="379">
        <f t="shared" si="115"/>
        <v>1158</v>
      </c>
      <c r="X505" s="819" t="str">
        <f t="shared" si="116"/>
        <v/>
      </c>
      <c r="Y505" s="837"/>
      <c r="Z505" s="839"/>
      <c r="AA505" s="838"/>
      <c r="AB505" s="839"/>
    </row>
    <row r="506" spans="1:28" ht="13.15">
      <c r="B506" s="819" t="s">
        <v>1406</v>
      </c>
      <c r="C506" s="819" t="s">
        <v>1407</v>
      </c>
      <c r="D506" s="379" t="s">
        <v>336</v>
      </c>
      <c r="E506" s="818" t="s">
        <v>612</v>
      </c>
      <c r="F506" s="820">
        <v>2.689164345</v>
      </c>
      <c r="G506" s="821">
        <v>5.4372352340000001</v>
      </c>
      <c r="H506" s="822">
        <v>61645943.6853863</v>
      </c>
      <c r="I506" s="819"/>
      <c r="J506" s="820">
        <v>-1.1317549999999999E-3</v>
      </c>
      <c r="K506" s="819">
        <f t="shared" si="106"/>
        <v>834</v>
      </c>
      <c r="L506" s="819">
        <f t="shared" si="107"/>
        <v>356</v>
      </c>
      <c r="M506" s="819">
        <f t="shared" si="103"/>
        <v>834</v>
      </c>
      <c r="N506" s="819">
        <f t="shared" si="104"/>
        <v>364</v>
      </c>
      <c r="O506" s="819">
        <f t="shared" si="105"/>
        <v>1418</v>
      </c>
      <c r="P506" s="819">
        <f t="shared" si="108"/>
        <v>564</v>
      </c>
      <c r="Q506" s="819">
        <f t="shared" si="109"/>
        <v>67</v>
      </c>
      <c r="R506" s="819">
        <f t="shared" si="110"/>
        <v>752</v>
      </c>
      <c r="S506" s="819">
        <f t="shared" si="111"/>
        <v>338</v>
      </c>
      <c r="T506" s="819">
        <f t="shared" si="112"/>
        <v>1396</v>
      </c>
      <c r="U506" s="819">
        <f t="shared" si="113"/>
        <v>3117</v>
      </c>
      <c r="V506" s="819">
        <f t="shared" si="114"/>
        <v>1088</v>
      </c>
      <c r="W506" s="379">
        <f t="shared" si="115"/>
        <v>1088</v>
      </c>
      <c r="X506" s="819" t="str">
        <f t="shared" si="116"/>
        <v/>
      </c>
      <c r="Y506" s="837"/>
      <c r="Z506" s="839"/>
      <c r="AA506" s="838"/>
      <c r="AB506" s="839"/>
    </row>
    <row r="507" spans="1:28" ht="14.45">
      <c r="A507" s="816"/>
      <c r="B507" s="819" t="s">
        <v>1408</v>
      </c>
      <c r="C507" s="819" t="s">
        <v>1409</v>
      </c>
      <c r="D507" s="379" t="s">
        <v>336</v>
      </c>
      <c r="E507" s="818" t="s">
        <v>625</v>
      </c>
      <c r="F507" s="820">
        <v>0</v>
      </c>
      <c r="G507" s="821">
        <v>-12.328600700000001</v>
      </c>
      <c r="H507" s="822">
        <v>74519857.417552501</v>
      </c>
      <c r="I507" s="819"/>
      <c r="J507" s="820">
        <v>1.5066799999999999E-5</v>
      </c>
      <c r="K507" s="819">
        <f t="shared" si="106"/>
        <v>785</v>
      </c>
      <c r="L507" s="819">
        <f t="shared" si="107"/>
        <v>1464</v>
      </c>
      <c r="M507" s="819">
        <f t="shared" si="103"/>
        <v>785</v>
      </c>
      <c r="N507" s="819">
        <f t="shared" si="104"/>
        <v>364</v>
      </c>
      <c r="O507" s="819">
        <f t="shared" si="105"/>
        <v>415</v>
      </c>
      <c r="P507" s="819">
        <f t="shared" si="108"/>
        <v>613</v>
      </c>
      <c r="Q507" s="819">
        <f t="shared" si="109"/>
        <v>1041</v>
      </c>
      <c r="R507" s="819">
        <f t="shared" si="110"/>
        <v>703</v>
      </c>
      <c r="S507" s="819">
        <f t="shared" si="111"/>
        <v>338</v>
      </c>
      <c r="T507" s="819">
        <f t="shared" si="112"/>
        <v>393</v>
      </c>
      <c r="U507" s="819">
        <f t="shared" si="113"/>
        <v>3088</v>
      </c>
      <c r="V507" s="819">
        <f t="shared" si="114"/>
        <v>1051</v>
      </c>
      <c r="W507" s="379">
        <f t="shared" si="115"/>
        <v>1051</v>
      </c>
      <c r="X507" s="819" t="str">
        <f t="shared" si="116"/>
        <v/>
      </c>
      <c r="Y507" s="837"/>
      <c r="Z507" s="839"/>
      <c r="AA507" s="838"/>
      <c r="AB507" s="839"/>
    </row>
    <row r="508" spans="1:28" ht="13.15">
      <c r="B508" s="819" t="s">
        <v>1410</v>
      </c>
      <c r="C508" s="819" t="s">
        <v>1411</v>
      </c>
      <c r="D508" s="379" t="s">
        <v>336</v>
      </c>
      <c r="E508" s="818" t="s">
        <v>337</v>
      </c>
      <c r="F508" s="820">
        <v>1.637035056</v>
      </c>
      <c r="G508" s="821">
        <v>-18.678036670000001</v>
      </c>
      <c r="H508" s="822">
        <v>23544.584299999999</v>
      </c>
      <c r="I508" s="819"/>
      <c r="J508" s="820">
        <v>9.7973299999999999E-4</v>
      </c>
      <c r="K508" s="819">
        <f t="shared" si="106"/>
        <v>1663</v>
      </c>
      <c r="L508" s="819">
        <f t="shared" si="107"/>
        <v>1478</v>
      </c>
      <c r="M508" s="819">
        <f t="shared" si="103"/>
        <v>1663</v>
      </c>
      <c r="N508" s="819">
        <f t="shared" si="104"/>
        <v>364</v>
      </c>
      <c r="O508" s="819">
        <f t="shared" si="105"/>
        <v>178</v>
      </c>
      <c r="P508" s="819">
        <f t="shared" si="108"/>
        <v>265</v>
      </c>
      <c r="Q508" s="819">
        <f t="shared" si="109"/>
        <v>1055</v>
      </c>
      <c r="R508" s="819">
        <f t="shared" si="110"/>
        <v>1581</v>
      </c>
      <c r="S508" s="819">
        <f t="shared" si="111"/>
        <v>338</v>
      </c>
      <c r="T508" s="819">
        <f t="shared" si="112"/>
        <v>156</v>
      </c>
      <c r="U508" s="819">
        <f t="shared" si="113"/>
        <v>3395</v>
      </c>
      <c r="V508" s="819">
        <f t="shared" si="114"/>
        <v>1457</v>
      </c>
      <c r="W508" s="379">
        <f t="shared" si="115"/>
        <v>1457</v>
      </c>
      <c r="X508" s="819" t="str">
        <f t="shared" si="116"/>
        <v/>
      </c>
      <c r="Y508" s="837"/>
      <c r="Z508" s="839"/>
      <c r="AA508" s="838"/>
      <c r="AB508" s="839"/>
    </row>
    <row r="509" spans="1:28" ht="14.45">
      <c r="A509" s="816"/>
      <c r="B509" s="819" t="s">
        <v>1412</v>
      </c>
      <c r="C509" s="819" t="s">
        <v>1413</v>
      </c>
      <c r="D509" s="379" t="s">
        <v>336</v>
      </c>
      <c r="E509" s="818" t="s">
        <v>863</v>
      </c>
      <c r="F509" s="820">
        <v>1.7480913520000001</v>
      </c>
      <c r="G509" s="821">
        <v>2.6007462690000001</v>
      </c>
      <c r="H509" s="822">
        <v>41173158.968111001</v>
      </c>
      <c r="I509" s="819"/>
      <c r="J509" s="820">
        <v>-2.07102E-4</v>
      </c>
      <c r="K509" s="819">
        <f t="shared" si="106"/>
        <v>924</v>
      </c>
      <c r="L509" s="819">
        <f t="shared" si="107"/>
        <v>595</v>
      </c>
      <c r="M509" s="819">
        <f t="shared" si="103"/>
        <v>924</v>
      </c>
      <c r="N509" s="819">
        <f t="shared" si="104"/>
        <v>364</v>
      </c>
      <c r="O509" s="819">
        <f t="shared" si="105"/>
        <v>1110</v>
      </c>
      <c r="P509" s="819">
        <f t="shared" si="108"/>
        <v>474</v>
      </c>
      <c r="Q509" s="819">
        <f t="shared" si="109"/>
        <v>172</v>
      </c>
      <c r="R509" s="819">
        <f t="shared" si="110"/>
        <v>842</v>
      </c>
      <c r="S509" s="819">
        <f t="shared" si="111"/>
        <v>338</v>
      </c>
      <c r="T509" s="819">
        <f t="shared" si="112"/>
        <v>1088</v>
      </c>
      <c r="U509" s="819">
        <f t="shared" si="113"/>
        <v>2914</v>
      </c>
      <c r="V509" s="819">
        <f t="shared" si="114"/>
        <v>824</v>
      </c>
      <c r="W509" s="379">
        <f t="shared" si="115"/>
        <v>824</v>
      </c>
      <c r="X509" s="819" t="str">
        <f t="shared" si="116"/>
        <v/>
      </c>
      <c r="Y509" s="837"/>
      <c r="Z509" s="839"/>
      <c r="AA509" s="838"/>
      <c r="AB509" s="839"/>
    </row>
    <row r="510" spans="1:28" ht="13.15">
      <c r="B510" s="819" t="s">
        <v>1414</v>
      </c>
      <c r="C510" s="819" t="s">
        <v>1415</v>
      </c>
      <c r="D510" s="379" t="s">
        <v>336</v>
      </c>
      <c r="E510" s="818" t="s">
        <v>460</v>
      </c>
      <c r="F510" s="820">
        <v>12.16842638</v>
      </c>
      <c r="G510" s="821">
        <v>3.4990555720000001</v>
      </c>
      <c r="H510" s="822">
        <v>214543571.29741701</v>
      </c>
      <c r="I510" s="819"/>
      <c r="J510" s="820">
        <v>-6.1445279999999998E-3</v>
      </c>
      <c r="K510" s="819">
        <f t="shared" si="106"/>
        <v>549</v>
      </c>
      <c r="L510" s="819">
        <f t="shared" si="107"/>
        <v>502</v>
      </c>
      <c r="M510" s="819">
        <f t="shared" si="103"/>
        <v>549</v>
      </c>
      <c r="N510" s="819">
        <f t="shared" si="104"/>
        <v>364</v>
      </c>
      <c r="O510" s="819">
        <f t="shared" si="105"/>
        <v>1617</v>
      </c>
      <c r="P510" s="819">
        <f t="shared" si="108"/>
        <v>849</v>
      </c>
      <c r="Q510" s="819">
        <f t="shared" si="109"/>
        <v>79</v>
      </c>
      <c r="R510" s="819">
        <f t="shared" si="110"/>
        <v>467</v>
      </c>
      <c r="S510" s="819">
        <f t="shared" si="111"/>
        <v>338</v>
      </c>
      <c r="T510" s="819">
        <f t="shared" si="112"/>
        <v>1595</v>
      </c>
      <c r="U510" s="819">
        <f t="shared" si="113"/>
        <v>3328</v>
      </c>
      <c r="V510" s="819">
        <f t="shared" si="114"/>
        <v>1378</v>
      </c>
      <c r="W510" s="379">
        <f t="shared" si="115"/>
        <v>1378</v>
      </c>
      <c r="X510" s="819" t="str">
        <f t="shared" si="116"/>
        <v/>
      </c>
      <c r="Y510" s="837"/>
      <c r="Z510" s="839"/>
      <c r="AA510" s="838"/>
      <c r="AB510" s="839"/>
    </row>
    <row r="511" spans="1:28" ht="14.45">
      <c r="A511" s="816"/>
      <c r="B511" s="819" t="s">
        <v>1416</v>
      </c>
      <c r="C511" s="819" t="s">
        <v>1417</v>
      </c>
      <c r="D511" s="379" t="s">
        <v>336</v>
      </c>
      <c r="E511" s="818" t="s">
        <v>839</v>
      </c>
      <c r="F511" s="820">
        <v>1.074035071</v>
      </c>
      <c r="G511" s="821">
        <v>0.82327353700000006</v>
      </c>
      <c r="H511" s="822"/>
      <c r="I511" s="819">
        <v>0.08</v>
      </c>
      <c r="J511" s="820">
        <v>-5.7906199999999998E-4</v>
      </c>
      <c r="K511" s="819" t="str">
        <f t="shared" si="106"/>
        <v>N/A</v>
      </c>
      <c r="L511" s="819">
        <f t="shared" si="107"/>
        <v>843</v>
      </c>
      <c r="M511" s="819" t="str">
        <f t="shared" si="103"/>
        <v>N/A</v>
      </c>
      <c r="N511" s="819">
        <f t="shared" si="104"/>
        <v>283</v>
      </c>
      <c r="O511" s="819">
        <f t="shared" si="105"/>
        <v>1302</v>
      </c>
      <c r="P511" s="819" t="str">
        <f t="shared" si="108"/>
        <v>N/A</v>
      </c>
      <c r="Q511" s="819">
        <f t="shared" si="109"/>
        <v>420</v>
      </c>
      <c r="R511" s="819" t="str">
        <f t="shared" si="110"/>
        <v>N/A</v>
      </c>
      <c r="S511" s="819">
        <f t="shared" si="111"/>
        <v>257</v>
      </c>
      <c r="T511" s="819">
        <f t="shared" si="112"/>
        <v>1280</v>
      </c>
      <c r="U511" s="819">
        <f t="shared" si="113"/>
        <v>1957</v>
      </c>
      <c r="V511" s="819">
        <f t="shared" si="114"/>
        <v>160</v>
      </c>
      <c r="W511" s="379">
        <f t="shared" si="115"/>
        <v>160</v>
      </c>
      <c r="X511" s="819" t="str">
        <f t="shared" si="116"/>
        <v/>
      </c>
      <c r="Y511" s="837"/>
      <c r="Z511" s="839"/>
      <c r="AA511" s="838"/>
      <c r="AB511" s="839"/>
    </row>
    <row r="512" spans="1:28" ht="13.15">
      <c r="B512" s="819" t="s">
        <v>1418</v>
      </c>
      <c r="C512" s="819" t="s">
        <v>1419</v>
      </c>
      <c r="D512" s="379" t="s">
        <v>336</v>
      </c>
      <c r="E512" s="818" t="s">
        <v>460</v>
      </c>
      <c r="F512" s="820">
        <v>1.1620394300000001</v>
      </c>
      <c r="G512" s="821">
        <v>0</v>
      </c>
      <c r="H512" s="822">
        <v>296731121.630611</v>
      </c>
      <c r="I512" s="819"/>
      <c r="J512" s="820">
        <v>-1.889586E-3</v>
      </c>
      <c r="K512" s="819">
        <f t="shared" si="106"/>
        <v>478</v>
      </c>
      <c r="L512" s="819">
        <f t="shared" si="107"/>
        <v>1084</v>
      </c>
      <c r="M512" s="819">
        <f t="shared" si="103"/>
        <v>478</v>
      </c>
      <c r="N512" s="819">
        <f t="shared" si="104"/>
        <v>364</v>
      </c>
      <c r="O512" s="819">
        <f t="shared" si="105"/>
        <v>1487</v>
      </c>
      <c r="P512" s="819">
        <f t="shared" si="108"/>
        <v>920</v>
      </c>
      <c r="Q512" s="819">
        <f t="shared" si="109"/>
        <v>661</v>
      </c>
      <c r="R512" s="819">
        <f t="shared" si="110"/>
        <v>396</v>
      </c>
      <c r="S512" s="819">
        <f t="shared" si="111"/>
        <v>338</v>
      </c>
      <c r="T512" s="819">
        <f t="shared" si="112"/>
        <v>1465</v>
      </c>
      <c r="U512" s="819">
        <f t="shared" si="113"/>
        <v>3780</v>
      </c>
      <c r="V512" s="819">
        <f t="shared" si="114"/>
        <v>1707</v>
      </c>
      <c r="W512" s="379">
        <f t="shared" si="115"/>
        <v>1707</v>
      </c>
      <c r="X512" s="819" t="str">
        <f t="shared" si="116"/>
        <v/>
      </c>
      <c r="Y512" s="837"/>
      <c r="Z512" s="839"/>
      <c r="AA512" s="838"/>
      <c r="AB512" s="839"/>
    </row>
    <row r="513" spans="1:28" ht="14.45">
      <c r="A513" s="816"/>
      <c r="B513" s="819" t="s">
        <v>1420</v>
      </c>
      <c r="C513" s="819" t="s">
        <v>1421</v>
      </c>
      <c r="D513" s="379" t="s">
        <v>336</v>
      </c>
      <c r="E513" s="818" t="s">
        <v>676</v>
      </c>
      <c r="F513" s="820">
        <v>2.3223063480000001</v>
      </c>
      <c r="G513" s="821">
        <v>9.1437547689999992</v>
      </c>
      <c r="H513" s="822">
        <v>400760249.79636198</v>
      </c>
      <c r="I513" s="819">
        <v>0.03</v>
      </c>
      <c r="J513" s="820">
        <v>-1.5252264999999999E-2</v>
      </c>
      <c r="K513" s="819">
        <f t="shared" si="106"/>
        <v>406</v>
      </c>
      <c r="L513" s="819">
        <f t="shared" si="107"/>
        <v>221</v>
      </c>
      <c r="M513" s="819">
        <f t="shared" si="103"/>
        <v>406</v>
      </c>
      <c r="N513" s="819">
        <f t="shared" si="104"/>
        <v>323</v>
      </c>
      <c r="O513" s="819">
        <f t="shared" si="105"/>
        <v>1676</v>
      </c>
      <c r="P513" s="819">
        <f t="shared" si="108"/>
        <v>992</v>
      </c>
      <c r="Q513" s="819">
        <f t="shared" si="109"/>
        <v>202</v>
      </c>
      <c r="R513" s="819">
        <f t="shared" si="110"/>
        <v>324</v>
      </c>
      <c r="S513" s="819">
        <f t="shared" si="111"/>
        <v>297</v>
      </c>
      <c r="T513" s="819">
        <f t="shared" si="112"/>
        <v>1654</v>
      </c>
      <c r="U513" s="819">
        <f t="shared" si="113"/>
        <v>3469</v>
      </c>
      <c r="V513" s="819">
        <f t="shared" si="114"/>
        <v>1527</v>
      </c>
      <c r="W513" s="379">
        <f t="shared" si="115"/>
        <v>1527</v>
      </c>
      <c r="X513" s="819" t="str">
        <f t="shared" si="116"/>
        <v/>
      </c>
      <c r="Y513" s="837"/>
      <c r="Z513" s="839"/>
      <c r="AA513" s="838"/>
      <c r="AB513" s="839"/>
    </row>
    <row r="514" spans="1:28" ht="13.15">
      <c r="B514" s="819" t="s">
        <v>1422</v>
      </c>
      <c r="C514" s="819" t="s">
        <v>1423</v>
      </c>
      <c r="D514" s="379" t="s">
        <v>336</v>
      </c>
      <c r="E514" s="818" t="s">
        <v>676</v>
      </c>
      <c r="F514" s="820">
        <v>1.352838013</v>
      </c>
      <c r="G514" s="821">
        <v>0.34408184200000003</v>
      </c>
      <c r="H514" s="822">
        <v>1883287460.5050199</v>
      </c>
      <c r="I514" s="819"/>
      <c r="J514" s="820">
        <v>-9.1940499999999998E-4</v>
      </c>
      <c r="K514" s="819">
        <f t="shared" si="106"/>
        <v>154</v>
      </c>
      <c r="L514" s="819">
        <f t="shared" si="107"/>
        <v>952</v>
      </c>
      <c r="M514" s="819">
        <f t="shared" si="103"/>
        <v>154</v>
      </c>
      <c r="N514" s="819">
        <f t="shared" si="104"/>
        <v>364</v>
      </c>
      <c r="O514" s="819">
        <f t="shared" si="105"/>
        <v>1382</v>
      </c>
      <c r="P514" s="819">
        <f t="shared" si="108"/>
        <v>1244</v>
      </c>
      <c r="Q514" s="819">
        <f t="shared" si="109"/>
        <v>529</v>
      </c>
      <c r="R514" s="819">
        <f t="shared" si="110"/>
        <v>72</v>
      </c>
      <c r="S514" s="819">
        <f t="shared" si="111"/>
        <v>338</v>
      </c>
      <c r="T514" s="819">
        <f t="shared" si="112"/>
        <v>1360</v>
      </c>
      <c r="U514" s="819">
        <f t="shared" si="113"/>
        <v>3543</v>
      </c>
      <c r="V514" s="819">
        <f t="shared" si="114"/>
        <v>1590</v>
      </c>
      <c r="W514" s="379">
        <f t="shared" si="115"/>
        <v>1590</v>
      </c>
      <c r="X514" s="819" t="str">
        <f t="shared" si="116"/>
        <v/>
      </c>
      <c r="Y514" s="837"/>
      <c r="Z514" s="839"/>
      <c r="AA514" s="838"/>
      <c r="AB514" s="839"/>
    </row>
    <row r="515" spans="1:28" ht="14.45">
      <c r="A515" s="816"/>
      <c r="B515" s="819" t="s">
        <v>1424</v>
      </c>
      <c r="C515" s="819" t="s">
        <v>1425</v>
      </c>
      <c r="D515" s="379" t="s">
        <v>336</v>
      </c>
      <c r="E515" s="818" t="s">
        <v>460</v>
      </c>
      <c r="F515" s="820">
        <v>0.38468055000000001</v>
      </c>
      <c r="G515" s="821">
        <v>1.764135115</v>
      </c>
      <c r="H515" s="822">
        <v>180601687.54120001</v>
      </c>
      <c r="I515" s="819"/>
      <c r="J515" s="820">
        <v>-7.2626600000000004E-4</v>
      </c>
      <c r="K515" s="819">
        <f t="shared" si="106"/>
        <v>594</v>
      </c>
      <c r="L515" s="819">
        <f t="shared" si="107"/>
        <v>710</v>
      </c>
      <c r="M515" s="819">
        <f t="shared" si="103"/>
        <v>594</v>
      </c>
      <c r="N515" s="819">
        <f t="shared" si="104"/>
        <v>364</v>
      </c>
      <c r="O515" s="819">
        <f t="shared" si="105"/>
        <v>1351</v>
      </c>
      <c r="P515" s="819">
        <f t="shared" si="108"/>
        <v>804</v>
      </c>
      <c r="Q515" s="819">
        <f t="shared" si="109"/>
        <v>287</v>
      </c>
      <c r="R515" s="819">
        <f t="shared" si="110"/>
        <v>512</v>
      </c>
      <c r="S515" s="819">
        <f t="shared" si="111"/>
        <v>338</v>
      </c>
      <c r="T515" s="819">
        <f t="shared" si="112"/>
        <v>1329</v>
      </c>
      <c r="U515" s="819">
        <f t="shared" si="113"/>
        <v>3270</v>
      </c>
      <c r="V515" s="819">
        <f t="shared" si="114"/>
        <v>1297</v>
      </c>
      <c r="W515" s="379">
        <f t="shared" si="115"/>
        <v>1297</v>
      </c>
      <c r="X515" s="819" t="str">
        <f t="shared" si="116"/>
        <v/>
      </c>
      <c r="Y515" s="837"/>
      <c r="Z515" s="839"/>
      <c r="AA515" s="838"/>
      <c r="AB515" s="839"/>
    </row>
    <row r="516" spans="1:28" ht="13.15">
      <c r="B516" s="819" t="s">
        <v>1426</v>
      </c>
      <c r="C516" s="819" t="s">
        <v>1427</v>
      </c>
      <c r="D516" s="379" t="s">
        <v>336</v>
      </c>
      <c r="E516" s="818" t="s">
        <v>839</v>
      </c>
      <c r="F516" s="820">
        <v>-0.71825811699999997</v>
      </c>
      <c r="G516" s="821">
        <v>28.389297920000001</v>
      </c>
      <c r="H516" s="822"/>
      <c r="I516" s="819"/>
      <c r="J516" s="820">
        <v>-4.0594399999999999E-5</v>
      </c>
      <c r="K516" s="819" t="str">
        <f t="shared" si="106"/>
        <v>N/A</v>
      </c>
      <c r="L516" s="819">
        <f t="shared" si="107"/>
        <v>67</v>
      </c>
      <c r="M516" s="819" t="str">
        <f t="shared" ref="M516:M579" si="117">IFERROR(_xlfn.RANK.EQ(H516,H$3:H$1787),"N/A")</f>
        <v>N/A</v>
      </c>
      <c r="N516" s="819">
        <f t="shared" ref="N516:N579" si="118">IFERROR(_xlfn.RANK.EQ(I516,I$3:I$1787),"N/A")</f>
        <v>364</v>
      </c>
      <c r="O516" s="819">
        <f t="shared" ref="O516:O579" si="119">IFERROR(_xlfn.RANK.EQ(J516,J$3:J$1787),"N/A")</f>
        <v>899</v>
      </c>
      <c r="P516" s="819" t="str">
        <f t="shared" si="108"/>
        <v>N/A</v>
      </c>
      <c r="Q516" s="819">
        <f t="shared" si="109"/>
        <v>356</v>
      </c>
      <c r="R516" s="819" t="str">
        <f t="shared" si="110"/>
        <v>N/A</v>
      </c>
      <c r="S516" s="819">
        <f t="shared" si="111"/>
        <v>338</v>
      </c>
      <c r="T516" s="819">
        <f t="shared" si="112"/>
        <v>877</v>
      </c>
      <c r="U516" s="819">
        <f t="shared" si="113"/>
        <v>1571</v>
      </c>
      <c r="V516" s="819">
        <f t="shared" si="114"/>
        <v>63</v>
      </c>
      <c r="W516" s="379">
        <f t="shared" si="115"/>
        <v>63</v>
      </c>
      <c r="X516" s="819" t="str">
        <f t="shared" si="116"/>
        <v/>
      </c>
      <c r="Y516" s="837"/>
      <c r="Z516" s="839"/>
      <c r="AA516" s="838"/>
      <c r="AB516" s="839"/>
    </row>
    <row r="517" spans="1:28" ht="14.45">
      <c r="A517" s="816"/>
      <c r="B517" s="819" t="s">
        <v>1428</v>
      </c>
      <c r="C517" s="819" t="s">
        <v>1429</v>
      </c>
      <c r="D517" s="379" t="s">
        <v>336</v>
      </c>
      <c r="E517" s="818" t="s">
        <v>373</v>
      </c>
      <c r="F517" s="820">
        <v>0.15392331000000001</v>
      </c>
      <c r="G517" s="821">
        <v>-5.7172499779999999</v>
      </c>
      <c r="H517" s="822">
        <v>4911111.1111111101</v>
      </c>
      <c r="I517" s="819"/>
      <c r="J517" s="820">
        <v>1.71839E-5</v>
      </c>
      <c r="K517" s="819">
        <f t="shared" ref="K517:K580" si="120">IFERROR(_xlfn.RANK.EQ(H517,H$3:H$1787),"N/A")</f>
        <v>1365</v>
      </c>
      <c r="L517" s="819">
        <f t="shared" ref="L517:L580" si="121">IFERROR(_xlfn.RANK.EQ(G517,G$3:G$1787),"N/A")</f>
        <v>1417</v>
      </c>
      <c r="M517" s="819">
        <f t="shared" si="117"/>
        <v>1365</v>
      </c>
      <c r="N517" s="819">
        <f t="shared" si="118"/>
        <v>364</v>
      </c>
      <c r="O517" s="819">
        <f t="shared" si="119"/>
        <v>411</v>
      </c>
      <c r="P517" s="819">
        <f t="shared" ref="P517:P580" si="122">IFERROR(ABS(K$3-K517),"N/A")</f>
        <v>33</v>
      </c>
      <c r="Q517" s="819">
        <f t="shared" ref="Q517:Q580" si="123">IFERROR(ABS(L$3-L517),"N/A")</f>
        <v>994</v>
      </c>
      <c r="R517" s="819">
        <f t="shared" ref="R517:R580" si="124">IFERROR(ABS(M$3-M517),"N/A")</f>
        <v>1283</v>
      </c>
      <c r="S517" s="819">
        <f t="shared" ref="S517:S580" si="125">IFERROR(ABS(N$3-N517),"N/A")</f>
        <v>338</v>
      </c>
      <c r="T517" s="819">
        <f t="shared" ref="T517:T580" si="126">IFERROR(ABS(O$3-O517),"N/A")</f>
        <v>389</v>
      </c>
      <c r="U517" s="819">
        <f t="shared" ref="U517:U580" si="127">SUM(P517:T517)</f>
        <v>3037</v>
      </c>
      <c r="V517" s="819">
        <f t="shared" ref="V517:V580" si="128">_xlfn.RANK.EQ(U517,$U$4:$U$1787,1)</f>
        <v>977</v>
      </c>
      <c r="W517" s="379">
        <f t="shared" ref="W517:W580" si="129">IF(Y517="Not suitable","-",V517)</f>
        <v>977</v>
      </c>
      <c r="X517" s="819" t="str">
        <f t="shared" si="116"/>
        <v/>
      </c>
      <c r="Y517" s="837"/>
      <c r="Z517" s="839"/>
      <c r="AA517" s="838"/>
      <c r="AB517" s="839"/>
    </row>
    <row r="518" spans="1:28" ht="13.15">
      <c r="B518" s="819" t="s">
        <v>1430</v>
      </c>
      <c r="C518" s="819" t="s">
        <v>1431</v>
      </c>
      <c r="D518" s="379" t="s">
        <v>336</v>
      </c>
      <c r="E518" s="818" t="s">
        <v>460</v>
      </c>
      <c r="F518" s="820">
        <v>3.4069898260000002</v>
      </c>
      <c r="G518" s="821">
        <v>9.0969980410000009</v>
      </c>
      <c r="H518" s="822">
        <v>6561582.0698747505</v>
      </c>
      <c r="I518" s="819"/>
      <c r="J518" s="820">
        <v>-4.2358800000000002E-4</v>
      </c>
      <c r="K518" s="819">
        <f t="shared" si="120"/>
        <v>1328</v>
      </c>
      <c r="L518" s="819">
        <f t="shared" si="121"/>
        <v>223</v>
      </c>
      <c r="M518" s="819">
        <f t="shared" si="117"/>
        <v>1328</v>
      </c>
      <c r="N518" s="819">
        <f t="shared" si="118"/>
        <v>364</v>
      </c>
      <c r="O518" s="819">
        <f t="shared" si="119"/>
        <v>1241</v>
      </c>
      <c r="P518" s="819">
        <f t="shared" si="122"/>
        <v>70</v>
      </c>
      <c r="Q518" s="819">
        <f t="shared" si="123"/>
        <v>200</v>
      </c>
      <c r="R518" s="819">
        <f t="shared" si="124"/>
        <v>1246</v>
      </c>
      <c r="S518" s="819">
        <f t="shared" si="125"/>
        <v>338</v>
      </c>
      <c r="T518" s="819">
        <f t="shared" si="126"/>
        <v>1219</v>
      </c>
      <c r="U518" s="819">
        <f t="shared" si="127"/>
        <v>3073</v>
      </c>
      <c r="V518" s="819">
        <f t="shared" si="128"/>
        <v>1018</v>
      </c>
      <c r="W518" s="379">
        <f t="shared" si="129"/>
        <v>1018</v>
      </c>
      <c r="X518" s="819" t="str">
        <f t="shared" ref="X518:X581" si="130">IF(L518="N/A","Y","")</f>
        <v/>
      </c>
      <c r="Y518" s="837"/>
      <c r="Z518" s="839"/>
      <c r="AA518" s="838"/>
      <c r="AB518" s="839"/>
    </row>
    <row r="519" spans="1:28" ht="14.45">
      <c r="A519" s="816"/>
      <c r="B519" s="819" t="s">
        <v>1432</v>
      </c>
      <c r="C519" s="819" t="s">
        <v>1433</v>
      </c>
      <c r="D519" s="379" t="s">
        <v>336</v>
      </c>
      <c r="E519" s="818" t="s">
        <v>740</v>
      </c>
      <c r="F519" s="820">
        <v>1.2022699130000001</v>
      </c>
      <c r="G519" s="821">
        <v>1.407881682</v>
      </c>
      <c r="H519" s="822">
        <v>25838390.5844156</v>
      </c>
      <c r="I519" s="819">
        <v>0.44</v>
      </c>
      <c r="J519" s="820">
        <v>-2.7159279999999998E-3</v>
      </c>
      <c r="K519" s="819">
        <f t="shared" si="120"/>
        <v>1038</v>
      </c>
      <c r="L519" s="819">
        <f t="shared" si="121"/>
        <v>753</v>
      </c>
      <c r="M519" s="819">
        <f t="shared" si="117"/>
        <v>1038</v>
      </c>
      <c r="N519" s="819">
        <f t="shared" si="118"/>
        <v>171</v>
      </c>
      <c r="O519" s="819">
        <f t="shared" si="119"/>
        <v>1535</v>
      </c>
      <c r="P519" s="819">
        <f t="shared" si="122"/>
        <v>360</v>
      </c>
      <c r="Q519" s="819">
        <f t="shared" si="123"/>
        <v>330</v>
      </c>
      <c r="R519" s="819">
        <f t="shared" si="124"/>
        <v>956</v>
      </c>
      <c r="S519" s="819">
        <f t="shared" si="125"/>
        <v>145</v>
      </c>
      <c r="T519" s="819">
        <f t="shared" si="126"/>
        <v>1513</v>
      </c>
      <c r="U519" s="819">
        <f t="shared" si="127"/>
        <v>3304</v>
      </c>
      <c r="V519" s="819">
        <f t="shared" si="128"/>
        <v>1352</v>
      </c>
      <c r="W519" s="379">
        <f t="shared" si="129"/>
        <v>1352</v>
      </c>
      <c r="X519" s="819" t="str">
        <f t="shared" si="130"/>
        <v/>
      </c>
      <c r="Y519" s="837"/>
      <c r="Z519" s="839"/>
      <c r="AA519" s="838"/>
      <c r="AB519" s="839"/>
    </row>
    <row r="520" spans="1:28" ht="13.15">
      <c r="B520" s="819" t="s">
        <v>1434</v>
      </c>
      <c r="C520" s="819" t="s">
        <v>1435</v>
      </c>
      <c r="D520" s="379" t="s">
        <v>336</v>
      </c>
      <c r="E520" s="818" t="s">
        <v>460</v>
      </c>
      <c r="F520" s="820">
        <v>3.1874111159999998</v>
      </c>
      <c r="G520" s="821">
        <v>3.9199062219999998</v>
      </c>
      <c r="H520" s="822">
        <v>398851734.02588803</v>
      </c>
      <c r="I520" s="819">
        <v>0.1</v>
      </c>
      <c r="J520" s="820">
        <v>-7.3340199999999997E-4</v>
      </c>
      <c r="K520" s="819">
        <f t="shared" si="120"/>
        <v>410</v>
      </c>
      <c r="L520" s="819">
        <f t="shared" si="121"/>
        <v>458</v>
      </c>
      <c r="M520" s="819">
        <f t="shared" si="117"/>
        <v>410</v>
      </c>
      <c r="N520" s="819">
        <f t="shared" si="118"/>
        <v>268</v>
      </c>
      <c r="O520" s="819">
        <f t="shared" si="119"/>
        <v>1352</v>
      </c>
      <c r="P520" s="819">
        <f t="shared" si="122"/>
        <v>988</v>
      </c>
      <c r="Q520" s="819">
        <f t="shared" si="123"/>
        <v>35</v>
      </c>
      <c r="R520" s="819">
        <f t="shared" si="124"/>
        <v>328</v>
      </c>
      <c r="S520" s="819">
        <f t="shared" si="125"/>
        <v>242</v>
      </c>
      <c r="T520" s="819">
        <f t="shared" si="126"/>
        <v>1330</v>
      </c>
      <c r="U520" s="819">
        <f t="shared" si="127"/>
        <v>2923</v>
      </c>
      <c r="V520" s="819">
        <f t="shared" si="128"/>
        <v>837</v>
      </c>
      <c r="W520" s="379">
        <f t="shared" si="129"/>
        <v>837</v>
      </c>
      <c r="X520" s="819" t="str">
        <f t="shared" si="130"/>
        <v/>
      </c>
      <c r="Y520" s="837"/>
      <c r="Z520" s="839"/>
      <c r="AA520" s="838"/>
      <c r="AB520" s="839"/>
    </row>
    <row r="521" spans="1:28" ht="14.45">
      <c r="A521" s="816"/>
      <c r="B521" s="819" t="s">
        <v>1436</v>
      </c>
      <c r="C521" s="819" t="s">
        <v>1437</v>
      </c>
      <c r="D521" s="379" t="s">
        <v>336</v>
      </c>
      <c r="E521" s="818" t="s">
        <v>460</v>
      </c>
      <c r="F521" s="820"/>
      <c r="G521" s="821"/>
      <c r="H521" s="822">
        <v>111477557.46389399</v>
      </c>
      <c r="I521" s="819"/>
      <c r="J521" s="820">
        <v>0</v>
      </c>
      <c r="K521" s="819">
        <f t="shared" si="120"/>
        <v>692</v>
      </c>
      <c r="L521" s="819">
        <f t="shared" si="121"/>
        <v>1084</v>
      </c>
      <c r="M521" s="819">
        <f t="shared" si="117"/>
        <v>692</v>
      </c>
      <c r="N521" s="819">
        <f t="shared" si="118"/>
        <v>364</v>
      </c>
      <c r="O521" s="819">
        <f t="shared" si="119"/>
        <v>492</v>
      </c>
      <c r="P521" s="819">
        <f t="shared" si="122"/>
        <v>706</v>
      </c>
      <c r="Q521" s="819">
        <f t="shared" si="123"/>
        <v>661</v>
      </c>
      <c r="R521" s="819">
        <f t="shared" si="124"/>
        <v>610</v>
      </c>
      <c r="S521" s="819">
        <f t="shared" si="125"/>
        <v>338</v>
      </c>
      <c r="T521" s="819">
        <f t="shared" si="126"/>
        <v>470</v>
      </c>
      <c r="U521" s="819">
        <f t="shared" si="127"/>
        <v>2785</v>
      </c>
      <c r="V521" s="819">
        <f t="shared" si="128"/>
        <v>463</v>
      </c>
      <c r="W521" s="379">
        <f t="shared" si="129"/>
        <v>463</v>
      </c>
      <c r="X521" s="819" t="str">
        <f t="shared" si="130"/>
        <v/>
      </c>
      <c r="Y521" s="837"/>
      <c r="Z521" s="839"/>
      <c r="AA521" s="838"/>
      <c r="AB521" s="839"/>
    </row>
    <row r="522" spans="1:28" ht="13.15">
      <c r="B522" s="819" t="s">
        <v>1438</v>
      </c>
      <c r="C522" s="819" t="s">
        <v>1439</v>
      </c>
      <c r="D522" s="379" t="s">
        <v>336</v>
      </c>
      <c r="E522" s="818" t="s">
        <v>460</v>
      </c>
      <c r="F522" s="820">
        <v>2.0168571640000001</v>
      </c>
      <c r="G522" s="821">
        <v>0.59035736599999999</v>
      </c>
      <c r="H522" s="822"/>
      <c r="I522" s="819">
        <v>0.08</v>
      </c>
      <c r="J522" s="820">
        <v>-3.203989E-3</v>
      </c>
      <c r="K522" s="819" t="str">
        <f t="shared" si="120"/>
        <v>N/A</v>
      </c>
      <c r="L522" s="819">
        <f t="shared" si="121"/>
        <v>902</v>
      </c>
      <c r="M522" s="819" t="str">
        <f t="shared" si="117"/>
        <v>N/A</v>
      </c>
      <c r="N522" s="819">
        <f t="shared" si="118"/>
        <v>283</v>
      </c>
      <c r="O522" s="819">
        <f t="shared" si="119"/>
        <v>1557</v>
      </c>
      <c r="P522" s="819" t="str">
        <f t="shared" si="122"/>
        <v>N/A</v>
      </c>
      <c r="Q522" s="819">
        <f t="shared" si="123"/>
        <v>479</v>
      </c>
      <c r="R522" s="819" t="str">
        <f t="shared" si="124"/>
        <v>N/A</v>
      </c>
      <c r="S522" s="819">
        <f t="shared" si="125"/>
        <v>257</v>
      </c>
      <c r="T522" s="819">
        <f t="shared" si="126"/>
        <v>1535</v>
      </c>
      <c r="U522" s="819">
        <f t="shared" si="127"/>
        <v>2271</v>
      </c>
      <c r="V522" s="819">
        <f t="shared" si="128"/>
        <v>211</v>
      </c>
      <c r="W522" s="379">
        <f t="shared" si="129"/>
        <v>211</v>
      </c>
      <c r="X522" s="819" t="str">
        <f t="shared" si="130"/>
        <v/>
      </c>
      <c r="Y522" s="837"/>
      <c r="Z522" s="839"/>
      <c r="AA522" s="838"/>
      <c r="AB522" s="839"/>
    </row>
    <row r="523" spans="1:28" ht="14.45">
      <c r="A523" s="816"/>
      <c r="B523" s="819" t="s">
        <v>1440</v>
      </c>
      <c r="C523" s="819" t="s">
        <v>1441</v>
      </c>
      <c r="D523" s="379" t="s">
        <v>336</v>
      </c>
      <c r="E523" s="818" t="s">
        <v>460</v>
      </c>
      <c r="F523" s="820">
        <v>6.9296362550000001</v>
      </c>
      <c r="G523" s="821">
        <v>3.7678386349999999</v>
      </c>
      <c r="H523" s="822">
        <v>897166077.92892694</v>
      </c>
      <c r="I523" s="819">
        <v>0.1</v>
      </c>
      <c r="J523" s="820">
        <v>-1.131925E-3</v>
      </c>
      <c r="K523" s="819">
        <f t="shared" si="120"/>
        <v>241</v>
      </c>
      <c r="L523" s="819">
        <f t="shared" si="121"/>
        <v>469</v>
      </c>
      <c r="M523" s="819">
        <f t="shared" si="117"/>
        <v>241</v>
      </c>
      <c r="N523" s="819">
        <f t="shared" si="118"/>
        <v>268</v>
      </c>
      <c r="O523" s="819">
        <f t="shared" si="119"/>
        <v>1419</v>
      </c>
      <c r="P523" s="819">
        <f t="shared" si="122"/>
        <v>1157</v>
      </c>
      <c r="Q523" s="819">
        <f t="shared" si="123"/>
        <v>46</v>
      </c>
      <c r="R523" s="819">
        <f t="shared" si="124"/>
        <v>159</v>
      </c>
      <c r="S523" s="819">
        <f t="shared" si="125"/>
        <v>242</v>
      </c>
      <c r="T523" s="819">
        <f t="shared" si="126"/>
        <v>1397</v>
      </c>
      <c r="U523" s="819">
        <f t="shared" si="127"/>
        <v>3001</v>
      </c>
      <c r="V523" s="819">
        <f t="shared" si="128"/>
        <v>927</v>
      </c>
      <c r="W523" s="379">
        <f t="shared" si="129"/>
        <v>927</v>
      </c>
      <c r="X523" s="819" t="str">
        <f t="shared" si="130"/>
        <v/>
      </c>
      <c r="Y523" s="837"/>
      <c r="Z523" s="839"/>
      <c r="AA523" s="838"/>
      <c r="AB523" s="839"/>
    </row>
    <row r="524" spans="1:28" ht="13.15">
      <c r="B524" s="819" t="s">
        <v>1442</v>
      </c>
      <c r="C524" s="819" t="s">
        <v>1443</v>
      </c>
      <c r="D524" s="379" t="s">
        <v>336</v>
      </c>
      <c r="E524" s="818" t="s">
        <v>460</v>
      </c>
      <c r="F524" s="820">
        <v>4.7339565559999999</v>
      </c>
      <c r="G524" s="821">
        <v>9.7148278710000007</v>
      </c>
      <c r="H524" s="822">
        <v>696626858.95487499</v>
      </c>
      <c r="I524" s="819"/>
      <c r="J524" s="820">
        <v>-7.6579999999999997E-4</v>
      </c>
      <c r="K524" s="819">
        <f t="shared" si="120"/>
        <v>286</v>
      </c>
      <c r="L524" s="819">
        <f t="shared" si="121"/>
        <v>203</v>
      </c>
      <c r="M524" s="819">
        <f t="shared" si="117"/>
        <v>286</v>
      </c>
      <c r="N524" s="819">
        <f t="shared" si="118"/>
        <v>364</v>
      </c>
      <c r="O524" s="819">
        <f t="shared" si="119"/>
        <v>1357</v>
      </c>
      <c r="P524" s="819">
        <f t="shared" si="122"/>
        <v>1112</v>
      </c>
      <c r="Q524" s="819">
        <f t="shared" si="123"/>
        <v>220</v>
      </c>
      <c r="R524" s="819">
        <f t="shared" si="124"/>
        <v>204</v>
      </c>
      <c r="S524" s="819">
        <f t="shared" si="125"/>
        <v>338</v>
      </c>
      <c r="T524" s="819">
        <f t="shared" si="126"/>
        <v>1335</v>
      </c>
      <c r="U524" s="819">
        <f t="shared" si="127"/>
        <v>3209</v>
      </c>
      <c r="V524" s="819">
        <f t="shared" si="128"/>
        <v>1208</v>
      </c>
      <c r="W524" s="379">
        <f t="shared" si="129"/>
        <v>1208</v>
      </c>
      <c r="X524" s="819" t="str">
        <f t="shared" si="130"/>
        <v/>
      </c>
      <c r="Y524" s="837"/>
      <c r="Z524" s="839"/>
      <c r="AA524" s="838"/>
      <c r="AB524" s="839"/>
    </row>
    <row r="525" spans="1:28" ht="14.45">
      <c r="A525" s="816"/>
      <c r="B525" s="819" t="s">
        <v>1444</v>
      </c>
      <c r="C525" s="819" t="s">
        <v>1445</v>
      </c>
      <c r="D525" s="379" t="s">
        <v>336</v>
      </c>
      <c r="E525" s="818" t="s">
        <v>842</v>
      </c>
      <c r="F525" s="820"/>
      <c r="G525" s="821">
        <v>0</v>
      </c>
      <c r="H525" s="822">
        <v>107734802.37154099</v>
      </c>
      <c r="I525" s="819"/>
      <c r="J525" s="820">
        <v>8.3139800000000007E-5</v>
      </c>
      <c r="K525" s="819">
        <f t="shared" si="120"/>
        <v>703</v>
      </c>
      <c r="L525" s="819">
        <f t="shared" si="121"/>
        <v>1084</v>
      </c>
      <c r="M525" s="819">
        <f t="shared" si="117"/>
        <v>703</v>
      </c>
      <c r="N525" s="819">
        <f t="shared" si="118"/>
        <v>364</v>
      </c>
      <c r="O525" s="819">
        <f t="shared" si="119"/>
        <v>308</v>
      </c>
      <c r="P525" s="819">
        <f t="shared" si="122"/>
        <v>695</v>
      </c>
      <c r="Q525" s="819">
        <f t="shared" si="123"/>
        <v>661</v>
      </c>
      <c r="R525" s="819">
        <f t="shared" si="124"/>
        <v>621</v>
      </c>
      <c r="S525" s="819">
        <f t="shared" si="125"/>
        <v>338</v>
      </c>
      <c r="T525" s="819">
        <f t="shared" si="126"/>
        <v>286</v>
      </c>
      <c r="U525" s="819">
        <f t="shared" si="127"/>
        <v>2601</v>
      </c>
      <c r="V525" s="819">
        <f t="shared" si="128"/>
        <v>284</v>
      </c>
      <c r="W525" s="379">
        <f t="shared" si="129"/>
        <v>284</v>
      </c>
      <c r="X525" s="819" t="str">
        <f t="shared" si="130"/>
        <v/>
      </c>
      <c r="Y525" s="837"/>
      <c r="Z525" s="839"/>
      <c r="AA525" s="838"/>
      <c r="AB525" s="839"/>
    </row>
    <row r="526" spans="1:28" ht="13.15">
      <c r="B526" s="819" t="s">
        <v>1446</v>
      </c>
      <c r="C526" s="819" t="s">
        <v>1447</v>
      </c>
      <c r="D526" s="379" t="s">
        <v>336</v>
      </c>
      <c r="E526" s="818" t="s">
        <v>842</v>
      </c>
      <c r="F526" s="820">
        <v>4.1224224999999999</v>
      </c>
      <c r="G526" s="821">
        <v>6.2040829200000003</v>
      </c>
      <c r="H526" s="822">
        <v>1167703.9166367201</v>
      </c>
      <c r="I526" s="819"/>
      <c r="J526" s="820">
        <v>-8.6955239999999996E-3</v>
      </c>
      <c r="K526" s="819">
        <f t="shared" si="120"/>
        <v>1546</v>
      </c>
      <c r="L526" s="819">
        <f t="shared" si="121"/>
        <v>311</v>
      </c>
      <c r="M526" s="819">
        <f t="shared" si="117"/>
        <v>1546</v>
      </c>
      <c r="N526" s="819">
        <f t="shared" si="118"/>
        <v>364</v>
      </c>
      <c r="O526" s="819">
        <f t="shared" si="119"/>
        <v>1641</v>
      </c>
      <c r="P526" s="819">
        <f t="shared" si="122"/>
        <v>148</v>
      </c>
      <c r="Q526" s="819">
        <f t="shared" si="123"/>
        <v>112</v>
      </c>
      <c r="R526" s="819">
        <f t="shared" si="124"/>
        <v>1464</v>
      </c>
      <c r="S526" s="819">
        <f t="shared" si="125"/>
        <v>338</v>
      </c>
      <c r="T526" s="819">
        <f t="shared" si="126"/>
        <v>1619</v>
      </c>
      <c r="U526" s="819">
        <f t="shared" si="127"/>
        <v>3681</v>
      </c>
      <c r="V526" s="819">
        <f t="shared" si="128"/>
        <v>1674</v>
      </c>
      <c r="W526" s="379">
        <f t="shared" si="129"/>
        <v>1674</v>
      </c>
      <c r="X526" s="819" t="str">
        <f t="shared" si="130"/>
        <v/>
      </c>
      <c r="Y526" s="837"/>
      <c r="Z526" s="839"/>
      <c r="AA526" s="838"/>
      <c r="AB526" s="839"/>
    </row>
    <row r="527" spans="1:28" ht="14.45">
      <c r="A527" s="816"/>
      <c r="B527" s="819" t="s">
        <v>1448</v>
      </c>
      <c r="C527" s="819" t="s">
        <v>1449</v>
      </c>
      <c r="D527" s="379" t="s">
        <v>336</v>
      </c>
      <c r="E527" s="818" t="s">
        <v>460</v>
      </c>
      <c r="F527" s="820">
        <v>5.6948659079999997</v>
      </c>
      <c r="G527" s="821">
        <v>2.8472858259999998</v>
      </c>
      <c r="H527" s="822">
        <v>1286601027.6862199</v>
      </c>
      <c r="I527" s="819"/>
      <c r="J527" s="820">
        <v>-1.1527300000000001E-4</v>
      </c>
      <c r="K527" s="819">
        <f t="shared" si="120"/>
        <v>188</v>
      </c>
      <c r="L527" s="819">
        <f t="shared" si="121"/>
        <v>566</v>
      </c>
      <c r="M527" s="819">
        <f t="shared" si="117"/>
        <v>188</v>
      </c>
      <c r="N527" s="819">
        <f t="shared" si="118"/>
        <v>364</v>
      </c>
      <c r="O527" s="819">
        <f t="shared" si="119"/>
        <v>1023</v>
      </c>
      <c r="P527" s="819">
        <f t="shared" si="122"/>
        <v>1210</v>
      </c>
      <c r="Q527" s="819">
        <f t="shared" si="123"/>
        <v>143</v>
      </c>
      <c r="R527" s="819">
        <f t="shared" si="124"/>
        <v>106</v>
      </c>
      <c r="S527" s="819">
        <f t="shared" si="125"/>
        <v>338</v>
      </c>
      <c r="T527" s="819">
        <f t="shared" si="126"/>
        <v>1001</v>
      </c>
      <c r="U527" s="819">
        <f t="shared" si="127"/>
        <v>2798</v>
      </c>
      <c r="V527" s="819">
        <f t="shared" si="128"/>
        <v>623</v>
      </c>
      <c r="W527" s="379">
        <f t="shared" si="129"/>
        <v>623</v>
      </c>
      <c r="X527" s="819" t="str">
        <f t="shared" si="130"/>
        <v/>
      </c>
      <c r="Y527" s="837"/>
      <c r="Z527" s="839"/>
      <c r="AA527" s="838"/>
      <c r="AB527" s="839"/>
    </row>
    <row r="528" spans="1:28" ht="13.15">
      <c r="B528" s="819" t="s">
        <v>1450</v>
      </c>
      <c r="C528" s="819" t="s">
        <v>1451</v>
      </c>
      <c r="D528" s="379" t="s">
        <v>336</v>
      </c>
      <c r="E528" s="818" t="s">
        <v>460</v>
      </c>
      <c r="F528" s="820">
        <v>1.622156752</v>
      </c>
      <c r="G528" s="821">
        <v>5.7536480179999998</v>
      </c>
      <c r="H528" s="822">
        <v>21700192.593036499</v>
      </c>
      <c r="I528" s="819"/>
      <c r="J528" s="820">
        <v>-5.5510100000000002E-5</v>
      </c>
      <c r="K528" s="819">
        <f t="shared" si="120"/>
        <v>1085</v>
      </c>
      <c r="L528" s="819">
        <f t="shared" si="121"/>
        <v>333</v>
      </c>
      <c r="M528" s="819">
        <f t="shared" si="117"/>
        <v>1085</v>
      </c>
      <c r="N528" s="819">
        <f t="shared" si="118"/>
        <v>364</v>
      </c>
      <c r="O528" s="819">
        <f t="shared" si="119"/>
        <v>931</v>
      </c>
      <c r="P528" s="819">
        <f t="shared" si="122"/>
        <v>313</v>
      </c>
      <c r="Q528" s="819">
        <f t="shared" si="123"/>
        <v>90</v>
      </c>
      <c r="R528" s="819">
        <f t="shared" si="124"/>
        <v>1003</v>
      </c>
      <c r="S528" s="819">
        <f t="shared" si="125"/>
        <v>338</v>
      </c>
      <c r="T528" s="819">
        <f t="shared" si="126"/>
        <v>909</v>
      </c>
      <c r="U528" s="819">
        <f t="shared" si="127"/>
        <v>2653</v>
      </c>
      <c r="V528" s="819">
        <f t="shared" si="128"/>
        <v>320</v>
      </c>
      <c r="W528" s="379">
        <f t="shared" si="129"/>
        <v>320</v>
      </c>
      <c r="X528" s="819" t="str">
        <f t="shared" si="130"/>
        <v/>
      </c>
      <c r="Y528" s="837"/>
      <c r="Z528" s="839"/>
      <c r="AA528" s="838"/>
      <c r="AB528" s="839"/>
    </row>
    <row r="529" spans="1:28" ht="14.45">
      <c r="A529" s="816"/>
      <c r="B529" s="819" t="s">
        <v>1452</v>
      </c>
      <c r="C529" s="819" t="s">
        <v>1453</v>
      </c>
      <c r="D529" s="379" t="s">
        <v>336</v>
      </c>
      <c r="E529" s="818" t="s">
        <v>460</v>
      </c>
      <c r="F529" s="820">
        <v>73.275432809999998</v>
      </c>
      <c r="G529" s="821">
        <v>-0.82855748100000004</v>
      </c>
      <c r="H529" s="822">
        <v>22210113.261820599</v>
      </c>
      <c r="I529" s="819"/>
      <c r="J529" s="820">
        <v>5.60314E-5</v>
      </c>
      <c r="K529" s="819">
        <f t="shared" si="120"/>
        <v>1081</v>
      </c>
      <c r="L529" s="819">
        <f t="shared" si="121"/>
        <v>1283</v>
      </c>
      <c r="M529" s="819">
        <f t="shared" si="117"/>
        <v>1081</v>
      </c>
      <c r="N529" s="819">
        <f t="shared" si="118"/>
        <v>364</v>
      </c>
      <c r="O529" s="819">
        <f t="shared" si="119"/>
        <v>339</v>
      </c>
      <c r="P529" s="819">
        <f t="shared" si="122"/>
        <v>317</v>
      </c>
      <c r="Q529" s="819">
        <f t="shared" si="123"/>
        <v>860</v>
      </c>
      <c r="R529" s="819">
        <f t="shared" si="124"/>
        <v>999</v>
      </c>
      <c r="S529" s="819">
        <f t="shared" si="125"/>
        <v>338</v>
      </c>
      <c r="T529" s="819">
        <f t="shared" si="126"/>
        <v>317</v>
      </c>
      <c r="U529" s="819">
        <f t="shared" si="127"/>
        <v>2831</v>
      </c>
      <c r="V529" s="819">
        <f t="shared" si="128"/>
        <v>688</v>
      </c>
      <c r="W529" s="379">
        <f t="shared" si="129"/>
        <v>688</v>
      </c>
      <c r="X529" s="819" t="str">
        <f t="shared" si="130"/>
        <v/>
      </c>
      <c r="Y529" s="837"/>
      <c r="Z529" s="839"/>
      <c r="AA529" s="838"/>
      <c r="AB529" s="839"/>
    </row>
    <row r="530" spans="1:28" ht="13.15">
      <c r="B530" s="819" t="s">
        <v>1454</v>
      </c>
      <c r="C530" s="819" t="s">
        <v>1455</v>
      </c>
      <c r="D530" s="379" t="s">
        <v>336</v>
      </c>
      <c r="E530" s="818" t="s">
        <v>460</v>
      </c>
      <c r="F530" s="820"/>
      <c r="G530" s="821"/>
      <c r="H530" s="822">
        <v>61015567.520225301</v>
      </c>
      <c r="I530" s="819"/>
      <c r="J530" s="820">
        <v>0</v>
      </c>
      <c r="K530" s="819">
        <f t="shared" si="120"/>
        <v>838</v>
      </c>
      <c r="L530" s="819">
        <f t="shared" si="121"/>
        <v>1084</v>
      </c>
      <c r="M530" s="819">
        <f t="shared" si="117"/>
        <v>838</v>
      </c>
      <c r="N530" s="819">
        <f t="shared" si="118"/>
        <v>364</v>
      </c>
      <c r="O530" s="819">
        <f t="shared" si="119"/>
        <v>492</v>
      </c>
      <c r="P530" s="819">
        <f t="shared" si="122"/>
        <v>560</v>
      </c>
      <c r="Q530" s="819">
        <f t="shared" si="123"/>
        <v>661</v>
      </c>
      <c r="R530" s="819">
        <f t="shared" si="124"/>
        <v>756</v>
      </c>
      <c r="S530" s="819">
        <f t="shared" si="125"/>
        <v>338</v>
      </c>
      <c r="T530" s="819">
        <f t="shared" si="126"/>
        <v>470</v>
      </c>
      <c r="U530" s="819">
        <f t="shared" si="127"/>
        <v>2785</v>
      </c>
      <c r="V530" s="819">
        <f t="shared" si="128"/>
        <v>463</v>
      </c>
      <c r="W530" s="379">
        <f t="shared" si="129"/>
        <v>463</v>
      </c>
      <c r="X530" s="819" t="str">
        <f t="shared" si="130"/>
        <v/>
      </c>
      <c r="Y530" s="837"/>
      <c r="Z530" s="839"/>
      <c r="AA530" s="838"/>
      <c r="AB530" s="839"/>
    </row>
    <row r="531" spans="1:28" ht="14.45">
      <c r="A531" s="816"/>
      <c r="B531" s="819" t="s">
        <v>1456</v>
      </c>
      <c r="C531" s="819" t="s">
        <v>1457</v>
      </c>
      <c r="D531" s="379" t="s">
        <v>336</v>
      </c>
      <c r="E531" s="818" t="s">
        <v>460</v>
      </c>
      <c r="F531" s="820">
        <v>0</v>
      </c>
      <c r="G531" s="821">
        <v>-10.268817200000001</v>
      </c>
      <c r="H531" s="822"/>
      <c r="I531" s="819"/>
      <c r="J531" s="820">
        <v>2.7208799999999999E-6</v>
      </c>
      <c r="K531" s="819" t="str">
        <f t="shared" si="120"/>
        <v>N/A</v>
      </c>
      <c r="L531" s="819">
        <f t="shared" si="121"/>
        <v>1450</v>
      </c>
      <c r="M531" s="819" t="str">
        <f t="shared" si="117"/>
        <v>N/A</v>
      </c>
      <c r="N531" s="819">
        <f t="shared" si="118"/>
        <v>364</v>
      </c>
      <c r="O531" s="819">
        <f t="shared" si="119"/>
        <v>461</v>
      </c>
      <c r="P531" s="819" t="str">
        <f t="shared" si="122"/>
        <v>N/A</v>
      </c>
      <c r="Q531" s="819">
        <f t="shared" si="123"/>
        <v>1027</v>
      </c>
      <c r="R531" s="819" t="str">
        <f t="shared" si="124"/>
        <v>N/A</v>
      </c>
      <c r="S531" s="819">
        <f t="shared" si="125"/>
        <v>338</v>
      </c>
      <c r="T531" s="819">
        <f t="shared" si="126"/>
        <v>439</v>
      </c>
      <c r="U531" s="819">
        <f t="shared" si="127"/>
        <v>1804</v>
      </c>
      <c r="V531" s="819">
        <f t="shared" si="128"/>
        <v>114</v>
      </c>
      <c r="W531" s="379">
        <f t="shared" si="129"/>
        <v>114</v>
      </c>
      <c r="X531" s="819" t="str">
        <f t="shared" si="130"/>
        <v/>
      </c>
      <c r="Y531" s="837"/>
      <c r="Z531" s="839"/>
      <c r="AA531" s="838"/>
      <c r="AB531" s="839"/>
    </row>
    <row r="532" spans="1:28" ht="13.15">
      <c r="B532" s="819" t="s">
        <v>1458</v>
      </c>
      <c r="C532" s="819" t="s">
        <v>1459</v>
      </c>
      <c r="D532" s="379" t="s">
        <v>336</v>
      </c>
      <c r="E532" s="818" t="s">
        <v>460</v>
      </c>
      <c r="F532" s="820">
        <v>4.6121405549999999</v>
      </c>
      <c r="G532" s="821">
        <v>1.0056263839999999</v>
      </c>
      <c r="H532" s="822">
        <v>963444.59759093903</v>
      </c>
      <c r="I532" s="819">
        <v>1.08</v>
      </c>
      <c r="J532" s="820">
        <v>-2.4152661999999998E-2</v>
      </c>
      <c r="K532" s="819">
        <f t="shared" si="120"/>
        <v>1558</v>
      </c>
      <c r="L532" s="819">
        <f t="shared" si="121"/>
        <v>809</v>
      </c>
      <c r="M532" s="819">
        <f t="shared" si="117"/>
        <v>1558</v>
      </c>
      <c r="N532" s="819">
        <f t="shared" si="118"/>
        <v>126</v>
      </c>
      <c r="O532" s="819">
        <f t="shared" si="119"/>
        <v>1703</v>
      </c>
      <c r="P532" s="819">
        <f t="shared" si="122"/>
        <v>160</v>
      </c>
      <c r="Q532" s="819">
        <f t="shared" si="123"/>
        <v>386</v>
      </c>
      <c r="R532" s="819">
        <f t="shared" si="124"/>
        <v>1476</v>
      </c>
      <c r="S532" s="819">
        <f t="shared" si="125"/>
        <v>100</v>
      </c>
      <c r="T532" s="819">
        <f t="shared" si="126"/>
        <v>1681</v>
      </c>
      <c r="U532" s="819">
        <f t="shared" si="127"/>
        <v>3803</v>
      </c>
      <c r="V532" s="819">
        <f t="shared" si="128"/>
        <v>1714</v>
      </c>
      <c r="W532" s="379">
        <f t="shared" si="129"/>
        <v>1714</v>
      </c>
      <c r="X532" s="819" t="str">
        <f t="shared" si="130"/>
        <v/>
      </c>
      <c r="Y532" s="837"/>
      <c r="Z532" s="839"/>
      <c r="AA532" s="838"/>
      <c r="AB532" s="839"/>
    </row>
    <row r="533" spans="1:28" ht="14.45">
      <c r="A533" s="816"/>
      <c r="B533" s="819" t="s">
        <v>1460</v>
      </c>
      <c r="C533" s="819" t="s">
        <v>1461</v>
      </c>
      <c r="D533" s="379" t="s">
        <v>336</v>
      </c>
      <c r="E533" s="818" t="s">
        <v>460</v>
      </c>
      <c r="F533" s="820">
        <v>3.2015886309999999</v>
      </c>
      <c r="G533" s="821">
        <v>1.26642838</v>
      </c>
      <c r="H533" s="822">
        <v>13697174054.0732</v>
      </c>
      <c r="I533" s="819">
        <v>0.28000000000000003</v>
      </c>
      <c r="J533" s="820">
        <v>-9.279074E-3</v>
      </c>
      <c r="K533" s="819">
        <f t="shared" si="120"/>
        <v>26</v>
      </c>
      <c r="L533" s="819">
        <f t="shared" si="121"/>
        <v>772</v>
      </c>
      <c r="M533" s="819">
        <f t="shared" si="117"/>
        <v>26</v>
      </c>
      <c r="N533" s="819">
        <f t="shared" si="118"/>
        <v>193</v>
      </c>
      <c r="O533" s="819">
        <f t="shared" si="119"/>
        <v>1643</v>
      </c>
      <c r="P533" s="819">
        <f t="shared" si="122"/>
        <v>1372</v>
      </c>
      <c r="Q533" s="819">
        <f t="shared" si="123"/>
        <v>349</v>
      </c>
      <c r="R533" s="819">
        <f t="shared" si="124"/>
        <v>56</v>
      </c>
      <c r="S533" s="819">
        <f t="shared" si="125"/>
        <v>167</v>
      </c>
      <c r="T533" s="819">
        <f t="shared" si="126"/>
        <v>1621</v>
      </c>
      <c r="U533" s="819">
        <f t="shared" si="127"/>
        <v>3565</v>
      </c>
      <c r="V533" s="819">
        <f t="shared" si="128"/>
        <v>1606</v>
      </c>
      <c r="W533" s="379">
        <f t="shared" si="129"/>
        <v>1606</v>
      </c>
      <c r="X533" s="819" t="str">
        <f t="shared" si="130"/>
        <v/>
      </c>
      <c r="Y533" s="837"/>
      <c r="Z533" s="839"/>
      <c r="AA533" s="838"/>
      <c r="AB533" s="839"/>
    </row>
    <row r="534" spans="1:28" ht="13.15">
      <c r="B534" s="819" t="s">
        <v>1462</v>
      </c>
      <c r="C534" s="819" t="s">
        <v>1463</v>
      </c>
      <c r="D534" s="379" t="s">
        <v>336</v>
      </c>
      <c r="E534" s="818" t="s">
        <v>460</v>
      </c>
      <c r="F534" s="820">
        <v>3.6697624740000001</v>
      </c>
      <c r="G534" s="821">
        <v>-26.634189760000002</v>
      </c>
      <c r="H534" s="822">
        <v>6279754901.8062</v>
      </c>
      <c r="I534" s="819"/>
      <c r="J534" s="820">
        <v>9.5953300000000002E-5</v>
      </c>
      <c r="K534" s="819">
        <f t="shared" si="120"/>
        <v>65</v>
      </c>
      <c r="L534" s="819">
        <f t="shared" si="121"/>
        <v>1488</v>
      </c>
      <c r="M534" s="819">
        <f t="shared" si="117"/>
        <v>65</v>
      </c>
      <c r="N534" s="819">
        <f t="shared" si="118"/>
        <v>364</v>
      </c>
      <c r="O534" s="819">
        <f t="shared" si="119"/>
        <v>302</v>
      </c>
      <c r="P534" s="819">
        <f t="shared" si="122"/>
        <v>1333</v>
      </c>
      <c r="Q534" s="819">
        <f t="shared" si="123"/>
        <v>1065</v>
      </c>
      <c r="R534" s="819">
        <f t="shared" si="124"/>
        <v>17</v>
      </c>
      <c r="S534" s="819">
        <f t="shared" si="125"/>
        <v>338</v>
      </c>
      <c r="T534" s="819">
        <f t="shared" si="126"/>
        <v>280</v>
      </c>
      <c r="U534" s="819">
        <f t="shared" si="127"/>
        <v>3033</v>
      </c>
      <c r="V534" s="819">
        <f t="shared" si="128"/>
        <v>969</v>
      </c>
      <c r="W534" s="379">
        <f t="shared" si="129"/>
        <v>969</v>
      </c>
      <c r="X534" s="819" t="str">
        <f t="shared" si="130"/>
        <v/>
      </c>
      <c r="Y534" s="837"/>
      <c r="Z534" s="839"/>
      <c r="AA534" s="838"/>
      <c r="AB534" s="839"/>
    </row>
    <row r="535" spans="1:28" ht="14.45">
      <c r="A535" s="816"/>
      <c r="B535" s="819" t="s">
        <v>1464</v>
      </c>
      <c r="C535" s="819" t="s">
        <v>1465</v>
      </c>
      <c r="D535" s="379" t="s">
        <v>336</v>
      </c>
      <c r="E535" s="818" t="s">
        <v>460</v>
      </c>
      <c r="F535" s="820">
        <v>0.846802579</v>
      </c>
      <c r="G535" s="821">
        <v>0.93469015799999999</v>
      </c>
      <c r="H535" s="822">
        <v>36514352.298196197</v>
      </c>
      <c r="I535" s="819">
        <v>0.18</v>
      </c>
      <c r="J535" s="820">
        <v>-1.3751817E-2</v>
      </c>
      <c r="K535" s="819">
        <f t="shared" si="120"/>
        <v>951</v>
      </c>
      <c r="L535" s="819">
        <f t="shared" si="121"/>
        <v>828</v>
      </c>
      <c r="M535" s="819">
        <f t="shared" si="117"/>
        <v>951</v>
      </c>
      <c r="N535" s="819">
        <f t="shared" si="118"/>
        <v>219</v>
      </c>
      <c r="O535" s="819">
        <f t="shared" si="119"/>
        <v>1666</v>
      </c>
      <c r="P535" s="819">
        <f t="shared" si="122"/>
        <v>447</v>
      </c>
      <c r="Q535" s="819">
        <f t="shared" si="123"/>
        <v>405</v>
      </c>
      <c r="R535" s="819">
        <f t="shared" si="124"/>
        <v>869</v>
      </c>
      <c r="S535" s="819">
        <f t="shared" si="125"/>
        <v>193</v>
      </c>
      <c r="T535" s="819">
        <f t="shared" si="126"/>
        <v>1644</v>
      </c>
      <c r="U535" s="819">
        <f t="shared" si="127"/>
        <v>3558</v>
      </c>
      <c r="V535" s="819">
        <f t="shared" si="128"/>
        <v>1599</v>
      </c>
      <c r="W535" s="379">
        <f t="shared" si="129"/>
        <v>1599</v>
      </c>
      <c r="X535" s="819" t="str">
        <f t="shared" si="130"/>
        <v/>
      </c>
      <c r="Y535" s="837"/>
      <c r="Z535" s="839"/>
      <c r="AA535" s="838"/>
      <c r="AB535" s="839"/>
    </row>
    <row r="536" spans="1:28" ht="13.15">
      <c r="B536" s="819" t="s">
        <v>1466</v>
      </c>
      <c r="C536" s="819" t="s">
        <v>1467</v>
      </c>
      <c r="D536" s="379" t="s">
        <v>336</v>
      </c>
      <c r="E536" s="818" t="s">
        <v>460</v>
      </c>
      <c r="F536" s="820">
        <v>0.34396813399999998</v>
      </c>
      <c r="G536" s="821">
        <v>-30.213427020000001</v>
      </c>
      <c r="H536" s="822">
        <v>12496999330.602301</v>
      </c>
      <c r="I536" s="819"/>
      <c r="J536" s="820">
        <v>6.9770200000000002E-4</v>
      </c>
      <c r="K536" s="819">
        <f t="shared" si="120"/>
        <v>30</v>
      </c>
      <c r="L536" s="819">
        <f t="shared" si="121"/>
        <v>1492</v>
      </c>
      <c r="M536" s="819">
        <f t="shared" si="117"/>
        <v>30</v>
      </c>
      <c r="N536" s="819">
        <f t="shared" si="118"/>
        <v>364</v>
      </c>
      <c r="O536" s="819">
        <f t="shared" si="119"/>
        <v>193</v>
      </c>
      <c r="P536" s="819">
        <f t="shared" si="122"/>
        <v>1368</v>
      </c>
      <c r="Q536" s="819">
        <f t="shared" si="123"/>
        <v>1069</v>
      </c>
      <c r="R536" s="819">
        <f t="shared" si="124"/>
        <v>52</v>
      </c>
      <c r="S536" s="819">
        <f t="shared" si="125"/>
        <v>338</v>
      </c>
      <c r="T536" s="819">
        <f t="shared" si="126"/>
        <v>171</v>
      </c>
      <c r="U536" s="819">
        <f t="shared" si="127"/>
        <v>2998</v>
      </c>
      <c r="V536" s="819">
        <f t="shared" si="128"/>
        <v>924</v>
      </c>
      <c r="W536" s="379">
        <f t="shared" si="129"/>
        <v>924</v>
      </c>
      <c r="X536" s="819" t="str">
        <f t="shared" si="130"/>
        <v/>
      </c>
      <c r="Y536" s="837"/>
      <c r="Z536" s="839"/>
      <c r="AA536" s="838"/>
      <c r="AB536" s="839"/>
    </row>
    <row r="537" spans="1:28" ht="14.45">
      <c r="A537" s="816"/>
      <c r="B537" s="819" t="s">
        <v>1468</v>
      </c>
      <c r="C537" s="819" t="s">
        <v>1469</v>
      </c>
      <c r="D537" s="379" t="s">
        <v>336</v>
      </c>
      <c r="E537" s="818" t="s">
        <v>460</v>
      </c>
      <c r="F537" s="820">
        <v>1.4200807630000001</v>
      </c>
      <c r="G537" s="821">
        <v>4.4462715859999999</v>
      </c>
      <c r="H537" s="822">
        <v>116950979.056751</v>
      </c>
      <c r="I537" s="819"/>
      <c r="J537" s="820">
        <v>-2.17992E-4</v>
      </c>
      <c r="K537" s="819">
        <f t="shared" si="120"/>
        <v>680</v>
      </c>
      <c r="L537" s="819">
        <f t="shared" si="121"/>
        <v>417</v>
      </c>
      <c r="M537" s="819">
        <f t="shared" si="117"/>
        <v>680</v>
      </c>
      <c r="N537" s="819">
        <f t="shared" si="118"/>
        <v>364</v>
      </c>
      <c r="O537" s="819">
        <f t="shared" si="119"/>
        <v>1121</v>
      </c>
      <c r="P537" s="819">
        <f t="shared" si="122"/>
        <v>718</v>
      </c>
      <c r="Q537" s="819">
        <f t="shared" si="123"/>
        <v>6</v>
      </c>
      <c r="R537" s="819">
        <f t="shared" si="124"/>
        <v>598</v>
      </c>
      <c r="S537" s="819">
        <f t="shared" si="125"/>
        <v>338</v>
      </c>
      <c r="T537" s="819">
        <f t="shared" si="126"/>
        <v>1099</v>
      </c>
      <c r="U537" s="819">
        <f t="shared" si="127"/>
        <v>2759</v>
      </c>
      <c r="V537" s="819">
        <f t="shared" si="128"/>
        <v>429</v>
      </c>
      <c r="W537" s="379">
        <f t="shared" si="129"/>
        <v>429</v>
      </c>
      <c r="X537" s="819" t="str">
        <f t="shared" si="130"/>
        <v/>
      </c>
      <c r="Y537" s="837"/>
      <c r="Z537" s="839"/>
      <c r="AA537" s="838"/>
      <c r="AB537" s="839"/>
    </row>
    <row r="538" spans="1:28" ht="13.15">
      <c r="B538" s="819" t="s">
        <v>1470</v>
      </c>
      <c r="C538" s="819" t="s">
        <v>1471</v>
      </c>
      <c r="D538" s="379" t="s">
        <v>336</v>
      </c>
      <c r="E538" s="818" t="s">
        <v>425</v>
      </c>
      <c r="F538" s="820">
        <v>-16.40672503</v>
      </c>
      <c r="G538" s="821"/>
      <c r="H538" s="822">
        <v>94935455.105258301</v>
      </c>
      <c r="I538" s="819"/>
      <c r="J538" s="820">
        <v>0</v>
      </c>
      <c r="K538" s="819">
        <f t="shared" si="120"/>
        <v>737</v>
      </c>
      <c r="L538" s="819">
        <f t="shared" si="121"/>
        <v>1084</v>
      </c>
      <c r="M538" s="819">
        <f t="shared" si="117"/>
        <v>737</v>
      </c>
      <c r="N538" s="819">
        <f t="shared" si="118"/>
        <v>364</v>
      </c>
      <c r="O538" s="819">
        <f t="shared" si="119"/>
        <v>492</v>
      </c>
      <c r="P538" s="819">
        <f t="shared" si="122"/>
        <v>661</v>
      </c>
      <c r="Q538" s="819">
        <f t="shared" si="123"/>
        <v>661</v>
      </c>
      <c r="R538" s="819">
        <f t="shared" si="124"/>
        <v>655</v>
      </c>
      <c r="S538" s="819">
        <f t="shared" si="125"/>
        <v>338</v>
      </c>
      <c r="T538" s="819">
        <f t="shared" si="126"/>
        <v>470</v>
      </c>
      <c r="U538" s="819">
        <f t="shared" si="127"/>
        <v>2785</v>
      </c>
      <c r="V538" s="819">
        <f t="shared" si="128"/>
        <v>463</v>
      </c>
      <c r="W538" s="379">
        <f t="shared" si="129"/>
        <v>463</v>
      </c>
      <c r="X538" s="819" t="str">
        <f t="shared" si="130"/>
        <v/>
      </c>
      <c r="Y538" s="837"/>
      <c r="Z538" s="839"/>
      <c r="AA538" s="838"/>
      <c r="AB538" s="839"/>
    </row>
    <row r="539" spans="1:28" ht="14.45">
      <c r="A539" s="816"/>
      <c r="B539" s="819" t="s">
        <v>1472</v>
      </c>
      <c r="C539" s="819" t="s">
        <v>1473</v>
      </c>
      <c r="D539" s="379" t="s">
        <v>336</v>
      </c>
      <c r="E539" s="818" t="s">
        <v>460</v>
      </c>
      <c r="F539" s="820">
        <v>-3.0981323860000001</v>
      </c>
      <c r="G539" s="821">
        <v>9.0050527159999998</v>
      </c>
      <c r="H539" s="822">
        <v>14248645.963924</v>
      </c>
      <c r="I539" s="819"/>
      <c r="J539" s="820">
        <v>-1.14271E-4</v>
      </c>
      <c r="K539" s="819">
        <f t="shared" si="120"/>
        <v>1176</v>
      </c>
      <c r="L539" s="819">
        <f t="shared" si="121"/>
        <v>224</v>
      </c>
      <c r="M539" s="819">
        <f t="shared" si="117"/>
        <v>1176</v>
      </c>
      <c r="N539" s="819">
        <f t="shared" si="118"/>
        <v>364</v>
      </c>
      <c r="O539" s="819">
        <f t="shared" si="119"/>
        <v>1022</v>
      </c>
      <c r="P539" s="819">
        <f t="shared" si="122"/>
        <v>222</v>
      </c>
      <c r="Q539" s="819">
        <f t="shared" si="123"/>
        <v>199</v>
      </c>
      <c r="R539" s="819">
        <f t="shared" si="124"/>
        <v>1094</v>
      </c>
      <c r="S539" s="819">
        <f t="shared" si="125"/>
        <v>338</v>
      </c>
      <c r="T539" s="819">
        <f t="shared" si="126"/>
        <v>1000</v>
      </c>
      <c r="U539" s="819">
        <f t="shared" si="127"/>
        <v>2853</v>
      </c>
      <c r="V539" s="819">
        <f t="shared" si="128"/>
        <v>728</v>
      </c>
      <c r="W539" s="379">
        <f t="shared" si="129"/>
        <v>728</v>
      </c>
      <c r="X539" s="819" t="str">
        <f t="shared" si="130"/>
        <v/>
      </c>
      <c r="Y539" s="837"/>
      <c r="Z539" s="839"/>
      <c r="AA539" s="838"/>
      <c r="AB539" s="839"/>
    </row>
    <row r="540" spans="1:28" ht="13.15">
      <c r="B540" s="819" t="s">
        <v>1474</v>
      </c>
      <c r="C540" s="819" t="s">
        <v>1475</v>
      </c>
      <c r="D540" s="379" t="s">
        <v>336</v>
      </c>
      <c r="E540" s="818" t="s">
        <v>460</v>
      </c>
      <c r="F540" s="820">
        <v>2.618200791</v>
      </c>
      <c r="G540" s="821">
        <v>-2.6142056199999999</v>
      </c>
      <c r="H540" s="822">
        <v>17602280.817402799</v>
      </c>
      <c r="I540" s="819"/>
      <c r="J540" s="820">
        <v>1.96522E-4</v>
      </c>
      <c r="K540" s="819">
        <f t="shared" si="120"/>
        <v>1130</v>
      </c>
      <c r="L540" s="819">
        <f t="shared" si="121"/>
        <v>1363</v>
      </c>
      <c r="M540" s="819">
        <f t="shared" si="117"/>
        <v>1130</v>
      </c>
      <c r="N540" s="819">
        <f t="shared" si="118"/>
        <v>364</v>
      </c>
      <c r="O540" s="819">
        <f t="shared" si="119"/>
        <v>255</v>
      </c>
      <c r="P540" s="819">
        <f t="shared" si="122"/>
        <v>268</v>
      </c>
      <c r="Q540" s="819">
        <f t="shared" si="123"/>
        <v>940</v>
      </c>
      <c r="R540" s="819">
        <f t="shared" si="124"/>
        <v>1048</v>
      </c>
      <c r="S540" s="819">
        <f t="shared" si="125"/>
        <v>338</v>
      </c>
      <c r="T540" s="819">
        <f t="shared" si="126"/>
        <v>233</v>
      </c>
      <c r="U540" s="819">
        <f t="shared" si="127"/>
        <v>2827</v>
      </c>
      <c r="V540" s="819">
        <f t="shared" si="128"/>
        <v>675</v>
      </c>
      <c r="W540" s="379">
        <f t="shared" si="129"/>
        <v>675</v>
      </c>
      <c r="X540" s="819" t="str">
        <f t="shared" si="130"/>
        <v/>
      </c>
      <c r="Y540" s="837"/>
      <c r="Z540" s="839"/>
      <c r="AA540" s="838"/>
      <c r="AB540" s="839"/>
    </row>
    <row r="541" spans="1:28" ht="14.45">
      <c r="A541" s="816"/>
      <c r="B541" s="819" t="s">
        <v>1476</v>
      </c>
      <c r="C541" s="819" t="s">
        <v>1477</v>
      </c>
      <c r="D541" s="379" t="s">
        <v>336</v>
      </c>
      <c r="E541" s="818" t="s">
        <v>1478</v>
      </c>
      <c r="F541" s="820"/>
      <c r="G541" s="821"/>
      <c r="H541" s="822">
        <v>27242734.183150198</v>
      </c>
      <c r="I541" s="819"/>
      <c r="J541" s="820">
        <v>0</v>
      </c>
      <c r="K541" s="819">
        <f t="shared" si="120"/>
        <v>1030</v>
      </c>
      <c r="L541" s="819">
        <f t="shared" si="121"/>
        <v>1084</v>
      </c>
      <c r="M541" s="819">
        <f t="shared" si="117"/>
        <v>1030</v>
      </c>
      <c r="N541" s="819">
        <f t="shared" si="118"/>
        <v>364</v>
      </c>
      <c r="O541" s="819">
        <f t="shared" si="119"/>
        <v>492</v>
      </c>
      <c r="P541" s="819">
        <f t="shared" si="122"/>
        <v>368</v>
      </c>
      <c r="Q541" s="819">
        <f t="shared" si="123"/>
        <v>661</v>
      </c>
      <c r="R541" s="819">
        <f t="shared" si="124"/>
        <v>948</v>
      </c>
      <c r="S541" s="819">
        <f t="shared" si="125"/>
        <v>338</v>
      </c>
      <c r="T541" s="819">
        <f t="shared" si="126"/>
        <v>470</v>
      </c>
      <c r="U541" s="819">
        <f t="shared" si="127"/>
        <v>2785</v>
      </c>
      <c r="V541" s="819">
        <f t="shared" si="128"/>
        <v>463</v>
      </c>
      <c r="W541" s="379">
        <f t="shared" si="129"/>
        <v>463</v>
      </c>
      <c r="X541" s="819" t="str">
        <f t="shared" si="130"/>
        <v/>
      </c>
      <c r="Y541" s="837"/>
      <c r="Z541" s="839"/>
      <c r="AA541" s="838"/>
      <c r="AB541" s="839"/>
    </row>
    <row r="542" spans="1:28" ht="13.15">
      <c r="B542" s="819" t="s">
        <v>1479</v>
      </c>
      <c r="C542" s="819" t="s">
        <v>1480</v>
      </c>
      <c r="D542" s="379" t="s">
        <v>336</v>
      </c>
      <c r="E542" s="818" t="s">
        <v>460</v>
      </c>
      <c r="F542" s="820">
        <v>2.6628248609999998</v>
      </c>
      <c r="G542" s="821">
        <v>2.1307555100000002</v>
      </c>
      <c r="H542" s="822">
        <v>5189.9600886917997</v>
      </c>
      <c r="I542" s="819"/>
      <c r="J542" s="820">
        <v>-1.0749889999999999E-3</v>
      </c>
      <c r="K542" s="819">
        <f t="shared" si="120"/>
        <v>1673</v>
      </c>
      <c r="L542" s="819">
        <f t="shared" si="121"/>
        <v>654</v>
      </c>
      <c r="M542" s="819">
        <f t="shared" si="117"/>
        <v>1673</v>
      </c>
      <c r="N542" s="819">
        <f t="shared" si="118"/>
        <v>364</v>
      </c>
      <c r="O542" s="819">
        <f t="shared" si="119"/>
        <v>1409</v>
      </c>
      <c r="P542" s="819">
        <f t="shared" si="122"/>
        <v>275</v>
      </c>
      <c r="Q542" s="819">
        <f t="shared" si="123"/>
        <v>231</v>
      </c>
      <c r="R542" s="819">
        <f t="shared" si="124"/>
        <v>1591</v>
      </c>
      <c r="S542" s="819">
        <f t="shared" si="125"/>
        <v>338</v>
      </c>
      <c r="T542" s="819">
        <f t="shared" si="126"/>
        <v>1387</v>
      </c>
      <c r="U542" s="819">
        <f t="shared" si="127"/>
        <v>3822</v>
      </c>
      <c r="V542" s="819">
        <f t="shared" si="128"/>
        <v>1722</v>
      </c>
      <c r="W542" s="379">
        <f t="shared" si="129"/>
        <v>1722</v>
      </c>
      <c r="X542" s="819" t="str">
        <f t="shared" si="130"/>
        <v/>
      </c>
      <c r="Y542" s="837"/>
      <c r="Z542" s="839"/>
      <c r="AA542" s="838"/>
      <c r="AB542" s="839"/>
    </row>
    <row r="543" spans="1:28" ht="14.45">
      <c r="A543" s="816"/>
      <c r="B543" s="819" t="s">
        <v>1481</v>
      </c>
      <c r="C543" s="819" t="s">
        <v>1482</v>
      </c>
      <c r="D543" s="379" t="s">
        <v>336</v>
      </c>
      <c r="E543" s="818" t="s">
        <v>460</v>
      </c>
      <c r="F543" s="820">
        <v>-1.0858479000000001E-2</v>
      </c>
      <c r="G543" s="821">
        <v>-0.25151528400000001</v>
      </c>
      <c r="H543" s="822">
        <v>403525560.15461099</v>
      </c>
      <c r="I543" s="819"/>
      <c r="J543" s="820">
        <v>2.0185600000000001E-4</v>
      </c>
      <c r="K543" s="819">
        <f t="shared" si="120"/>
        <v>404</v>
      </c>
      <c r="L543" s="819">
        <f t="shared" si="121"/>
        <v>1249</v>
      </c>
      <c r="M543" s="819">
        <f t="shared" si="117"/>
        <v>404</v>
      </c>
      <c r="N543" s="819">
        <f t="shared" si="118"/>
        <v>364</v>
      </c>
      <c r="O543" s="819">
        <f t="shared" si="119"/>
        <v>253</v>
      </c>
      <c r="P543" s="819">
        <f t="shared" si="122"/>
        <v>994</v>
      </c>
      <c r="Q543" s="819">
        <f t="shared" si="123"/>
        <v>826</v>
      </c>
      <c r="R543" s="819">
        <f t="shared" si="124"/>
        <v>322</v>
      </c>
      <c r="S543" s="819">
        <f t="shared" si="125"/>
        <v>338</v>
      </c>
      <c r="T543" s="819">
        <f t="shared" si="126"/>
        <v>231</v>
      </c>
      <c r="U543" s="819">
        <f t="shared" si="127"/>
        <v>2711</v>
      </c>
      <c r="V543" s="819">
        <f t="shared" si="128"/>
        <v>368</v>
      </c>
      <c r="W543" s="379">
        <f t="shared" si="129"/>
        <v>368</v>
      </c>
      <c r="X543" s="819" t="str">
        <f t="shared" si="130"/>
        <v/>
      </c>
      <c r="Y543" s="837"/>
      <c r="Z543" s="839"/>
      <c r="AA543" s="838"/>
      <c r="AB543" s="839"/>
    </row>
    <row r="544" spans="1:28" ht="13.15">
      <c r="B544" s="819" t="s">
        <v>1483</v>
      </c>
      <c r="C544" s="819" t="s">
        <v>1484</v>
      </c>
      <c r="D544" s="379" t="s">
        <v>336</v>
      </c>
      <c r="E544" s="818" t="s">
        <v>191</v>
      </c>
      <c r="F544" s="820">
        <v>2.5588793249999999</v>
      </c>
      <c r="G544" s="821">
        <v>6.1971327340000002</v>
      </c>
      <c r="H544" s="822">
        <v>1724388.73198428</v>
      </c>
      <c r="I544" s="819"/>
      <c r="J544" s="820">
        <v>-1.3710230000000001E-3</v>
      </c>
      <c r="K544" s="819">
        <f t="shared" si="120"/>
        <v>1517</v>
      </c>
      <c r="L544" s="819">
        <f t="shared" si="121"/>
        <v>312</v>
      </c>
      <c r="M544" s="819">
        <f t="shared" si="117"/>
        <v>1517</v>
      </c>
      <c r="N544" s="819">
        <f t="shared" si="118"/>
        <v>364</v>
      </c>
      <c r="O544" s="819">
        <f t="shared" si="119"/>
        <v>1444</v>
      </c>
      <c r="P544" s="819">
        <f t="shared" si="122"/>
        <v>119</v>
      </c>
      <c r="Q544" s="819">
        <f t="shared" si="123"/>
        <v>111</v>
      </c>
      <c r="R544" s="819">
        <f t="shared" si="124"/>
        <v>1435</v>
      </c>
      <c r="S544" s="819">
        <f t="shared" si="125"/>
        <v>338</v>
      </c>
      <c r="T544" s="819">
        <f t="shared" si="126"/>
        <v>1422</v>
      </c>
      <c r="U544" s="819">
        <f t="shared" si="127"/>
        <v>3425</v>
      </c>
      <c r="V544" s="819">
        <f t="shared" si="128"/>
        <v>1487</v>
      </c>
      <c r="W544" s="379">
        <f t="shared" si="129"/>
        <v>1487</v>
      </c>
      <c r="X544" s="819" t="str">
        <f t="shared" si="130"/>
        <v/>
      </c>
      <c r="Y544" s="837"/>
      <c r="Z544" s="839"/>
      <c r="AA544" s="838"/>
      <c r="AB544" s="839"/>
    </row>
    <row r="545" spans="1:28" ht="14.45">
      <c r="A545" s="816"/>
      <c r="B545" s="819" t="s">
        <v>1485</v>
      </c>
      <c r="C545" s="819" t="s">
        <v>1486</v>
      </c>
      <c r="D545" s="379" t="s">
        <v>336</v>
      </c>
      <c r="E545" s="818" t="s">
        <v>915</v>
      </c>
      <c r="F545" s="820">
        <v>3.573189411</v>
      </c>
      <c r="G545" s="821">
        <v>2.432770272</v>
      </c>
      <c r="H545" s="822">
        <v>675368230</v>
      </c>
      <c r="I545" s="819">
        <v>1.36</v>
      </c>
      <c r="J545" s="820">
        <v>-4.9887686000000001E-2</v>
      </c>
      <c r="K545" s="819">
        <f t="shared" si="120"/>
        <v>292</v>
      </c>
      <c r="L545" s="819">
        <f t="shared" si="121"/>
        <v>611</v>
      </c>
      <c r="M545" s="819">
        <f t="shared" si="117"/>
        <v>292</v>
      </c>
      <c r="N545" s="819">
        <f t="shared" si="118"/>
        <v>101</v>
      </c>
      <c r="O545" s="819">
        <f t="shared" si="119"/>
        <v>1734</v>
      </c>
      <c r="P545" s="819">
        <f t="shared" si="122"/>
        <v>1106</v>
      </c>
      <c r="Q545" s="819">
        <f t="shared" si="123"/>
        <v>188</v>
      </c>
      <c r="R545" s="819">
        <f t="shared" si="124"/>
        <v>210</v>
      </c>
      <c r="S545" s="819">
        <f t="shared" si="125"/>
        <v>75</v>
      </c>
      <c r="T545" s="819">
        <f t="shared" si="126"/>
        <v>1712</v>
      </c>
      <c r="U545" s="819">
        <f t="shared" si="127"/>
        <v>3291</v>
      </c>
      <c r="V545" s="819">
        <f t="shared" si="128"/>
        <v>1325</v>
      </c>
      <c r="W545" s="379">
        <f t="shared" si="129"/>
        <v>1325</v>
      </c>
      <c r="X545" s="819" t="str">
        <f t="shared" si="130"/>
        <v/>
      </c>
      <c r="Y545" s="837"/>
      <c r="Z545" s="839"/>
      <c r="AA545" s="838"/>
      <c r="AB545" s="839"/>
    </row>
    <row r="546" spans="1:28" ht="13.15">
      <c r="B546" s="819" t="s">
        <v>1487</v>
      </c>
      <c r="C546" s="819" t="s">
        <v>1488</v>
      </c>
      <c r="D546" s="379" t="s">
        <v>336</v>
      </c>
      <c r="E546" s="818" t="s">
        <v>522</v>
      </c>
      <c r="F546" s="820">
        <v>3.5780155580000002</v>
      </c>
      <c r="G546" s="821"/>
      <c r="H546" s="822">
        <v>7254507040.8692999</v>
      </c>
      <c r="I546" s="819"/>
      <c r="J546" s="820">
        <v>0</v>
      </c>
      <c r="K546" s="819">
        <f t="shared" si="120"/>
        <v>51</v>
      </c>
      <c r="L546" s="819">
        <f t="shared" si="121"/>
        <v>1084</v>
      </c>
      <c r="M546" s="819">
        <f t="shared" si="117"/>
        <v>51</v>
      </c>
      <c r="N546" s="819">
        <f t="shared" si="118"/>
        <v>364</v>
      </c>
      <c r="O546" s="819">
        <f t="shared" si="119"/>
        <v>492</v>
      </c>
      <c r="P546" s="819">
        <f t="shared" si="122"/>
        <v>1347</v>
      </c>
      <c r="Q546" s="819">
        <f t="shared" si="123"/>
        <v>661</v>
      </c>
      <c r="R546" s="819">
        <f t="shared" si="124"/>
        <v>31</v>
      </c>
      <c r="S546" s="819">
        <f t="shared" si="125"/>
        <v>338</v>
      </c>
      <c r="T546" s="819">
        <f t="shared" si="126"/>
        <v>470</v>
      </c>
      <c r="U546" s="819">
        <f t="shared" si="127"/>
        <v>2847</v>
      </c>
      <c r="V546" s="819">
        <f t="shared" si="128"/>
        <v>713</v>
      </c>
      <c r="W546" s="379">
        <f t="shared" si="129"/>
        <v>713</v>
      </c>
      <c r="X546" s="819" t="str">
        <f t="shared" si="130"/>
        <v/>
      </c>
      <c r="Y546" s="837"/>
      <c r="Z546" s="839"/>
      <c r="AA546" s="838"/>
      <c r="AB546" s="839"/>
    </row>
    <row r="547" spans="1:28" ht="14.45">
      <c r="A547" s="816"/>
      <c r="B547" s="819" t="s">
        <v>1489</v>
      </c>
      <c r="C547" s="819" t="s">
        <v>1490</v>
      </c>
      <c r="D547" s="379" t="s">
        <v>336</v>
      </c>
      <c r="E547" s="818" t="s">
        <v>418</v>
      </c>
      <c r="F547" s="820">
        <v>-2.0105426500000001</v>
      </c>
      <c r="G547" s="821">
        <v>-6.2377721829999997</v>
      </c>
      <c r="H547" s="822">
        <v>627723840.26024497</v>
      </c>
      <c r="I547" s="819"/>
      <c r="J547" s="820">
        <v>2.06799E-4</v>
      </c>
      <c r="K547" s="819">
        <f t="shared" si="120"/>
        <v>304</v>
      </c>
      <c r="L547" s="819">
        <f t="shared" si="121"/>
        <v>1422</v>
      </c>
      <c r="M547" s="819">
        <f t="shared" si="117"/>
        <v>304</v>
      </c>
      <c r="N547" s="819">
        <f t="shared" si="118"/>
        <v>364</v>
      </c>
      <c r="O547" s="819">
        <f t="shared" si="119"/>
        <v>252</v>
      </c>
      <c r="P547" s="819">
        <f t="shared" si="122"/>
        <v>1094</v>
      </c>
      <c r="Q547" s="819">
        <f t="shared" si="123"/>
        <v>999</v>
      </c>
      <c r="R547" s="819">
        <f t="shared" si="124"/>
        <v>222</v>
      </c>
      <c r="S547" s="819">
        <f t="shared" si="125"/>
        <v>338</v>
      </c>
      <c r="T547" s="819">
        <f t="shared" si="126"/>
        <v>230</v>
      </c>
      <c r="U547" s="819">
        <f t="shared" si="127"/>
        <v>2883</v>
      </c>
      <c r="V547" s="819">
        <f t="shared" si="128"/>
        <v>779</v>
      </c>
      <c r="W547" s="379">
        <f t="shared" si="129"/>
        <v>779</v>
      </c>
      <c r="X547" s="819" t="str">
        <f t="shared" si="130"/>
        <v/>
      </c>
      <c r="Y547" s="837"/>
      <c r="Z547" s="839"/>
      <c r="AA547" s="838"/>
      <c r="AB547" s="839"/>
    </row>
    <row r="548" spans="1:28" ht="13.15">
      <c r="B548" s="819" t="s">
        <v>1491</v>
      </c>
      <c r="C548" s="819" t="s">
        <v>1492</v>
      </c>
      <c r="D548" s="379" t="s">
        <v>336</v>
      </c>
      <c r="E548" s="818" t="s">
        <v>337</v>
      </c>
      <c r="F548" s="820">
        <v>2.408846037</v>
      </c>
      <c r="G548" s="821">
        <v>2.3722764249999999</v>
      </c>
      <c r="H548" s="822">
        <v>6526.9548000000004</v>
      </c>
      <c r="I548" s="819"/>
      <c r="J548" s="820">
        <v>-4.5650399999999999E-4</v>
      </c>
      <c r="K548" s="819">
        <f t="shared" si="120"/>
        <v>1669</v>
      </c>
      <c r="L548" s="819">
        <f t="shared" si="121"/>
        <v>618</v>
      </c>
      <c r="M548" s="819">
        <f t="shared" si="117"/>
        <v>1669</v>
      </c>
      <c r="N548" s="819">
        <f t="shared" si="118"/>
        <v>364</v>
      </c>
      <c r="O548" s="819">
        <f t="shared" si="119"/>
        <v>1249</v>
      </c>
      <c r="P548" s="819">
        <f t="shared" si="122"/>
        <v>271</v>
      </c>
      <c r="Q548" s="819">
        <f t="shared" si="123"/>
        <v>195</v>
      </c>
      <c r="R548" s="819">
        <f t="shared" si="124"/>
        <v>1587</v>
      </c>
      <c r="S548" s="819">
        <f t="shared" si="125"/>
        <v>338</v>
      </c>
      <c r="T548" s="819">
        <f t="shared" si="126"/>
        <v>1227</v>
      </c>
      <c r="U548" s="819">
        <f t="shared" si="127"/>
        <v>3618</v>
      </c>
      <c r="V548" s="819">
        <f t="shared" si="128"/>
        <v>1629</v>
      </c>
      <c r="W548" s="379">
        <f t="shared" si="129"/>
        <v>1629</v>
      </c>
      <c r="X548" s="819" t="str">
        <f t="shared" si="130"/>
        <v/>
      </c>
      <c r="Y548" s="837"/>
      <c r="Z548" s="839"/>
      <c r="AA548" s="838"/>
      <c r="AB548" s="839"/>
    </row>
    <row r="549" spans="1:28" ht="14.45">
      <c r="A549" s="816"/>
      <c r="B549" s="819" t="s">
        <v>1493</v>
      </c>
      <c r="C549" s="819" t="s">
        <v>1494</v>
      </c>
      <c r="D549" s="379" t="s">
        <v>336</v>
      </c>
      <c r="E549" s="818" t="s">
        <v>418</v>
      </c>
      <c r="F549" s="820">
        <v>0.308891845</v>
      </c>
      <c r="G549" s="821">
        <v>2.775855854</v>
      </c>
      <c r="H549" s="822">
        <v>71996323.460866198</v>
      </c>
      <c r="I549" s="819"/>
      <c r="J549" s="820">
        <v>-1.15325E-4</v>
      </c>
      <c r="K549" s="819">
        <f t="shared" si="120"/>
        <v>790</v>
      </c>
      <c r="L549" s="819">
        <f t="shared" si="121"/>
        <v>570</v>
      </c>
      <c r="M549" s="819">
        <f t="shared" si="117"/>
        <v>790</v>
      </c>
      <c r="N549" s="819">
        <f t="shared" si="118"/>
        <v>364</v>
      </c>
      <c r="O549" s="819">
        <f t="shared" si="119"/>
        <v>1024</v>
      </c>
      <c r="P549" s="819">
        <f t="shared" si="122"/>
        <v>608</v>
      </c>
      <c r="Q549" s="819">
        <f t="shared" si="123"/>
        <v>147</v>
      </c>
      <c r="R549" s="819">
        <f t="shared" si="124"/>
        <v>708</v>
      </c>
      <c r="S549" s="819">
        <f t="shared" si="125"/>
        <v>338</v>
      </c>
      <c r="T549" s="819">
        <f t="shared" si="126"/>
        <v>1002</v>
      </c>
      <c r="U549" s="819">
        <f t="shared" si="127"/>
        <v>2803</v>
      </c>
      <c r="V549" s="819">
        <f t="shared" si="128"/>
        <v>634</v>
      </c>
      <c r="W549" s="379">
        <f t="shared" si="129"/>
        <v>634</v>
      </c>
      <c r="X549" s="819" t="str">
        <f t="shared" si="130"/>
        <v/>
      </c>
      <c r="Y549" s="837"/>
      <c r="Z549" s="839"/>
      <c r="AA549" s="838"/>
      <c r="AB549" s="839"/>
    </row>
    <row r="550" spans="1:28" ht="13.15">
      <c r="B550" s="819" t="s">
        <v>1495</v>
      </c>
      <c r="C550" s="819" t="s">
        <v>1496</v>
      </c>
      <c r="D550" s="379" t="s">
        <v>336</v>
      </c>
      <c r="E550" s="818" t="s">
        <v>418</v>
      </c>
      <c r="F550" s="820">
        <v>2.416419624</v>
      </c>
      <c r="G550" s="821">
        <v>-63.039968639999998</v>
      </c>
      <c r="H550" s="822">
        <v>124630452.51505101</v>
      </c>
      <c r="I550" s="819"/>
      <c r="J550" s="820">
        <v>7.9963399999999994E-5</v>
      </c>
      <c r="K550" s="819">
        <f t="shared" si="120"/>
        <v>660</v>
      </c>
      <c r="L550" s="819">
        <f t="shared" si="121"/>
        <v>1513</v>
      </c>
      <c r="M550" s="819">
        <f t="shared" si="117"/>
        <v>660</v>
      </c>
      <c r="N550" s="819">
        <f t="shared" si="118"/>
        <v>364</v>
      </c>
      <c r="O550" s="819">
        <f t="shared" si="119"/>
        <v>311</v>
      </c>
      <c r="P550" s="819">
        <f t="shared" si="122"/>
        <v>738</v>
      </c>
      <c r="Q550" s="819">
        <f t="shared" si="123"/>
        <v>1090</v>
      </c>
      <c r="R550" s="819">
        <f t="shared" si="124"/>
        <v>578</v>
      </c>
      <c r="S550" s="819">
        <f t="shared" si="125"/>
        <v>338</v>
      </c>
      <c r="T550" s="819">
        <f t="shared" si="126"/>
        <v>289</v>
      </c>
      <c r="U550" s="819">
        <f t="shared" si="127"/>
        <v>3033</v>
      </c>
      <c r="V550" s="819">
        <f t="shared" si="128"/>
        <v>969</v>
      </c>
      <c r="W550" s="379">
        <f t="shared" si="129"/>
        <v>969</v>
      </c>
      <c r="X550" s="819" t="str">
        <f t="shared" si="130"/>
        <v/>
      </c>
      <c r="Y550" s="837"/>
      <c r="Z550" s="839"/>
      <c r="AA550" s="838"/>
      <c r="AB550" s="839"/>
    </row>
    <row r="551" spans="1:28" ht="14.45">
      <c r="A551" s="816"/>
      <c r="B551" s="819" t="s">
        <v>1497</v>
      </c>
      <c r="C551" s="819" t="s">
        <v>1498</v>
      </c>
      <c r="D551" s="379" t="s">
        <v>336</v>
      </c>
      <c r="E551" s="818" t="s">
        <v>418</v>
      </c>
      <c r="F551" s="820"/>
      <c r="G551" s="821"/>
      <c r="H551" s="822">
        <v>90500938.693597496</v>
      </c>
      <c r="I551" s="819"/>
      <c r="J551" s="820">
        <v>0</v>
      </c>
      <c r="K551" s="819">
        <f t="shared" si="120"/>
        <v>744</v>
      </c>
      <c r="L551" s="819">
        <f t="shared" si="121"/>
        <v>1084</v>
      </c>
      <c r="M551" s="819">
        <f t="shared" si="117"/>
        <v>744</v>
      </c>
      <c r="N551" s="819">
        <f t="shared" si="118"/>
        <v>364</v>
      </c>
      <c r="O551" s="819">
        <f t="shared" si="119"/>
        <v>492</v>
      </c>
      <c r="P551" s="819">
        <f t="shared" si="122"/>
        <v>654</v>
      </c>
      <c r="Q551" s="819">
        <f t="shared" si="123"/>
        <v>661</v>
      </c>
      <c r="R551" s="819">
        <f t="shared" si="124"/>
        <v>662</v>
      </c>
      <c r="S551" s="819">
        <f t="shared" si="125"/>
        <v>338</v>
      </c>
      <c r="T551" s="819">
        <f t="shared" si="126"/>
        <v>470</v>
      </c>
      <c r="U551" s="819">
        <f t="shared" si="127"/>
        <v>2785</v>
      </c>
      <c r="V551" s="819">
        <f t="shared" si="128"/>
        <v>463</v>
      </c>
      <c r="W551" s="379">
        <f t="shared" si="129"/>
        <v>463</v>
      </c>
      <c r="X551" s="819" t="str">
        <f t="shared" si="130"/>
        <v/>
      </c>
      <c r="Y551" s="837"/>
      <c r="Z551" s="839"/>
      <c r="AA551" s="838"/>
      <c r="AB551" s="839"/>
    </row>
    <row r="552" spans="1:28" ht="13.15">
      <c r="B552" s="819" t="s">
        <v>1499</v>
      </c>
      <c r="C552" s="819" t="s">
        <v>1500</v>
      </c>
      <c r="D552" s="379" t="s">
        <v>336</v>
      </c>
      <c r="E552" s="818" t="s">
        <v>1199</v>
      </c>
      <c r="F552" s="820">
        <v>2.1859889969999999</v>
      </c>
      <c r="G552" s="821">
        <v>0.673970399</v>
      </c>
      <c r="H552" s="822">
        <v>3680.086191028</v>
      </c>
      <c r="I552" s="819">
        <v>0.94</v>
      </c>
      <c r="J552" s="820">
        <v>-1.0339297000000001E-2</v>
      </c>
      <c r="K552" s="819">
        <f t="shared" si="120"/>
        <v>1676</v>
      </c>
      <c r="L552" s="819">
        <f t="shared" si="121"/>
        <v>884</v>
      </c>
      <c r="M552" s="819">
        <f t="shared" si="117"/>
        <v>1676</v>
      </c>
      <c r="N552" s="819">
        <f t="shared" si="118"/>
        <v>136</v>
      </c>
      <c r="O552" s="819">
        <f t="shared" si="119"/>
        <v>1647</v>
      </c>
      <c r="P552" s="819">
        <f t="shared" si="122"/>
        <v>278</v>
      </c>
      <c r="Q552" s="819">
        <f t="shared" si="123"/>
        <v>461</v>
      </c>
      <c r="R552" s="819">
        <f t="shared" si="124"/>
        <v>1594</v>
      </c>
      <c r="S552" s="819">
        <f t="shared" si="125"/>
        <v>110</v>
      </c>
      <c r="T552" s="819">
        <f t="shared" si="126"/>
        <v>1625</v>
      </c>
      <c r="U552" s="819">
        <f t="shared" si="127"/>
        <v>4068</v>
      </c>
      <c r="V552" s="819">
        <f t="shared" si="128"/>
        <v>1751</v>
      </c>
      <c r="W552" s="379">
        <f t="shared" si="129"/>
        <v>1751</v>
      </c>
      <c r="X552" s="819" t="str">
        <f t="shared" si="130"/>
        <v/>
      </c>
      <c r="Y552" s="837"/>
      <c r="Z552" s="839"/>
      <c r="AA552" s="838"/>
      <c r="AB552" s="839"/>
    </row>
    <row r="553" spans="1:28" ht="14.45">
      <c r="A553" s="816"/>
      <c r="B553" s="819" t="s">
        <v>1501</v>
      </c>
      <c r="C553" s="819" t="s">
        <v>1502</v>
      </c>
      <c r="D553" s="379" t="s">
        <v>336</v>
      </c>
      <c r="E553" s="818" t="s">
        <v>341</v>
      </c>
      <c r="F553" s="820">
        <v>5.3208689649999998</v>
      </c>
      <c r="G553" s="821">
        <v>0</v>
      </c>
      <c r="H553" s="822">
        <v>1944826703.3428199</v>
      </c>
      <c r="I553" s="819">
        <v>1.91</v>
      </c>
      <c r="J553" s="820">
        <v>-7.932049E-3</v>
      </c>
      <c r="K553" s="819">
        <f t="shared" si="120"/>
        <v>149</v>
      </c>
      <c r="L553" s="819">
        <f t="shared" si="121"/>
        <v>1084</v>
      </c>
      <c r="M553" s="819">
        <f t="shared" si="117"/>
        <v>149</v>
      </c>
      <c r="N553" s="819">
        <f t="shared" si="118"/>
        <v>86</v>
      </c>
      <c r="O553" s="819">
        <f t="shared" si="119"/>
        <v>1637</v>
      </c>
      <c r="P553" s="819">
        <f t="shared" si="122"/>
        <v>1249</v>
      </c>
      <c r="Q553" s="819">
        <f t="shared" si="123"/>
        <v>661</v>
      </c>
      <c r="R553" s="819">
        <f t="shared" si="124"/>
        <v>67</v>
      </c>
      <c r="S553" s="819">
        <f t="shared" si="125"/>
        <v>60</v>
      </c>
      <c r="T553" s="819">
        <f t="shared" si="126"/>
        <v>1615</v>
      </c>
      <c r="U553" s="819">
        <f t="shared" si="127"/>
        <v>3652</v>
      </c>
      <c r="V553" s="819">
        <f t="shared" si="128"/>
        <v>1652</v>
      </c>
      <c r="W553" s="379">
        <f t="shared" si="129"/>
        <v>1652</v>
      </c>
      <c r="X553" s="819" t="str">
        <f t="shared" si="130"/>
        <v/>
      </c>
      <c r="Y553" s="837"/>
      <c r="Z553" s="839"/>
      <c r="AA553" s="838"/>
      <c r="AB553" s="839"/>
    </row>
    <row r="554" spans="1:28" ht="13.15">
      <c r="B554" s="819" t="s">
        <v>1503</v>
      </c>
      <c r="C554" s="819" t="s">
        <v>1504</v>
      </c>
      <c r="D554" s="379" t="s">
        <v>336</v>
      </c>
      <c r="E554" s="818" t="s">
        <v>337</v>
      </c>
      <c r="F554" s="820">
        <v>1.4745289260000001</v>
      </c>
      <c r="G554" s="821">
        <v>0.16468096099999999</v>
      </c>
      <c r="H554" s="822">
        <v>282522778.35000002</v>
      </c>
      <c r="I554" s="819"/>
      <c r="J554" s="820">
        <v>-3.872562E-3</v>
      </c>
      <c r="K554" s="819">
        <f t="shared" si="120"/>
        <v>485</v>
      </c>
      <c r="L554" s="819">
        <f t="shared" si="121"/>
        <v>994</v>
      </c>
      <c r="M554" s="819">
        <f t="shared" si="117"/>
        <v>485</v>
      </c>
      <c r="N554" s="819">
        <f t="shared" si="118"/>
        <v>364</v>
      </c>
      <c r="O554" s="819">
        <f t="shared" si="119"/>
        <v>1583</v>
      </c>
      <c r="P554" s="819">
        <f t="shared" si="122"/>
        <v>913</v>
      </c>
      <c r="Q554" s="819">
        <f t="shared" si="123"/>
        <v>571</v>
      </c>
      <c r="R554" s="819">
        <f t="shared" si="124"/>
        <v>403</v>
      </c>
      <c r="S554" s="819">
        <f t="shared" si="125"/>
        <v>338</v>
      </c>
      <c r="T554" s="819">
        <f t="shared" si="126"/>
        <v>1561</v>
      </c>
      <c r="U554" s="819">
        <f t="shared" si="127"/>
        <v>3786</v>
      </c>
      <c r="V554" s="819">
        <f t="shared" si="128"/>
        <v>1708</v>
      </c>
      <c r="W554" s="379">
        <f t="shared" si="129"/>
        <v>1708</v>
      </c>
      <c r="X554" s="819" t="str">
        <f t="shared" si="130"/>
        <v/>
      </c>
      <c r="Y554" s="837"/>
      <c r="Z554" s="839"/>
      <c r="AA554" s="838"/>
      <c r="AB554" s="839"/>
    </row>
    <row r="555" spans="1:28" ht="14.45">
      <c r="A555" s="816"/>
      <c r="B555" s="819" t="s">
        <v>1505</v>
      </c>
      <c r="C555" s="819" t="s">
        <v>1506</v>
      </c>
      <c r="D555" s="379" t="s">
        <v>336</v>
      </c>
      <c r="E555" s="818" t="s">
        <v>1507</v>
      </c>
      <c r="F555" s="820">
        <v>-0.71738956499999995</v>
      </c>
      <c r="G555" s="821">
        <v>-13.78885049</v>
      </c>
      <c r="H555" s="822">
        <v>414205550.46728998</v>
      </c>
      <c r="I555" s="819"/>
      <c r="J555" s="820">
        <v>7.7928700000000004E-4</v>
      </c>
      <c r="K555" s="819">
        <f t="shared" si="120"/>
        <v>399</v>
      </c>
      <c r="L555" s="819">
        <f t="shared" si="121"/>
        <v>1469</v>
      </c>
      <c r="M555" s="819">
        <f t="shared" si="117"/>
        <v>399</v>
      </c>
      <c r="N555" s="819">
        <f t="shared" si="118"/>
        <v>364</v>
      </c>
      <c r="O555" s="819">
        <f t="shared" si="119"/>
        <v>189</v>
      </c>
      <c r="P555" s="819">
        <f t="shared" si="122"/>
        <v>999</v>
      </c>
      <c r="Q555" s="819">
        <f t="shared" si="123"/>
        <v>1046</v>
      </c>
      <c r="R555" s="819">
        <f t="shared" si="124"/>
        <v>317</v>
      </c>
      <c r="S555" s="819">
        <f t="shared" si="125"/>
        <v>338</v>
      </c>
      <c r="T555" s="819">
        <f t="shared" si="126"/>
        <v>167</v>
      </c>
      <c r="U555" s="819">
        <f t="shared" si="127"/>
        <v>2867</v>
      </c>
      <c r="V555" s="819">
        <f t="shared" si="128"/>
        <v>749</v>
      </c>
      <c r="W555" s="379">
        <f t="shared" si="129"/>
        <v>749</v>
      </c>
      <c r="X555" s="819" t="str">
        <f t="shared" si="130"/>
        <v/>
      </c>
      <c r="Y555" s="837"/>
      <c r="Z555" s="839"/>
      <c r="AA555" s="838"/>
      <c r="AB555" s="839"/>
    </row>
    <row r="556" spans="1:28" ht="13.15">
      <c r="B556" s="819" t="s">
        <v>1508</v>
      </c>
      <c r="C556" s="819" t="s">
        <v>1509</v>
      </c>
      <c r="D556" s="379" t="s">
        <v>336</v>
      </c>
      <c r="E556" s="818" t="s">
        <v>460</v>
      </c>
      <c r="F556" s="820">
        <v>2.837652667</v>
      </c>
      <c r="G556" s="821">
        <v>-6.0802552350000001</v>
      </c>
      <c r="H556" s="822">
        <v>2614899.2318082098</v>
      </c>
      <c r="I556" s="819"/>
      <c r="J556" s="820">
        <v>8.4294699999999998E-5</v>
      </c>
      <c r="K556" s="819">
        <f t="shared" si="120"/>
        <v>1465</v>
      </c>
      <c r="L556" s="819">
        <f t="shared" si="121"/>
        <v>1420</v>
      </c>
      <c r="M556" s="819">
        <f t="shared" si="117"/>
        <v>1465</v>
      </c>
      <c r="N556" s="819">
        <f t="shared" si="118"/>
        <v>364</v>
      </c>
      <c r="O556" s="819">
        <f t="shared" si="119"/>
        <v>307</v>
      </c>
      <c r="P556" s="819">
        <f t="shared" si="122"/>
        <v>67</v>
      </c>
      <c r="Q556" s="819">
        <f t="shared" si="123"/>
        <v>997</v>
      </c>
      <c r="R556" s="819">
        <f t="shared" si="124"/>
        <v>1383</v>
      </c>
      <c r="S556" s="819">
        <f t="shared" si="125"/>
        <v>338</v>
      </c>
      <c r="T556" s="819">
        <f t="shared" si="126"/>
        <v>285</v>
      </c>
      <c r="U556" s="819">
        <f t="shared" si="127"/>
        <v>3070</v>
      </c>
      <c r="V556" s="819">
        <f t="shared" si="128"/>
        <v>1015</v>
      </c>
      <c r="W556" s="379">
        <f t="shared" si="129"/>
        <v>1015</v>
      </c>
      <c r="X556" s="819" t="str">
        <f t="shared" si="130"/>
        <v/>
      </c>
      <c r="Y556" s="837"/>
      <c r="Z556" s="839"/>
      <c r="AA556" s="838"/>
      <c r="AB556" s="839"/>
    </row>
    <row r="557" spans="1:28" ht="14.45">
      <c r="A557" s="816"/>
      <c r="B557" s="819" t="s">
        <v>1510</v>
      </c>
      <c r="C557" s="819" t="s">
        <v>1511</v>
      </c>
      <c r="D557" s="379" t="s">
        <v>336</v>
      </c>
      <c r="E557" s="818" t="s">
        <v>460</v>
      </c>
      <c r="F557" s="820">
        <v>1.891403041</v>
      </c>
      <c r="G557" s="821">
        <v>4.5376685E-2</v>
      </c>
      <c r="H557" s="822">
        <v>46456762.749445699</v>
      </c>
      <c r="I557" s="819">
        <v>0.46</v>
      </c>
      <c r="J557" s="820">
        <v>-4.6428390000000002E-3</v>
      </c>
      <c r="K557" s="819">
        <f t="shared" si="120"/>
        <v>890</v>
      </c>
      <c r="L557" s="819">
        <f t="shared" si="121"/>
        <v>1046</v>
      </c>
      <c r="M557" s="819">
        <f t="shared" si="117"/>
        <v>890</v>
      </c>
      <c r="N557" s="819">
        <f t="shared" si="118"/>
        <v>170</v>
      </c>
      <c r="O557" s="819">
        <f t="shared" si="119"/>
        <v>1595</v>
      </c>
      <c r="P557" s="819">
        <f t="shared" si="122"/>
        <v>508</v>
      </c>
      <c r="Q557" s="819">
        <f t="shared" si="123"/>
        <v>623</v>
      </c>
      <c r="R557" s="819">
        <f t="shared" si="124"/>
        <v>808</v>
      </c>
      <c r="S557" s="819">
        <f t="shared" si="125"/>
        <v>144</v>
      </c>
      <c r="T557" s="819">
        <f t="shared" si="126"/>
        <v>1573</v>
      </c>
      <c r="U557" s="819">
        <f t="shared" si="127"/>
        <v>3656</v>
      </c>
      <c r="V557" s="819">
        <f t="shared" si="128"/>
        <v>1658</v>
      </c>
      <c r="W557" s="379">
        <f t="shared" si="129"/>
        <v>1658</v>
      </c>
      <c r="X557" s="819" t="str">
        <f t="shared" si="130"/>
        <v/>
      </c>
      <c r="Y557" s="837"/>
      <c r="Z557" s="839"/>
      <c r="AA557" s="838"/>
      <c r="AB557" s="839"/>
    </row>
    <row r="558" spans="1:28" ht="13.15">
      <c r="B558" s="819" t="s">
        <v>1512</v>
      </c>
      <c r="C558" s="819" t="s">
        <v>1513</v>
      </c>
      <c r="D558" s="379" t="s">
        <v>336</v>
      </c>
      <c r="E558" s="818" t="s">
        <v>418</v>
      </c>
      <c r="F558" s="820">
        <v>1.7208865529999999</v>
      </c>
      <c r="G558" s="821">
        <v>47.140455039999999</v>
      </c>
      <c r="H558" s="822">
        <v>1651070475.82055</v>
      </c>
      <c r="I558" s="819"/>
      <c r="J558" s="820">
        <v>-4.58577E-5</v>
      </c>
      <c r="K558" s="819">
        <f t="shared" si="120"/>
        <v>170</v>
      </c>
      <c r="L558" s="819">
        <f t="shared" si="121"/>
        <v>38</v>
      </c>
      <c r="M558" s="819">
        <f t="shared" si="117"/>
        <v>170</v>
      </c>
      <c r="N558" s="819">
        <f t="shared" si="118"/>
        <v>364</v>
      </c>
      <c r="O558" s="819">
        <f t="shared" si="119"/>
        <v>911</v>
      </c>
      <c r="P558" s="819">
        <f t="shared" si="122"/>
        <v>1228</v>
      </c>
      <c r="Q558" s="819">
        <f t="shared" si="123"/>
        <v>385</v>
      </c>
      <c r="R558" s="819">
        <f t="shared" si="124"/>
        <v>88</v>
      </c>
      <c r="S558" s="819">
        <f t="shared" si="125"/>
        <v>338</v>
      </c>
      <c r="T558" s="819">
        <f t="shared" si="126"/>
        <v>889</v>
      </c>
      <c r="U558" s="819">
        <f t="shared" si="127"/>
        <v>2928</v>
      </c>
      <c r="V558" s="819">
        <f t="shared" si="128"/>
        <v>844</v>
      </c>
      <c r="W558" s="379">
        <f t="shared" si="129"/>
        <v>844</v>
      </c>
      <c r="X558" s="819" t="str">
        <f t="shared" si="130"/>
        <v/>
      </c>
      <c r="Y558" s="837"/>
      <c r="Z558" s="839"/>
      <c r="AA558" s="838"/>
      <c r="AB558" s="839"/>
    </row>
    <row r="559" spans="1:28" ht="14.45">
      <c r="A559" s="816"/>
      <c r="B559" s="819" t="s">
        <v>1514</v>
      </c>
      <c r="C559" s="819" t="s">
        <v>1515</v>
      </c>
      <c r="D559" s="379" t="s">
        <v>336</v>
      </c>
      <c r="E559" s="818" t="s">
        <v>418</v>
      </c>
      <c r="F559" s="820">
        <v>4.4453831539999999</v>
      </c>
      <c r="G559" s="821">
        <v>33.495359100000002</v>
      </c>
      <c r="H559" s="822">
        <v>54760147.601475999</v>
      </c>
      <c r="I559" s="819"/>
      <c r="J559" s="820">
        <v>-1.22223E-5</v>
      </c>
      <c r="K559" s="819">
        <f t="shared" si="120"/>
        <v>855</v>
      </c>
      <c r="L559" s="819">
        <f t="shared" si="121"/>
        <v>53</v>
      </c>
      <c r="M559" s="819">
        <f t="shared" si="117"/>
        <v>855</v>
      </c>
      <c r="N559" s="819">
        <f t="shared" si="118"/>
        <v>364</v>
      </c>
      <c r="O559" s="819">
        <f t="shared" si="119"/>
        <v>819</v>
      </c>
      <c r="P559" s="819">
        <f t="shared" si="122"/>
        <v>543</v>
      </c>
      <c r="Q559" s="819">
        <f t="shared" si="123"/>
        <v>370</v>
      </c>
      <c r="R559" s="819">
        <f t="shared" si="124"/>
        <v>773</v>
      </c>
      <c r="S559" s="819">
        <f t="shared" si="125"/>
        <v>338</v>
      </c>
      <c r="T559" s="819">
        <f t="shared" si="126"/>
        <v>797</v>
      </c>
      <c r="U559" s="819">
        <f t="shared" si="127"/>
        <v>2821</v>
      </c>
      <c r="V559" s="819">
        <f t="shared" si="128"/>
        <v>663</v>
      </c>
      <c r="W559" s="379">
        <f t="shared" si="129"/>
        <v>663</v>
      </c>
      <c r="X559" s="819" t="str">
        <f t="shared" si="130"/>
        <v/>
      </c>
      <c r="Y559" s="837"/>
      <c r="Z559" s="839"/>
      <c r="AA559" s="838"/>
      <c r="AB559" s="839"/>
    </row>
    <row r="560" spans="1:28" ht="13.15">
      <c r="B560" s="819" t="s">
        <v>1516</v>
      </c>
      <c r="C560" s="819" t="s">
        <v>1517</v>
      </c>
      <c r="D560" s="379" t="s">
        <v>336</v>
      </c>
      <c r="E560" s="818" t="s">
        <v>418</v>
      </c>
      <c r="F560" s="820">
        <v>1.3002640510000001</v>
      </c>
      <c r="G560" s="821">
        <v>10.50305914</v>
      </c>
      <c r="H560" s="822">
        <v>10207758.788114199</v>
      </c>
      <c r="I560" s="819"/>
      <c r="J560" s="820">
        <v>-6.8209100000000001E-4</v>
      </c>
      <c r="K560" s="819">
        <f t="shared" si="120"/>
        <v>1251</v>
      </c>
      <c r="L560" s="819">
        <f t="shared" si="121"/>
        <v>186</v>
      </c>
      <c r="M560" s="819">
        <f t="shared" si="117"/>
        <v>1251</v>
      </c>
      <c r="N560" s="819">
        <f t="shared" si="118"/>
        <v>364</v>
      </c>
      <c r="O560" s="819">
        <f t="shared" si="119"/>
        <v>1340</v>
      </c>
      <c r="P560" s="819">
        <f t="shared" si="122"/>
        <v>147</v>
      </c>
      <c r="Q560" s="819">
        <f t="shared" si="123"/>
        <v>237</v>
      </c>
      <c r="R560" s="819">
        <f t="shared" si="124"/>
        <v>1169</v>
      </c>
      <c r="S560" s="819">
        <f t="shared" si="125"/>
        <v>338</v>
      </c>
      <c r="T560" s="819">
        <f t="shared" si="126"/>
        <v>1318</v>
      </c>
      <c r="U560" s="819">
        <f t="shared" si="127"/>
        <v>3209</v>
      </c>
      <c r="V560" s="819">
        <f t="shared" si="128"/>
        <v>1208</v>
      </c>
      <c r="W560" s="379">
        <f t="shared" si="129"/>
        <v>1208</v>
      </c>
      <c r="X560" s="819" t="str">
        <f t="shared" si="130"/>
        <v/>
      </c>
      <c r="Y560" s="837"/>
      <c r="Z560" s="839"/>
      <c r="AA560" s="838"/>
      <c r="AB560" s="839"/>
    </row>
    <row r="561" spans="1:28" ht="14.45">
      <c r="A561" s="816"/>
      <c r="B561" s="819" t="s">
        <v>1518</v>
      </c>
      <c r="C561" s="819" t="s">
        <v>1519</v>
      </c>
      <c r="D561" s="379" t="s">
        <v>336</v>
      </c>
      <c r="E561" s="818" t="s">
        <v>418</v>
      </c>
      <c r="F561" s="820">
        <v>1.2756625690000001</v>
      </c>
      <c r="G561" s="821">
        <v>1.352149125</v>
      </c>
      <c r="H561" s="822">
        <v>101742474.266848</v>
      </c>
      <c r="I561" s="819"/>
      <c r="J561" s="820">
        <v>-2.7244769999999999E-3</v>
      </c>
      <c r="K561" s="819">
        <f t="shared" si="120"/>
        <v>720</v>
      </c>
      <c r="L561" s="819">
        <f t="shared" si="121"/>
        <v>762</v>
      </c>
      <c r="M561" s="819">
        <f t="shared" si="117"/>
        <v>720</v>
      </c>
      <c r="N561" s="819">
        <f t="shared" si="118"/>
        <v>364</v>
      </c>
      <c r="O561" s="819">
        <f t="shared" si="119"/>
        <v>1536</v>
      </c>
      <c r="P561" s="819">
        <f t="shared" si="122"/>
        <v>678</v>
      </c>
      <c r="Q561" s="819">
        <f t="shared" si="123"/>
        <v>339</v>
      </c>
      <c r="R561" s="819">
        <f t="shared" si="124"/>
        <v>638</v>
      </c>
      <c r="S561" s="819">
        <f t="shared" si="125"/>
        <v>338</v>
      </c>
      <c r="T561" s="819">
        <f t="shared" si="126"/>
        <v>1514</v>
      </c>
      <c r="U561" s="819">
        <f t="shared" si="127"/>
        <v>3507</v>
      </c>
      <c r="V561" s="819">
        <f t="shared" si="128"/>
        <v>1558</v>
      </c>
      <c r="W561" s="379">
        <f t="shared" si="129"/>
        <v>1558</v>
      </c>
      <c r="X561" s="819" t="str">
        <f t="shared" si="130"/>
        <v/>
      </c>
      <c r="Y561" s="837"/>
      <c r="Z561" s="839"/>
      <c r="AA561" s="838"/>
      <c r="AB561" s="839"/>
    </row>
    <row r="562" spans="1:28" ht="13.15">
      <c r="B562" s="819" t="s">
        <v>1520</v>
      </c>
      <c r="C562" s="819" t="s">
        <v>1521</v>
      </c>
      <c r="D562" s="379" t="s">
        <v>336</v>
      </c>
      <c r="E562" s="818" t="s">
        <v>441</v>
      </c>
      <c r="F562" s="820">
        <v>3.1069581209999999</v>
      </c>
      <c r="G562" s="821">
        <v>8.2746329299999992</v>
      </c>
      <c r="H562" s="822">
        <v>676778056.29756498</v>
      </c>
      <c r="I562" s="819">
        <v>0.87</v>
      </c>
      <c r="J562" s="820">
        <v>-3.6178730000000002E-3</v>
      </c>
      <c r="K562" s="819">
        <f t="shared" si="120"/>
        <v>291</v>
      </c>
      <c r="L562" s="819">
        <f t="shared" si="121"/>
        <v>250</v>
      </c>
      <c r="M562" s="819">
        <f t="shared" si="117"/>
        <v>291</v>
      </c>
      <c r="N562" s="819">
        <f t="shared" si="118"/>
        <v>138</v>
      </c>
      <c r="O562" s="819">
        <f t="shared" si="119"/>
        <v>1572</v>
      </c>
      <c r="P562" s="819">
        <f t="shared" si="122"/>
        <v>1107</v>
      </c>
      <c r="Q562" s="819">
        <f t="shared" si="123"/>
        <v>173</v>
      </c>
      <c r="R562" s="819">
        <f t="shared" si="124"/>
        <v>209</v>
      </c>
      <c r="S562" s="819">
        <f t="shared" si="125"/>
        <v>112</v>
      </c>
      <c r="T562" s="819">
        <f t="shared" si="126"/>
        <v>1550</v>
      </c>
      <c r="U562" s="819">
        <f t="shared" si="127"/>
        <v>3151</v>
      </c>
      <c r="V562" s="819">
        <f t="shared" si="128"/>
        <v>1126</v>
      </c>
      <c r="W562" s="379">
        <f t="shared" si="129"/>
        <v>1126</v>
      </c>
      <c r="X562" s="819" t="str">
        <f t="shared" si="130"/>
        <v/>
      </c>
      <c r="Y562" s="837"/>
      <c r="Z562" s="839"/>
      <c r="AA562" s="838"/>
      <c r="AB562" s="839"/>
    </row>
    <row r="563" spans="1:28" ht="14.45">
      <c r="A563" s="816"/>
      <c r="B563" s="819" t="s">
        <v>1522</v>
      </c>
      <c r="C563" s="819" t="s">
        <v>1523</v>
      </c>
      <c r="D563" s="379" t="s">
        <v>336</v>
      </c>
      <c r="E563" s="818" t="s">
        <v>409</v>
      </c>
      <c r="F563" s="820">
        <v>2.8935842350000001</v>
      </c>
      <c r="G563" s="821">
        <v>0.77186409600000006</v>
      </c>
      <c r="H563" s="822">
        <v>287237534.22075599</v>
      </c>
      <c r="I563" s="819"/>
      <c r="J563" s="820">
        <v>-5.7324000000000003E-4</v>
      </c>
      <c r="K563" s="819">
        <f t="shared" si="120"/>
        <v>484</v>
      </c>
      <c r="L563" s="819">
        <f t="shared" si="121"/>
        <v>857</v>
      </c>
      <c r="M563" s="819">
        <f t="shared" si="117"/>
        <v>484</v>
      </c>
      <c r="N563" s="819">
        <f t="shared" si="118"/>
        <v>364</v>
      </c>
      <c r="O563" s="819">
        <f t="shared" si="119"/>
        <v>1298</v>
      </c>
      <c r="P563" s="819">
        <f t="shared" si="122"/>
        <v>914</v>
      </c>
      <c r="Q563" s="819">
        <f t="shared" si="123"/>
        <v>434</v>
      </c>
      <c r="R563" s="819">
        <f t="shared" si="124"/>
        <v>402</v>
      </c>
      <c r="S563" s="819">
        <f t="shared" si="125"/>
        <v>338</v>
      </c>
      <c r="T563" s="819">
        <f t="shared" si="126"/>
        <v>1276</v>
      </c>
      <c r="U563" s="819">
        <f t="shared" si="127"/>
        <v>3364</v>
      </c>
      <c r="V563" s="819">
        <f t="shared" si="128"/>
        <v>1425</v>
      </c>
      <c r="W563" s="379">
        <f t="shared" si="129"/>
        <v>1425</v>
      </c>
      <c r="X563" s="819" t="str">
        <f t="shared" si="130"/>
        <v/>
      </c>
      <c r="Y563" s="837"/>
      <c r="Z563" s="839"/>
      <c r="AA563" s="838"/>
      <c r="AB563" s="839"/>
    </row>
    <row r="564" spans="1:28" ht="13.15">
      <c r="B564" s="819" t="s">
        <v>1524</v>
      </c>
      <c r="C564" s="819" t="s">
        <v>1525</v>
      </c>
      <c r="D564" s="379" t="s">
        <v>336</v>
      </c>
      <c r="E564" s="818" t="s">
        <v>685</v>
      </c>
      <c r="F564" s="820">
        <v>1.5335119370000001</v>
      </c>
      <c r="G564" s="821">
        <v>0.68834536000000002</v>
      </c>
      <c r="H564" s="822">
        <v>17062984.169754099</v>
      </c>
      <c r="I564" s="819">
        <v>0.02</v>
      </c>
      <c r="J564" s="820">
        <v>-9.0416599999999998E-4</v>
      </c>
      <c r="K564" s="819">
        <f t="shared" si="120"/>
        <v>1136</v>
      </c>
      <c r="L564" s="819">
        <f t="shared" si="121"/>
        <v>876</v>
      </c>
      <c r="M564" s="819">
        <f t="shared" si="117"/>
        <v>1136</v>
      </c>
      <c r="N564" s="819">
        <f t="shared" si="118"/>
        <v>337</v>
      </c>
      <c r="O564" s="819">
        <f t="shared" si="119"/>
        <v>1380</v>
      </c>
      <c r="P564" s="819">
        <f t="shared" si="122"/>
        <v>262</v>
      </c>
      <c r="Q564" s="819">
        <f t="shared" si="123"/>
        <v>453</v>
      </c>
      <c r="R564" s="819">
        <f t="shared" si="124"/>
        <v>1054</v>
      </c>
      <c r="S564" s="819">
        <f t="shared" si="125"/>
        <v>311</v>
      </c>
      <c r="T564" s="819">
        <f t="shared" si="126"/>
        <v>1358</v>
      </c>
      <c r="U564" s="819">
        <f t="shared" si="127"/>
        <v>3438</v>
      </c>
      <c r="V564" s="819">
        <f t="shared" si="128"/>
        <v>1496</v>
      </c>
      <c r="W564" s="379">
        <f t="shared" si="129"/>
        <v>1496</v>
      </c>
      <c r="X564" s="819" t="str">
        <f t="shared" si="130"/>
        <v/>
      </c>
      <c r="Y564" s="837"/>
      <c r="Z564" s="839"/>
      <c r="AA564" s="838"/>
      <c r="AB564" s="839"/>
    </row>
    <row r="565" spans="1:28" ht="14.45">
      <c r="A565" s="816"/>
      <c r="B565" s="819" t="s">
        <v>1526</v>
      </c>
      <c r="C565" s="819" t="s">
        <v>1527</v>
      </c>
      <c r="D565" s="379" t="s">
        <v>336</v>
      </c>
      <c r="E565" s="818" t="s">
        <v>676</v>
      </c>
      <c r="F565" s="820">
        <v>3.4369852500000002</v>
      </c>
      <c r="G565" s="821">
        <v>0.22112546199999999</v>
      </c>
      <c r="H565" s="822">
        <v>185672970.28509399</v>
      </c>
      <c r="I565" s="819"/>
      <c r="J565" s="820">
        <v>-1.12119E-4</v>
      </c>
      <c r="K565" s="819">
        <f t="shared" si="120"/>
        <v>589</v>
      </c>
      <c r="L565" s="819">
        <f t="shared" si="121"/>
        <v>980</v>
      </c>
      <c r="M565" s="819">
        <f t="shared" si="117"/>
        <v>589</v>
      </c>
      <c r="N565" s="819">
        <f t="shared" si="118"/>
        <v>364</v>
      </c>
      <c r="O565" s="819">
        <f t="shared" si="119"/>
        <v>1020</v>
      </c>
      <c r="P565" s="819">
        <f t="shared" si="122"/>
        <v>809</v>
      </c>
      <c r="Q565" s="819">
        <f t="shared" si="123"/>
        <v>557</v>
      </c>
      <c r="R565" s="819">
        <f t="shared" si="124"/>
        <v>507</v>
      </c>
      <c r="S565" s="819">
        <f t="shared" si="125"/>
        <v>338</v>
      </c>
      <c r="T565" s="819">
        <f t="shared" si="126"/>
        <v>998</v>
      </c>
      <c r="U565" s="819">
        <f t="shared" si="127"/>
        <v>3209</v>
      </c>
      <c r="V565" s="819">
        <f t="shared" si="128"/>
        <v>1208</v>
      </c>
      <c r="W565" s="379">
        <f t="shared" si="129"/>
        <v>1208</v>
      </c>
      <c r="X565" s="819" t="str">
        <f t="shared" si="130"/>
        <v/>
      </c>
      <c r="Y565" s="837"/>
      <c r="Z565" s="839"/>
      <c r="AA565" s="838"/>
      <c r="AB565" s="839"/>
    </row>
    <row r="566" spans="1:28" ht="13.15">
      <c r="B566" s="819" t="s">
        <v>1528</v>
      </c>
      <c r="C566" s="819" t="s">
        <v>1529</v>
      </c>
      <c r="D566" s="379" t="s">
        <v>336</v>
      </c>
      <c r="E566" s="818" t="s">
        <v>842</v>
      </c>
      <c r="F566" s="820">
        <v>0.71235356000000005</v>
      </c>
      <c r="G566" s="821">
        <v>-3.3702599499999999</v>
      </c>
      <c r="H566" s="822">
        <v>1413075.0988142299</v>
      </c>
      <c r="I566" s="819"/>
      <c r="J566" s="820">
        <v>2.3651169999999999E-3</v>
      </c>
      <c r="K566" s="819">
        <f t="shared" si="120"/>
        <v>1533</v>
      </c>
      <c r="L566" s="819">
        <f t="shared" si="121"/>
        <v>1380</v>
      </c>
      <c r="M566" s="819">
        <f t="shared" si="117"/>
        <v>1533</v>
      </c>
      <c r="N566" s="819">
        <f t="shared" si="118"/>
        <v>364</v>
      </c>
      <c r="O566" s="819">
        <f t="shared" si="119"/>
        <v>159</v>
      </c>
      <c r="P566" s="819">
        <f t="shared" si="122"/>
        <v>135</v>
      </c>
      <c r="Q566" s="819">
        <f t="shared" si="123"/>
        <v>957</v>
      </c>
      <c r="R566" s="819">
        <f t="shared" si="124"/>
        <v>1451</v>
      </c>
      <c r="S566" s="819">
        <f t="shared" si="125"/>
        <v>338</v>
      </c>
      <c r="T566" s="819">
        <f t="shared" si="126"/>
        <v>137</v>
      </c>
      <c r="U566" s="819">
        <f t="shared" si="127"/>
        <v>3018</v>
      </c>
      <c r="V566" s="819">
        <f t="shared" si="128"/>
        <v>949</v>
      </c>
      <c r="W566" s="379">
        <f t="shared" si="129"/>
        <v>949</v>
      </c>
      <c r="X566" s="819" t="str">
        <f t="shared" si="130"/>
        <v/>
      </c>
      <c r="Y566" s="837"/>
      <c r="Z566" s="839"/>
      <c r="AA566" s="838"/>
      <c r="AB566" s="839"/>
    </row>
    <row r="567" spans="1:28" ht="14.45">
      <c r="A567" s="816"/>
      <c r="B567" s="819" t="s">
        <v>1530</v>
      </c>
      <c r="C567" s="819" t="s">
        <v>1531</v>
      </c>
      <c r="D567" s="379" t="s">
        <v>336</v>
      </c>
      <c r="E567" s="818" t="s">
        <v>789</v>
      </c>
      <c r="F567" s="820">
        <v>3.0550240149999999</v>
      </c>
      <c r="G567" s="821">
        <v>2.488264901</v>
      </c>
      <c r="H567" s="822">
        <v>76387800.466525495</v>
      </c>
      <c r="I567" s="819"/>
      <c r="J567" s="820">
        <v>-1.140772E-3</v>
      </c>
      <c r="K567" s="819">
        <f t="shared" si="120"/>
        <v>781</v>
      </c>
      <c r="L567" s="819">
        <f t="shared" si="121"/>
        <v>603</v>
      </c>
      <c r="M567" s="819">
        <f t="shared" si="117"/>
        <v>781</v>
      </c>
      <c r="N567" s="819">
        <f t="shared" si="118"/>
        <v>364</v>
      </c>
      <c r="O567" s="819">
        <f t="shared" si="119"/>
        <v>1421</v>
      </c>
      <c r="P567" s="819">
        <f t="shared" si="122"/>
        <v>617</v>
      </c>
      <c r="Q567" s="819">
        <f t="shared" si="123"/>
        <v>180</v>
      </c>
      <c r="R567" s="819">
        <f t="shared" si="124"/>
        <v>699</v>
      </c>
      <c r="S567" s="819">
        <f t="shared" si="125"/>
        <v>338</v>
      </c>
      <c r="T567" s="819">
        <f t="shared" si="126"/>
        <v>1399</v>
      </c>
      <c r="U567" s="819">
        <f t="shared" si="127"/>
        <v>3233</v>
      </c>
      <c r="V567" s="819">
        <f t="shared" si="128"/>
        <v>1243</v>
      </c>
      <c r="W567" s="379">
        <f t="shared" si="129"/>
        <v>1243</v>
      </c>
      <c r="X567" s="819" t="str">
        <f t="shared" si="130"/>
        <v/>
      </c>
      <c r="Y567" s="837"/>
      <c r="Z567" s="839"/>
      <c r="AA567" s="838"/>
      <c r="AB567" s="839"/>
    </row>
    <row r="568" spans="1:28" ht="13.15">
      <c r="B568" s="819" t="s">
        <v>1532</v>
      </c>
      <c r="C568" s="819" t="s">
        <v>1533</v>
      </c>
      <c r="D568" s="379" t="s">
        <v>336</v>
      </c>
      <c r="E568" s="818" t="s">
        <v>337</v>
      </c>
      <c r="F568" s="820">
        <v>1.8871080440000001</v>
      </c>
      <c r="G568" s="821">
        <v>3.2895257519999999</v>
      </c>
      <c r="H568" s="822">
        <v>66963054.560000002</v>
      </c>
      <c r="I568" s="819">
        <v>7.0000000000000007E-2</v>
      </c>
      <c r="J568" s="820">
        <v>-7.6993236000000007E-2</v>
      </c>
      <c r="K568" s="819">
        <f t="shared" si="120"/>
        <v>813</v>
      </c>
      <c r="L568" s="819">
        <f t="shared" si="121"/>
        <v>525</v>
      </c>
      <c r="M568" s="819">
        <f t="shared" si="117"/>
        <v>813</v>
      </c>
      <c r="N568" s="819">
        <f t="shared" si="118"/>
        <v>293</v>
      </c>
      <c r="O568" s="819">
        <f t="shared" si="119"/>
        <v>1745</v>
      </c>
      <c r="P568" s="819">
        <f t="shared" si="122"/>
        <v>585</v>
      </c>
      <c r="Q568" s="819">
        <f t="shared" si="123"/>
        <v>102</v>
      </c>
      <c r="R568" s="819">
        <f t="shared" si="124"/>
        <v>731</v>
      </c>
      <c r="S568" s="819">
        <f t="shared" si="125"/>
        <v>267</v>
      </c>
      <c r="T568" s="819">
        <f t="shared" si="126"/>
        <v>1723</v>
      </c>
      <c r="U568" s="819">
        <f t="shared" si="127"/>
        <v>3408</v>
      </c>
      <c r="V568" s="819">
        <f t="shared" si="128"/>
        <v>1470</v>
      </c>
      <c r="W568" s="379">
        <f t="shared" si="129"/>
        <v>1470</v>
      </c>
      <c r="X568" s="819" t="str">
        <f t="shared" si="130"/>
        <v/>
      </c>
      <c r="Y568" s="837"/>
      <c r="Z568" s="839"/>
      <c r="AA568" s="838"/>
      <c r="AB568" s="839"/>
    </row>
    <row r="569" spans="1:28" ht="14.45">
      <c r="A569" s="816"/>
      <c r="B569" s="819" t="s">
        <v>1534</v>
      </c>
      <c r="C569" s="819" t="s">
        <v>1535</v>
      </c>
      <c r="D569" s="379" t="s">
        <v>336</v>
      </c>
      <c r="E569" s="818" t="s">
        <v>625</v>
      </c>
      <c r="F569" s="820">
        <v>1.1894834030000001</v>
      </c>
      <c r="G569" s="821">
        <v>1.2228022549999999</v>
      </c>
      <c r="H569" s="822">
        <v>3378130714.6168098</v>
      </c>
      <c r="I569" s="819">
        <v>0</v>
      </c>
      <c r="J569" s="820">
        <v>-3.8696599999999998E-4</v>
      </c>
      <c r="K569" s="819">
        <f t="shared" si="120"/>
        <v>96</v>
      </c>
      <c r="L569" s="819">
        <f t="shared" si="121"/>
        <v>777</v>
      </c>
      <c r="M569" s="819">
        <f t="shared" si="117"/>
        <v>96</v>
      </c>
      <c r="N569" s="819">
        <f t="shared" si="118"/>
        <v>364</v>
      </c>
      <c r="O569" s="819">
        <f t="shared" si="119"/>
        <v>1215</v>
      </c>
      <c r="P569" s="819">
        <f t="shared" si="122"/>
        <v>1302</v>
      </c>
      <c r="Q569" s="819">
        <f t="shared" si="123"/>
        <v>354</v>
      </c>
      <c r="R569" s="819">
        <f t="shared" si="124"/>
        <v>14</v>
      </c>
      <c r="S569" s="819">
        <f t="shared" si="125"/>
        <v>338</v>
      </c>
      <c r="T569" s="819">
        <f t="shared" si="126"/>
        <v>1193</v>
      </c>
      <c r="U569" s="819">
        <f t="shared" si="127"/>
        <v>3201</v>
      </c>
      <c r="V569" s="819">
        <f t="shared" si="128"/>
        <v>1195</v>
      </c>
      <c r="W569" s="379">
        <f t="shared" si="129"/>
        <v>1195</v>
      </c>
      <c r="X569" s="819" t="str">
        <f t="shared" si="130"/>
        <v/>
      </c>
      <c r="Y569" s="837"/>
      <c r="Z569" s="839"/>
      <c r="AA569" s="838"/>
      <c r="AB569" s="839"/>
    </row>
    <row r="570" spans="1:28" ht="13.15">
      <c r="B570" s="819" t="s">
        <v>1536</v>
      </c>
      <c r="C570" s="819" t="s">
        <v>1537</v>
      </c>
      <c r="D570" s="379" t="s">
        <v>336</v>
      </c>
      <c r="E570" s="818" t="s">
        <v>600</v>
      </c>
      <c r="F570" s="820">
        <v>1.231286801</v>
      </c>
      <c r="G570" s="821">
        <v>-6.7781055229999998</v>
      </c>
      <c r="H570" s="822">
        <v>55896976.360020697</v>
      </c>
      <c r="I570" s="819"/>
      <c r="J570" s="820">
        <v>2.5619929999999998E-3</v>
      </c>
      <c r="K570" s="819">
        <f t="shared" si="120"/>
        <v>850</v>
      </c>
      <c r="L570" s="819">
        <f t="shared" si="121"/>
        <v>1427</v>
      </c>
      <c r="M570" s="819">
        <f t="shared" si="117"/>
        <v>850</v>
      </c>
      <c r="N570" s="819">
        <f t="shared" si="118"/>
        <v>364</v>
      </c>
      <c r="O570" s="819">
        <f t="shared" si="119"/>
        <v>158</v>
      </c>
      <c r="P570" s="819">
        <f t="shared" si="122"/>
        <v>548</v>
      </c>
      <c r="Q570" s="819">
        <f t="shared" si="123"/>
        <v>1004</v>
      </c>
      <c r="R570" s="819">
        <f t="shared" si="124"/>
        <v>768</v>
      </c>
      <c r="S570" s="819">
        <f t="shared" si="125"/>
        <v>338</v>
      </c>
      <c r="T570" s="819">
        <f t="shared" si="126"/>
        <v>136</v>
      </c>
      <c r="U570" s="819">
        <f t="shared" si="127"/>
        <v>2794</v>
      </c>
      <c r="V570" s="819">
        <f t="shared" si="128"/>
        <v>617</v>
      </c>
      <c r="W570" s="379">
        <f t="shared" si="129"/>
        <v>617</v>
      </c>
      <c r="X570" s="819" t="str">
        <f t="shared" si="130"/>
        <v/>
      </c>
      <c r="Y570" s="837"/>
      <c r="Z570" s="839"/>
      <c r="AA570" s="838"/>
      <c r="AB570" s="839"/>
    </row>
    <row r="571" spans="1:28" ht="14.45">
      <c r="A571" s="816"/>
      <c r="B571" s="819" t="s">
        <v>1538</v>
      </c>
      <c r="C571" s="819" t="s">
        <v>1539</v>
      </c>
      <c r="D571" s="379" t="s">
        <v>336</v>
      </c>
      <c r="E571" s="818" t="s">
        <v>915</v>
      </c>
      <c r="F571" s="820">
        <v>1.7804020549999999</v>
      </c>
      <c r="G571" s="821">
        <v>2.6971014489999998</v>
      </c>
      <c r="H571" s="822">
        <v>32758546.735904999</v>
      </c>
      <c r="I571" s="819">
        <v>2.25</v>
      </c>
      <c r="J571" s="820">
        <v>-0.10225242499999999</v>
      </c>
      <c r="K571" s="819">
        <f t="shared" si="120"/>
        <v>974</v>
      </c>
      <c r="L571" s="819">
        <f t="shared" si="121"/>
        <v>582</v>
      </c>
      <c r="M571" s="819">
        <f t="shared" si="117"/>
        <v>974</v>
      </c>
      <c r="N571" s="819">
        <f t="shared" si="118"/>
        <v>77</v>
      </c>
      <c r="O571" s="819">
        <f t="shared" si="119"/>
        <v>1751</v>
      </c>
      <c r="P571" s="819">
        <f t="shared" si="122"/>
        <v>424</v>
      </c>
      <c r="Q571" s="819">
        <f t="shared" si="123"/>
        <v>159</v>
      </c>
      <c r="R571" s="819">
        <f t="shared" si="124"/>
        <v>892</v>
      </c>
      <c r="S571" s="819">
        <f t="shared" si="125"/>
        <v>51</v>
      </c>
      <c r="T571" s="819">
        <f t="shared" si="126"/>
        <v>1729</v>
      </c>
      <c r="U571" s="819">
        <f t="shared" si="127"/>
        <v>3255</v>
      </c>
      <c r="V571" s="819">
        <f t="shared" si="128"/>
        <v>1282</v>
      </c>
      <c r="W571" s="379">
        <f t="shared" si="129"/>
        <v>1282</v>
      </c>
      <c r="X571" s="819" t="str">
        <f t="shared" si="130"/>
        <v/>
      </c>
      <c r="Y571" s="837"/>
      <c r="Z571" s="839"/>
      <c r="AA571" s="838"/>
      <c r="AB571" s="839"/>
    </row>
    <row r="572" spans="1:28" ht="13.15">
      <c r="B572" s="819" t="s">
        <v>1540</v>
      </c>
      <c r="C572" s="819" t="s">
        <v>1541</v>
      </c>
      <c r="D572" s="379" t="s">
        <v>336</v>
      </c>
      <c r="E572" s="818" t="s">
        <v>189</v>
      </c>
      <c r="F572" s="820">
        <v>0.43693054199999998</v>
      </c>
      <c r="G572" s="821">
        <v>-3.912214396</v>
      </c>
      <c r="H572" s="822">
        <v>24891825707.991001</v>
      </c>
      <c r="I572" s="819"/>
      <c r="J572" s="820">
        <v>1.26791E-5</v>
      </c>
      <c r="K572" s="819">
        <f t="shared" si="120"/>
        <v>12</v>
      </c>
      <c r="L572" s="819">
        <f t="shared" si="121"/>
        <v>1387</v>
      </c>
      <c r="M572" s="819">
        <f t="shared" si="117"/>
        <v>12</v>
      </c>
      <c r="N572" s="819">
        <f t="shared" si="118"/>
        <v>364</v>
      </c>
      <c r="O572" s="819">
        <f t="shared" si="119"/>
        <v>417</v>
      </c>
      <c r="P572" s="819">
        <f t="shared" si="122"/>
        <v>1386</v>
      </c>
      <c r="Q572" s="819">
        <f t="shared" si="123"/>
        <v>964</v>
      </c>
      <c r="R572" s="819">
        <f t="shared" si="124"/>
        <v>70</v>
      </c>
      <c r="S572" s="819">
        <f t="shared" si="125"/>
        <v>338</v>
      </c>
      <c r="T572" s="819">
        <f t="shared" si="126"/>
        <v>395</v>
      </c>
      <c r="U572" s="819">
        <f t="shared" si="127"/>
        <v>3153</v>
      </c>
      <c r="V572" s="819">
        <f t="shared" si="128"/>
        <v>1129</v>
      </c>
      <c r="W572" s="379">
        <f t="shared" si="129"/>
        <v>1129</v>
      </c>
      <c r="X572" s="819" t="str">
        <f t="shared" si="130"/>
        <v/>
      </c>
      <c r="Y572" s="837"/>
      <c r="Z572" s="839"/>
      <c r="AA572" s="838"/>
      <c r="AB572" s="839"/>
    </row>
    <row r="573" spans="1:28" ht="14.45">
      <c r="A573" s="816"/>
      <c r="B573" s="819" t="s">
        <v>1542</v>
      </c>
      <c r="C573" s="819" t="s">
        <v>1543</v>
      </c>
      <c r="D573" s="379" t="s">
        <v>336</v>
      </c>
      <c r="E573" s="818" t="s">
        <v>460</v>
      </c>
      <c r="F573" s="820">
        <v>6.6749707090000001</v>
      </c>
      <c r="G573" s="821">
        <v>-61.652961060000003</v>
      </c>
      <c r="H573" s="822">
        <v>15073839.578714</v>
      </c>
      <c r="I573" s="819"/>
      <c r="J573" s="820">
        <v>6.6399200000000003E-6</v>
      </c>
      <c r="K573" s="819">
        <f t="shared" si="120"/>
        <v>1163</v>
      </c>
      <c r="L573" s="819">
        <f t="shared" si="121"/>
        <v>1511</v>
      </c>
      <c r="M573" s="819">
        <f t="shared" si="117"/>
        <v>1163</v>
      </c>
      <c r="N573" s="819">
        <f t="shared" si="118"/>
        <v>364</v>
      </c>
      <c r="O573" s="819">
        <f t="shared" si="119"/>
        <v>434</v>
      </c>
      <c r="P573" s="819">
        <f t="shared" si="122"/>
        <v>235</v>
      </c>
      <c r="Q573" s="819">
        <f t="shared" si="123"/>
        <v>1088</v>
      </c>
      <c r="R573" s="819">
        <f t="shared" si="124"/>
        <v>1081</v>
      </c>
      <c r="S573" s="819">
        <f t="shared" si="125"/>
        <v>338</v>
      </c>
      <c r="T573" s="819">
        <f t="shared" si="126"/>
        <v>412</v>
      </c>
      <c r="U573" s="819">
        <f t="shared" si="127"/>
        <v>3154</v>
      </c>
      <c r="V573" s="819">
        <f t="shared" si="128"/>
        <v>1133</v>
      </c>
      <c r="W573" s="379">
        <f t="shared" si="129"/>
        <v>1133</v>
      </c>
      <c r="X573" s="819" t="str">
        <f t="shared" si="130"/>
        <v/>
      </c>
      <c r="Y573" s="837"/>
      <c r="Z573" s="839"/>
      <c r="AA573" s="838"/>
      <c r="AB573" s="839"/>
    </row>
    <row r="574" spans="1:28" ht="13.15">
      <c r="B574" s="819" t="s">
        <v>1544</v>
      </c>
      <c r="C574" s="819" t="s">
        <v>1545</v>
      </c>
      <c r="D574" s="379" t="s">
        <v>336</v>
      </c>
      <c r="E574" s="818" t="s">
        <v>460</v>
      </c>
      <c r="F574" s="820"/>
      <c r="G574" s="821"/>
      <c r="H574" s="822">
        <v>24406977.4075628</v>
      </c>
      <c r="I574" s="819"/>
      <c r="J574" s="820">
        <v>0</v>
      </c>
      <c r="K574" s="819">
        <f t="shared" si="120"/>
        <v>1051</v>
      </c>
      <c r="L574" s="819">
        <f t="shared" si="121"/>
        <v>1084</v>
      </c>
      <c r="M574" s="819">
        <f t="shared" si="117"/>
        <v>1051</v>
      </c>
      <c r="N574" s="819">
        <f t="shared" si="118"/>
        <v>364</v>
      </c>
      <c r="O574" s="819">
        <f t="shared" si="119"/>
        <v>492</v>
      </c>
      <c r="P574" s="819">
        <f t="shared" si="122"/>
        <v>347</v>
      </c>
      <c r="Q574" s="819">
        <f t="shared" si="123"/>
        <v>661</v>
      </c>
      <c r="R574" s="819">
        <f t="shared" si="124"/>
        <v>969</v>
      </c>
      <c r="S574" s="819">
        <f t="shared" si="125"/>
        <v>338</v>
      </c>
      <c r="T574" s="819">
        <f t="shared" si="126"/>
        <v>470</v>
      </c>
      <c r="U574" s="819">
        <f t="shared" si="127"/>
        <v>2785</v>
      </c>
      <c r="V574" s="819">
        <f t="shared" si="128"/>
        <v>463</v>
      </c>
      <c r="W574" s="379">
        <f t="shared" si="129"/>
        <v>463</v>
      </c>
      <c r="X574" s="819" t="str">
        <f t="shared" si="130"/>
        <v/>
      </c>
      <c r="Y574" s="837"/>
      <c r="Z574" s="839"/>
      <c r="AA574" s="838"/>
      <c r="AB574" s="839"/>
    </row>
    <row r="575" spans="1:28" ht="14.45">
      <c r="A575" s="816"/>
      <c r="B575" s="819" t="s">
        <v>1546</v>
      </c>
      <c r="C575" s="819" t="s">
        <v>1547</v>
      </c>
      <c r="D575" s="379" t="s">
        <v>336</v>
      </c>
      <c r="E575" s="818" t="s">
        <v>460</v>
      </c>
      <c r="F575" s="820">
        <v>2.4863234780000001</v>
      </c>
      <c r="G575" s="821">
        <v>3.937302394</v>
      </c>
      <c r="H575" s="822">
        <v>342054.07802481001</v>
      </c>
      <c r="I575" s="819"/>
      <c r="J575" s="820">
        <v>-4.0832999999999999E-4</v>
      </c>
      <c r="K575" s="819">
        <f t="shared" si="120"/>
        <v>1619</v>
      </c>
      <c r="L575" s="819">
        <f t="shared" si="121"/>
        <v>453</v>
      </c>
      <c r="M575" s="819">
        <f t="shared" si="117"/>
        <v>1619</v>
      </c>
      <c r="N575" s="819">
        <f t="shared" si="118"/>
        <v>364</v>
      </c>
      <c r="O575" s="819">
        <f t="shared" si="119"/>
        <v>1230</v>
      </c>
      <c r="P575" s="819">
        <f t="shared" si="122"/>
        <v>221</v>
      </c>
      <c r="Q575" s="819">
        <f t="shared" si="123"/>
        <v>30</v>
      </c>
      <c r="R575" s="819">
        <f t="shared" si="124"/>
        <v>1537</v>
      </c>
      <c r="S575" s="819">
        <f t="shared" si="125"/>
        <v>338</v>
      </c>
      <c r="T575" s="819">
        <f t="shared" si="126"/>
        <v>1208</v>
      </c>
      <c r="U575" s="819">
        <f t="shared" si="127"/>
        <v>3334</v>
      </c>
      <c r="V575" s="819">
        <f t="shared" si="128"/>
        <v>1384</v>
      </c>
      <c r="W575" s="379">
        <f t="shared" si="129"/>
        <v>1384</v>
      </c>
      <c r="X575" s="819" t="str">
        <f t="shared" si="130"/>
        <v/>
      </c>
      <c r="Y575" s="837"/>
      <c r="Z575" s="839"/>
      <c r="AA575" s="838"/>
      <c r="AB575" s="839"/>
    </row>
    <row r="576" spans="1:28" ht="13.15">
      <c r="B576" s="819" t="s">
        <v>1548</v>
      </c>
      <c r="C576" s="819" t="s">
        <v>1549</v>
      </c>
      <c r="D576" s="379" t="s">
        <v>336</v>
      </c>
      <c r="E576" s="818" t="s">
        <v>460</v>
      </c>
      <c r="F576" s="820">
        <v>3.176152815</v>
      </c>
      <c r="G576" s="821">
        <v>4.6776606679999997</v>
      </c>
      <c r="H576" s="822">
        <v>18429487.283394299</v>
      </c>
      <c r="I576" s="819"/>
      <c r="J576" s="820">
        <v>-5.8912099999999996E-4</v>
      </c>
      <c r="K576" s="819">
        <f t="shared" si="120"/>
        <v>1118</v>
      </c>
      <c r="L576" s="819">
        <f t="shared" si="121"/>
        <v>402</v>
      </c>
      <c r="M576" s="819">
        <f t="shared" si="117"/>
        <v>1118</v>
      </c>
      <c r="N576" s="819">
        <f t="shared" si="118"/>
        <v>364</v>
      </c>
      <c r="O576" s="819">
        <f t="shared" si="119"/>
        <v>1306</v>
      </c>
      <c r="P576" s="819">
        <f t="shared" si="122"/>
        <v>280</v>
      </c>
      <c r="Q576" s="819">
        <f t="shared" si="123"/>
        <v>21</v>
      </c>
      <c r="R576" s="819">
        <f t="shared" si="124"/>
        <v>1036</v>
      </c>
      <c r="S576" s="819">
        <f t="shared" si="125"/>
        <v>338</v>
      </c>
      <c r="T576" s="819">
        <f t="shared" si="126"/>
        <v>1284</v>
      </c>
      <c r="U576" s="819">
        <f t="shared" si="127"/>
        <v>2959</v>
      </c>
      <c r="V576" s="819">
        <f t="shared" si="128"/>
        <v>877</v>
      </c>
      <c r="W576" s="379">
        <f t="shared" si="129"/>
        <v>877</v>
      </c>
      <c r="X576" s="819" t="str">
        <f t="shared" si="130"/>
        <v/>
      </c>
      <c r="Y576" s="837"/>
      <c r="Z576" s="839"/>
      <c r="AA576" s="838"/>
      <c r="AB576" s="839"/>
    </row>
    <row r="577" spans="1:28" ht="14.45">
      <c r="A577" s="816"/>
      <c r="B577" s="819" t="s">
        <v>1550</v>
      </c>
      <c r="C577" s="819" t="s">
        <v>1551</v>
      </c>
      <c r="D577" s="379" t="s">
        <v>336</v>
      </c>
      <c r="E577" s="818" t="s">
        <v>460</v>
      </c>
      <c r="F577" s="820">
        <v>9.8266983470000007</v>
      </c>
      <c r="G577" s="821">
        <v>0.22337789999999999</v>
      </c>
      <c r="H577" s="822">
        <v>41504816.216216199</v>
      </c>
      <c r="I577" s="819"/>
      <c r="J577" s="820">
        <v>-3.5006099999999997E-5</v>
      </c>
      <c r="K577" s="819">
        <f t="shared" si="120"/>
        <v>922</v>
      </c>
      <c r="L577" s="819">
        <f t="shared" si="121"/>
        <v>979</v>
      </c>
      <c r="M577" s="819">
        <f t="shared" si="117"/>
        <v>922</v>
      </c>
      <c r="N577" s="819">
        <f t="shared" si="118"/>
        <v>364</v>
      </c>
      <c r="O577" s="819">
        <f t="shared" si="119"/>
        <v>884</v>
      </c>
      <c r="P577" s="819">
        <f t="shared" si="122"/>
        <v>476</v>
      </c>
      <c r="Q577" s="819">
        <f t="shared" si="123"/>
        <v>556</v>
      </c>
      <c r="R577" s="819">
        <f t="shared" si="124"/>
        <v>840</v>
      </c>
      <c r="S577" s="819">
        <f t="shared" si="125"/>
        <v>338</v>
      </c>
      <c r="T577" s="819">
        <f t="shared" si="126"/>
        <v>862</v>
      </c>
      <c r="U577" s="819">
        <f t="shared" si="127"/>
        <v>3072</v>
      </c>
      <c r="V577" s="819">
        <f t="shared" si="128"/>
        <v>1017</v>
      </c>
      <c r="W577" s="379">
        <f t="shared" si="129"/>
        <v>1017</v>
      </c>
      <c r="X577" s="819" t="str">
        <f t="shared" si="130"/>
        <v/>
      </c>
      <c r="Y577" s="837"/>
      <c r="Z577" s="839"/>
      <c r="AA577" s="838"/>
      <c r="AB577" s="839"/>
    </row>
    <row r="578" spans="1:28" ht="13.15">
      <c r="B578" s="819" t="s">
        <v>1552</v>
      </c>
      <c r="C578" s="819" t="s">
        <v>1553</v>
      </c>
      <c r="D578" s="379" t="s">
        <v>336</v>
      </c>
      <c r="E578" s="818" t="s">
        <v>460</v>
      </c>
      <c r="F578" s="820">
        <v>1.5998726510000001</v>
      </c>
      <c r="G578" s="821">
        <v>1.2211237720000001</v>
      </c>
      <c r="H578" s="822">
        <v>28137937.535806298</v>
      </c>
      <c r="I578" s="819"/>
      <c r="J578" s="820">
        <v>-2.60429E-3</v>
      </c>
      <c r="K578" s="819">
        <f t="shared" si="120"/>
        <v>1021</v>
      </c>
      <c r="L578" s="819">
        <f t="shared" si="121"/>
        <v>778</v>
      </c>
      <c r="M578" s="819">
        <f t="shared" si="117"/>
        <v>1021</v>
      </c>
      <c r="N578" s="819">
        <f t="shared" si="118"/>
        <v>364</v>
      </c>
      <c r="O578" s="819">
        <f t="shared" si="119"/>
        <v>1531</v>
      </c>
      <c r="P578" s="819">
        <f t="shared" si="122"/>
        <v>377</v>
      </c>
      <c r="Q578" s="819">
        <f t="shared" si="123"/>
        <v>355</v>
      </c>
      <c r="R578" s="819">
        <f t="shared" si="124"/>
        <v>939</v>
      </c>
      <c r="S578" s="819">
        <f t="shared" si="125"/>
        <v>338</v>
      </c>
      <c r="T578" s="819">
        <f t="shared" si="126"/>
        <v>1509</v>
      </c>
      <c r="U578" s="819">
        <f t="shared" si="127"/>
        <v>3518</v>
      </c>
      <c r="V578" s="819">
        <f t="shared" si="128"/>
        <v>1570</v>
      </c>
      <c r="W578" s="379">
        <f t="shared" si="129"/>
        <v>1570</v>
      </c>
      <c r="X578" s="819" t="str">
        <f t="shared" si="130"/>
        <v/>
      </c>
      <c r="Y578" s="837"/>
      <c r="Z578" s="839"/>
      <c r="AA578" s="838"/>
      <c r="AB578" s="839"/>
    </row>
    <row r="579" spans="1:28" ht="14.45">
      <c r="A579" s="816"/>
      <c r="B579" s="819" t="s">
        <v>1554</v>
      </c>
      <c r="C579" s="819" t="s">
        <v>1555</v>
      </c>
      <c r="D579" s="379" t="s">
        <v>336</v>
      </c>
      <c r="E579" s="818" t="s">
        <v>425</v>
      </c>
      <c r="F579" s="820">
        <v>4.4645286259999999</v>
      </c>
      <c r="G579" s="821">
        <v>1.945592494</v>
      </c>
      <c r="H579" s="822">
        <v>1089089284.16644</v>
      </c>
      <c r="I579" s="819">
        <v>0.14000000000000001</v>
      </c>
      <c r="J579" s="820">
        <v>-6.1559799999999997E-4</v>
      </c>
      <c r="K579" s="819">
        <f t="shared" si="120"/>
        <v>210</v>
      </c>
      <c r="L579" s="819">
        <f t="shared" si="121"/>
        <v>683</v>
      </c>
      <c r="M579" s="819">
        <f t="shared" si="117"/>
        <v>210</v>
      </c>
      <c r="N579" s="819">
        <f t="shared" si="118"/>
        <v>241</v>
      </c>
      <c r="O579" s="819">
        <f t="shared" si="119"/>
        <v>1315</v>
      </c>
      <c r="P579" s="819">
        <f t="shared" si="122"/>
        <v>1188</v>
      </c>
      <c r="Q579" s="819">
        <f t="shared" si="123"/>
        <v>260</v>
      </c>
      <c r="R579" s="819">
        <f t="shared" si="124"/>
        <v>128</v>
      </c>
      <c r="S579" s="819">
        <f t="shared" si="125"/>
        <v>215</v>
      </c>
      <c r="T579" s="819">
        <f t="shared" si="126"/>
        <v>1293</v>
      </c>
      <c r="U579" s="819">
        <f t="shared" si="127"/>
        <v>3084</v>
      </c>
      <c r="V579" s="819">
        <f t="shared" si="128"/>
        <v>1042</v>
      </c>
      <c r="W579" s="379">
        <f t="shared" si="129"/>
        <v>1042</v>
      </c>
      <c r="X579" s="819" t="str">
        <f t="shared" si="130"/>
        <v/>
      </c>
      <c r="Y579" s="837"/>
      <c r="Z579" s="839"/>
      <c r="AA579" s="838"/>
      <c r="AB579" s="839"/>
    </row>
    <row r="580" spans="1:28" ht="13.15">
      <c r="B580" s="819" t="s">
        <v>1556</v>
      </c>
      <c r="C580" s="819" t="s">
        <v>1557</v>
      </c>
      <c r="D580" s="379" t="s">
        <v>336</v>
      </c>
      <c r="E580" s="818" t="s">
        <v>460</v>
      </c>
      <c r="F580" s="820">
        <v>5.463375504</v>
      </c>
      <c r="G580" s="821">
        <v>0.96090316200000003</v>
      </c>
      <c r="H580" s="822">
        <v>369916097.56097603</v>
      </c>
      <c r="I580" s="819"/>
      <c r="J580" s="820">
        <v>-6.4082099999999997E-4</v>
      </c>
      <c r="K580" s="819">
        <f t="shared" si="120"/>
        <v>423</v>
      </c>
      <c r="L580" s="819">
        <f t="shared" si="121"/>
        <v>823</v>
      </c>
      <c r="M580" s="819">
        <f t="shared" ref="M580:M643" si="131">IFERROR(_xlfn.RANK.EQ(H580,H$3:H$1787),"N/A")</f>
        <v>423</v>
      </c>
      <c r="N580" s="819">
        <f t="shared" ref="N580:N643" si="132">IFERROR(_xlfn.RANK.EQ(I580,I$3:I$1787),"N/A")</f>
        <v>364</v>
      </c>
      <c r="O580" s="819">
        <f t="shared" ref="O580:O643" si="133">IFERROR(_xlfn.RANK.EQ(J580,J$3:J$1787),"N/A")</f>
        <v>1328</v>
      </c>
      <c r="P580" s="819">
        <f t="shared" si="122"/>
        <v>975</v>
      </c>
      <c r="Q580" s="819">
        <f t="shared" si="123"/>
        <v>400</v>
      </c>
      <c r="R580" s="819">
        <f t="shared" si="124"/>
        <v>341</v>
      </c>
      <c r="S580" s="819">
        <f t="shared" si="125"/>
        <v>338</v>
      </c>
      <c r="T580" s="819">
        <f t="shared" si="126"/>
        <v>1306</v>
      </c>
      <c r="U580" s="819">
        <f t="shared" si="127"/>
        <v>3360</v>
      </c>
      <c r="V580" s="819">
        <f t="shared" si="128"/>
        <v>1421</v>
      </c>
      <c r="W580" s="379">
        <f t="shared" si="129"/>
        <v>1421</v>
      </c>
      <c r="X580" s="819" t="str">
        <f t="shared" si="130"/>
        <v/>
      </c>
      <c r="Y580" s="837"/>
      <c r="Z580" s="839"/>
      <c r="AA580" s="838"/>
      <c r="AB580" s="839"/>
    </row>
    <row r="581" spans="1:28" ht="14.45">
      <c r="A581" s="816"/>
      <c r="B581" s="819" t="s">
        <v>1558</v>
      </c>
      <c r="C581" s="819" t="s">
        <v>1559</v>
      </c>
      <c r="D581" s="379" t="s">
        <v>336</v>
      </c>
      <c r="E581" s="818" t="s">
        <v>460</v>
      </c>
      <c r="F581" s="820"/>
      <c r="G581" s="821"/>
      <c r="H581" s="822">
        <v>89207167.255947694</v>
      </c>
      <c r="I581" s="819"/>
      <c r="J581" s="820">
        <v>0</v>
      </c>
      <c r="K581" s="819">
        <f t="shared" ref="K581:K644" si="134">IFERROR(_xlfn.RANK.EQ(H581,H$3:H$1787),"N/A")</f>
        <v>748</v>
      </c>
      <c r="L581" s="819">
        <f t="shared" ref="L581:L644" si="135">IFERROR(_xlfn.RANK.EQ(G581,G$3:G$1787),"N/A")</f>
        <v>1084</v>
      </c>
      <c r="M581" s="819">
        <f t="shared" si="131"/>
        <v>748</v>
      </c>
      <c r="N581" s="819">
        <f t="shared" si="132"/>
        <v>364</v>
      </c>
      <c r="O581" s="819">
        <f t="shared" si="133"/>
        <v>492</v>
      </c>
      <c r="P581" s="819">
        <f t="shared" ref="P581:P644" si="136">IFERROR(ABS(K$3-K581),"N/A")</f>
        <v>650</v>
      </c>
      <c r="Q581" s="819">
        <f t="shared" ref="Q581:Q644" si="137">IFERROR(ABS(L$3-L581),"N/A")</f>
        <v>661</v>
      </c>
      <c r="R581" s="819">
        <f t="shared" ref="R581:R644" si="138">IFERROR(ABS(M$3-M581),"N/A")</f>
        <v>666</v>
      </c>
      <c r="S581" s="819">
        <f t="shared" ref="S581:S644" si="139">IFERROR(ABS(N$3-N581),"N/A")</f>
        <v>338</v>
      </c>
      <c r="T581" s="819">
        <f t="shared" ref="T581:T644" si="140">IFERROR(ABS(O$3-O581),"N/A")</f>
        <v>470</v>
      </c>
      <c r="U581" s="819">
        <f t="shared" ref="U581:U644" si="141">SUM(P581:T581)</f>
        <v>2785</v>
      </c>
      <c r="V581" s="819">
        <f t="shared" ref="V581:V644" si="142">_xlfn.RANK.EQ(U581,$U$4:$U$1787,1)</f>
        <v>463</v>
      </c>
      <c r="W581" s="379">
        <f t="shared" ref="W581:W644" si="143">IF(Y581="Not suitable","-",V581)</f>
        <v>463</v>
      </c>
      <c r="X581" s="819" t="str">
        <f t="shared" si="130"/>
        <v/>
      </c>
      <c r="Y581" s="837"/>
      <c r="Z581" s="839"/>
      <c r="AA581" s="838"/>
      <c r="AB581" s="839"/>
    </row>
    <row r="582" spans="1:28" ht="13.15">
      <c r="B582" s="819" t="s">
        <v>1560</v>
      </c>
      <c r="C582" s="819" t="s">
        <v>1561</v>
      </c>
      <c r="D582" s="379" t="s">
        <v>336</v>
      </c>
      <c r="E582" s="818" t="s">
        <v>460</v>
      </c>
      <c r="F582" s="820"/>
      <c r="G582" s="821"/>
      <c r="H582" s="822">
        <v>300493.79756696802</v>
      </c>
      <c r="I582" s="819"/>
      <c r="J582" s="820">
        <v>0</v>
      </c>
      <c r="K582" s="819">
        <f t="shared" si="134"/>
        <v>1627</v>
      </c>
      <c r="L582" s="819">
        <f t="shared" si="135"/>
        <v>1084</v>
      </c>
      <c r="M582" s="819">
        <f t="shared" si="131"/>
        <v>1627</v>
      </c>
      <c r="N582" s="819">
        <f t="shared" si="132"/>
        <v>364</v>
      </c>
      <c r="O582" s="819">
        <f t="shared" si="133"/>
        <v>492</v>
      </c>
      <c r="P582" s="819">
        <f t="shared" si="136"/>
        <v>229</v>
      </c>
      <c r="Q582" s="819">
        <f t="shared" si="137"/>
        <v>661</v>
      </c>
      <c r="R582" s="819">
        <f t="shared" si="138"/>
        <v>1545</v>
      </c>
      <c r="S582" s="819">
        <f t="shared" si="139"/>
        <v>338</v>
      </c>
      <c r="T582" s="819">
        <f t="shared" si="140"/>
        <v>470</v>
      </c>
      <c r="U582" s="819">
        <f t="shared" si="141"/>
        <v>3243</v>
      </c>
      <c r="V582" s="819">
        <f t="shared" si="142"/>
        <v>1258</v>
      </c>
      <c r="W582" s="379">
        <f t="shared" si="143"/>
        <v>1258</v>
      </c>
      <c r="X582" s="819" t="str">
        <f t="shared" ref="X582:X645" si="144">IF(L582="N/A","Y","")</f>
        <v/>
      </c>
      <c r="Y582" s="837"/>
      <c r="Z582" s="839"/>
      <c r="AA582" s="838"/>
      <c r="AB582" s="839"/>
    </row>
    <row r="583" spans="1:28" ht="14.45">
      <c r="A583" s="816"/>
      <c r="B583" s="819" t="s">
        <v>1562</v>
      </c>
      <c r="C583" s="819" t="s">
        <v>1563</v>
      </c>
      <c r="D583" s="379" t="s">
        <v>336</v>
      </c>
      <c r="E583" s="818" t="s">
        <v>460</v>
      </c>
      <c r="F583" s="820"/>
      <c r="G583" s="821"/>
      <c r="H583" s="822"/>
      <c r="I583" s="819"/>
      <c r="J583" s="820">
        <v>0</v>
      </c>
      <c r="K583" s="819" t="str">
        <f t="shared" si="134"/>
        <v>N/A</v>
      </c>
      <c r="L583" s="819">
        <f t="shared" si="135"/>
        <v>1084</v>
      </c>
      <c r="M583" s="819" t="str">
        <f t="shared" si="131"/>
        <v>N/A</v>
      </c>
      <c r="N583" s="819">
        <f t="shared" si="132"/>
        <v>364</v>
      </c>
      <c r="O583" s="819">
        <f t="shared" si="133"/>
        <v>492</v>
      </c>
      <c r="P583" s="819" t="str">
        <f t="shared" si="136"/>
        <v>N/A</v>
      </c>
      <c r="Q583" s="819">
        <f t="shared" si="137"/>
        <v>661</v>
      </c>
      <c r="R583" s="819" t="str">
        <f t="shared" si="138"/>
        <v>N/A</v>
      </c>
      <c r="S583" s="819">
        <f t="shared" si="139"/>
        <v>338</v>
      </c>
      <c r="T583" s="819">
        <f t="shared" si="140"/>
        <v>470</v>
      </c>
      <c r="U583" s="819">
        <f t="shared" si="141"/>
        <v>1469</v>
      </c>
      <c r="V583" s="819">
        <f t="shared" si="142"/>
        <v>22</v>
      </c>
      <c r="W583" s="379">
        <f t="shared" si="143"/>
        <v>22</v>
      </c>
      <c r="X583" s="819" t="str">
        <f t="shared" si="144"/>
        <v/>
      </c>
      <c r="Y583" s="837"/>
      <c r="Z583" s="839"/>
      <c r="AA583" s="838"/>
      <c r="AB583" s="839"/>
    </row>
    <row r="584" spans="1:28" ht="13.15">
      <c r="B584" s="819" t="s">
        <v>1564</v>
      </c>
      <c r="C584" s="819" t="s">
        <v>1565</v>
      </c>
      <c r="D584" s="379" t="s">
        <v>336</v>
      </c>
      <c r="E584" s="818" t="s">
        <v>460</v>
      </c>
      <c r="F584" s="820"/>
      <c r="G584" s="821"/>
      <c r="H584" s="822">
        <v>1809642.2364715</v>
      </c>
      <c r="I584" s="819"/>
      <c r="J584" s="820">
        <v>0</v>
      </c>
      <c r="K584" s="819">
        <f t="shared" si="134"/>
        <v>1513</v>
      </c>
      <c r="L584" s="819">
        <f t="shared" si="135"/>
        <v>1084</v>
      </c>
      <c r="M584" s="819">
        <f t="shared" si="131"/>
        <v>1513</v>
      </c>
      <c r="N584" s="819">
        <f t="shared" si="132"/>
        <v>364</v>
      </c>
      <c r="O584" s="819">
        <f t="shared" si="133"/>
        <v>492</v>
      </c>
      <c r="P584" s="819">
        <f t="shared" si="136"/>
        <v>115</v>
      </c>
      <c r="Q584" s="819">
        <f t="shared" si="137"/>
        <v>661</v>
      </c>
      <c r="R584" s="819">
        <f t="shared" si="138"/>
        <v>1431</v>
      </c>
      <c r="S584" s="819">
        <f t="shared" si="139"/>
        <v>338</v>
      </c>
      <c r="T584" s="819">
        <f t="shared" si="140"/>
        <v>470</v>
      </c>
      <c r="U584" s="819">
        <f t="shared" si="141"/>
        <v>3015</v>
      </c>
      <c r="V584" s="819">
        <f t="shared" si="142"/>
        <v>945</v>
      </c>
      <c r="W584" s="379">
        <f t="shared" si="143"/>
        <v>945</v>
      </c>
      <c r="X584" s="819" t="str">
        <f t="shared" si="144"/>
        <v/>
      </c>
      <c r="Y584" s="837"/>
      <c r="Z584" s="839"/>
      <c r="AA584" s="838"/>
      <c r="AB584" s="839"/>
    </row>
    <row r="585" spans="1:28" ht="14.45">
      <c r="A585" s="816"/>
      <c r="B585" s="819" t="s">
        <v>1566</v>
      </c>
      <c r="C585" s="819" t="s">
        <v>1567</v>
      </c>
      <c r="D585" s="379" t="s">
        <v>336</v>
      </c>
      <c r="E585" s="818" t="s">
        <v>460</v>
      </c>
      <c r="F585" s="820">
        <v>1.0654196929999999</v>
      </c>
      <c r="G585" s="821">
        <v>8.8874652669999996</v>
      </c>
      <c r="H585" s="822"/>
      <c r="I585" s="819"/>
      <c r="J585" s="820">
        <v>-1.3648800000000001E-5</v>
      </c>
      <c r="K585" s="819" t="str">
        <f t="shared" si="134"/>
        <v>N/A</v>
      </c>
      <c r="L585" s="819">
        <f t="shared" si="135"/>
        <v>228</v>
      </c>
      <c r="M585" s="819" t="str">
        <f t="shared" si="131"/>
        <v>N/A</v>
      </c>
      <c r="N585" s="819">
        <f t="shared" si="132"/>
        <v>364</v>
      </c>
      <c r="O585" s="819">
        <f t="shared" si="133"/>
        <v>826</v>
      </c>
      <c r="P585" s="819" t="str">
        <f t="shared" si="136"/>
        <v>N/A</v>
      </c>
      <c r="Q585" s="819">
        <f t="shared" si="137"/>
        <v>195</v>
      </c>
      <c r="R585" s="819" t="str">
        <f t="shared" si="138"/>
        <v>N/A</v>
      </c>
      <c r="S585" s="819">
        <f t="shared" si="139"/>
        <v>338</v>
      </c>
      <c r="T585" s="819">
        <f t="shared" si="140"/>
        <v>804</v>
      </c>
      <c r="U585" s="819">
        <f t="shared" si="141"/>
        <v>1337</v>
      </c>
      <c r="V585" s="819">
        <f t="shared" si="142"/>
        <v>2</v>
      </c>
      <c r="W585" s="379">
        <f t="shared" si="143"/>
        <v>2</v>
      </c>
      <c r="X585" s="819" t="str">
        <f t="shared" si="144"/>
        <v/>
      </c>
      <c r="Y585" s="837"/>
      <c r="Z585" s="839"/>
      <c r="AA585" s="838"/>
      <c r="AB585" s="839"/>
    </row>
    <row r="586" spans="1:28" ht="13.15">
      <c r="B586" s="819" t="s">
        <v>1568</v>
      </c>
      <c r="C586" s="819" t="s">
        <v>1569</v>
      </c>
      <c r="D586" s="379" t="s">
        <v>336</v>
      </c>
      <c r="E586" s="818" t="s">
        <v>460</v>
      </c>
      <c r="F586" s="820">
        <v>1.7538272479999999</v>
      </c>
      <c r="G586" s="821">
        <v>7.5095150669999997</v>
      </c>
      <c r="H586" s="822">
        <v>10477757.9866962</v>
      </c>
      <c r="I586" s="819"/>
      <c r="J586" s="820">
        <v>-1.5645400000000001E-5</v>
      </c>
      <c r="K586" s="819">
        <f t="shared" si="134"/>
        <v>1247</v>
      </c>
      <c r="L586" s="819">
        <f t="shared" si="135"/>
        <v>275</v>
      </c>
      <c r="M586" s="819">
        <f t="shared" si="131"/>
        <v>1247</v>
      </c>
      <c r="N586" s="819">
        <f t="shared" si="132"/>
        <v>364</v>
      </c>
      <c r="O586" s="819">
        <f t="shared" si="133"/>
        <v>834</v>
      </c>
      <c r="P586" s="819">
        <f t="shared" si="136"/>
        <v>151</v>
      </c>
      <c r="Q586" s="819">
        <f t="shared" si="137"/>
        <v>148</v>
      </c>
      <c r="R586" s="819">
        <f t="shared" si="138"/>
        <v>1165</v>
      </c>
      <c r="S586" s="819">
        <f t="shared" si="139"/>
        <v>338</v>
      </c>
      <c r="T586" s="819">
        <f t="shared" si="140"/>
        <v>812</v>
      </c>
      <c r="U586" s="819">
        <f t="shared" si="141"/>
        <v>2614</v>
      </c>
      <c r="V586" s="819">
        <f t="shared" si="142"/>
        <v>290</v>
      </c>
      <c r="W586" s="379">
        <f t="shared" si="143"/>
        <v>290</v>
      </c>
      <c r="X586" s="819" t="str">
        <f t="shared" si="144"/>
        <v/>
      </c>
      <c r="Y586" s="837"/>
      <c r="Z586" s="839"/>
      <c r="AA586" s="838"/>
      <c r="AB586" s="839"/>
    </row>
    <row r="587" spans="1:28" ht="14.45">
      <c r="A587" s="816"/>
      <c r="B587" s="819" t="s">
        <v>1570</v>
      </c>
      <c r="C587" s="819" t="s">
        <v>1571</v>
      </c>
      <c r="D587" s="379" t="s">
        <v>336</v>
      </c>
      <c r="E587" s="818" t="s">
        <v>460</v>
      </c>
      <c r="F587" s="820">
        <v>2.4623645999999999</v>
      </c>
      <c r="G587" s="821">
        <v>0</v>
      </c>
      <c r="H587" s="822">
        <v>7546045.4245820101</v>
      </c>
      <c r="I587" s="819"/>
      <c r="J587" s="820">
        <v>-9.0361800000000001E-8</v>
      </c>
      <c r="K587" s="819">
        <f t="shared" si="134"/>
        <v>1308</v>
      </c>
      <c r="L587" s="819">
        <f t="shared" si="135"/>
        <v>1084</v>
      </c>
      <c r="M587" s="819">
        <f t="shared" si="131"/>
        <v>1308</v>
      </c>
      <c r="N587" s="819">
        <f t="shared" si="132"/>
        <v>364</v>
      </c>
      <c r="O587" s="819">
        <f t="shared" si="133"/>
        <v>745</v>
      </c>
      <c r="P587" s="819">
        <f t="shared" si="136"/>
        <v>90</v>
      </c>
      <c r="Q587" s="819">
        <f t="shared" si="137"/>
        <v>661</v>
      </c>
      <c r="R587" s="819">
        <f t="shared" si="138"/>
        <v>1226</v>
      </c>
      <c r="S587" s="819">
        <f t="shared" si="139"/>
        <v>338</v>
      </c>
      <c r="T587" s="819">
        <f t="shared" si="140"/>
        <v>723</v>
      </c>
      <c r="U587" s="819">
        <f t="shared" si="141"/>
        <v>3038</v>
      </c>
      <c r="V587" s="819">
        <f t="shared" si="142"/>
        <v>980</v>
      </c>
      <c r="W587" s="379">
        <f t="shared" si="143"/>
        <v>980</v>
      </c>
      <c r="X587" s="819" t="str">
        <f t="shared" si="144"/>
        <v/>
      </c>
      <c r="Y587" s="837"/>
      <c r="Z587" s="839"/>
      <c r="AA587" s="838"/>
      <c r="AB587" s="839"/>
    </row>
    <row r="588" spans="1:28" ht="13.15">
      <c r="B588" s="819" t="s">
        <v>1572</v>
      </c>
      <c r="C588" s="819" t="s">
        <v>1573</v>
      </c>
      <c r="D588" s="379" t="s">
        <v>336</v>
      </c>
      <c r="E588" s="818" t="s">
        <v>460</v>
      </c>
      <c r="F588" s="820">
        <v>-0.159513602</v>
      </c>
      <c r="G588" s="821">
        <v>61.898782160000003</v>
      </c>
      <c r="H588" s="822">
        <v>852245.22083058697</v>
      </c>
      <c r="I588" s="819"/>
      <c r="J588" s="820">
        <v>-7.9616999999999993E-5</v>
      </c>
      <c r="K588" s="819">
        <f t="shared" si="134"/>
        <v>1569</v>
      </c>
      <c r="L588" s="819">
        <f t="shared" si="135"/>
        <v>26</v>
      </c>
      <c r="M588" s="819">
        <f t="shared" si="131"/>
        <v>1569</v>
      </c>
      <c r="N588" s="819">
        <f t="shared" si="132"/>
        <v>364</v>
      </c>
      <c r="O588" s="819">
        <f t="shared" si="133"/>
        <v>974</v>
      </c>
      <c r="P588" s="819">
        <f t="shared" si="136"/>
        <v>171</v>
      </c>
      <c r="Q588" s="819">
        <f t="shared" si="137"/>
        <v>397</v>
      </c>
      <c r="R588" s="819">
        <f t="shared" si="138"/>
        <v>1487</v>
      </c>
      <c r="S588" s="819">
        <f t="shared" si="139"/>
        <v>338</v>
      </c>
      <c r="T588" s="819">
        <f t="shared" si="140"/>
        <v>952</v>
      </c>
      <c r="U588" s="819">
        <f t="shared" si="141"/>
        <v>3345</v>
      </c>
      <c r="V588" s="819">
        <f t="shared" si="142"/>
        <v>1398</v>
      </c>
      <c r="W588" s="379">
        <f t="shared" si="143"/>
        <v>1398</v>
      </c>
      <c r="X588" s="819" t="str">
        <f t="shared" si="144"/>
        <v/>
      </c>
      <c r="Y588" s="837"/>
      <c r="Z588" s="839"/>
      <c r="AA588" s="838"/>
      <c r="AB588" s="839"/>
    </row>
    <row r="589" spans="1:28" ht="14.45">
      <c r="A589" s="816"/>
      <c r="B589" s="819" t="s">
        <v>1574</v>
      </c>
      <c r="C589" s="819" t="s">
        <v>1575</v>
      </c>
      <c r="D589" s="379" t="s">
        <v>336</v>
      </c>
      <c r="E589" s="818" t="s">
        <v>460</v>
      </c>
      <c r="F589" s="820">
        <v>1.391915783</v>
      </c>
      <c r="G589" s="821">
        <v>-0.72576172900000002</v>
      </c>
      <c r="H589" s="822">
        <v>18172536.4295559</v>
      </c>
      <c r="I589" s="819"/>
      <c r="J589" s="820">
        <v>8.1756999999999999E-4</v>
      </c>
      <c r="K589" s="819">
        <f t="shared" si="134"/>
        <v>1123</v>
      </c>
      <c r="L589" s="819">
        <f t="shared" si="135"/>
        <v>1276</v>
      </c>
      <c r="M589" s="819">
        <f t="shared" si="131"/>
        <v>1123</v>
      </c>
      <c r="N589" s="819">
        <f t="shared" si="132"/>
        <v>364</v>
      </c>
      <c r="O589" s="819">
        <f t="shared" si="133"/>
        <v>186</v>
      </c>
      <c r="P589" s="819">
        <f t="shared" si="136"/>
        <v>275</v>
      </c>
      <c r="Q589" s="819">
        <f t="shared" si="137"/>
        <v>853</v>
      </c>
      <c r="R589" s="819">
        <f t="shared" si="138"/>
        <v>1041</v>
      </c>
      <c r="S589" s="819">
        <f t="shared" si="139"/>
        <v>338</v>
      </c>
      <c r="T589" s="819">
        <f t="shared" si="140"/>
        <v>164</v>
      </c>
      <c r="U589" s="819">
        <f t="shared" si="141"/>
        <v>2671</v>
      </c>
      <c r="V589" s="819">
        <f t="shared" si="142"/>
        <v>333</v>
      </c>
      <c r="W589" s="379">
        <f t="shared" si="143"/>
        <v>333</v>
      </c>
      <c r="X589" s="819" t="str">
        <f t="shared" si="144"/>
        <v/>
      </c>
      <c r="Y589" s="837"/>
      <c r="Z589" s="839"/>
      <c r="AA589" s="838"/>
      <c r="AB589" s="839"/>
    </row>
    <row r="590" spans="1:28" ht="13.15">
      <c r="B590" s="819" t="s">
        <v>1576</v>
      </c>
      <c r="C590" s="819" t="s">
        <v>1577</v>
      </c>
      <c r="D590" s="379" t="s">
        <v>336</v>
      </c>
      <c r="E590" s="818" t="s">
        <v>373</v>
      </c>
      <c r="F590" s="820">
        <v>-4.8350756000000002E-2</v>
      </c>
      <c r="G590" s="821">
        <v>-46.427288109999999</v>
      </c>
      <c r="H590" s="822">
        <v>24769670.286195301</v>
      </c>
      <c r="I590" s="819"/>
      <c r="J590" s="820">
        <v>5.3274799999999997E-6</v>
      </c>
      <c r="K590" s="819">
        <f t="shared" si="134"/>
        <v>1045</v>
      </c>
      <c r="L590" s="819">
        <f t="shared" si="135"/>
        <v>1505</v>
      </c>
      <c r="M590" s="819">
        <f t="shared" si="131"/>
        <v>1045</v>
      </c>
      <c r="N590" s="819">
        <f t="shared" si="132"/>
        <v>364</v>
      </c>
      <c r="O590" s="819">
        <f t="shared" si="133"/>
        <v>442</v>
      </c>
      <c r="P590" s="819">
        <f t="shared" si="136"/>
        <v>353</v>
      </c>
      <c r="Q590" s="819">
        <f t="shared" si="137"/>
        <v>1082</v>
      </c>
      <c r="R590" s="819">
        <f t="shared" si="138"/>
        <v>963</v>
      </c>
      <c r="S590" s="819">
        <f t="shared" si="139"/>
        <v>338</v>
      </c>
      <c r="T590" s="819">
        <f t="shared" si="140"/>
        <v>420</v>
      </c>
      <c r="U590" s="819">
        <f t="shared" si="141"/>
        <v>3156</v>
      </c>
      <c r="V590" s="819">
        <f t="shared" si="142"/>
        <v>1135</v>
      </c>
      <c r="W590" s="379">
        <f t="shared" si="143"/>
        <v>1135</v>
      </c>
      <c r="X590" s="819" t="str">
        <f t="shared" si="144"/>
        <v/>
      </c>
      <c r="Y590" s="837"/>
      <c r="Z590" s="839"/>
      <c r="AA590" s="838"/>
      <c r="AB590" s="839"/>
    </row>
    <row r="591" spans="1:28" ht="14.45">
      <c r="A591" s="816"/>
      <c r="B591" s="819" t="s">
        <v>1578</v>
      </c>
      <c r="C591" s="819" t="s">
        <v>1579</v>
      </c>
      <c r="D591" s="379" t="s">
        <v>336</v>
      </c>
      <c r="E591" s="818" t="s">
        <v>460</v>
      </c>
      <c r="F591" s="820">
        <v>1.9535056589999999</v>
      </c>
      <c r="G591" s="821">
        <v>3.683650815</v>
      </c>
      <c r="H591" s="822">
        <v>5458086.6633906597</v>
      </c>
      <c r="I591" s="819"/>
      <c r="J591" s="820">
        <v>-2.5242999999999999E-4</v>
      </c>
      <c r="K591" s="819">
        <f t="shared" si="134"/>
        <v>1354</v>
      </c>
      <c r="L591" s="819">
        <f t="shared" si="135"/>
        <v>477</v>
      </c>
      <c r="M591" s="819">
        <f t="shared" si="131"/>
        <v>1354</v>
      </c>
      <c r="N591" s="819">
        <f t="shared" si="132"/>
        <v>364</v>
      </c>
      <c r="O591" s="819">
        <f t="shared" si="133"/>
        <v>1148</v>
      </c>
      <c r="P591" s="819">
        <f t="shared" si="136"/>
        <v>44</v>
      </c>
      <c r="Q591" s="819">
        <f t="shared" si="137"/>
        <v>54</v>
      </c>
      <c r="R591" s="819">
        <f t="shared" si="138"/>
        <v>1272</v>
      </c>
      <c r="S591" s="819">
        <f t="shared" si="139"/>
        <v>338</v>
      </c>
      <c r="T591" s="819">
        <f t="shared" si="140"/>
        <v>1126</v>
      </c>
      <c r="U591" s="819">
        <f t="shared" si="141"/>
        <v>2834</v>
      </c>
      <c r="V591" s="819">
        <f t="shared" si="142"/>
        <v>692</v>
      </c>
      <c r="W591" s="379">
        <f t="shared" si="143"/>
        <v>692</v>
      </c>
      <c r="X591" s="819" t="str">
        <f t="shared" si="144"/>
        <v/>
      </c>
      <c r="Y591" s="837"/>
      <c r="Z591" s="839"/>
      <c r="AA591" s="838"/>
      <c r="AB591" s="839"/>
    </row>
    <row r="592" spans="1:28" ht="13.15">
      <c r="B592" s="819" t="s">
        <v>1580</v>
      </c>
      <c r="C592" s="819" t="s">
        <v>1581</v>
      </c>
      <c r="D592" s="379" t="s">
        <v>336</v>
      </c>
      <c r="E592" s="818" t="s">
        <v>460</v>
      </c>
      <c r="F592" s="820">
        <v>7.9138377970000002</v>
      </c>
      <c r="G592" s="821">
        <v>1.1010572919999999</v>
      </c>
      <c r="H592" s="822">
        <v>367399163.420627</v>
      </c>
      <c r="I592" s="819"/>
      <c r="J592" s="820">
        <v>-5.6372900000000001E-4</v>
      </c>
      <c r="K592" s="819">
        <f t="shared" si="134"/>
        <v>426</v>
      </c>
      <c r="L592" s="819">
        <f t="shared" si="135"/>
        <v>799</v>
      </c>
      <c r="M592" s="819">
        <f t="shared" si="131"/>
        <v>426</v>
      </c>
      <c r="N592" s="819">
        <f t="shared" si="132"/>
        <v>364</v>
      </c>
      <c r="O592" s="819">
        <f t="shared" si="133"/>
        <v>1294</v>
      </c>
      <c r="P592" s="819">
        <f t="shared" si="136"/>
        <v>972</v>
      </c>
      <c r="Q592" s="819">
        <f t="shared" si="137"/>
        <v>376</v>
      </c>
      <c r="R592" s="819">
        <f t="shared" si="138"/>
        <v>344</v>
      </c>
      <c r="S592" s="819">
        <f t="shared" si="139"/>
        <v>338</v>
      </c>
      <c r="T592" s="819">
        <f t="shared" si="140"/>
        <v>1272</v>
      </c>
      <c r="U592" s="819">
        <f t="shared" si="141"/>
        <v>3302</v>
      </c>
      <c r="V592" s="819">
        <f t="shared" si="142"/>
        <v>1348</v>
      </c>
      <c r="W592" s="379">
        <f t="shared" si="143"/>
        <v>1348</v>
      </c>
      <c r="X592" s="819" t="str">
        <f t="shared" si="144"/>
        <v/>
      </c>
      <c r="Y592" s="837"/>
      <c r="Z592" s="839"/>
      <c r="AA592" s="838"/>
      <c r="AB592" s="839"/>
    </row>
    <row r="593" spans="1:28" ht="14.45">
      <c r="A593" s="816"/>
      <c r="B593" s="819" t="s">
        <v>1582</v>
      </c>
      <c r="C593" s="819" t="s">
        <v>1583</v>
      </c>
      <c r="D593" s="379" t="s">
        <v>336</v>
      </c>
      <c r="E593" s="818" t="s">
        <v>460</v>
      </c>
      <c r="F593" s="820">
        <v>3.4950688479999998</v>
      </c>
      <c r="G593" s="821">
        <v>7.265524868</v>
      </c>
      <c r="H593" s="822">
        <v>17906162.063882101</v>
      </c>
      <c r="I593" s="819"/>
      <c r="J593" s="820">
        <v>-1.2730599999999999E-4</v>
      </c>
      <c r="K593" s="819">
        <f t="shared" si="134"/>
        <v>1129</v>
      </c>
      <c r="L593" s="819">
        <f t="shared" si="135"/>
        <v>279</v>
      </c>
      <c r="M593" s="819">
        <f t="shared" si="131"/>
        <v>1129</v>
      </c>
      <c r="N593" s="819">
        <f t="shared" si="132"/>
        <v>364</v>
      </c>
      <c r="O593" s="819">
        <f t="shared" si="133"/>
        <v>1036</v>
      </c>
      <c r="P593" s="819">
        <f t="shared" si="136"/>
        <v>269</v>
      </c>
      <c r="Q593" s="819">
        <f t="shared" si="137"/>
        <v>144</v>
      </c>
      <c r="R593" s="819">
        <f t="shared" si="138"/>
        <v>1047</v>
      </c>
      <c r="S593" s="819">
        <f t="shared" si="139"/>
        <v>338</v>
      </c>
      <c r="T593" s="819">
        <f t="shared" si="140"/>
        <v>1014</v>
      </c>
      <c r="U593" s="819">
        <f t="shared" si="141"/>
        <v>2812</v>
      </c>
      <c r="V593" s="819">
        <f t="shared" si="142"/>
        <v>651</v>
      </c>
      <c r="W593" s="379">
        <f t="shared" si="143"/>
        <v>651</v>
      </c>
      <c r="X593" s="819" t="str">
        <f t="shared" si="144"/>
        <v/>
      </c>
      <c r="Y593" s="837"/>
      <c r="Z593" s="839"/>
      <c r="AA593" s="838"/>
      <c r="AB593" s="839"/>
    </row>
    <row r="594" spans="1:28" ht="13.15">
      <c r="B594" s="819" t="s">
        <v>1584</v>
      </c>
      <c r="C594" s="819" t="s">
        <v>1585</v>
      </c>
      <c r="D594" s="379" t="s">
        <v>336</v>
      </c>
      <c r="E594" s="818" t="s">
        <v>460</v>
      </c>
      <c r="F594" s="820"/>
      <c r="G594" s="821"/>
      <c r="H594" s="822">
        <v>13306171.926050199</v>
      </c>
      <c r="I594" s="819"/>
      <c r="J594" s="820">
        <v>0</v>
      </c>
      <c r="K594" s="819">
        <f t="shared" si="134"/>
        <v>1194</v>
      </c>
      <c r="L594" s="819">
        <f t="shared" si="135"/>
        <v>1084</v>
      </c>
      <c r="M594" s="819">
        <f t="shared" si="131"/>
        <v>1194</v>
      </c>
      <c r="N594" s="819">
        <f t="shared" si="132"/>
        <v>364</v>
      </c>
      <c r="O594" s="819">
        <f t="shared" si="133"/>
        <v>492</v>
      </c>
      <c r="P594" s="819">
        <f t="shared" si="136"/>
        <v>204</v>
      </c>
      <c r="Q594" s="819">
        <f t="shared" si="137"/>
        <v>661</v>
      </c>
      <c r="R594" s="819">
        <f t="shared" si="138"/>
        <v>1112</v>
      </c>
      <c r="S594" s="819">
        <f t="shared" si="139"/>
        <v>338</v>
      </c>
      <c r="T594" s="819">
        <f t="shared" si="140"/>
        <v>470</v>
      </c>
      <c r="U594" s="819">
        <f t="shared" si="141"/>
        <v>2785</v>
      </c>
      <c r="V594" s="819">
        <f t="shared" si="142"/>
        <v>463</v>
      </c>
      <c r="W594" s="379">
        <f t="shared" si="143"/>
        <v>463</v>
      </c>
      <c r="X594" s="819" t="str">
        <f t="shared" si="144"/>
        <v/>
      </c>
      <c r="Y594" s="837"/>
      <c r="Z594" s="839"/>
      <c r="AA594" s="838"/>
      <c r="AB594" s="839"/>
    </row>
    <row r="595" spans="1:28" ht="14.45">
      <c r="A595" s="816"/>
      <c r="B595" s="819" t="s">
        <v>1586</v>
      </c>
      <c r="C595" s="819" t="s">
        <v>1587</v>
      </c>
      <c r="D595" s="379" t="s">
        <v>336</v>
      </c>
      <c r="E595" s="818" t="s">
        <v>460</v>
      </c>
      <c r="F595" s="820">
        <v>1.2982730280000001</v>
      </c>
      <c r="G595" s="821">
        <v>0.84154824699999997</v>
      </c>
      <c r="H595" s="822"/>
      <c r="I595" s="819"/>
      <c r="J595" s="820">
        <v>-2.5184300000000002E-4</v>
      </c>
      <c r="K595" s="819" t="str">
        <f t="shared" si="134"/>
        <v>N/A</v>
      </c>
      <c r="L595" s="819">
        <f t="shared" si="135"/>
        <v>837</v>
      </c>
      <c r="M595" s="819" t="str">
        <f t="shared" si="131"/>
        <v>N/A</v>
      </c>
      <c r="N595" s="819">
        <f t="shared" si="132"/>
        <v>364</v>
      </c>
      <c r="O595" s="819">
        <f t="shared" si="133"/>
        <v>1147</v>
      </c>
      <c r="P595" s="819" t="str">
        <f t="shared" si="136"/>
        <v>N/A</v>
      </c>
      <c r="Q595" s="819">
        <f t="shared" si="137"/>
        <v>414</v>
      </c>
      <c r="R595" s="819" t="str">
        <f t="shared" si="138"/>
        <v>N/A</v>
      </c>
      <c r="S595" s="819">
        <f t="shared" si="139"/>
        <v>338</v>
      </c>
      <c r="T595" s="819">
        <f t="shared" si="140"/>
        <v>1125</v>
      </c>
      <c r="U595" s="819">
        <f t="shared" si="141"/>
        <v>1877</v>
      </c>
      <c r="V595" s="819">
        <f t="shared" si="142"/>
        <v>138</v>
      </c>
      <c r="W595" s="379">
        <f t="shared" si="143"/>
        <v>138</v>
      </c>
      <c r="X595" s="819" t="str">
        <f t="shared" si="144"/>
        <v/>
      </c>
      <c r="Y595" s="837"/>
      <c r="Z595" s="839"/>
      <c r="AA595" s="838"/>
      <c r="AB595" s="839"/>
    </row>
    <row r="596" spans="1:28" ht="13.15">
      <c r="B596" s="819" t="s">
        <v>1588</v>
      </c>
      <c r="C596" s="819" t="s">
        <v>1589</v>
      </c>
      <c r="D596" s="379" t="s">
        <v>336</v>
      </c>
      <c r="E596" s="818" t="s">
        <v>418</v>
      </c>
      <c r="F596" s="820">
        <v>3.1834830680000001</v>
      </c>
      <c r="G596" s="821">
        <v>-1.720783765</v>
      </c>
      <c r="H596" s="822">
        <v>56282406.163009003</v>
      </c>
      <c r="I596" s="819"/>
      <c r="J596" s="820">
        <v>8.0236599999999997E-5</v>
      </c>
      <c r="K596" s="819">
        <f t="shared" si="134"/>
        <v>848</v>
      </c>
      <c r="L596" s="819">
        <f t="shared" si="135"/>
        <v>1333</v>
      </c>
      <c r="M596" s="819">
        <f t="shared" si="131"/>
        <v>848</v>
      </c>
      <c r="N596" s="819">
        <f t="shared" si="132"/>
        <v>364</v>
      </c>
      <c r="O596" s="819">
        <f t="shared" si="133"/>
        <v>310</v>
      </c>
      <c r="P596" s="819">
        <f t="shared" si="136"/>
        <v>550</v>
      </c>
      <c r="Q596" s="819">
        <f t="shared" si="137"/>
        <v>910</v>
      </c>
      <c r="R596" s="819">
        <f t="shared" si="138"/>
        <v>766</v>
      </c>
      <c r="S596" s="819">
        <f t="shared" si="139"/>
        <v>338</v>
      </c>
      <c r="T596" s="819">
        <f t="shared" si="140"/>
        <v>288</v>
      </c>
      <c r="U596" s="819">
        <f t="shared" si="141"/>
        <v>2852</v>
      </c>
      <c r="V596" s="819">
        <f t="shared" si="142"/>
        <v>726</v>
      </c>
      <c r="W596" s="379">
        <f t="shared" si="143"/>
        <v>726</v>
      </c>
      <c r="X596" s="819" t="str">
        <f t="shared" si="144"/>
        <v/>
      </c>
      <c r="Y596" s="837"/>
      <c r="Z596" s="839"/>
      <c r="AA596" s="838"/>
      <c r="AB596" s="839"/>
    </row>
    <row r="597" spans="1:28" ht="14.45">
      <c r="A597" s="816"/>
      <c r="B597" s="819" t="s">
        <v>1590</v>
      </c>
      <c r="C597" s="819" t="s">
        <v>1591</v>
      </c>
      <c r="D597" s="379" t="s">
        <v>336</v>
      </c>
      <c r="E597" s="818" t="s">
        <v>337</v>
      </c>
      <c r="F597" s="820">
        <v>1.477560666</v>
      </c>
      <c r="G597" s="821">
        <v>3.8146762320000001</v>
      </c>
      <c r="H597" s="822">
        <v>1974400.9950000001</v>
      </c>
      <c r="I597" s="819"/>
      <c r="J597" s="820">
        <v>-7.4719599999999999E-4</v>
      </c>
      <c r="K597" s="819">
        <f t="shared" si="134"/>
        <v>1503</v>
      </c>
      <c r="L597" s="819">
        <f t="shared" si="135"/>
        <v>467</v>
      </c>
      <c r="M597" s="819">
        <f t="shared" si="131"/>
        <v>1503</v>
      </c>
      <c r="N597" s="819">
        <f t="shared" si="132"/>
        <v>364</v>
      </c>
      <c r="O597" s="819">
        <f t="shared" si="133"/>
        <v>1354</v>
      </c>
      <c r="P597" s="819">
        <f t="shared" si="136"/>
        <v>105</v>
      </c>
      <c r="Q597" s="819">
        <f t="shared" si="137"/>
        <v>44</v>
      </c>
      <c r="R597" s="819">
        <f t="shared" si="138"/>
        <v>1421</v>
      </c>
      <c r="S597" s="819">
        <f t="shared" si="139"/>
        <v>338</v>
      </c>
      <c r="T597" s="819">
        <f t="shared" si="140"/>
        <v>1332</v>
      </c>
      <c r="U597" s="819">
        <f t="shared" si="141"/>
        <v>3240</v>
      </c>
      <c r="V597" s="819">
        <f t="shared" si="142"/>
        <v>1256</v>
      </c>
      <c r="W597" s="379">
        <f t="shared" si="143"/>
        <v>1256</v>
      </c>
      <c r="X597" s="819" t="str">
        <f t="shared" si="144"/>
        <v/>
      </c>
      <c r="Y597" s="837"/>
      <c r="Z597" s="839"/>
      <c r="AA597" s="838"/>
      <c r="AB597" s="839"/>
    </row>
    <row r="598" spans="1:28" ht="13.15">
      <c r="B598" s="819" t="s">
        <v>1592</v>
      </c>
      <c r="C598" s="819" t="s">
        <v>1593</v>
      </c>
      <c r="D598" s="379" t="s">
        <v>336</v>
      </c>
      <c r="E598" s="818" t="s">
        <v>453</v>
      </c>
      <c r="F598" s="820">
        <v>3.4334924770000002</v>
      </c>
      <c r="G598" s="821">
        <v>50.013240060000001</v>
      </c>
      <c r="H598" s="822">
        <v>139046553.97532099</v>
      </c>
      <c r="I598" s="819"/>
      <c r="J598" s="820">
        <v>-1.03764E-4</v>
      </c>
      <c r="K598" s="819">
        <f t="shared" si="134"/>
        <v>641</v>
      </c>
      <c r="L598" s="819">
        <f t="shared" si="135"/>
        <v>36</v>
      </c>
      <c r="M598" s="819">
        <f t="shared" si="131"/>
        <v>641</v>
      </c>
      <c r="N598" s="819">
        <f t="shared" si="132"/>
        <v>364</v>
      </c>
      <c r="O598" s="819">
        <f t="shared" si="133"/>
        <v>1011</v>
      </c>
      <c r="P598" s="819">
        <f t="shared" si="136"/>
        <v>757</v>
      </c>
      <c r="Q598" s="819">
        <f t="shared" si="137"/>
        <v>387</v>
      </c>
      <c r="R598" s="819">
        <f t="shared" si="138"/>
        <v>559</v>
      </c>
      <c r="S598" s="819">
        <f t="shared" si="139"/>
        <v>338</v>
      </c>
      <c r="T598" s="819">
        <f t="shared" si="140"/>
        <v>989</v>
      </c>
      <c r="U598" s="819">
        <f t="shared" si="141"/>
        <v>3030</v>
      </c>
      <c r="V598" s="819">
        <f t="shared" si="142"/>
        <v>965</v>
      </c>
      <c r="W598" s="379">
        <f t="shared" si="143"/>
        <v>965</v>
      </c>
      <c r="X598" s="819" t="str">
        <f t="shared" si="144"/>
        <v/>
      </c>
      <c r="Y598" s="837"/>
      <c r="Z598" s="839"/>
      <c r="AA598" s="838"/>
      <c r="AB598" s="839"/>
    </row>
    <row r="599" spans="1:28" ht="14.45">
      <c r="A599" s="816"/>
      <c r="B599" s="819" t="s">
        <v>1594</v>
      </c>
      <c r="C599" s="819" t="s">
        <v>1595</v>
      </c>
      <c r="D599" s="379" t="s">
        <v>336</v>
      </c>
      <c r="E599" s="818" t="s">
        <v>418</v>
      </c>
      <c r="F599" s="820">
        <v>2.7207787290000001</v>
      </c>
      <c r="G599" s="821">
        <v>22.275387420000001</v>
      </c>
      <c r="H599" s="822">
        <v>64011608.856088601</v>
      </c>
      <c r="I599" s="819"/>
      <c r="J599" s="820">
        <v>-1.190541E-3</v>
      </c>
      <c r="K599" s="819">
        <f t="shared" si="134"/>
        <v>823</v>
      </c>
      <c r="L599" s="819">
        <f t="shared" si="135"/>
        <v>89</v>
      </c>
      <c r="M599" s="819">
        <f t="shared" si="131"/>
        <v>823</v>
      </c>
      <c r="N599" s="819">
        <f t="shared" si="132"/>
        <v>364</v>
      </c>
      <c r="O599" s="819">
        <f t="shared" si="133"/>
        <v>1427</v>
      </c>
      <c r="P599" s="819">
        <f t="shared" si="136"/>
        <v>575</v>
      </c>
      <c r="Q599" s="819">
        <f t="shared" si="137"/>
        <v>334</v>
      </c>
      <c r="R599" s="819">
        <f t="shared" si="138"/>
        <v>741</v>
      </c>
      <c r="S599" s="819">
        <f t="shared" si="139"/>
        <v>338</v>
      </c>
      <c r="T599" s="819">
        <f t="shared" si="140"/>
        <v>1405</v>
      </c>
      <c r="U599" s="819">
        <f t="shared" si="141"/>
        <v>3393</v>
      </c>
      <c r="V599" s="819">
        <f t="shared" si="142"/>
        <v>1455</v>
      </c>
      <c r="W599" s="379">
        <f t="shared" si="143"/>
        <v>1455</v>
      </c>
      <c r="X599" s="819" t="str">
        <f t="shared" si="144"/>
        <v/>
      </c>
      <c r="Y599" s="837"/>
      <c r="Z599" s="839"/>
      <c r="AA599" s="838"/>
      <c r="AB599" s="839"/>
    </row>
    <row r="600" spans="1:28" ht="13.15">
      <c r="B600" s="819" t="s">
        <v>1596</v>
      </c>
      <c r="C600" s="819" t="s">
        <v>1597</v>
      </c>
      <c r="D600" s="379" t="s">
        <v>336</v>
      </c>
      <c r="E600" s="818" t="s">
        <v>337</v>
      </c>
      <c r="F600" s="820">
        <v>2.555859055</v>
      </c>
      <c r="G600" s="821">
        <v>3.573932927</v>
      </c>
      <c r="H600" s="822">
        <v>425056976.39999998</v>
      </c>
      <c r="I600" s="819">
        <v>3.03</v>
      </c>
      <c r="J600" s="820">
        <v>-7.2953051000000005E-2</v>
      </c>
      <c r="K600" s="819">
        <f t="shared" si="134"/>
        <v>393</v>
      </c>
      <c r="L600" s="819">
        <f t="shared" si="135"/>
        <v>490</v>
      </c>
      <c r="M600" s="819">
        <f t="shared" si="131"/>
        <v>393</v>
      </c>
      <c r="N600" s="819">
        <f t="shared" si="132"/>
        <v>64</v>
      </c>
      <c r="O600" s="819">
        <f t="shared" si="133"/>
        <v>1743</v>
      </c>
      <c r="P600" s="819">
        <f t="shared" si="136"/>
        <v>1005</v>
      </c>
      <c r="Q600" s="819">
        <f t="shared" si="137"/>
        <v>67</v>
      </c>
      <c r="R600" s="819">
        <f t="shared" si="138"/>
        <v>311</v>
      </c>
      <c r="S600" s="819">
        <f t="shared" si="139"/>
        <v>38</v>
      </c>
      <c r="T600" s="819">
        <f t="shared" si="140"/>
        <v>1721</v>
      </c>
      <c r="U600" s="819">
        <f t="shared" si="141"/>
        <v>3142</v>
      </c>
      <c r="V600" s="819">
        <f t="shared" si="142"/>
        <v>1112</v>
      </c>
      <c r="W600" s="379">
        <f t="shared" si="143"/>
        <v>1112</v>
      </c>
      <c r="X600" s="819" t="str">
        <f t="shared" si="144"/>
        <v/>
      </c>
      <c r="Y600" s="837"/>
      <c r="Z600" s="839"/>
      <c r="AA600" s="838"/>
      <c r="AB600" s="839"/>
    </row>
    <row r="601" spans="1:28" ht="14.45">
      <c r="A601" s="816"/>
      <c r="B601" s="819" t="s">
        <v>1598</v>
      </c>
      <c r="C601" s="819" t="s">
        <v>1599</v>
      </c>
      <c r="D601" s="379" t="s">
        <v>336</v>
      </c>
      <c r="E601" s="818" t="s">
        <v>337</v>
      </c>
      <c r="F601" s="820">
        <v>-0.97746176200000001</v>
      </c>
      <c r="G601" s="821">
        <v>-12.19687738</v>
      </c>
      <c r="H601" s="822">
        <v>13679928359.889999</v>
      </c>
      <c r="I601" s="819"/>
      <c r="J601" s="820">
        <v>1.5824099999999999E-4</v>
      </c>
      <c r="K601" s="819">
        <f t="shared" si="134"/>
        <v>27</v>
      </c>
      <c r="L601" s="819">
        <f t="shared" si="135"/>
        <v>1463</v>
      </c>
      <c r="M601" s="819">
        <f t="shared" si="131"/>
        <v>27</v>
      </c>
      <c r="N601" s="819">
        <f t="shared" si="132"/>
        <v>364</v>
      </c>
      <c r="O601" s="819">
        <f t="shared" si="133"/>
        <v>270</v>
      </c>
      <c r="P601" s="819">
        <f t="shared" si="136"/>
        <v>1371</v>
      </c>
      <c r="Q601" s="819">
        <f t="shared" si="137"/>
        <v>1040</v>
      </c>
      <c r="R601" s="819">
        <f t="shared" si="138"/>
        <v>55</v>
      </c>
      <c r="S601" s="819">
        <f t="shared" si="139"/>
        <v>338</v>
      </c>
      <c r="T601" s="819">
        <f t="shared" si="140"/>
        <v>248</v>
      </c>
      <c r="U601" s="819">
        <f t="shared" si="141"/>
        <v>3052</v>
      </c>
      <c r="V601" s="819">
        <f t="shared" si="142"/>
        <v>997</v>
      </c>
      <c r="W601" s="379">
        <f t="shared" si="143"/>
        <v>997</v>
      </c>
      <c r="X601" s="819" t="str">
        <f t="shared" si="144"/>
        <v/>
      </c>
      <c r="Y601" s="837"/>
      <c r="Z601" s="839"/>
      <c r="AA601" s="838"/>
      <c r="AB601" s="839"/>
    </row>
    <row r="602" spans="1:28" ht="13.15">
      <c r="B602" s="819" t="s">
        <v>1600</v>
      </c>
      <c r="C602" s="819" t="s">
        <v>1601</v>
      </c>
      <c r="D602" s="379" t="s">
        <v>336</v>
      </c>
      <c r="E602" s="818" t="s">
        <v>731</v>
      </c>
      <c r="F602" s="820">
        <v>1.891858424</v>
      </c>
      <c r="G602" s="821">
        <v>0.81172520100000001</v>
      </c>
      <c r="H602" s="822">
        <v>2136519.4315638398</v>
      </c>
      <c r="I602" s="819"/>
      <c r="J602" s="820">
        <v>-4.389642E-3</v>
      </c>
      <c r="K602" s="819">
        <f t="shared" si="134"/>
        <v>1488</v>
      </c>
      <c r="L602" s="819">
        <f t="shared" si="135"/>
        <v>847</v>
      </c>
      <c r="M602" s="819">
        <f t="shared" si="131"/>
        <v>1488</v>
      </c>
      <c r="N602" s="819">
        <f t="shared" si="132"/>
        <v>364</v>
      </c>
      <c r="O602" s="819">
        <f t="shared" si="133"/>
        <v>1593</v>
      </c>
      <c r="P602" s="819">
        <f t="shared" si="136"/>
        <v>90</v>
      </c>
      <c r="Q602" s="819">
        <f t="shared" si="137"/>
        <v>424</v>
      </c>
      <c r="R602" s="819">
        <f t="shared" si="138"/>
        <v>1406</v>
      </c>
      <c r="S602" s="819">
        <f t="shared" si="139"/>
        <v>338</v>
      </c>
      <c r="T602" s="819">
        <f t="shared" si="140"/>
        <v>1571</v>
      </c>
      <c r="U602" s="819">
        <f t="shared" si="141"/>
        <v>3829</v>
      </c>
      <c r="V602" s="819">
        <f t="shared" si="142"/>
        <v>1723</v>
      </c>
      <c r="W602" s="379">
        <f t="shared" si="143"/>
        <v>1723</v>
      </c>
      <c r="X602" s="819" t="str">
        <f t="shared" si="144"/>
        <v/>
      </c>
      <c r="Y602" s="837"/>
      <c r="Z602" s="839"/>
      <c r="AA602" s="838"/>
      <c r="AB602" s="839"/>
    </row>
    <row r="603" spans="1:28" ht="14.45">
      <c r="A603" s="816"/>
      <c r="B603" s="819" t="s">
        <v>1602</v>
      </c>
      <c r="C603" s="819" t="s">
        <v>1603</v>
      </c>
      <c r="D603" s="379" t="s">
        <v>336</v>
      </c>
      <c r="E603" s="818" t="s">
        <v>453</v>
      </c>
      <c r="F603" s="820">
        <v>1.473929367</v>
      </c>
      <c r="G603" s="821">
        <v>4.6614212940000002</v>
      </c>
      <c r="H603" s="822">
        <v>409623936.65367502</v>
      </c>
      <c r="I603" s="819">
        <v>3.28</v>
      </c>
      <c r="J603" s="820">
        <v>-5.2427807999999999E-2</v>
      </c>
      <c r="K603" s="819">
        <f t="shared" si="134"/>
        <v>401</v>
      </c>
      <c r="L603" s="819">
        <f t="shared" si="135"/>
        <v>403</v>
      </c>
      <c r="M603" s="819">
        <f t="shared" si="131"/>
        <v>401</v>
      </c>
      <c r="N603" s="819">
        <f t="shared" si="132"/>
        <v>60</v>
      </c>
      <c r="O603" s="819">
        <f t="shared" si="133"/>
        <v>1736</v>
      </c>
      <c r="P603" s="819">
        <f t="shared" si="136"/>
        <v>997</v>
      </c>
      <c r="Q603" s="819">
        <f t="shared" si="137"/>
        <v>20</v>
      </c>
      <c r="R603" s="819">
        <f t="shared" si="138"/>
        <v>319</v>
      </c>
      <c r="S603" s="819">
        <f t="shared" si="139"/>
        <v>34</v>
      </c>
      <c r="T603" s="819">
        <f t="shared" si="140"/>
        <v>1714</v>
      </c>
      <c r="U603" s="819">
        <f t="shared" si="141"/>
        <v>3084</v>
      </c>
      <c r="V603" s="819">
        <f t="shared" si="142"/>
        <v>1042</v>
      </c>
      <c r="W603" s="379">
        <f t="shared" si="143"/>
        <v>1042</v>
      </c>
      <c r="X603" s="819" t="str">
        <f t="shared" si="144"/>
        <v/>
      </c>
      <c r="Y603" s="837"/>
      <c r="Z603" s="839"/>
      <c r="AA603" s="838"/>
      <c r="AB603" s="839"/>
    </row>
    <row r="604" spans="1:28" ht="13.15">
      <c r="B604" s="819" t="s">
        <v>1604</v>
      </c>
      <c r="C604" s="819" t="s">
        <v>1605</v>
      </c>
      <c r="D604" s="379" t="s">
        <v>336</v>
      </c>
      <c r="E604" s="818" t="s">
        <v>337</v>
      </c>
      <c r="F604" s="820">
        <v>1.2100570580000001</v>
      </c>
      <c r="G604" s="821">
        <v>10.517403570000001</v>
      </c>
      <c r="H604" s="822">
        <v>6813000310.4799995</v>
      </c>
      <c r="I604" s="819"/>
      <c r="J604" s="820">
        <v>-2.2189399999999999E-4</v>
      </c>
      <c r="K604" s="819">
        <f t="shared" si="134"/>
        <v>57</v>
      </c>
      <c r="L604" s="819">
        <f t="shared" si="135"/>
        <v>185</v>
      </c>
      <c r="M604" s="819">
        <f t="shared" si="131"/>
        <v>57</v>
      </c>
      <c r="N604" s="819">
        <f t="shared" si="132"/>
        <v>364</v>
      </c>
      <c r="O604" s="819">
        <f t="shared" si="133"/>
        <v>1125</v>
      </c>
      <c r="P604" s="819">
        <f t="shared" si="136"/>
        <v>1341</v>
      </c>
      <c r="Q604" s="819">
        <f t="shared" si="137"/>
        <v>238</v>
      </c>
      <c r="R604" s="819">
        <f t="shared" si="138"/>
        <v>25</v>
      </c>
      <c r="S604" s="819">
        <f t="shared" si="139"/>
        <v>338</v>
      </c>
      <c r="T604" s="819">
        <f t="shared" si="140"/>
        <v>1103</v>
      </c>
      <c r="U604" s="819">
        <f t="shared" si="141"/>
        <v>3045</v>
      </c>
      <c r="V604" s="819">
        <f t="shared" si="142"/>
        <v>992</v>
      </c>
      <c r="W604" s="379">
        <f t="shared" si="143"/>
        <v>992</v>
      </c>
      <c r="X604" s="819" t="str">
        <f t="shared" si="144"/>
        <v/>
      </c>
      <c r="Y604" s="837"/>
      <c r="Z604" s="839"/>
      <c r="AA604" s="838"/>
      <c r="AB604" s="839"/>
    </row>
    <row r="605" spans="1:28" ht="14.45">
      <c r="A605" s="816"/>
      <c r="B605" s="819" t="s">
        <v>1606</v>
      </c>
      <c r="C605" s="819" t="s">
        <v>1607</v>
      </c>
      <c r="D605" s="379" t="s">
        <v>336</v>
      </c>
      <c r="E605" s="818" t="s">
        <v>444</v>
      </c>
      <c r="F605" s="820">
        <v>4.027283078</v>
      </c>
      <c r="G605" s="821">
        <v>0</v>
      </c>
      <c r="H605" s="822">
        <v>69754112.811046302</v>
      </c>
      <c r="I605" s="819"/>
      <c r="J605" s="820">
        <v>-6.0520500000000004E-4</v>
      </c>
      <c r="K605" s="819">
        <f t="shared" si="134"/>
        <v>796</v>
      </c>
      <c r="L605" s="819">
        <f t="shared" si="135"/>
        <v>1084</v>
      </c>
      <c r="M605" s="819">
        <f t="shared" si="131"/>
        <v>796</v>
      </c>
      <c r="N605" s="819">
        <f t="shared" si="132"/>
        <v>364</v>
      </c>
      <c r="O605" s="819">
        <f t="shared" si="133"/>
        <v>1313</v>
      </c>
      <c r="P605" s="819">
        <f t="shared" si="136"/>
        <v>602</v>
      </c>
      <c r="Q605" s="819">
        <f t="shared" si="137"/>
        <v>661</v>
      </c>
      <c r="R605" s="819">
        <f t="shared" si="138"/>
        <v>714</v>
      </c>
      <c r="S605" s="819">
        <f t="shared" si="139"/>
        <v>338</v>
      </c>
      <c r="T605" s="819">
        <f t="shared" si="140"/>
        <v>1291</v>
      </c>
      <c r="U605" s="819">
        <f t="shared" si="141"/>
        <v>3606</v>
      </c>
      <c r="V605" s="819">
        <f t="shared" si="142"/>
        <v>1626</v>
      </c>
      <c r="W605" s="379">
        <f t="shared" si="143"/>
        <v>1626</v>
      </c>
      <c r="X605" s="819" t="str">
        <f t="shared" si="144"/>
        <v/>
      </c>
      <c r="Y605" s="837"/>
      <c r="Z605" s="839"/>
      <c r="AA605" s="838"/>
      <c r="AB605" s="839"/>
    </row>
    <row r="606" spans="1:28" ht="13.15">
      <c r="B606" s="819" t="s">
        <v>1608</v>
      </c>
      <c r="C606" s="819" t="s">
        <v>1609</v>
      </c>
      <c r="D606" s="379" t="s">
        <v>336</v>
      </c>
      <c r="E606" s="818" t="s">
        <v>625</v>
      </c>
      <c r="F606" s="820">
        <v>6.8181818000000005E-2</v>
      </c>
      <c r="G606" s="821">
        <v>-7.3989501310000003</v>
      </c>
      <c r="H606" s="822">
        <v>7208899.8763906099</v>
      </c>
      <c r="I606" s="819"/>
      <c r="J606" s="820">
        <v>6.2644900000000001E-5</v>
      </c>
      <c r="K606" s="819">
        <f t="shared" si="134"/>
        <v>1314</v>
      </c>
      <c r="L606" s="819">
        <f t="shared" si="135"/>
        <v>1432</v>
      </c>
      <c r="M606" s="819">
        <f t="shared" si="131"/>
        <v>1314</v>
      </c>
      <c r="N606" s="819">
        <f t="shared" si="132"/>
        <v>364</v>
      </c>
      <c r="O606" s="819">
        <f t="shared" si="133"/>
        <v>330</v>
      </c>
      <c r="P606" s="819">
        <f t="shared" si="136"/>
        <v>84</v>
      </c>
      <c r="Q606" s="819">
        <f t="shared" si="137"/>
        <v>1009</v>
      </c>
      <c r="R606" s="819">
        <f t="shared" si="138"/>
        <v>1232</v>
      </c>
      <c r="S606" s="819">
        <f t="shared" si="139"/>
        <v>338</v>
      </c>
      <c r="T606" s="819">
        <f t="shared" si="140"/>
        <v>308</v>
      </c>
      <c r="U606" s="819">
        <f t="shared" si="141"/>
        <v>2971</v>
      </c>
      <c r="V606" s="819">
        <f t="shared" si="142"/>
        <v>893</v>
      </c>
      <c r="W606" s="379">
        <f t="shared" si="143"/>
        <v>893</v>
      </c>
      <c r="X606" s="819" t="str">
        <f t="shared" si="144"/>
        <v/>
      </c>
      <c r="Y606" s="837"/>
      <c r="Z606" s="839"/>
      <c r="AA606" s="838"/>
      <c r="AB606" s="839"/>
    </row>
    <row r="607" spans="1:28" ht="14.45">
      <c r="A607" s="816"/>
      <c r="B607" s="819" t="s">
        <v>1610</v>
      </c>
      <c r="C607" s="819" t="s">
        <v>1611</v>
      </c>
      <c r="D607" s="379" t="s">
        <v>336</v>
      </c>
      <c r="E607" s="818" t="s">
        <v>863</v>
      </c>
      <c r="F607" s="820">
        <v>0.584062517</v>
      </c>
      <c r="G607" s="821">
        <v>0.75341619900000001</v>
      </c>
      <c r="H607" s="822">
        <v>13791291.450365501</v>
      </c>
      <c r="I607" s="819"/>
      <c r="J607" s="820">
        <v>-7.1228800000000005E-5</v>
      </c>
      <c r="K607" s="819">
        <f t="shared" si="134"/>
        <v>1183</v>
      </c>
      <c r="L607" s="819">
        <f t="shared" si="135"/>
        <v>860</v>
      </c>
      <c r="M607" s="819">
        <f t="shared" si="131"/>
        <v>1183</v>
      </c>
      <c r="N607" s="819">
        <f t="shared" si="132"/>
        <v>364</v>
      </c>
      <c r="O607" s="819">
        <f t="shared" si="133"/>
        <v>956</v>
      </c>
      <c r="P607" s="819">
        <f t="shared" si="136"/>
        <v>215</v>
      </c>
      <c r="Q607" s="819">
        <f t="shared" si="137"/>
        <v>437</v>
      </c>
      <c r="R607" s="819">
        <f t="shared" si="138"/>
        <v>1101</v>
      </c>
      <c r="S607" s="819">
        <f t="shared" si="139"/>
        <v>338</v>
      </c>
      <c r="T607" s="819">
        <f t="shared" si="140"/>
        <v>934</v>
      </c>
      <c r="U607" s="819">
        <f t="shared" si="141"/>
        <v>3025</v>
      </c>
      <c r="V607" s="819">
        <f t="shared" si="142"/>
        <v>956</v>
      </c>
      <c r="W607" s="379">
        <f t="shared" si="143"/>
        <v>956</v>
      </c>
      <c r="X607" s="819" t="str">
        <f t="shared" si="144"/>
        <v/>
      </c>
      <c r="Y607" s="837"/>
      <c r="Z607" s="839"/>
      <c r="AA607" s="838"/>
      <c r="AB607" s="839"/>
    </row>
    <row r="608" spans="1:28" ht="13.15">
      <c r="B608" s="819" t="s">
        <v>1612</v>
      </c>
      <c r="C608" s="819" t="s">
        <v>1613</v>
      </c>
      <c r="D608" s="379" t="s">
        <v>336</v>
      </c>
      <c r="E608" s="818" t="s">
        <v>676</v>
      </c>
      <c r="F608" s="820">
        <v>-0.325420871</v>
      </c>
      <c r="G608" s="821">
        <v>-8.1912035789999997</v>
      </c>
      <c r="H608" s="822">
        <v>14355939.1800163</v>
      </c>
      <c r="I608" s="819"/>
      <c r="J608" s="820">
        <v>1.13375E-4</v>
      </c>
      <c r="K608" s="819">
        <f t="shared" si="134"/>
        <v>1174</v>
      </c>
      <c r="L608" s="819">
        <f t="shared" si="135"/>
        <v>1436</v>
      </c>
      <c r="M608" s="819">
        <f t="shared" si="131"/>
        <v>1174</v>
      </c>
      <c r="N608" s="819">
        <f t="shared" si="132"/>
        <v>364</v>
      </c>
      <c r="O608" s="819">
        <f t="shared" si="133"/>
        <v>291</v>
      </c>
      <c r="P608" s="819">
        <f t="shared" si="136"/>
        <v>224</v>
      </c>
      <c r="Q608" s="819">
        <f t="shared" si="137"/>
        <v>1013</v>
      </c>
      <c r="R608" s="819">
        <f t="shared" si="138"/>
        <v>1092</v>
      </c>
      <c r="S608" s="819">
        <f t="shared" si="139"/>
        <v>338</v>
      </c>
      <c r="T608" s="819">
        <f t="shared" si="140"/>
        <v>269</v>
      </c>
      <c r="U608" s="819">
        <f t="shared" si="141"/>
        <v>2936</v>
      </c>
      <c r="V608" s="819">
        <f t="shared" si="142"/>
        <v>852</v>
      </c>
      <c r="W608" s="379">
        <f t="shared" si="143"/>
        <v>852</v>
      </c>
      <c r="X608" s="819" t="str">
        <f t="shared" si="144"/>
        <v/>
      </c>
      <c r="Y608" s="837"/>
      <c r="Z608" s="839"/>
      <c r="AA608" s="838"/>
      <c r="AB608" s="839"/>
    </row>
    <row r="609" spans="1:28" ht="14.45">
      <c r="A609" s="816"/>
      <c r="B609" s="819" t="s">
        <v>1614</v>
      </c>
      <c r="C609" s="819" t="s">
        <v>1615</v>
      </c>
      <c r="D609" s="379" t="s">
        <v>336</v>
      </c>
      <c r="E609" s="818" t="s">
        <v>191</v>
      </c>
      <c r="F609" s="820">
        <v>5.5435375840000001</v>
      </c>
      <c r="G609" s="821">
        <v>0.70576779899999997</v>
      </c>
      <c r="H609" s="822">
        <v>895480.83418255905</v>
      </c>
      <c r="I609" s="819"/>
      <c r="J609" s="820">
        <v>-1.048497E-3</v>
      </c>
      <c r="K609" s="819">
        <f t="shared" si="134"/>
        <v>1565</v>
      </c>
      <c r="L609" s="819">
        <f t="shared" si="135"/>
        <v>871</v>
      </c>
      <c r="M609" s="819">
        <f t="shared" si="131"/>
        <v>1565</v>
      </c>
      <c r="N609" s="819">
        <f t="shared" si="132"/>
        <v>364</v>
      </c>
      <c r="O609" s="819">
        <f t="shared" si="133"/>
        <v>1404</v>
      </c>
      <c r="P609" s="819">
        <f t="shared" si="136"/>
        <v>167</v>
      </c>
      <c r="Q609" s="819">
        <f t="shared" si="137"/>
        <v>448</v>
      </c>
      <c r="R609" s="819">
        <f t="shared" si="138"/>
        <v>1483</v>
      </c>
      <c r="S609" s="819">
        <f t="shared" si="139"/>
        <v>338</v>
      </c>
      <c r="T609" s="819">
        <f t="shared" si="140"/>
        <v>1382</v>
      </c>
      <c r="U609" s="819">
        <f t="shared" si="141"/>
        <v>3818</v>
      </c>
      <c r="V609" s="819">
        <f t="shared" si="142"/>
        <v>1720</v>
      </c>
      <c r="W609" s="379">
        <f t="shared" si="143"/>
        <v>1720</v>
      </c>
      <c r="X609" s="819" t="str">
        <f t="shared" si="144"/>
        <v/>
      </c>
      <c r="Y609" s="837"/>
      <c r="Z609" s="839"/>
      <c r="AA609" s="838"/>
      <c r="AB609" s="839"/>
    </row>
    <row r="610" spans="1:28" ht="13.15">
      <c r="B610" s="819" t="s">
        <v>1616</v>
      </c>
      <c r="C610" s="819" t="s">
        <v>1617</v>
      </c>
      <c r="D610" s="379" t="s">
        <v>336</v>
      </c>
      <c r="E610" s="818" t="s">
        <v>1618</v>
      </c>
      <c r="F610" s="820">
        <v>3.5584329659999998</v>
      </c>
      <c r="G610" s="821">
        <v>36.103588559999999</v>
      </c>
      <c r="H610" s="822">
        <v>69601905.524796799</v>
      </c>
      <c r="I610" s="819"/>
      <c r="J610" s="820">
        <v>-1.9094100000000001E-5</v>
      </c>
      <c r="K610" s="819">
        <f t="shared" si="134"/>
        <v>798</v>
      </c>
      <c r="L610" s="819">
        <f t="shared" si="135"/>
        <v>50</v>
      </c>
      <c r="M610" s="819">
        <f t="shared" si="131"/>
        <v>798</v>
      </c>
      <c r="N610" s="819">
        <f t="shared" si="132"/>
        <v>364</v>
      </c>
      <c r="O610" s="819">
        <f t="shared" si="133"/>
        <v>847</v>
      </c>
      <c r="P610" s="819">
        <f t="shared" si="136"/>
        <v>600</v>
      </c>
      <c r="Q610" s="819">
        <f t="shared" si="137"/>
        <v>373</v>
      </c>
      <c r="R610" s="819">
        <f t="shared" si="138"/>
        <v>716</v>
      </c>
      <c r="S610" s="819">
        <f t="shared" si="139"/>
        <v>338</v>
      </c>
      <c r="T610" s="819">
        <f t="shared" si="140"/>
        <v>825</v>
      </c>
      <c r="U610" s="819">
        <f t="shared" si="141"/>
        <v>2852</v>
      </c>
      <c r="V610" s="819">
        <f t="shared" si="142"/>
        <v>726</v>
      </c>
      <c r="W610" s="379">
        <f t="shared" si="143"/>
        <v>726</v>
      </c>
      <c r="X610" s="819" t="str">
        <f t="shared" si="144"/>
        <v/>
      </c>
      <c r="Y610" s="837"/>
      <c r="Z610" s="839"/>
      <c r="AA610" s="838"/>
      <c r="AB610" s="839"/>
    </row>
    <row r="611" spans="1:28" ht="14.45">
      <c r="A611" s="816"/>
      <c r="B611" s="819" t="s">
        <v>1619</v>
      </c>
      <c r="C611" s="819" t="s">
        <v>1620</v>
      </c>
      <c r="D611" s="379" t="s">
        <v>336</v>
      </c>
      <c r="E611" s="818" t="s">
        <v>418</v>
      </c>
      <c r="F611" s="820">
        <v>-0.317601576</v>
      </c>
      <c r="G611" s="821">
        <v>-4.6586760910000002</v>
      </c>
      <c r="H611" s="822">
        <v>68219654.301806197</v>
      </c>
      <c r="I611" s="819"/>
      <c r="J611" s="820">
        <v>2.6411000000000002E-4</v>
      </c>
      <c r="K611" s="819">
        <f t="shared" si="134"/>
        <v>807</v>
      </c>
      <c r="L611" s="819">
        <f t="shared" si="135"/>
        <v>1400</v>
      </c>
      <c r="M611" s="819">
        <f t="shared" si="131"/>
        <v>807</v>
      </c>
      <c r="N611" s="819">
        <f t="shared" si="132"/>
        <v>364</v>
      </c>
      <c r="O611" s="819">
        <f t="shared" si="133"/>
        <v>240</v>
      </c>
      <c r="P611" s="819">
        <f t="shared" si="136"/>
        <v>591</v>
      </c>
      <c r="Q611" s="819">
        <f t="shared" si="137"/>
        <v>977</v>
      </c>
      <c r="R611" s="819">
        <f t="shared" si="138"/>
        <v>725</v>
      </c>
      <c r="S611" s="819">
        <f t="shared" si="139"/>
        <v>338</v>
      </c>
      <c r="T611" s="819">
        <f t="shared" si="140"/>
        <v>218</v>
      </c>
      <c r="U611" s="819">
        <f t="shared" si="141"/>
        <v>2849</v>
      </c>
      <c r="V611" s="819">
        <f t="shared" si="142"/>
        <v>720</v>
      </c>
      <c r="W611" s="379">
        <f t="shared" si="143"/>
        <v>720</v>
      </c>
      <c r="X611" s="819" t="str">
        <f t="shared" si="144"/>
        <v/>
      </c>
      <c r="Y611" s="837"/>
      <c r="Z611" s="839"/>
      <c r="AA611" s="838"/>
      <c r="AB611" s="839"/>
    </row>
    <row r="612" spans="1:28" ht="13.15">
      <c r="B612" s="819" t="s">
        <v>1621</v>
      </c>
      <c r="C612" s="819" t="s">
        <v>1622</v>
      </c>
      <c r="D612" s="379" t="s">
        <v>336</v>
      </c>
      <c r="E612" s="818" t="s">
        <v>612</v>
      </c>
      <c r="F612" s="820">
        <v>2.7972088720000001</v>
      </c>
      <c r="G612" s="821">
        <v>1.787769663</v>
      </c>
      <c r="H612" s="822">
        <v>10001298.869983099</v>
      </c>
      <c r="I612" s="819"/>
      <c r="J612" s="820">
        <v>-1.96004E-4</v>
      </c>
      <c r="K612" s="819">
        <f t="shared" si="134"/>
        <v>1253</v>
      </c>
      <c r="L612" s="819">
        <f t="shared" si="135"/>
        <v>704</v>
      </c>
      <c r="M612" s="819">
        <f t="shared" si="131"/>
        <v>1253</v>
      </c>
      <c r="N612" s="819">
        <f t="shared" si="132"/>
        <v>364</v>
      </c>
      <c r="O612" s="819">
        <f t="shared" si="133"/>
        <v>1104</v>
      </c>
      <c r="P612" s="819">
        <f t="shared" si="136"/>
        <v>145</v>
      </c>
      <c r="Q612" s="819">
        <f t="shared" si="137"/>
        <v>281</v>
      </c>
      <c r="R612" s="819">
        <f t="shared" si="138"/>
        <v>1171</v>
      </c>
      <c r="S612" s="819">
        <f t="shared" si="139"/>
        <v>338</v>
      </c>
      <c r="T612" s="819">
        <f t="shared" si="140"/>
        <v>1082</v>
      </c>
      <c r="U612" s="819">
        <f t="shared" si="141"/>
        <v>3017</v>
      </c>
      <c r="V612" s="819">
        <f t="shared" si="142"/>
        <v>947</v>
      </c>
      <c r="W612" s="379">
        <f t="shared" si="143"/>
        <v>947</v>
      </c>
      <c r="X612" s="819" t="str">
        <f t="shared" si="144"/>
        <v/>
      </c>
      <c r="Y612" s="837"/>
      <c r="Z612" s="839"/>
      <c r="AA612" s="838"/>
      <c r="AB612" s="839"/>
    </row>
    <row r="613" spans="1:28" ht="14.45">
      <c r="A613" s="816"/>
      <c r="B613" s="819" t="s">
        <v>1623</v>
      </c>
      <c r="C613" s="819" t="s">
        <v>1624</v>
      </c>
      <c r="D613" s="379" t="s">
        <v>336</v>
      </c>
      <c r="E613" s="818" t="s">
        <v>453</v>
      </c>
      <c r="F613" s="820">
        <v>1.785728969</v>
      </c>
      <c r="G613" s="821">
        <v>3.5437296460000001</v>
      </c>
      <c r="H613" s="822">
        <v>46424340.850060903</v>
      </c>
      <c r="I613" s="819">
        <v>34.32</v>
      </c>
      <c r="J613" s="820">
        <v>-1.0598199000000001E-2</v>
      </c>
      <c r="K613" s="819">
        <f t="shared" si="134"/>
        <v>891</v>
      </c>
      <c r="L613" s="819">
        <f t="shared" si="135"/>
        <v>496</v>
      </c>
      <c r="M613" s="819">
        <f t="shared" si="131"/>
        <v>891</v>
      </c>
      <c r="N613" s="819">
        <f t="shared" si="132"/>
        <v>21</v>
      </c>
      <c r="O613" s="819">
        <f t="shared" si="133"/>
        <v>1648</v>
      </c>
      <c r="P613" s="819">
        <f t="shared" si="136"/>
        <v>507</v>
      </c>
      <c r="Q613" s="819">
        <f t="shared" si="137"/>
        <v>73</v>
      </c>
      <c r="R613" s="819">
        <f t="shared" si="138"/>
        <v>809</v>
      </c>
      <c r="S613" s="819">
        <f t="shared" si="139"/>
        <v>5</v>
      </c>
      <c r="T613" s="819">
        <f t="shared" si="140"/>
        <v>1626</v>
      </c>
      <c r="U613" s="819">
        <f t="shared" si="141"/>
        <v>3020</v>
      </c>
      <c r="V613" s="819">
        <f t="shared" si="142"/>
        <v>950</v>
      </c>
      <c r="W613" s="379">
        <f t="shared" si="143"/>
        <v>950</v>
      </c>
      <c r="X613" s="819" t="str">
        <f t="shared" si="144"/>
        <v/>
      </c>
      <c r="Y613" s="837"/>
      <c r="Z613" s="839"/>
      <c r="AA613" s="838"/>
      <c r="AB613" s="839"/>
    </row>
    <row r="614" spans="1:28" ht="13.15">
      <c r="B614" s="819" t="s">
        <v>1625</v>
      </c>
      <c r="C614" s="819" t="s">
        <v>1626</v>
      </c>
      <c r="D614" s="379" t="s">
        <v>336</v>
      </c>
      <c r="E614" s="818" t="s">
        <v>941</v>
      </c>
      <c r="F614" s="820">
        <v>2.5413051169999998</v>
      </c>
      <c r="G614" s="821">
        <v>4.385435502</v>
      </c>
      <c r="H614" s="822">
        <v>1241862816.9014101</v>
      </c>
      <c r="I614" s="819"/>
      <c r="J614" s="820">
        <v>-1.1039398000000001E-2</v>
      </c>
      <c r="K614" s="819">
        <f t="shared" si="134"/>
        <v>193</v>
      </c>
      <c r="L614" s="819">
        <f t="shared" si="135"/>
        <v>421</v>
      </c>
      <c r="M614" s="819">
        <f t="shared" si="131"/>
        <v>193</v>
      </c>
      <c r="N614" s="819">
        <f t="shared" si="132"/>
        <v>364</v>
      </c>
      <c r="O614" s="819">
        <f t="shared" si="133"/>
        <v>1650</v>
      </c>
      <c r="P614" s="819">
        <f t="shared" si="136"/>
        <v>1205</v>
      </c>
      <c r="Q614" s="819">
        <f t="shared" si="137"/>
        <v>2</v>
      </c>
      <c r="R614" s="819">
        <f t="shared" si="138"/>
        <v>111</v>
      </c>
      <c r="S614" s="819">
        <f t="shared" si="139"/>
        <v>338</v>
      </c>
      <c r="T614" s="819">
        <f t="shared" si="140"/>
        <v>1628</v>
      </c>
      <c r="U614" s="819">
        <f t="shared" si="141"/>
        <v>3284</v>
      </c>
      <c r="V614" s="819">
        <f t="shared" si="142"/>
        <v>1317</v>
      </c>
      <c r="W614" s="379">
        <f t="shared" si="143"/>
        <v>1317</v>
      </c>
      <c r="X614" s="819" t="str">
        <f t="shared" si="144"/>
        <v/>
      </c>
      <c r="Y614" s="837"/>
      <c r="Z614" s="839"/>
      <c r="AA614" s="838"/>
      <c r="AB614" s="839"/>
    </row>
    <row r="615" spans="1:28" ht="14.45">
      <c r="A615" s="816"/>
      <c r="B615" s="819" t="s">
        <v>1627</v>
      </c>
      <c r="C615" s="819" t="s">
        <v>1628</v>
      </c>
      <c r="D615" s="379" t="s">
        <v>336</v>
      </c>
      <c r="E615" s="818" t="s">
        <v>441</v>
      </c>
      <c r="F615" s="820">
        <v>2.30638779</v>
      </c>
      <c r="G615" s="821">
        <v>2.2863113899999998</v>
      </c>
      <c r="H615" s="822">
        <v>1298868110.4625599</v>
      </c>
      <c r="I615" s="819">
        <v>9.64</v>
      </c>
      <c r="J615" s="820">
        <v>-5.1346804000000003E-2</v>
      </c>
      <c r="K615" s="819">
        <f t="shared" si="134"/>
        <v>187</v>
      </c>
      <c r="L615" s="819">
        <f t="shared" si="135"/>
        <v>634</v>
      </c>
      <c r="M615" s="819">
        <f t="shared" si="131"/>
        <v>187</v>
      </c>
      <c r="N615" s="819">
        <f t="shared" si="132"/>
        <v>32</v>
      </c>
      <c r="O615" s="819">
        <f t="shared" si="133"/>
        <v>1735</v>
      </c>
      <c r="P615" s="819">
        <f t="shared" si="136"/>
        <v>1211</v>
      </c>
      <c r="Q615" s="819">
        <f t="shared" si="137"/>
        <v>211</v>
      </c>
      <c r="R615" s="819">
        <f t="shared" si="138"/>
        <v>105</v>
      </c>
      <c r="S615" s="819">
        <f t="shared" si="139"/>
        <v>6</v>
      </c>
      <c r="T615" s="819">
        <f t="shared" si="140"/>
        <v>1713</v>
      </c>
      <c r="U615" s="819">
        <f t="shared" si="141"/>
        <v>3246</v>
      </c>
      <c r="V615" s="819">
        <f t="shared" si="142"/>
        <v>1262</v>
      </c>
      <c r="W615" s="379">
        <f t="shared" si="143"/>
        <v>1262</v>
      </c>
      <c r="X615" s="819" t="str">
        <f t="shared" si="144"/>
        <v/>
      </c>
      <c r="Y615" s="837"/>
      <c r="Z615" s="839"/>
      <c r="AA615" s="838"/>
      <c r="AB615" s="839"/>
    </row>
    <row r="616" spans="1:28" ht="13.15">
      <c r="B616" s="819" t="s">
        <v>1629</v>
      </c>
      <c r="C616" s="819" t="s">
        <v>1630</v>
      </c>
      <c r="D616" s="379" t="s">
        <v>336</v>
      </c>
      <c r="E616" s="818" t="s">
        <v>337</v>
      </c>
      <c r="F616" s="820">
        <v>1.0638873520000001</v>
      </c>
      <c r="G616" s="821">
        <v>23.00816013</v>
      </c>
      <c r="H616" s="822">
        <v>7560957233.75</v>
      </c>
      <c r="I616" s="819"/>
      <c r="J616" s="820">
        <v>-6.1520399999999995E-4</v>
      </c>
      <c r="K616" s="819">
        <f t="shared" si="134"/>
        <v>49</v>
      </c>
      <c r="L616" s="819">
        <f t="shared" si="135"/>
        <v>86</v>
      </c>
      <c r="M616" s="819">
        <f t="shared" si="131"/>
        <v>49</v>
      </c>
      <c r="N616" s="819">
        <f t="shared" si="132"/>
        <v>364</v>
      </c>
      <c r="O616" s="819">
        <f t="shared" si="133"/>
        <v>1314</v>
      </c>
      <c r="P616" s="819">
        <f t="shared" si="136"/>
        <v>1349</v>
      </c>
      <c r="Q616" s="819">
        <f t="shared" si="137"/>
        <v>337</v>
      </c>
      <c r="R616" s="819">
        <f t="shared" si="138"/>
        <v>33</v>
      </c>
      <c r="S616" s="819">
        <f t="shared" si="139"/>
        <v>338</v>
      </c>
      <c r="T616" s="819">
        <f t="shared" si="140"/>
        <v>1292</v>
      </c>
      <c r="U616" s="819">
        <f t="shared" si="141"/>
        <v>3349</v>
      </c>
      <c r="V616" s="819">
        <f t="shared" si="142"/>
        <v>1404</v>
      </c>
      <c r="W616" s="379">
        <f t="shared" si="143"/>
        <v>1404</v>
      </c>
      <c r="X616" s="819" t="str">
        <f t="shared" si="144"/>
        <v/>
      </c>
      <c r="Y616" s="837"/>
      <c r="Z616" s="839"/>
      <c r="AA616" s="838"/>
      <c r="AB616" s="839"/>
    </row>
    <row r="617" spans="1:28" ht="14.45">
      <c r="A617" s="816"/>
      <c r="B617" s="819" t="s">
        <v>1631</v>
      </c>
      <c r="C617" s="819" t="s">
        <v>1632</v>
      </c>
      <c r="D617" s="379" t="s">
        <v>336</v>
      </c>
      <c r="E617" s="818" t="s">
        <v>941</v>
      </c>
      <c r="F617" s="820">
        <v>1.257306861</v>
      </c>
      <c r="G617" s="821">
        <v>1.8169491980000001</v>
      </c>
      <c r="H617" s="822">
        <v>220603668.556795</v>
      </c>
      <c r="I617" s="819"/>
      <c r="J617" s="820">
        <v>-9.7035899999999996E-4</v>
      </c>
      <c r="K617" s="819">
        <f t="shared" si="134"/>
        <v>538</v>
      </c>
      <c r="L617" s="819">
        <f t="shared" si="135"/>
        <v>699</v>
      </c>
      <c r="M617" s="819">
        <f t="shared" si="131"/>
        <v>538</v>
      </c>
      <c r="N617" s="819">
        <f t="shared" si="132"/>
        <v>364</v>
      </c>
      <c r="O617" s="819">
        <f t="shared" si="133"/>
        <v>1389</v>
      </c>
      <c r="P617" s="819">
        <f t="shared" si="136"/>
        <v>860</v>
      </c>
      <c r="Q617" s="819">
        <f t="shared" si="137"/>
        <v>276</v>
      </c>
      <c r="R617" s="819">
        <f t="shared" si="138"/>
        <v>456</v>
      </c>
      <c r="S617" s="819">
        <f t="shared" si="139"/>
        <v>338</v>
      </c>
      <c r="T617" s="819">
        <f t="shared" si="140"/>
        <v>1367</v>
      </c>
      <c r="U617" s="819">
        <f t="shared" si="141"/>
        <v>3297</v>
      </c>
      <c r="V617" s="819">
        <f t="shared" si="142"/>
        <v>1337</v>
      </c>
      <c r="W617" s="379">
        <f t="shared" si="143"/>
        <v>1337</v>
      </c>
      <c r="X617" s="819" t="str">
        <f t="shared" si="144"/>
        <v/>
      </c>
      <c r="Y617" s="837"/>
      <c r="Z617" s="839"/>
      <c r="AA617" s="838"/>
      <c r="AB617" s="839"/>
    </row>
    <row r="618" spans="1:28" ht="13.15">
      <c r="B618" s="819" t="s">
        <v>1633</v>
      </c>
      <c r="C618" s="819" t="s">
        <v>1634</v>
      </c>
      <c r="D618" s="379" t="s">
        <v>336</v>
      </c>
      <c r="E618" s="818" t="s">
        <v>941</v>
      </c>
      <c r="F618" s="820">
        <v>2.4980419899999999</v>
      </c>
      <c r="G618" s="821">
        <v>13.62715506</v>
      </c>
      <c r="H618" s="822">
        <v>66832997.987927601</v>
      </c>
      <c r="I618" s="819"/>
      <c r="J618" s="820">
        <v>-2.11399E-4</v>
      </c>
      <c r="K618" s="819">
        <f t="shared" si="134"/>
        <v>814</v>
      </c>
      <c r="L618" s="819">
        <f t="shared" si="135"/>
        <v>143</v>
      </c>
      <c r="M618" s="819">
        <f t="shared" si="131"/>
        <v>814</v>
      </c>
      <c r="N618" s="819">
        <f t="shared" si="132"/>
        <v>364</v>
      </c>
      <c r="O618" s="819">
        <f t="shared" si="133"/>
        <v>1116</v>
      </c>
      <c r="P618" s="819">
        <f t="shared" si="136"/>
        <v>584</v>
      </c>
      <c r="Q618" s="819">
        <f t="shared" si="137"/>
        <v>280</v>
      </c>
      <c r="R618" s="819">
        <f t="shared" si="138"/>
        <v>732</v>
      </c>
      <c r="S618" s="819">
        <f t="shared" si="139"/>
        <v>338</v>
      </c>
      <c r="T618" s="819">
        <f t="shared" si="140"/>
        <v>1094</v>
      </c>
      <c r="U618" s="819">
        <f t="shared" si="141"/>
        <v>3028</v>
      </c>
      <c r="V618" s="819">
        <f t="shared" si="142"/>
        <v>961</v>
      </c>
      <c r="W618" s="379">
        <f t="shared" si="143"/>
        <v>961</v>
      </c>
      <c r="X618" s="819" t="str">
        <f t="shared" si="144"/>
        <v/>
      </c>
      <c r="Y618" s="837"/>
      <c r="Z618" s="839"/>
      <c r="AA618" s="838"/>
      <c r="AB618" s="839"/>
    </row>
    <row r="619" spans="1:28" ht="14.45">
      <c r="A619" s="816"/>
      <c r="B619" s="819" t="s">
        <v>1635</v>
      </c>
      <c r="C619" s="819" t="s">
        <v>1636</v>
      </c>
      <c r="D619" s="379" t="s">
        <v>336</v>
      </c>
      <c r="E619" s="818" t="s">
        <v>941</v>
      </c>
      <c r="F619" s="820">
        <v>1.9666975310000001</v>
      </c>
      <c r="G619" s="821">
        <v>-28.193054870000001</v>
      </c>
      <c r="H619" s="822">
        <v>34936894.091823697</v>
      </c>
      <c r="I619" s="819"/>
      <c r="J619" s="820">
        <v>1.03225E-4</v>
      </c>
      <c r="K619" s="819">
        <f t="shared" si="134"/>
        <v>958</v>
      </c>
      <c r="L619" s="819">
        <f t="shared" si="135"/>
        <v>1490</v>
      </c>
      <c r="M619" s="819">
        <f t="shared" si="131"/>
        <v>958</v>
      </c>
      <c r="N619" s="819">
        <f t="shared" si="132"/>
        <v>364</v>
      </c>
      <c r="O619" s="819">
        <f t="shared" si="133"/>
        <v>298</v>
      </c>
      <c r="P619" s="819">
        <f t="shared" si="136"/>
        <v>440</v>
      </c>
      <c r="Q619" s="819">
        <f t="shared" si="137"/>
        <v>1067</v>
      </c>
      <c r="R619" s="819">
        <f t="shared" si="138"/>
        <v>876</v>
      </c>
      <c r="S619" s="819">
        <f t="shared" si="139"/>
        <v>338</v>
      </c>
      <c r="T619" s="819">
        <f t="shared" si="140"/>
        <v>276</v>
      </c>
      <c r="U619" s="819">
        <f t="shared" si="141"/>
        <v>2997</v>
      </c>
      <c r="V619" s="819">
        <f t="shared" si="142"/>
        <v>922</v>
      </c>
      <c r="W619" s="379">
        <f t="shared" si="143"/>
        <v>922</v>
      </c>
      <c r="X619" s="819" t="str">
        <f t="shared" si="144"/>
        <v/>
      </c>
      <c r="Y619" s="837"/>
      <c r="Z619" s="839"/>
      <c r="AA619" s="838"/>
      <c r="AB619" s="839"/>
    </row>
    <row r="620" spans="1:28" ht="13.15">
      <c r="B620" s="819" t="s">
        <v>1637</v>
      </c>
      <c r="C620" s="819" t="s">
        <v>1638</v>
      </c>
      <c r="D620" s="379" t="s">
        <v>336</v>
      </c>
      <c r="E620" s="818" t="s">
        <v>941</v>
      </c>
      <c r="F620" s="820">
        <v>2.275755368</v>
      </c>
      <c r="G620" s="821">
        <v>0.46716933700000002</v>
      </c>
      <c r="H620" s="822">
        <v>21398721.854765002</v>
      </c>
      <c r="I620" s="819"/>
      <c r="J620" s="820">
        <v>-1.4903519999999999E-3</v>
      </c>
      <c r="K620" s="819">
        <f t="shared" si="134"/>
        <v>1087</v>
      </c>
      <c r="L620" s="819">
        <f t="shared" si="135"/>
        <v>932</v>
      </c>
      <c r="M620" s="819">
        <f t="shared" si="131"/>
        <v>1087</v>
      </c>
      <c r="N620" s="819">
        <f t="shared" si="132"/>
        <v>364</v>
      </c>
      <c r="O620" s="819">
        <f t="shared" si="133"/>
        <v>1463</v>
      </c>
      <c r="P620" s="819">
        <f t="shared" si="136"/>
        <v>311</v>
      </c>
      <c r="Q620" s="819">
        <f t="shared" si="137"/>
        <v>509</v>
      </c>
      <c r="R620" s="819">
        <f t="shared" si="138"/>
        <v>1005</v>
      </c>
      <c r="S620" s="819">
        <f t="shared" si="139"/>
        <v>338</v>
      </c>
      <c r="T620" s="819">
        <f t="shared" si="140"/>
        <v>1441</v>
      </c>
      <c r="U620" s="819">
        <f t="shared" si="141"/>
        <v>3604</v>
      </c>
      <c r="V620" s="819">
        <f t="shared" si="142"/>
        <v>1623</v>
      </c>
      <c r="W620" s="379">
        <f t="shared" si="143"/>
        <v>1623</v>
      </c>
      <c r="X620" s="819" t="str">
        <f t="shared" si="144"/>
        <v/>
      </c>
      <c r="Y620" s="837"/>
      <c r="Z620" s="839"/>
      <c r="AA620" s="838"/>
      <c r="AB620" s="839"/>
    </row>
    <row r="621" spans="1:28" ht="14.45">
      <c r="A621" s="816"/>
      <c r="B621" s="819" t="s">
        <v>1639</v>
      </c>
      <c r="C621" s="819" t="s">
        <v>1640</v>
      </c>
      <c r="D621" s="379" t="s">
        <v>336</v>
      </c>
      <c r="E621" s="818" t="s">
        <v>1618</v>
      </c>
      <c r="F621" s="820">
        <v>0.32720195400000002</v>
      </c>
      <c r="G621" s="821">
        <v>0</v>
      </c>
      <c r="H621" s="822">
        <v>78666509.600659698</v>
      </c>
      <c r="I621" s="819"/>
      <c r="J621" s="820">
        <v>-7.7590199999999997E-4</v>
      </c>
      <c r="K621" s="819">
        <f t="shared" si="134"/>
        <v>774</v>
      </c>
      <c r="L621" s="819">
        <f t="shared" si="135"/>
        <v>1084</v>
      </c>
      <c r="M621" s="819">
        <f t="shared" si="131"/>
        <v>774</v>
      </c>
      <c r="N621" s="819">
        <f t="shared" si="132"/>
        <v>364</v>
      </c>
      <c r="O621" s="819">
        <f t="shared" si="133"/>
        <v>1360</v>
      </c>
      <c r="P621" s="819">
        <f t="shared" si="136"/>
        <v>624</v>
      </c>
      <c r="Q621" s="819">
        <f t="shared" si="137"/>
        <v>661</v>
      </c>
      <c r="R621" s="819">
        <f t="shared" si="138"/>
        <v>692</v>
      </c>
      <c r="S621" s="819">
        <f t="shared" si="139"/>
        <v>338</v>
      </c>
      <c r="T621" s="819">
        <f t="shared" si="140"/>
        <v>1338</v>
      </c>
      <c r="U621" s="819">
        <f t="shared" si="141"/>
        <v>3653</v>
      </c>
      <c r="V621" s="819">
        <f t="shared" si="142"/>
        <v>1654</v>
      </c>
      <c r="W621" s="379">
        <f t="shared" si="143"/>
        <v>1654</v>
      </c>
      <c r="X621" s="819" t="str">
        <f t="shared" si="144"/>
        <v/>
      </c>
      <c r="Y621" s="837"/>
      <c r="Z621" s="839"/>
      <c r="AA621" s="838"/>
      <c r="AB621" s="839"/>
    </row>
    <row r="622" spans="1:28" ht="13.15">
      <c r="B622" s="819" t="s">
        <v>1641</v>
      </c>
      <c r="C622" s="819" t="s">
        <v>1642</v>
      </c>
      <c r="D622" s="379" t="s">
        <v>336</v>
      </c>
      <c r="E622" s="818" t="s">
        <v>522</v>
      </c>
      <c r="F622" s="820">
        <v>1.1972286700000001</v>
      </c>
      <c r="G622" s="821">
        <v>9.7970920859999993</v>
      </c>
      <c r="H622" s="822">
        <v>2987172728.8701501</v>
      </c>
      <c r="I622" s="819"/>
      <c r="J622" s="820">
        <v>-6.2998299999999998E-4</v>
      </c>
      <c r="K622" s="819">
        <f t="shared" si="134"/>
        <v>106</v>
      </c>
      <c r="L622" s="819">
        <f t="shared" si="135"/>
        <v>201</v>
      </c>
      <c r="M622" s="819">
        <f t="shared" si="131"/>
        <v>106</v>
      </c>
      <c r="N622" s="819">
        <f t="shared" si="132"/>
        <v>364</v>
      </c>
      <c r="O622" s="819">
        <f t="shared" si="133"/>
        <v>1325</v>
      </c>
      <c r="P622" s="819">
        <f t="shared" si="136"/>
        <v>1292</v>
      </c>
      <c r="Q622" s="819">
        <f t="shared" si="137"/>
        <v>222</v>
      </c>
      <c r="R622" s="819">
        <f t="shared" si="138"/>
        <v>24</v>
      </c>
      <c r="S622" s="819">
        <f t="shared" si="139"/>
        <v>338</v>
      </c>
      <c r="T622" s="819">
        <f t="shared" si="140"/>
        <v>1303</v>
      </c>
      <c r="U622" s="819">
        <f t="shared" si="141"/>
        <v>3179</v>
      </c>
      <c r="V622" s="819">
        <f t="shared" si="142"/>
        <v>1169</v>
      </c>
      <c r="W622" s="379">
        <f t="shared" si="143"/>
        <v>1169</v>
      </c>
      <c r="X622" s="819" t="str">
        <f t="shared" si="144"/>
        <v/>
      </c>
      <c r="Y622" s="837"/>
      <c r="Z622" s="839"/>
      <c r="AA622" s="838"/>
      <c r="AB622" s="839"/>
    </row>
    <row r="623" spans="1:28" ht="14.45">
      <c r="A623" s="816"/>
      <c r="B623" s="819" t="s">
        <v>1643</v>
      </c>
      <c r="C623" s="819" t="s">
        <v>1644</v>
      </c>
      <c r="D623" s="379" t="s">
        <v>336</v>
      </c>
      <c r="E623" s="818" t="s">
        <v>789</v>
      </c>
      <c r="F623" s="820">
        <v>1.2532597910000001</v>
      </c>
      <c r="G623" s="821">
        <v>12.93426459</v>
      </c>
      <c r="H623" s="822">
        <v>21121696.718234699</v>
      </c>
      <c r="I623" s="819"/>
      <c r="J623" s="820">
        <v>-1.6298199999999999E-4</v>
      </c>
      <c r="K623" s="819">
        <f t="shared" si="134"/>
        <v>1090</v>
      </c>
      <c r="L623" s="819">
        <f t="shared" si="135"/>
        <v>150</v>
      </c>
      <c r="M623" s="819">
        <f t="shared" si="131"/>
        <v>1090</v>
      </c>
      <c r="N623" s="819">
        <f t="shared" si="132"/>
        <v>364</v>
      </c>
      <c r="O623" s="819">
        <f t="shared" si="133"/>
        <v>1072</v>
      </c>
      <c r="P623" s="819">
        <f t="shared" si="136"/>
        <v>308</v>
      </c>
      <c r="Q623" s="819">
        <f t="shared" si="137"/>
        <v>273</v>
      </c>
      <c r="R623" s="819">
        <f t="shared" si="138"/>
        <v>1008</v>
      </c>
      <c r="S623" s="819">
        <f t="shared" si="139"/>
        <v>338</v>
      </c>
      <c r="T623" s="819">
        <f t="shared" si="140"/>
        <v>1050</v>
      </c>
      <c r="U623" s="819">
        <f t="shared" si="141"/>
        <v>2977</v>
      </c>
      <c r="V623" s="819">
        <f t="shared" si="142"/>
        <v>897</v>
      </c>
      <c r="W623" s="379">
        <f t="shared" si="143"/>
        <v>897</v>
      </c>
      <c r="X623" s="819" t="str">
        <f t="shared" si="144"/>
        <v/>
      </c>
      <c r="Y623" s="837"/>
      <c r="Z623" s="839"/>
      <c r="AA623" s="838"/>
      <c r="AB623" s="839"/>
    </row>
    <row r="624" spans="1:28" ht="13.15">
      <c r="B624" s="819" t="s">
        <v>1645</v>
      </c>
      <c r="C624" s="819" t="s">
        <v>1646</v>
      </c>
      <c r="D624" s="379" t="s">
        <v>336</v>
      </c>
      <c r="E624" s="818" t="s">
        <v>441</v>
      </c>
      <c r="F624" s="820">
        <v>0.85535958099999998</v>
      </c>
      <c r="G624" s="821">
        <v>1.5711803799999999</v>
      </c>
      <c r="H624" s="822">
        <v>1091452338.339</v>
      </c>
      <c r="I624" s="819"/>
      <c r="J624" s="820">
        <v>-3.2254979999999998E-3</v>
      </c>
      <c r="K624" s="819">
        <f t="shared" si="134"/>
        <v>209</v>
      </c>
      <c r="L624" s="819">
        <f t="shared" si="135"/>
        <v>733</v>
      </c>
      <c r="M624" s="819">
        <f t="shared" si="131"/>
        <v>209</v>
      </c>
      <c r="N624" s="819">
        <f t="shared" si="132"/>
        <v>364</v>
      </c>
      <c r="O624" s="819">
        <f t="shared" si="133"/>
        <v>1558</v>
      </c>
      <c r="P624" s="819">
        <f t="shared" si="136"/>
        <v>1189</v>
      </c>
      <c r="Q624" s="819">
        <f t="shared" si="137"/>
        <v>310</v>
      </c>
      <c r="R624" s="819">
        <f t="shared" si="138"/>
        <v>127</v>
      </c>
      <c r="S624" s="819">
        <f t="shared" si="139"/>
        <v>338</v>
      </c>
      <c r="T624" s="819">
        <f t="shared" si="140"/>
        <v>1536</v>
      </c>
      <c r="U624" s="819">
        <f t="shared" si="141"/>
        <v>3500</v>
      </c>
      <c r="V624" s="819">
        <f t="shared" si="142"/>
        <v>1554</v>
      </c>
      <c r="W624" s="379">
        <f t="shared" si="143"/>
        <v>1554</v>
      </c>
      <c r="X624" s="819" t="str">
        <f t="shared" si="144"/>
        <v/>
      </c>
      <c r="Y624" s="837"/>
      <c r="Z624" s="839"/>
      <c r="AA624" s="838"/>
      <c r="AB624" s="839"/>
    </row>
    <row r="625" spans="1:28" ht="14.45">
      <c r="A625" s="816"/>
      <c r="B625" s="819" t="s">
        <v>1647</v>
      </c>
      <c r="C625" s="819" t="s">
        <v>1648</v>
      </c>
      <c r="D625" s="379" t="s">
        <v>336</v>
      </c>
      <c r="E625" s="818" t="s">
        <v>1077</v>
      </c>
      <c r="F625" s="820">
        <v>1.8869518300000001</v>
      </c>
      <c r="G625" s="821">
        <v>2.220345113</v>
      </c>
      <c r="H625" s="822">
        <v>25104213.190412398</v>
      </c>
      <c r="I625" s="819"/>
      <c r="J625" s="820">
        <v>-1.1199199999999999E-3</v>
      </c>
      <c r="K625" s="819">
        <f t="shared" si="134"/>
        <v>1042</v>
      </c>
      <c r="L625" s="819">
        <f t="shared" si="135"/>
        <v>643</v>
      </c>
      <c r="M625" s="819">
        <f t="shared" si="131"/>
        <v>1042</v>
      </c>
      <c r="N625" s="819">
        <f t="shared" si="132"/>
        <v>364</v>
      </c>
      <c r="O625" s="819">
        <f t="shared" si="133"/>
        <v>1412</v>
      </c>
      <c r="P625" s="819">
        <f t="shared" si="136"/>
        <v>356</v>
      </c>
      <c r="Q625" s="819">
        <f t="shared" si="137"/>
        <v>220</v>
      </c>
      <c r="R625" s="819">
        <f t="shared" si="138"/>
        <v>960</v>
      </c>
      <c r="S625" s="819">
        <f t="shared" si="139"/>
        <v>338</v>
      </c>
      <c r="T625" s="819">
        <f t="shared" si="140"/>
        <v>1390</v>
      </c>
      <c r="U625" s="819">
        <f t="shared" si="141"/>
        <v>3264</v>
      </c>
      <c r="V625" s="819">
        <f t="shared" si="142"/>
        <v>1293</v>
      </c>
      <c r="W625" s="379">
        <f t="shared" si="143"/>
        <v>1293</v>
      </c>
      <c r="X625" s="819" t="str">
        <f t="shared" si="144"/>
        <v/>
      </c>
      <c r="Y625" s="837"/>
      <c r="Z625" s="839"/>
      <c r="AA625" s="838"/>
      <c r="AB625" s="839"/>
    </row>
    <row r="626" spans="1:28" ht="13.15">
      <c r="B626" s="819" t="s">
        <v>1649</v>
      </c>
      <c r="C626" s="819" t="s">
        <v>1650</v>
      </c>
      <c r="D626" s="379" t="s">
        <v>336</v>
      </c>
      <c r="E626" s="818" t="s">
        <v>789</v>
      </c>
      <c r="F626" s="820">
        <v>2.0380998699999999</v>
      </c>
      <c r="G626" s="821">
        <v>6.4433756879999997</v>
      </c>
      <c r="H626" s="822">
        <v>248432863.232968</v>
      </c>
      <c r="I626" s="819"/>
      <c r="J626" s="820">
        <v>-3.7287399999999998E-5</v>
      </c>
      <c r="K626" s="819">
        <f t="shared" si="134"/>
        <v>517</v>
      </c>
      <c r="L626" s="819">
        <f t="shared" si="135"/>
        <v>304</v>
      </c>
      <c r="M626" s="819">
        <f t="shared" si="131"/>
        <v>517</v>
      </c>
      <c r="N626" s="819">
        <f t="shared" si="132"/>
        <v>364</v>
      </c>
      <c r="O626" s="819">
        <f t="shared" si="133"/>
        <v>892</v>
      </c>
      <c r="P626" s="819">
        <f t="shared" si="136"/>
        <v>881</v>
      </c>
      <c r="Q626" s="819">
        <f t="shared" si="137"/>
        <v>119</v>
      </c>
      <c r="R626" s="819">
        <f t="shared" si="138"/>
        <v>435</v>
      </c>
      <c r="S626" s="819">
        <f t="shared" si="139"/>
        <v>338</v>
      </c>
      <c r="T626" s="819">
        <f t="shared" si="140"/>
        <v>870</v>
      </c>
      <c r="U626" s="819">
        <f t="shared" si="141"/>
        <v>2643</v>
      </c>
      <c r="V626" s="819">
        <f t="shared" si="142"/>
        <v>316</v>
      </c>
      <c r="W626" s="379">
        <f t="shared" si="143"/>
        <v>316</v>
      </c>
      <c r="X626" s="819" t="str">
        <f t="shared" si="144"/>
        <v/>
      </c>
      <c r="Y626" s="837"/>
      <c r="Z626" s="839"/>
      <c r="AA626" s="838"/>
      <c r="AB626" s="839"/>
    </row>
    <row r="627" spans="1:28" ht="14.45">
      <c r="A627" s="816"/>
      <c r="B627" s="819" t="s">
        <v>1651</v>
      </c>
      <c r="C627" s="819" t="s">
        <v>1652</v>
      </c>
      <c r="D627" s="379" t="s">
        <v>336</v>
      </c>
      <c r="E627" s="818" t="s">
        <v>1618</v>
      </c>
      <c r="F627" s="820">
        <v>4.5190803620000004</v>
      </c>
      <c r="G627" s="821">
        <v>-42.092210790000003</v>
      </c>
      <c r="H627" s="822">
        <v>112928851.026462</v>
      </c>
      <c r="I627" s="819"/>
      <c r="J627" s="820">
        <v>6.6430199999999997E-4</v>
      </c>
      <c r="K627" s="819">
        <f t="shared" si="134"/>
        <v>690</v>
      </c>
      <c r="L627" s="819">
        <f t="shared" si="135"/>
        <v>1501</v>
      </c>
      <c r="M627" s="819">
        <f t="shared" si="131"/>
        <v>690</v>
      </c>
      <c r="N627" s="819">
        <f t="shared" si="132"/>
        <v>364</v>
      </c>
      <c r="O627" s="819">
        <f t="shared" si="133"/>
        <v>195</v>
      </c>
      <c r="P627" s="819">
        <f t="shared" si="136"/>
        <v>708</v>
      </c>
      <c r="Q627" s="819">
        <f t="shared" si="137"/>
        <v>1078</v>
      </c>
      <c r="R627" s="819">
        <f t="shared" si="138"/>
        <v>608</v>
      </c>
      <c r="S627" s="819">
        <f t="shared" si="139"/>
        <v>338</v>
      </c>
      <c r="T627" s="819">
        <f t="shared" si="140"/>
        <v>173</v>
      </c>
      <c r="U627" s="819">
        <f t="shared" si="141"/>
        <v>2905</v>
      </c>
      <c r="V627" s="819">
        <f t="shared" si="142"/>
        <v>811</v>
      </c>
      <c r="W627" s="379">
        <f t="shared" si="143"/>
        <v>811</v>
      </c>
      <c r="X627" s="819" t="str">
        <f t="shared" si="144"/>
        <v/>
      </c>
      <c r="Y627" s="837"/>
      <c r="Z627" s="839"/>
      <c r="AA627" s="838"/>
      <c r="AB627" s="839"/>
    </row>
    <row r="628" spans="1:28" ht="13.15">
      <c r="B628" s="819" t="s">
        <v>1653</v>
      </c>
      <c r="C628" s="819" t="s">
        <v>1654</v>
      </c>
      <c r="D628" s="379" t="s">
        <v>336</v>
      </c>
      <c r="E628" s="818" t="s">
        <v>896</v>
      </c>
      <c r="F628" s="820">
        <v>3.5927026949999998</v>
      </c>
      <c r="G628" s="821">
        <v>28.48490267</v>
      </c>
      <c r="H628" s="822">
        <v>13617523.954802301</v>
      </c>
      <c r="I628" s="819">
        <v>0.15</v>
      </c>
      <c r="J628" s="820">
        <v>-8.9731459999999996E-3</v>
      </c>
      <c r="K628" s="819">
        <f t="shared" si="134"/>
        <v>1187</v>
      </c>
      <c r="L628" s="819">
        <f t="shared" si="135"/>
        <v>66</v>
      </c>
      <c r="M628" s="819">
        <f t="shared" si="131"/>
        <v>1187</v>
      </c>
      <c r="N628" s="819">
        <f t="shared" si="132"/>
        <v>235</v>
      </c>
      <c r="O628" s="819">
        <f t="shared" si="133"/>
        <v>1642</v>
      </c>
      <c r="P628" s="819">
        <f t="shared" si="136"/>
        <v>211</v>
      </c>
      <c r="Q628" s="819">
        <f t="shared" si="137"/>
        <v>357</v>
      </c>
      <c r="R628" s="819">
        <f t="shared" si="138"/>
        <v>1105</v>
      </c>
      <c r="S628" s="819">
        <f t="shared" si="139"/>
        <v>209</v>
      </c>
      <c r="T628" s="819">
        <f t="shared" si="140"/>
        <v>1620</v>
      </c>
      <c r="U628" s="819">
        <f t="shared" si="141"/>
        <v>3502</v>
      </c>
      <c r="V628" s="819">
        <f t="shared" si="142"/>
        <v>1556</v>
      </c>
      <c r="W628" s="379">
        <f t="shared" si="143"/>
        <v>1556</v>
      </c>
      <c r="X628" s="819" t="str">
        <f t="shared" si="144"/>
        <v/>
      </c>
      <c r="Y628" s="837"/>
      <c r="Z628" s="839"/>
      <c r="AA628" s="838"/>
      <c r="AB628" s="839"/>
    </row>
    <row r="629" spans="1:28" ht="14.45">
      <c r="A629" s="816"/>
      <c r="B629" s="819" t="s">
        <v>1655</v>
      </c>
      <c r="C629" s="819" t="s">
        <v>1656</v>
      </c>
      <c r="D629" s="379" t="s">
        <v>336</v>
      </c>
      <c r="E629" s="818" t="s">
        <v>441</v>
      </c>
      <c r="F629" s="820">
        <v>3.7572312719999998</v>
      </c>
      <c r="G629" s="821">
        <v>0.57185609800000003</v>
      </c>
      <c r="H629" s="822">
        <v>822444737.94560802</v>
      </c>
      <c r="I629" s="819"/>
      <c r="J629" s="820">
        <v>-3.19055E-4</v>
      </c>
      <c r="K629" s="819">
        <f t="shared" si="134"/>
        <v>248</v>
      </c>
      <c r="L629" s="819">
        <f t="shared" si="135"/>
        <v>904</v>
      </c>
      <c r="M629" s="819">
        <f t="shared" si="131"/>
        <v>248</v>
      </c>
      <c r="N629" s="819">
        <f t="shared" si="132"/>
        <v>364</v>
      </c>
      <c r="O629" s="819">
        <f t="shared" si="133"/>
        <v>1190</v>
      </c>
      <c r="P629" s="819">
        <f t="shared" si="136"/>
        <v>1150</v>
      </c>
      <c r="Q629" s="819">
        <f t="shared" si="137"/>
        <v>481</v>
      </c>
      <c r="R629" s="819">
        <f t="shared" si="138"/>
        <v>166</v>
      </c>
      <c r="S629" s="819">
        <f t="shared" si="139"/>
        <v>338</v>
      </c>
      <c r="T629" s="819">
        <f t="shared" si="140"/>
        <v>1168</v>
      </c>
      <c r="U629" s="819">
        <f t="shared" si="141"/>
        <v>3303</v>
      </c>
      <c r="V629" s="819">
        <f t="shared" si="142"/>
        <v>1349</v>
      </c>
      <c r="W629" s="379">
        <f t="shared" si="143"/>
        <v>1349</v>
      </c>
      <c r="X629" s="819" t="str">
        <f t="shared" si="144"/>
        <v/>
      </c>
      <c r="Y629" s="837"/>
      <c r="Z629" s="839"/>
      <c r="AA629" s="838"/>
      <c r="AB629" s="839"/>
    </row>
    <row r="630" spans="1:28" ht="13.15">
      <c r="B630" s="819" t="s">
        <v>1657</v>
      </c>
      <c r="C630" s="819" t="s">
        <v>1658</v>
      </c>
      <c r="D630" s="379" t="s">
        <v>336</v>
      </c>
      <c r="E630" s="818" t="s">
        <v>568</v>
      </c>
      <c r="F630" s="820">
        <v>1.564802198</v>
      </c>
      <c r="G630" s="821">
        <v>3.4387960280000001</v>
      </c>
      <c r="H630" s="822">
        <v>5500386974.0887804</v>
      </c>
      <c r="I630" s="819"/>
      <c r="J630" s="820">
        <v>-4.7027400000000002E-4</v>
      </c>
      <c r="K630" s="819">
        <f t="shared" si="134"/>
        <v>66</v>
      </c>
      <c r="L630" s="819">
        <f t="shared" si="135"/>
        <v>508</v>
      </c>
      <c r="M630" s="819">
        <f t="shared" si="131"/>
        <v>66</v>
      </c>
      <c r="N630" s="819">
        <f t="shared" si="132"/>
        <v>364</v>
      </c>
      <c r="O630" s="819">
        <f t="shared" si="133"/>
        <v>1256</v>
      </c>
      <c r="P630" s="819">
        <f t="shared" si="136"/>
        <v>1332</v>
      </c>
      <c r="Q630" s="819">
        <f t="shared" si="137"/>
        <v>85</v>
      </c>
      <c r="R630" s="819">
        <f t="shared" si="138"/>
        <v>16</v>
      </c>
      <c r="S630" s="819">
        <f t="shared" si="139"/>
        <v>338</v>
      </c>
      <c r="T630" s="819">
        <f t="shared" si="140"/>
        <v>1234</v>
      </c>
      <c r="U630" s="819">
        <f t="shared" si="141"/>
        <v>3005</v>
      </c>
      <c r="V630" s="819">
        <f t="shared" si="142"/>
        <v>930</v>
      </c>
      <c r="W630" s="379">
        <f t="shared" si="143"/>
        <v>930</v>
      </c>
      <c r="X630" s="819" t="str">
        <f t="shared" si="144"/>
        <v/>
      </c>
      <c r="Y630" s="837"/>
      <c r="Z630" s="839"/>
      <c r="AA630" s="838"/>
      <c r="AB630" s="839"/>
    </row>
    <row r="631" spans="1:28" ht="14.45">
      <c r="A631" s="816"/>
      <c r="B631" s="819" t="s">
        <v>1659</v>
      </c>
      <c r="C631" s="819" t="s">
        <v>1660</v>
      </c>
      <c r="D631" s="379" t="s">
        <v>336</v>
      </c>
      <c r="E631" s="818" t="s">
        <v>460</v>
      </c>
      <c r="F631" s="820">
        <v>1.396143744</v>
      </c>
      <c r="G631" s="821">
        <v>0.11464149899999999</v>
      </c>
      <c r="H631" s="822">
        <v>25581047.761730701</v>
      </c>
      <c r="I631" s="819"/>
      <c r="J631" s="820">
        <v>-4.6782200000000001E-4</v>
      </c>
      <c r="K631" s="819">
        <f t="shared" si="134"/>
        <v>1039</v>
      </c>
      <c r="L631" s="819">
        <f t="shared" si="135"/>
        <v>1008</v>
      </c>
      <c r="M631" s="819">
        <f t="shared" si="131"/>
        <v>1039</v>
      </c>
      <c r="N631" s="819">
        <f t="shared" si="132"/>
        <v>364</v>
      </c>
      <c r="O631" s="819">
        <f t="shared" si="133"/>
        <v>1254</v>
      </c>
      <c r="P631" s="819">
        <f t="shared" si="136"/>
        <v>359</v>
      </c>
      <c r="Q631" s="819">
        <f t="shared" si="137"/>
        <v>585</v>
      </c>
      <c r="R631" s="819">
        <f t="shared" si="138"/>
        <v>957</v>
      </c>
      <c r="S631" s="819">
        <f t="shared" si="139"/>
        <v>338</v>
      </c>
      <c r="T631" s="819">
        <f t="shared" si="140"/>
        <v>1232</v>
      </c>
      <c r="U631" s="819">
        <f t="shared" si="141"/>
        <v>3471</v>
      </c>
      <c r="V631" s="819">
        <f t="shared" si="142"/>
        <v>1529</v>
      </c>
      <c r="W631" s="379">
        <f t="shared" si="143"/>
        <v>1529</v>
      </c>
      <c r="X631" s="819" t="str">
        <f t="shared" si="144"/>
        <v/>
      </c>
      <c r="Y631" s="837"/>
      <c r="Z631" s="839"/>
      <c r="AA631" s="838"/>
      <c r="AB631" s="839"/>
    </row>
    <row r="632" spans="1:28" ht="13.15">
      <c r="B632" s="819" t="s">
        <v>1661</v>
      </c>
      <c r="C632" s="819" t="s">
        <v>1662</v>
      </c>
      <c r="D632" s="379" t="s">
        <v>336</v>
      </c>
      <c r="E632" s="818" t="s">
        <v>1171</v>
      </c>
      <c r="F632" s="820">
        <v>0.942288817</v>
      </c>
      <c r="G632" s="821">
        <v>3.1410792939999999</v>
      </c>
      <c r="H632" s="822">
        <v>179746572.56985</v>
      </c>
      <c r="I632" s="819">
        <v>0.04</v>
      </c>
      <c r="J632" s="820">
        <v>-4.2738530000000002E-3</v>
      </c>
      <c r="K632" s="819">
        <f t="shared" si="134"/>
        <v>597</v>
      </c>
      <c r="L632" s="819">
        <f t="shared" si="135"/>
        <v>535</v>
      </c>
      <c r="M632" s="819">
        <f t="shared" si="131"/>
        <v>597</v>
      </c>
      <c r="N632" s="819">
        <f t="shared" si="132"/>
        <v>309</v>
      </c>
      <c r="O632" s="819">
        <f t="shared" si="133"/>
        <v>1591</v>
      </c>
      <c r="P632" s="819">
        <f t="shared" si="136"/>
        <v>801</v>
      </c>
      <c r="Q632" s="819">
        <f t="shared" si="137"/>
        <v>112</v>
      </c>
      <c r="R632" s="819">
        <f t="shared" si="138"/>
        <v>515</v>
      </c>
      <c r="S632" s="819">
        <f t="shared" si="139"/>
        <v>283</v>
      </c>
      <c r="T632" s="819">
        <f t="shared" si="140"/>
        <v>1569</v>
      </c>
      <c r="U632" s="819">
        <f t="shared" si="141"/>
        <v>3280</v>
      </c>
      <c r="V632" s="819">
        <f t="shared" si="142"/>
        <v>1311</v>
      </c>
      <c r="W632" s="379">
        <f t="shared" si="143"/>
        <v>1311</v>
      </c>
      <c r="X632" s="819" t="str">
        <f t="shared" si="144"/>
        <v/>
      </c>
      <c r="Y632" s="837"/>
      <c r="Z632" s="839"/>
      <c r="AA632" s="838"/>
      <c r="AB632" s="839"/>
    </row>
    <row r="633" spans="1:28" ht="14.45">
      <c r="A633" s="816"/>
      <c r="B633" s="819" t="s">
        <v>1663</v>
      </c>
      <c r="C633" s="819" t="s">
        <v>1664</v>
      </c>
      <c r="D633" s="379" t="s">
        <v>336</v>
      </c>
      <c r="E633" s="818" t="s">
        <v>685</v>
      </c>
      <c r="F633" s="820">
        <v>5.6184703389999999</v>
      </c>
      <c r="G633" s="821">
        <v>-0.120576947</v>
      </c>
      <c r="H633" s="822">
        <v>61629427.315594502</v>
      </c>
      <c r="I633" s="819"/>
      <c r="J633" s="820">
        <v>2.4416000000000001E-5</v>
      </c>
      <c r="K633" s="819">
        <f t="shared" si="134"/>
        <v>835</v>
      </c>
      <c r="L633" s="819">
        <f t="shared" si="135"/>
        <v>1225</v>
      </c>
      <c r="M633" s="819">
        <f t="shared" si="131"/>
        <v>835</v>
      </c>
      <c r="N633" s="819">
        <f t="shared" si="132"/>
        <v>364</v>
      </c>
      <c r="O633" s="819">
        <f t="shared" si="133"/>
        <v>393</v>
      </c>
      <c r="P633" s="819">
        <f t="shared" si="136"/>
        <v>563</v>
      </c>
      <c r="Q633" s="819">
        <f t="shared" si="137"/>
        <v>802</v>
      </c>
      <c r="R633" s="819">
        <f t="shared" si="138"/>
        <v>753</v>
      </c>
      <c r="S633" s="819">
        <f t="shared" si="139"/>
        <v>338</v>
      </c>
      <c r="T633" s="819">
        <f t="shared" si="140"/>
        <v>371</v>
      </c>
      <c r="U633" s="819">
        <f t="shared" si="141"/>
        <v>2827</v>
      </c>
      <c r="V633" s="819">
        <f t="shared" si="142"/>
        <v>675</v>
      </c>
      <c r="W633" s="379">
        <f t="shared" si="143"/>
        <v>675</v>
      </c>
      <c r="X633" s="819" t="str">
        <f t="shared" si="144"/>
        <v/>
      </c>
      <c r="Y633" s="837"/>
      <c r="Z633" s="839"/>
      <c r="AA633" s="838"/>
      <c r="AB633" s="839"/>
    </row>
    <row r="634" spans="1:28" ht="13.15">
      <c r="B634" s="819" t="s">
        <v>1665</v>
      </c>
      <c r="C634" s="819" t="s">
        <v>1666</v>
      </c>
      <c r="D634" s="379" t="s">
        <v>336</v>
      </c>
      <c r="E634" s="818" t="s">
        <v>625</v>
      </c>
      <c r="F634" s="820">
        <v>2.3281865759999998</v>
      </c>
      <c r="G634" s="821">
        <v>2.9822301439999999</v>
      </c>
      <c r="H634" s="822">
        <v>749415111.11866498</v>
      </c>
      <c r="I634" s="819"/>
      <c r="J634" s="820">
        <v>-4.5929199999999998E-4</v>
      </c>
      <c r="K634" s="819">
        <f t="shared" si="134"/>
        <v>268</v>
      </c>
      <c r="L634" s="819">
        <f t="shared" si="135"/>
        <v>546</v>
      </c>
      <c r="M634" s="819">
        <f t="shared" si="131"/>
        <v>268</v>
      </c>
      <c r="N634" s="819">
        <f t="shared" si="132"/>
        <v>364</v>
      </c>
      <c r="O634" s="819">
        <f t="shared" si="133"/>
        <v>1250</v>
      </c>
      <c r="P634" s="819">
        <f t="shared" si="136"/>
        <v>1130</v>
      </c>
      <c r="Q634" s="819">
        <f t="shared" si="137"/>
        <v>123</v>
      </c>
      <c r="R634" s="819">
        <f t="shared" si="138"/>
        <v>186</v>
      </c>
      <c r="S634" s="819">
        <f t="shared" si="139"/>
        <v>338</v>
      </c>
      <c r="T634" s="819">
        <f t="shared" si="140"/>
        <v>1228</v>
      </c>
      <c r="U634" s="819">
        <f t="shared" si="141"/>
        <v>3005</v>
      </c>
      <c r="V634" s="819">
        <f t="shared" si="142"/>
        <v>930</v>
      </c>
      <c r="W634" s="379">
        <f t="shared" si="143"/>
        <v>930</v>
      </c>
      <c r="X634" s="819" t="str">
        <f t="shared" si="144"/>
        <v/>
      </c>
      <c r="Y634" s="837"/>
      <c r="Z634" s="839"/>
      <c r="AA634" s="838"/>
      <c r="AB634" s="839"/>
    </row>
    <row r="635" spans="1:28" ht="14.45">
      <c r="A635" s="816"/>
      <c r="B635" s="819" t="s">
        <v>1667</v>
      </c>
      <c r="C635" s="819" t="s">
        <v>1668</v>
      </c>
      <c r="D635" s="379" t="s">
        <v>336</v>
      </c>
      <c r="E635" s="818" t="s">
        <v>337</v>
      </c>
      <c r="F635" s="820">
        <v>9.9749886750000005</v>
      </c>
      <c r="G635" s="821">
        <v>12.57901004</v>
      </c>
      <c r="H635" s="822">
        <v>20.871772</v>
      </c>
      <c r="I635" s="819">
        <v>0.38</v>
      </c>
      <c r="J635" s="820">
        <v>-2.7061379999999999E-3</v>
      </c>
      <c r="K635" s="819">
        <f t="shared" si="134"/>
        <v>1695</v>
      </c>
      <c r="L635" s="819">
        <f t="shared" si="135"/>
        <v>158</v>
      </c>
      <c r="M635" s="819">
        <f t="shared" si="131"/>
        <v>1695</v>
      </c>
      <c r="N635" s="819">
        <f t="shared" si="132"/>
        <v>175</v>
      </c>
      <c r="O635" s="819">
        <f t="shared" si="133"/>
        <v>1534</v>
      </c>
      <c r="P635" s="819">
        <f t="shared" si="136"/>
        <v>297</v>
      </c>
      <c r="Q635" s="819">
        <f t="shared" si="137"/>
        <v>265</v>
      </c>
      <c r="R635" s="819">
        <f t="shared" si="138"/>
        <v>1613</v>
      </c>
      <c r="S635" s="819">
        <f t="shared" si="139"/>
        <v>149</v>
      </c>
      <c r="T635" s="819">
        <f t="shared" si="140"/>
        <v>1512</v>
      </c>
      <c r="U635" s="819">
        <f t="shared" si="141"/>
        <v>3836</v>
      </c>
      <c r="V635" s="819">
        <f t="shared" si="142"/>
        <v>1726</v>
      </c>
      <c r="W635" s="379">
        <f t="shared" si="143"/>
        <v>1726</v>
      </c>
      <c r="X635" s="819" t="str">
        <f t="shared" si="144"/>
        <v/>
      </c>
      <c r="Y635" s="837"/>
      <c r="Z635" s="839"/>
      <c r="AA635" s="838"/>
      <c r="AB635" s="839"/>
    </row>
    <row r="636" spans="1:28" ht="13.15">
      <c r="B636" s="819" t="s">
        <v>1669</v>
      </c>
      <c r="C636" s="819" t="s">
        <v>1670</v>
      </c>
      <c r="D636" s="379" t="s">
        <v>336</v>
      </c>
      <c r="E636" s="818" t="s">
        <v>1671</v>
      </c>
      <c r="F636" s="820">
        <v>1.511591761</v>
      </c>
      <c r="G636" s="821">
        <v>3.439553874</v>
      </c>
      <c r="H636" s="822">
        <v>3949062.8129918398</v>
      </c>
      <c r="I636" s="819"/>
      <c r="J636" s="820">
        <v>-1.07434E-4</v>
      </c>
      <c r="K636" s="819">
        <f t="shared" si="134"/>
        <v>1409</v>
      </c>
      <c r="L636" s="819">
        <f t="shared" si="135"/>
        <v>507</v>
      </c>
      <c r="M636" s="819">
        <f t="shared" si="131"/>
        <v>1409</v>
      </c>
      <c r="N636" s="819">
        <f t="shared" si="132"/>
        <v>364</v>
      </c>
      <c r="O636" s="819">
        <f t="shared" si="133"/>
        <v>1014</v>
      </c>
      <c r="P636" s="819">
        <f t="shared" si="136"/>
        <v>11</v>
      </c>
      <c r="Q636" s="819">
        <f t="shared" si="137"/>
        <v>84</v>
      </c>
      <c r="R636" s="819">
        <f t="shared" si="138"/>
        <v>1327</v>
      </c>
      <c r="S636" s="819">
        <f t="shared" si="139"/>
        <v>338</v>
      </c>
      <c r="T636" s="819">
        <f t="shared" si="140"/>
        <v>992</v>
      </c>
      <c r="U636" s="819">
        <f t="shared" si="141"/>
        <v>2752</v>
      </c>
      <c r="V636" s="819">
        <f t="shared" si="142"/>
        <v>423</v>
      </c>
      <c r="W636" s="379">
        <f t="shared" si="143"/>
        <v>423</v>
      </c>
      <c r="X636" s="819" t="str">
        <f t="shared" si="144"/>
        <v/>
      </c>
      <c r="Y636" s="837"/>
      <c r="Z636" s="839"/>
      <c r="AA636" s="838"/>
      <c r="AB636" s="839"/>
    </row>
    <row r="637" spans="1:28" ht="14.45">
      <c r="A637" s="816"/>
      <c r="B637" s="819" t="s">
        <v>1672</v>
      </c>
      <c r="C637" s="819" t="s">
        <v>1673</v>
      </c>
      <c r="D637" s="379" t="s">
        <v>336</v>
      </c>
      <c r="E637" s="818" t="s">
        <v>349</v>
      </c>
      <c r="F637" s="820">
        <v>3.4295789870000002</v>
      </c>
      <c r="G637" s="821">
        <v>0.53479336499999997</v>
      </c>
      <c r="H637" s="822">
        <v>296804509.943349</v>
      </c>
      <c r="I637" s="819"/>
      <c r="J637" s="820">
        <v>-4.6632500000000002E-4</v>
      </c>
      <c r="K637" s="819">
        <f t="shared" si="134"/>
        <v>477</v>
      </c>
      <c r="L637" s="819">
        <f t="shared" si="135"/>
        <v>915</v>
      </c>
      <c r="M637" s="819">
        <f t="shared" si="131"/>
        <v>477</v>
      </c>
      <c r="N637" s="819">
        <f t="shared" si="132"/>
        <v>364</v>
      </c>
      <c r="O637" s="819">
        <f t="shared" si="133"/>
        <v>1253</v>
      </c>
      <c r="P637" s="819">
        <f t="shared" si="136"/>
        <v>921</v>
      </c>
      <c r="Q637" s="819">
        <f t="shared" si="137"/>
        <v>492</v>
      </c>
      <c r="R637" s="819">
        <f t="shared" si="138"/>
        <v>395</v>
      </c>
      <c r="S637" s="819">
        <f t="shared" si="139"/>
        <v>338</v>
      </c>
      <c r="T637" s="819">
        <f t="shared" si="140"/>
        <v>1231</v>
      </c>
      <c r="U637" s="819">
        <f t="shared" si="141"/>
        <v>3377</v>
      </c>
      <c r="V637" s="819">
        <f t="shared" si="142"/>
        <v>1441</v>
      </c>
      <c r="W637" s="379">
        <f t="shared" si="143"/>
        <v>1441</v>
      </c>
      <c r="X637" s="819" t="str">
        <f t="shared" si="144"/>
        <v/>
      </c>
      <c r="Y637" s="837"/>
      <c r="Z637" s="839"/>
      <c r="AA637" s="838"/>
      <c r="AB637" s="839"/>
    </row>
    <row r="638" spans="1:28" ht="13.15">
      <c r="B638" s="819" t="s">
        <v>1674</v>
      </c>
      <c r="C638" s="819" t="s">
        <v>1675</v>
      </c>
      <c r="D638" s="379" t="s">
        <v>336</v>
      </c>
      <c r="E638" s="818" t="s">
        <v>418</v>
      </c>
      <c r="F638" s="820">
        <v>3.2659986060000001</v>
      </c>
      <c r="G638" s="821">
        <v>-7.5472545679999996</v>
      </c>
      <c r="H638" s="822">
        <v>133878733.734706</v>
      </c>
      <c r="I638" s="819"/>
      <c r="J638" s="820">
        <v>1.6993100000000001E-4</v>
      </c>
      <c r="K638" s="819">
        <f t="shared" si="134"/>
        <v>648</v>
      </c>
      <c r="L638" s="819">
        <f t="shared" si="135"/>
        <v>1434</v>
      </c>
      <c r="M638" s="819">
        <f t="shared" si="131"/>
        <v>648</v>
      </c>
      <c r="N638" s="819">
        <f t="shared" si="132"/>
        <v>364</v>
      </c>
      <c r="O638" s="819">
        <f t="shared" si="133"/>
        <v>265</v>
      </c>
      <c r="P638" s="819">
        <f t="shared" si="136"/>
        <v>750</v>
      </c>
      <c r="Q638" s="819">
        <f t="shared" si="137"/>
        <v>1011</v>
      </c>
      <c r="R638" s="819">
        <f t="shared" si="138"/>
        <v>566</v>
      </c>
      <c r="S638" s="819">
        <f t="shared" si="139"/>
        <v>338</v>
      </c>
      <c r="T638" s="819">
        <f t="shared" si="140"/>
        <v>243</v>
      </c>
      <c r="U638" s="819">
        <f t="shared" si="141"/>
        <v>2908</v>
      </c>
      <c r="V638" s="819">
        <f t="shared" si="142"/>
        <v>815</v>
      </c>
      <c r="W638" s="379">
        <f t="shared" si="143"/>
        <v>815</v>
      </c>
      <c r="X638" s="819" t="str">
        <f t="shared" si="144"/>
        <v/>
      </c>
      <c r="Y638" s="837"/>
      <c r="Z638" s="839"/>
      <c r="AA638" s="838"/>
      <c r="AB638" s="839"/>
    </row>
    <row r="639" spans="1:28" ht="14.45">
      <c r="A639" s="816"/>
      <c r="B639" s="819" t="s">
        <v>1676</v>
      </c>
      <c r="C639" s="819" t="s">
        <v>1677</v>
      </c>
      <c r="D639" s="379" t="s">
        <v>336</v>
      </c>
      <c r="E639" s="818" t="s">
        <v>1174</v>
      </c>
      <c r="F639" s="820">
        <v>2.4990196079999998</v>
      </c>
      <c r="G639" s="821">
        <v>5.2129032259999999</v>
      </c>
      <c r="H639" s="822">
        <v>2416517177.5288301</v>
      </c>
      <c r="I639" s="819">
        <v>1.1299999999999999</v>
      </c>
      <c r="J639" s="820">
        <v>-2.9132071999999998E-2</v>
      </c>
      <c r="K639" s="819">
        <f t="shared" si="134"/>
        <v>128</v>
      </c>
      <c r="L639" s="819">
        <f t="shared" si="135"/>
        <v>369</v>
      </c>
      <c r="M639" s="819">
        <f t="shared" si="131"/>
        <v>128</v>
      </c>
      <c r="N639" s="819">
        <f t="shared" si="132"/>
        <v>120</v>
      </c>
      <c r="O639" s="819">
        <f t="shared" si="133"/>
        <v>1710</v>
      </c>
      <c r="P639" s="819">
        <f t="shared" si="136"/>
        <v>1270</v>
      </c>
      <c r="Q639" s="819">
        <f t="shared" si="137"/>
        <v>54</v>
      </c>
      <c r="R639" s="819">
        <f t="shared" si="138"/>
        <v>46</v>
      </c>
      <c r="S639" s="819">
        <f t="shared" si="139"/>
        <v>94</v>
      </c>
      <c r="T639" s="819">
        <f t="shared" si="140"/>
        <v>1688</v>
      </c>
      <c r="U639" s="819">
        <f t="shared" si="141"/>
        <v>3152</v>
      </c>
      <c r="V639" s="819">
        <f t="shared" si="142"/>
        <v>1127</v>
      </c>
      <c r="W639" s="379">
        <f t="shared" si="143"/>
        <v>1127</v>
      </c>
      <c r="X639" s="819" t="str">
        <f t="shared" si="144"/>
        <v/>
      </c>
      <c r="Y639" s="837"/>
      <c r="Z639" s="839"/>
      <c r="AA639" s="838"/>
      <c r="AB639" s="839"/>
    </row>
    <row r="640" spans="1:28" ht="13.15">
      <c r="B640" s="819" t="s">
        <v>1678</v>
      </c>
      <c r="C640" s="819" t="s">
        <v>1679</v>
      </c>
      <c r="D640" s="379" t="s">
        <v>336</v>
      </c>
      <c r="E640" s="818" t="s">
        <v>915</v>
      </c>
      <c r="F640" s="820">
        <v>0.77792339399999999</v>
      </c>
      <c r="G640" s="821">
        <v>9.5746614309999991</v>
      </c>
      <c r="H640" s="822">
        <v>38360708.480386898</v>
      </c>
      <c r="I640" s="819"/>
      <c r="J640" s="820">
        <v>-1.1895E-4</v>
      </c>
      <c r="K640" s="819">
        <f t="shared" si="134"/>
        <v>937</v>
      </c>
      <c r="L640" s="819">
        <f t="shared" si="135"/>
        <v>207</v>
      </c>
      <c r="M640" s="819">
        <f t="shared" si="131"/>
        <v>937</v>
      </c>
      <c r="N640" s="819">
        <f t="shared" si="132"/>
        <v>364</v>
      </c>
      <c r="O640" s="819">
        <f t="shared" si="133"/>
        <v>1028</v>
      </c>
      <c r="P640" s="819">
        <f t="shared" si="136"/>
        <v>461</v>
      </c>
      <c r="Q640" s="819">
        <f t="shared" si="137"/>
        <v>216</v>
      </c>
      <c r="R640" s="819">
        <f t="shared" si="138"/>
        <v>855</v>
      </c>
      <c r="S640" s="819">
        <f t="shared" si="139"/>
        <v>338</v>
      </c>
      <c r="T640" s="819">
        <f t="shared" si="140"/>
        <v>1006</v>
      </c>
      <c r="U640" s="819">
        <f t="shared" si="141"/>
        <v>2876</v>
      </c>
      <c r="V640" s="819">
        <f t="shared" si="142"/>
        <v>765</v>
      </c>
      <c r="W640" s="379">
        <f t="shared" si="143"/>
        <v>765</v>
      </c>
      <c r="X640" s="819" t="str">
        <f t="shared" si="144"/>
        <v/>
      </c>
      <c r="Y640" s="837"/>
      <c r="Z640" s="839"/>
      <c r="AA640" s="838"/>
      <c r="AB640" s="839"/>
    </row>
    <row r="641" spans="1:28" ht="14.45">
      <c r="A641" s="816"/>
      <c r="B641" s="819" t="s">
        <v>1680</v>
      </c>
      <c r="C641" s="819" t="s">
        <v>1681</v>
      </c>
      <c r="D641" s="379" t="s">
        <v>336</v>
      </c>
      <c r="E641" s="818" t="s">
        <v>191</v>
      </c>
      <c r="F641" s="820">
        <v>3.522348359</v>
      </c>
      <c r="G641" s="821">
        <v>0.85001778900000002</v>
      </c>
      <c r="H641" s="822">
        <v>8219046370.0320301</v>
      </c>
      <c r="I641" s="819"/>
      <c r="J641" s="820">
        <v>-2.4615599999999998E-4</v>
      </c>
      <c r="K641" s="819">
        <f t="shared" si="134"/>
        <v>43</v>
      </c>
      <c r="L641" s="819">
        <f t="shared" si="135"/>
        <v>836</v>
      </c>
      <c r="M641" s="819">
        <f t="shared" si="131"/>
        <v>43</v>
      </c>
      <c r="N641" s="819">
        <f t="shared" si="132"/>
        <v>364</v>
      </c>
      <c r="O641" s="819">
        <f t="shared" si="133"/>
        <v>1145</v>
      </c>
      <c r="P641" s="819">
        <f t="shared" si="136"/>
        <v>1355</v>
      </c>
      <c r="Q641" s="819">
        <f t="shared" si="137"/>
        <v>413</v>
      </c>
      <c r="R641" s="819">
        <f t="shared" si="138"/>
        <v>39</v>
      </c>
      <c r="S641" s="819">
        <f t="shared" si="139"/>
        <v>338</v>
      </c>
      <c r="T641" s="819">
        <f t="shared" si="140"/>
        <v>1123</v>
      </c>
      <c r="U641" s="819">
        <f t="shared" si="141"/>
        <v>3268</v>
      </c>
      <c r="V641" s="819">
        <f t="shared" si="142"/>
        <v>1296</v>
      </c>
      <c r="W641" s="379">
        <f t="shared" si="143"/>
        <v>1296</v>
      </c>
      <c r="X641" s="819" t="str">
        <f t="shared" si="144"/>
        <v/>
      </c>
      <c r="Y641" s="837"/>
      <c r="Z641" s="839"/>
      <c r="AA641" s="838"/>
      <c r="AB641" s="839"/>
    </row>
    <row r="642" spans="1:28" ht="13.15">
      <c r="B642" s="819" t="s">
        <v>1682</v>
      </c>
      <c r="C642" s="819" t="s">
        <v>1683</v>
      </c>
      <c r="D642" s="379" t="s">
        <v>336</v>
      </c>
      <c r="E642" s="818" t="s">
        <v>460</v>
      </c>
      <c r="F642" s="820">
        <v>2.1722393069999999</v>
      </c>
      <c r="G642" s="821">
        <v>6.0807000440000003</v>
      </c>
      <c r="H642" s="822">
        <v>52455958.890153997</v>
      </c>
      <c r="I642" s="819"/>
      <c r="J642" s="820">
        <v>-8.6389300000000002E-4</v>
      </c>
      <c r="K642" s="819">
        <f t="shared" si="134"/>
        <v>862</v>
      </c>
      <c r="L642" s="819">
        <f t="shared" si="135"/>
        <v>319</v>
      </c>
      <c r="M642" s="819">
        <f t="shared" si="131"/>
        <v>862</v>
      </c>
      <c r="N642" s="819">
        <f t="shared" si="132"/>
        <v>364</v>
      </c>
      <c r="O642" s="819">
        <f t="shared" si="133"/>
        <v>1375</v>
      </c>
      <c r="P642" s="819">
        <f t="shared" si="136"/>
        <v>536</v>
      </c>
      <c r="Q642" s="819">
        <f t="shared" si="137"/>
        <v>104</v>
      </c>
      <c r="R642" s="819">
        <f t="shared" si="138"/>
        <v>780</v>
      </c>
      <c r="S642" s="819">
        <f t="shared" si="139"/>
        <v>338</v>
      </c>
      <c r="T642" s="819">
        <f t="shared" si="140"/>
        <v>1353</v>
      </c>
      <c r="U642" s="819">
        <f t="shared" si="141"/>
        <v>3111</v>
      </c>
      <c r="V642" s="819">
        <f t="shared" si="142"/>
        <v>1082</v>
      </c>
      <c r="W642" s="379">
        <f t="shared" si="143"/>
        <v>1082</v>
      </c>
      <c r="X642" s="819" t="str">
        <f t="shared" si="144"/>
        <v/>
      </c>
      <c r="Y642" s="837"/>
      <c r="Z642" s="839"/>
      <c r="AA642" s="838"/>
      <c r="AB642" s="839"/>
    </row>
    <row r="643" spans="1:28" ht="14.45">
      <c r="A643" s="816"/>
      <c r="B643" s="819" t="s">
        <v>1684</v>
      </c>
      <c r="C643" s="819" t="s">
        <v>1685</v>
      </c>
      <c r="D643" s="379" t="s">
        <v>336</v>
      </c>
      <c r="E643" s="818" t="s">
        <v>685</v>
      </c>
      <c r="F643" s="820">
        <v>-0.34034431300000001</v>
      </c>
      <c r="G643" s="821">
        <v>1.0395172660000001</v>
      </c>
      <c r="H643" s="822">
        <v>5815128.4877062999</v>
      </c>
      <c r="I643" s="819"/>
      <c r="J643" s="820">
        <v>-2.8706421999999999E-2</v>
      </c>
      <c r="K643" s="819">
        <f t="shared" si="134"/>
        <v>1345</v>
      </c>
      <c r="L643" s="819">
        <f t="shared" si="135"/>
        <v>803</v>
      </c>
      <c r="M643" s="819">
        <f t="shared" si="131"/>
        <v>1345</v>
      </c>
      <c r="N643" s="819">
        <f t="shared" si="132"/>
        <v>364</v>
      </c>
      <c r="O643" s="819">
        <f t="shared" si="133"/>
        <v>1708</v>
      </c>
      <c r="P643" s="819">
        <f t="shared" si="136"/>
        <v>53</v>
      </c>
      <c r="Q643" s="819">
        <f t="shared" si="137"/>
        <v>380</v>
      </c>
      <c r="R643" s="819">
        <f t="shared" si="138"/>
        <v>1263</v>
      </c>
      <c r="S643" s="819">
        <f t="shared" si="139"/>
        <v>338</v>
      </c>
      <c r="T643" s="819">
        <f t="shared" si="140"/>
        <v>1686</v>
      </c>
      <c r="U643" s="819">
        <f t="shared" si="141"/>
        <v>3720</v>
      </c>
      <c r="V643" s="819">
        <f t="shared" si="142"/>
        <v>1684</v>
      </c>
      <c r="W643" s="379">
        <f t="shared" si="143"/>
        <v>1684</v>
      </c>
      <c r="X643" s="819" t="str">
        <f t="shared" si="144"/>
        <v/>
      </c>
      <c r="Y643" s="837"/>
      <c r="Z643" s="839"/>
      <c r="AA643" s="838"/>
      <c r="AB643" s="839"/>
    </row>
    <row r="644" spans="1:28" ht="13.15">
      <c r="B644" s="819" t="s">
        <v>1686</v>
      </c>
      <c r="C644" s="819" t="s">
        <v>1687</v>
      </c>
      <c r="D644" s="379" t="s">
        <v>336</v>
      </c>
      <c r="E644" s="818" t="s">
        <v>418</v>
      </c>
      <c r="F644" s="820">
        <v>1.135151646</v>
      </c>
      <c r="G644" s="821"/>
      <c r="H644" s="822">
        <v>207659480.805334</v>
      </c>
      <c r="I644" s="819">
        <v>0.09</v>
      </c>
      <c r="J644" s="820">
        <v>0</v>
      </c>
      <c r="K644" s="819">
        <f t="shared" si="134"/>
        <v>557</v>
      </c>
      <c r="L644" s="819">
        <f t="shared" si="135"/>
        <v>1084</v>
      </c>
      <c r="M644" s="819">
        <f t="shared" ref="M644:M707" si="145">IFERROR(_xlfn.RANK.EQ(H644,H$3:H$1787),"N/A")</f>
        <v>557</v>
      </c>
      <c r="N644" s="819">
        <f t="shared" ref="N644:N707" si="146">IFERROR(_xlfn.RANK.EQ(I644,I$3:I$1787),"N/A")</f>
        <v>275</v>
      </c>
      <c r="O644" s="819">
        <f t="shared" ref="O644:O707" si="147">IFERROR(_xlfn.RANK.EQ(J644,J$3:J$1787),"N/A")</f>
        <v>492</v>
      </c>
      <c r="P644" s="819">
        <f t="shared" si="136"/>
        <v>841</v>
      </c>
      <c r="Q644" s="819">
        <f t="shared" si="137"/>
        <v>661</v>
      </c>
      <c r="R644" s="819">
        <f t="shared" si="138"/>
        <v>475</v>
      </c>
      <c r="S644" s="819">
        <f t="shared" si="139"/>
        <v>249</v>
      </c>
      <c r="T644" s="819">
        <f t="shared" si="140"/>
        <v>470</v>
      </c>
      <c r="U644" s="819">
        <f t="shared" si="141"/>
        <v>2696</v>
      </c>
      <c r="V644" s="819">
        <f t="shared" si="142"/>
        <v>351</v>
      </c>
      <c r="W644" s="379">
        <f t="shared" si="143"/>
        <v>351</v>
      </c>
      <c r="X644" s="819" t="str">
        <f t="shared" si="144"/>
        <v/>
      </c>
      <c r="Y644" s="837"/>
      <c r="Z644" s="839"/>
      <c r="AA644" s="838"/>
      <c r="AB644" s="839"/>
    </row>
    <row r="645" spans="1:28" ht="14.45">
      <c r="A645" s="816"/>
      <c r="B645" s="819" t="s">
        <v>1688</v>
      </c>
      <c r="C645" s="819" t="s">
        <v>1689</v>
      </c>
      <c r="D645" s="379" t="s">
        <v>336</v>
      </c>
      <c r="E645" s="818" t="s">
        <v>378</v>
      </c>
      <c r="F645" s="820">
        <v>3.1536629110000001</v>
      </c>
      <c r="G645" s="821">
        <v>5.8925691599999999</v>
      </c>
      <c r="H645" s="822">
        <v>121992705.686766</v>
      </c>
      <c r="I645" s="819"/>
      <c r="J645" s="820">
        <v>-4.0415000000000002E-6</v>
      </c>
      <c r="K645" s="819">
        <f t="shared" ref="K645:K708" si="148">IFERROR(_xlfn.RANK.EQ(H645,H$3:H$1787),"N/A")</f>
        <v>666</v>
      </c>
      <c r="L645" s="819">
        <f t="shared" ref="L645:L708" si="149">IFERROR(_xlfn.RANK.EQ(G645,G$3:G$1787),"N/A")</f>
        <v>328</v>
      </c>
      <c r="M645" s="819">
        <f t="shared" si="145"/>
        <v>666</v>
      </c>
      <c r="N645" s="819">
        <f t="shared" si="146"/>
        <v>364</v>
      </c>
      <c r="O645" s="819">
        <f t="shared" si="147"/>
        <v>780</v>
      </c>
      <c r="P645" s="819">
        <f t="shared" ref="P645:P708" si="150">IFERROR(ABS(K$3-K645),"N/A")</f>
        <v>732</v>
      </c>
      <c r="Q645" s="819">
        <f t="shared" ref="Q645:Q708" si="151">IFERROR(ABS(L$3-L645),"N/A")</f>
        <v>95</v>
      </c>
      <c r="R645" s="819">
        <f t="shared" ref="R645:R708" si="152">IFERROR(ABS(M$3-M645),"N/A")</f>
        <v>584</v>
      </c>
      <c r="S645" s="819">
        <f t="shared" ref="S645:S708" si="153">IFERROR(ABS(N$3-N645),"N/A")</f>
        <v>338</v>
      </c>
      <c r="T645" s="819">
        <f t="shared" ref="T645:T708" si="154">IFERROR(ABS(O$3-O645),"N/A")</f>
        <v>758</v>
      </c>
      <c r="U645" s="819">
        <f t="shared" ref="U645:U708" si="155">SUM(P645:T645)</f>
        <v>2507</v>
      </c>
      <c r="V645" s="819">
        <f t="shared" ref="V645:V708" si="156">_xlfn.RANK.EQ(U645,$U$4:$U$1787,1)</f>
        <v>249</v>
      </c>
      <c r="W645" s="379">
        <f t="shared" ref="W645:W708" si="157">IF(Y645="Not suitable","-",V645)</f>
        <v>249</v>
      </c>
      <c r="X645" s="819" t="str">
        <f t="shared" si="144"/>
        <v/>
      </c>
      <c r="Y645" s="837"/>
      <c r="Z645" s="839"/>
      <c r="AA645" s="838"/>
      <c r="AB645" s="839"/>
    </row>
    <row r="646" spans="1:28" ht="13.15">
      <c r="B646" s="819" t="s">
        <v>1690</v>
      </c>
      <c r="C646" s="819" t="s">
        <v>1691</v>
      </c>
      <c r="D646" s="379" t="s">
        <v>336</v>
      </c>
      <c r="E646" s="818" t="s">
        <v>441</v>
      </c>
      <c r="F646" s="820">
        <v>5.1696821210000001</v>
      </c>
      <c r="G646" s="821">
        <v>2.174054054</v>
      </c>
      <c r="H646" s="822">
        <v>418401756.78254402</v>
      </c>
      <c r="I646" s="819">
        <v>0.25</v>
      </c>
      <c r="J646" s="820">
        <v>-1.7864079000000001E-2</v>
      </c>
      <c r="K646" s="819">
        <f t="shared" si="148"/>
        <v>396</v>
      </c>
      <c r="L646" s="819">
        <f t="shared" si="149"/>
        <v>652</v>
      </c>
      <c r="M646" s="819">
        <f t="shared" si="145"/>
        <v>396</v>
      </c>
      <c r="N646" s="819">
        <f t="shared" si="146"/>
        <v>206</v>
      </c>
      <c r="O646" s="819">
        <f t="shared" si="147"/>
        <v>1685</v>
      </c>
      <c r="P646" s="819">
        <f t="shared" si="150"/>
        <v>1002</v>
      </c>
      <c r="Q646" s="819">
        <f t="shared" si="151"/>
        <v>229</v>
      </c>
      <c r="R646" s="819">
        <f t="shared" si="152"/>
        <v>314</v>
      </c>
      <c r="S646" s="819">
        <f t="shared" si="153"/>
        <v>180</v>
      </c>
      <c r="T646" s="819">
        <f t="shared" si="154"/>
        <v>1663</v>
      </c>
      <c r="U646" s="819">
        <f t="shared" si="155"/>
        <v>3388</v>
      </c>
      <c r="V646" s="819">
        <f t="shared" si="156"/>
        <v>1451</v>
      </c>
      <c r="W646" s="379">
        <f t="shared" si="157"/>
        <v>1451</v>
      </c>
      <c r="X646" s="819" t="str">
        <f t="shared" ref="X646:X709" si="158">IF(L646="N/A","Y","")</f>
        <v/>
      </c>
      <c r="Y646" s="837"/>
      <c r="Z646" s="839"/>
      <c r="AA646" s="838"/>
      <c r="AB646" s="839"/>
    </row>
    <row r="647" spans="1:28" ht="14.45">
      <c r="A647" s="816"/>
      <c r="B647" s="819" t="s">
        <v>1692</v>
      </c>
      <c r="C647" s="819" t="s">
        <v>1693</v>
      </c>
      <c r="D647" s="379" t="s">
        <v>336</v>
      </c>
      <c r="E647" s="818" t="s">
        <v>191</v>
      </c>
      <c r="F647" s="820">
        <v>2.7414851649999998</v>
      </c>
      <c r="G647" s="821">
        <v>0.136832501</v>
      </c>
      <c r="H647" s="822">
        <v>9136.8697140000004</v>
      </c>
      <c r="I647" s="819">
        <v>0.27</v>
      </c>
      <c r="J647" s="820">
        <v>-2.5635269999999999E-3</v>
      </c>
      <c r="K647" s="819">
        <f t="shared" si="148"/>
        <v>1668</v>
      </c>
      <c r="L647" s="819">
        <f t="shared" si="149"/>
        <v>1001</v>
      </c>
      <c r="M647" s="819">
        <f t="shared" si="145"/>
        <v>1668</v>
      </c>
      <c r="N647" s="819">
        <f t="shared" si="146"/>
        <v>199</v>
      </c>
      <c r="O647" s="819">
        <f t="shared" si="147"/>
        <v>1530</v>
      </c>
      <c r="P647" s="819">
        <f t="shared" si="150"/>
        <v>270</v>
      </c>
      <c r="Q647" s="819">
        <f t="shared" si="151"/>
        <v>578</v>
      </c>
      <c r="R647" s="819">
        <f t="shared" si="152"/>
        <v>1586</v>
      </c>
      <c r="S647" s="819">
        <f t="shared" si="153"/>
        <v>173</v>
      </c>
      <c r="T647" s="819">
        <f t="shared" si="154"/>
        <v>1508</v>
      </c>
      <c r="U647" s="819">
        <f t="shared" si="155"/>
        <v>4115</v>
      </c>
      <c r="V647" s="819">
        <f t="shared" si="156"/>
        <v>1754</v>
      </c>
      <c r="W647" s="379">
        <f t="shared" si="157"/>
        <v>1754</v>
      </c>
      <c r="X647" s="819" t="str">
        <f t="shared" si="158"/>
        <v/>
      </c>
      <c r="Y647" s="837"/>
      <c r="Z647" s="839"/>
      <c r="AA647" s="838"/>
      <c r="AB647" s="839"/>
    </row>
    <row r="648" spans="1:28" ht="13.15">
      <c r="B648" s="819" t="s">
        <v>1694</v>
      </c>
      <c r="C648" s="819" t="s">
        <v>1695</v>
      </c>
      <c r="D648" s="379" t="s">
        <v>336</v>
      </c>
      <c r="E648" s="818" t="s">
        <v>600</v>
      </c>
      <c r="F648" s="820">
        <v>5.5955964309999997</v>
      </c>
      <c r="G648" s="821">
        <v>3.2667091099999999</v>
      </c>
      <c r="H648" s="822">
        <v>1238227030.93805</v>
      </c>
      <c r="I648" s="819"/>
      <c r="J648" s="820">
        <v>-2.9969749999999998E-3</v>
      </c>
      <c r="K648" s="819">
        <f t="shared" si="148"/>
        <v>195</v>
      </c>
      <c r="L648" s="819">
        <f t="shared" si="149"/>
        <v>527</v>
      </c>
      <c r="M648" s="819">
        <f t="shared" si="145"/>
        <v>195</v>
      </c>
      <c r="N648" s="819">
        <f t="shared" si="146"/>
        <v>364</v>
      </c>
      <c r="O648" s="819">
        <f t="shared" si="147"/>
        <v>1546</v>
      </c>
      <c r="P648" s="819">
        <f t="shared" si="150"/>
        <v>1203</v>
      </c>
      <c r="Q648" s="819">
        <f t="shared" si="151"/>
        <v>104</v>
      </c>
      <c r="R648" s="819">
        <f t="shared" si="152"/>
        <v>113</v>
      </c>
      <c r="S648" s="819">
        <f t="shared" si="153"/>
        <v>338</v>
      </c>
      <c r="T648" s="819">
        <f t="shared" si="154"/>
        <v>1524</v>
      </c>
      <c r="U648" s="819">
        <f t="shared" si="155"/>
        <v>3282</v>
      </c>
      <c r="V648" s="819">
        <f t="shared" si="156"/>
        <v>1313</v>
      </c>
      <c r="W648" s="379">
        <f t="shared" si="157"/>
        <v>1313</v>
      </c>
      <c r="X648" s="819" t="str">
        <f t="shared" si="158"/>
        <v/>
      </c>
      <c r="Y648" s="837"/>
      <c r="Z648" s="839"/>
      <c r="AA648" s="838"/>
      <c r="AB648" s="839"/>
    </row>
    <row r="649" spans="1:28" ht="14.45">
      <c r="A649" s="816"/>
      <c r="B649" s="819" t="s">
        <v>1696</v>
      </c>
      <c r="C649" s="819" t="s">
        <v>1697</v>
      </c>
      <c r="D649" s="379" t="s">
        <v>336</v>
      </c>
      <c r="E649" s="818" t="s">
        <v>728</v>
      </c>
      <c r="F649" s="820">
        <v>2.9248515130000001</v>
      </c>
      <c r="G649" s="821">
        <v>2.7254295900000001</v>
      </c>
      <c r="H649" s="822">
        <v>171273909.69579801</v>
      </c>
      <c r="I649" s="819">
        <v>71.760000000000005</v>
      </c>
      <c r="J649" s="820">
        <v>-3.7109077999999997E-2</v>
      </c>
      <c r="K649" s="819">
        <f t="shared" si="148"/>
        <v>606</v>
      </c>
      <c r="L649" s="819">
        <f t="shared" si="149"/>
        <v>577</v>
      </c>
      <c r="M649" s="819">
        <f t="shared" si="145"/>
        <v>606</v>
      </c>
      <c r="N649" s="819">
        <f t="shared" si="146"/>
        <v>19</v>
      </c>
      <c r="O649" s="819">
        <f t="shared" si="147"/>
        <v>1722</v>
      </c>
      <c r="P649" s="819">
        <f t="shared" si="150"/>
        <v>792</v>
      </c>
      <c r="Q649" s="819">
        <f t="shared" si="151"/>
        <v>154</v>
      </c>
      <c r="R649" s="819">
        <f t="shared" si="152"/>
        <v>524</v>
      </c>
      <c r="S649" s="819">
        <f t="shared" si="153"/>
        <v>7</v>
      </c>
      <c r="T649" s="819">
        <f t="shared" si="154"/>
        <v>1700</v>
      </c>
      <c r="U649" s="819">
        <f t="shared" si="155"/>
        <v>3177</v>
      </c>
      <c r="V649" s="819">
        <f t="shared" si="156"/>
        <v>1166</v>
      </c>
      <c r="W649" s="379">
        <f t="shared" si="157"/>
        <v>1166</v>
      </c>
      <c r="X649" s="819" t="str">
        <f t="shared" si="158"/>
        <v/>
      </c>
      <c r="Y649" s="837"/>
      <c r="Z649" s="839"/>
      <c r="AA649" s="838"/>
      <c r="AB649" s="839"/>
    </row>
    <row r="650" spans="1:28" ht="13.15">
      <c r="B650" s="819" t="s">
        <v>1698</v>
      </c>
      <c r="C650" s="819" t="s">
        <v>1699</v>
      </c>
      <c r="D650" s="379" t="s">
        <v>336</v>
      </c>
      <c r="E650" s="818" t="s">
        <v>941</v>
      </c>
      <c r="F650" s="820">
        <v>1.2945285099999999</v>
      </c>
      <c r="G650" s="821">
        <v>1.6133761369999999</v>
      </c>
      <c r="H650" s="822">
        <v>80698857.991585895</v>
      </c>
      <c r="I650" s="819"/>
      <c r="J650" s="820">
        <v>-2.127117E-3</v>
      </c>
      <c r="K650" s="819">
        <f t="shared" si="148"/>
        <v>770</v>
      </c>
      <c r="L650" s="819">
        <f t="shared" si="149"/>
        <v>727</v>
      </c>
      <c r="M650" s="819">
        <f t="shared" si="145"/>
        <v>770</v>
      </c>
      <c r="N650" s="819">
        <f t="shared" si="146"/>
        <v>364</v>
      </c>
      <c r="O650" s="819">
        <f t="shared" si="147"/>
        <v>1502</v>
      </c>
      <c r="P650" s="819">
        <f t="shared" si="150"/>
        <v>628</v>
      </c>
      <c r="Q650" s="819">
        <f t="shared" si="151"/>
        <v>304</v>
      </c>
      <c r="R650" s="819">
        <f t="shared" si="152"/>
        <v>688</v>
      </c>
      <c r="S650" s="819">
        <f t="shared" si="153"/>
        <v>338</v>
      </c>
      <c r="T650" s="819">
        <f t="shared" si="154"/>
        <v>1480</v>
      </c>
      <c r="U650" s="819">
        <f t="shared" si="155"/>
        <v>3438</v>
      </c>
      <c r="V650" s="819">
        <f t="shared" si="156"/>
        <v>1496</v>
      </c>
      <c r="W650" s="379">
        <f t="shared" si="157"/>
        <v>1496</v>
      </c>
      <c r="X650" s="819" t="str">
        <f t="shared" si="158"/>
        <v/>
      </c>
      <c r="Y650" s="837"/>
      <c r="Z650" s="839"/>
      <c r="AA650" s="838"/>
      <c r="AB650" s="839"/>
    </row>
    <row r="651" spans="1:28" ht="14.45">
      <c r="A651" s="816"/>
      <c r="B651" s="819" t="s">
        <v>1700</v>
      </c>
      <c r="C651" s="819" t="s">
        <v>1701</v>
      </c>
      <c r="D651" s="379" t="s">
        <v>336</v>
      </c>
      <c r="E651" s="818" t="s">
        <v>481</v>
      </c>
      <c r="F651" s="820"/>
      <c r="G651" s="821"/>
      <c r="H651" s="822">
        <v>9108912068.09445</v>
      </c>
      <c r="I651" s="819">
        <v>2.98</v>
      </c>
      <c r="J651" s="820">
        <v>0</v>
      </c>
      <c r="K651" s="819">
        <f t="shared" si="148"/>
        <v>38</v>
      </c>
      <c r="L651" s="819">
        <f t="shared" si="149"/>
        <v>1084</v>
      </c>
      <c r="M651" s="819">
        <f t="shared" si="145"/>
        <v>38</v>
      </c>
      <c r="N651" s="819">
        <f t="shared" si="146"/>
        <v>67</v>
      </c>
      <c r="O651" s="819">
        <f t="shared" si="147"/>
        <v>492</v>
      </c>
      <c r="P651" s="819">
        <f t="shared" si="150"/>
        <v>1360</v>
      </c>
      <c r="Q651" s="819">
        <f t="shared" si="151"/>
        <v>661</v>
      </c>
      <c r="R651" s="819">
        <f t="shared" si="152"/>
        <v>44</v>
      </c>
      <c r="S651" s="819">
        <f t="shared" si="153"/>
        <v>41</v>
      </c>
      <c r="T651" s="819">
        <f t="shared" si="154"/>
        <v>470</v>
      </c>
      <c r="U651" s="819">
        <f t="shared" si="155"/>
        <v>2576</v>
      </c>
      <c r="V651" s="819">
        <f t="shared" si="156"/>
        <v>276</v>
      </c>
      <c r="W651" s="379">
        <f t="shared" si="157"/>
        <v>276</v>
      </c>
      <c r="X651" s="819" t="str">
        <f t="shared" si="158"/>
        <v/>
      </c>
      <c r="Y651" s="837"/>
      <c r="Z651" s="839"/>
      <c r="AA651" s="838"/>
      <c r="AB651" s="839"/>
    </row>
    <row r="652" spans="1:28" ht="13.15">
      <c r="B652" s="819" t="s">
        <v>1702</v>
      </c>
      <c r="C652" s="819" t="s">
        <v>1703</v>
      </c>
      <c r="D652" s="379" t="s">
        <v>336</v>
      </c>
      <c r="E652" s="818" t="s">
        <v>789</v>
      </c>
      <c r="F652" s="820">
        <v>0.59016501499999996</v>
      </c>
      <c r="G652" s="821">
        <v>2.7720450099999998</v>
      </c>
      <c r="H652" s="822">
        <v>272496855.43073201</v>
      </c>
      <c r="I652" s="819"/>
      <c r="J652" s="820">
        <v>-3.1527900000000001E-4</v>
      </c>
      <c r="K652" s="819">
        <f t="shared" si="148"/>
        <v>494</v>
      </c>
      <c r="L652" s="819">
        <f t="shared" si="149"/>
        <v>572</v>
      </c>
      <c r="M652" s="819">
        <f t="shared" si="145"/>
        <v>494</v>
      </c>
      <c r="N652" s="819">
        <f t="shared" si="146"/>
        <v>364</v>
      </c>
      <c r="O652" s="819">
        <f t="shared" si="147"/>
        <v>1185</v>
      </c>
      <c r="P652" s="819">
        <f t="shared" si="150"/>
        <v>904</v>
      </c>
      <c r="Q652" s="819">
        <f t="shared" si="151"/>
        <v>149</v>
      </c>
      <c r="R652" s="819">
        <f t="shared" si="152"/>
        <v>412</v>
      </c>
      <c r="S652" s="819">
        <f t="shared" si="153"/>
        <v>338</v>
      </c>
      <c r="T652" s="819">
        <f t="shared" si="154"/>
        <v>1163</v>
      </c>
      <c r="U652" s="819">
        <f t="shared" si="155"/>
        <v>2966</v>
      </c>
      <c r="V652" s="819">
        <f t="shared" si="156"/>
        <v>887</v>
      </c>
      <c r="W652" s="379">
        <f t="shared" si="157"/>
        <v>887</v>
      </c>
      <c r="X652" s="819" t="str">
        <f t="shared" si="158"/>
        <v/>
      </c>
      <c r="Y652" s="837"/>
      <c r="Z652" s="839"/>
      <c r="AA652" s="838"/>
      <c r="AB652" s="839"/>
    </row>
    <row r="653" spans="1:28" ht="14.45">
      <c r="A653" s="816"/>
      <c r="B653" s="819" t="s">
        <v>1704</v>
      </c>
      <c r="C653" s="819" t="s">
        <v>1705</v>
      </c>
      <c r="D653" s="379" t="s">
        <v>336</v>
      </c>
      <c r="E653" s="818" t="s">
        <v>409</v>
      </c>
      <c r="F653" s="820">
        <v>-2.5958621000000001E-2</v>
      </c>
      <c r="G653" s="821">
        <v>-2.0765241780000001</v>
      </c>
      <c r="H653" s="822">
        <v>99146138.532218203</v>
      </c>
      <c r="I653" s="819"/>
      <c r="J653" s="820">
        <v>4.5325099999999997E-5</v>
      </c>
      <c r="K653" s="819">
        <f t="shared" si="148"/>
        <v>725</v>
      </c>
      <c r="L653" s="819">
        <f t="shared" si="149"/>
        <v>1345</v>
      </c>
      <c r="M653" s="819">
        <f t="shared" si="145"/>
        <v>725</v>
      </c>
      <c r="N653" s="819">
        <f t="shared" si="146"/>
        <v>364</v>
      </c>
      <c r="O653" s="819">
        <f t="shared" si="147"/>
        <v>355</v>
      </c>
      <c r="P653" s="819">
        <f t="shared" si="150"/>
        <v>673</v>
      </c>
      <c r="Q653" s="819">
        <f t="shared" si="151"/>
        <v>922</v>
      </c>
      <c r="R653" s="819">
        <f t="shared" si="152"/>
        <v>643</v>
      </c>
      <c r="S653" s="819">
        <f t="shared" si="153"/>
        <v>338</v>
      </c>
      <c r="T653" s="819">
        <f t="shared" si="154"/>
        <v>333</v>
      </c>
      <c r="U653" s="819">
        <f t="shared" si="155"/>
        <v>2909</v>
      </c>
      <c r="V653" s="819">
        <f t="shared" si="156"/>
        <v>817</v>
      </c>
      <c r="W653" s="379">
        <f t="shared" si="157"/>
        <v>817</v>
      </c>
      <c r="X653" s="819" t="str">
        <f t="shared" si="158"/>
        <v/>
      </c>
      <c r="Y653" s="837"/>
      <c r="Z653" s="839"/>
      <c r="AA653" s="838"/>
      <c r="AB653" s="839"/>
    </row>
    <row r="654" spans="1:28" ht="13.15">
      <c r="B654" s="819" t="s">
        <v>1706</v>
      </c>
      <c r="C654" s="819" t="s">
        <v>1707</v>
      </c>
      <c r="D654" s="379" t="s">
        <v>336</v>
      </c>
      <c r="E654" s="818" t="s">
        <v>453</v>
      </c>
      <c r="F654" s="820">
        <v>0.20064452299999999</v>
      </c>
      <c r="G654" s="821">
        <v>17.014837969999999</v>
      </c>
      <c r="H654" s="822">
        <v>45830573.228783101</v>
      </c>
      <c r="I654" s="819"/>
      <c r="J654" s="820">
        <v>-8.3071600000000001E-4</v>
      </c>
      <c r="K654" s="819">
        <f t="shared" si="148"/>
        <v>893</v>
      </c>
      <c r="L654" s="819">
        <f t="shared" si="149"/>
        <v>107</v>
      </c>
      <c r="M654" s="819">
        <f t="shared" si="145"/>
        <v>893</v>
      </c>
      <c r="N654" s="819">
        <f t="shared" si="146"/>
        <v>364</v>
      </c>
      <c r="O654" s="819">
        <f t="shared" si="147"/>
        <v>1370</v>
      </c>
      <c r="P654" s="819">
        <f t="shared" si="150"/>
        <v>505</v>
      </c>
      <c r="Q654" s="819">
        <f t="shared" si="151"/>
        <v>316</v>
      </c>
      <c r="R654" s="819">
        <f t="shared" si="152"/>
        <v>811</v>
      </c>
      <c r="S654" s="819">
        <f t="shared" si="153"/>
        <v>338</v>
      </c>
      <c r="T654" s="819">
        <f t="shared" si="154"/>
        <v>1348</v>
      </c>
      <c r="U654" s="819">
        <f t="shared" si="155"/>
        <v>3318</v>
      </c>
      <c r="V654" s="819">
        <f t="shared" si="156"/>
        <v>1369</v>
      </c>
      <c r="W654" s="379">
        <f t="shared" si="157"/>
        <v>1369</v>
      </c>
      <c r="X654" s="819" t="str">
        <f t="shared" si="158"/>
        <v/>
      </c>
      <c r="Y654" s="837"/>
      <c r="Z654" s="839"/>
      <c r="AA654" s="838"/>
      <c r="AB654" s="839"/>
    </row>
    <row r="655" spans="1:28" ht="14.45">
      <c r="A655" s="816"/>
      <c r="B655" s="819" t="s">
        <v>1708</v>
      </c>
      <c r="C655" s="819" t="s">
        <v>1709</v>
      </c>
      <c r="D655" s="379" t="s">
        <v>336</v>
      </c>
      <c r="E655" s="818" t="s">
        <v>337</v>
      </c>
      <c r="F655" s="820"/>
      <c r="G655" s="821"/>
      <c r="H655" s="822">
        <v>1476404.1897799999</v>
      </c>
      <c r="I655" s="819"/>
      <c r="J655" s="820">
        <v>0</v>
      </c>
      <c r="K655" s="819">
        <f t="shared" si="148"/>
        <v>1530</v>
      </c>
      <c r="L655" s="819">
        <f t="shared" si="149"/>
        <v>1084</v>
      </c>
      <c r="M655" s="819">
        <f t="shared" si="145"/>
        <v>1530</v>
      </c>
      <c r="N655" s="819">
        <f t="shared" si="146"/>
        <v>364</v>
      </c>
      <c r="O655" s="819">
        <f t="shared" si="147"/>
        <v>492</v>
      </c>
      <c r="P655" s="819">
        <f t="shared" si="150"/>
        <v>132</v>
      </c>
      <c r="Q655" s="819">
        <f t="shared" si="151"/>
        <v>661</v>
      </c>
      <c r="R655" s="819">
        <f t="shared" si="152"/>
        <v>1448</v>
      </c>
      <c r="S655" s="819">
        <f t="shared" si="153"/>
        <v>338</v>
      </c>
      <c r="T655" s="819">
        <f t="shared" si="154"/>
        <v>470</v>
      </c>
      <c r="U655" s="819">
        <f t="shared" si="155"/>
        <v>3049</v>
      </c>
      <c r="V655" s="819">
        <f t="shared" si="156"/>
        <v>994</v>
      </c>
      <c r="W655" s="379">
        <f t="shared" si="157"/>
        <v>994</v>
      </c>
      <c r="X655" s="819" t="str">
        <f t="shared" si="158"/>
        <v/>
      </c>
      <c r="Y655" s="837"/>
      <c r="Z655" s="839"/>
      <c r="AA655" s="838"/>
      <c r="AB655" s="839"/>
    </row>
    <row r="656" spans="1:28" ht="13.15">
      <c r="B656" s="819" t="s">
        <v>1710</v>
      </c>
      <c r="C656" s="819" t="s">
        <v>1711</v>
      </c>
      <c r="D656" s="379" t="s">
        <v>336</v>
      </c>
      <c r="E656" s="818" t="s">
        <v>600</v>
      </c>
      <c r="F656" s="820">
        <v>3.1667206829999999</v>
      </c>
      <c r="G656" s="821">
        <v>6.1606630000000003E-3</v>
      </c>
      <c r="H656" s="822">
        <v>536033538.439578</v>
      </c>
      <c r="I656" s="819"/>
      <c r="J656" s="820">
        <v>-9.2394999999999999E-4</v>
      </c>
      <c r="K656" s="819">
        <f t="shared" si="148"/>
        <v>334</v>
      </c>
      <c r="L656" s="819">
        <f t="shared" si="149"/>
        <v>1073</v>
      </c>
      <c r="M656" s="819">
        <f t="shared" si="145"/>
        <v>334</v>
      </c>
      <c r="N656" s="819">
        <f t="shared" si="146"/>
        <v>364</v>
      </c>
      <c r="O656" s="819">
        <f t="shared" si="147"/>
        <v>1383</v>
      </c>
      <c r="P656" s="819">
        <f t="shared" si="150"/>
        <v>1064</v>
      </c>
      <c r="Q656" s="819">
        <f t="shared" si="151"/>
        <v>650</v>
      </c>
      <c r="R656" s="819">
        <f t="shared" si="152"/>
        <v>252</v>
      </c>
      <c r="S656" s="819">
        <f t="shared" si="153"/>
        <v>338</v>
      </c>
      <c r="T656" s="819">
        <f t="shared" si="154"/>
        <v>1361</v>
      </c>
      <c r="U656" s="819">
        <f t="shared" si="155"/>
        <v>3665</v>
      </c>
      <c r="V656" s="819">
        <f t="shared" si="156"/>
        <v>1661</v>
      </c>
      <c r="W656" s="379">
        <f t="shared" si="157"/>
        <v>1661</v>
      </c>
      <c r="X656" s="819" t="str">
        <f t="shared" si="158"/>
        <v/>
      </c>
      <c r="Y656" s="837"/>
      <c r="Z656" s="839"/>
      <c r="AA656" s="838"/>
      <c r="AB656" s="839"/>
    </row>
    <row r="657" spans="1:28" ht="14.45">
      <c r="A657" s="816"/>
      <c r="B657" s="819" t="s">
        <v>1712</v>
      </c>
      <c r="C657" s="819" t="s">
        <v>1713</v>
      </c>
      <c r="D657" s="379" t="s">
        <v>336</v>
      </c>
      <c r="E657" s="818" t="s">
        <v>1199</v>
      </c>
      <c r="F657" s="820">
        <v>1.4115480840000001</v>
      </c>
      <c r="G657" s="821">
        <v>2.3035503949999998</v>
      </c>
      <c r="H657" s="822">
        <v>4232053.0293643903</v>
      </c>
      <c r="I657" s="819">
        <v>1.33</v>
      </c>
      <c r="J657" s="820">
        <v>-1.4830693000000001E-2</v>
      </c>
      <c r="K657" s="819">
        <f t="shared" si="148"/>
        <v>1395</v>
      </c>
      <c r="L657" s="819">
        <f t="shared" si="149"/>
        <v>630</v>
      </c>
      <c r="M657" s="819">
        <f t="shared" si="145"/>
        <v>1395</v>
      </c>
      <c r="N657" s="819">
        <f t="shared" si="146"/>
        <v>103</v>
      </c>
      <c r="O657" s="819">
        <f t="shared" si="147"/>
        <v>1674</v>
      </c>
      <c r="P657" s="819">
        <f t="shared" si="150"/>
        <v>3</v>
      </c>
      <c r="Q657" s="819">
        <f t="shared" si="151"/>
        <v>207</v>
      </c>
      <c r="R657" s="819">
        <f t="shared" si="152"/>
        <v>1313</v>
      </c>
      <c r="S657" s="819">
        <f t="shared" si="153"/>
        <v>77</v>
      </c>
      <c r="T657" s="819">
        <f t="shared" si="154"/>
        <v>1652</v>
      </c>
      <c r="U657" s="819">
        <f t="shared" si="155"/>
        <v>3252</v>
      </c>
      <c r="V657" s="819">
        <f t="shared" si="156"/>
        <v>1274</v>
      </c>
      <c r="W657" s="379">
        <f t="shared" si="157"/>
        <v>1274</v>
      </c>
      <c r="X657" s="819" t="str">
        <f t="shared" si="158"/>
        <v/>
      </c>
      <c r="Y657" s="837"/>
      <c r="Z657" s="839"/>
      <c r="AA657" s="838"/>
      <c r="AB657" s="839"/>
    </row>
    <row r="658" spans="1:28" ht="13.15">
      <c r="B658" s="819" t="s">
        <v>1714</v>
      </c>
      <c r="C658" s="819" t="s">
        <v>1715</v>
      </c>
      <c r="D658" s="379" t="s">
        <v>336</v>
      </c>
      <c r="E658" s="818" t="s">
        <v>418</v>
      </c>
      <c r="F658" s="820">
        <v>1.7297088700000001</v>
      </c>
      <c r="G658" s="821">
        <v>0</v>
      </c>
      <c r="H658" s="822">
        <v>210073153.36311299</v>
      </c>
      <c r="I658" s="819"/>
      <c r="J658" s="820">
        <v>-9.5722299999999999E-4</v>
      </c>
      <c r="K658" s="819">
        <f t="shared" si="148"/>
        <v>552</v>
      </c>
      <c r="L658" s="819">
        <f t="shared" si="149"/>
        <v>1084</v>
      </c>
      <c r="M658" s="819">
        <f t="shared" si="145"/>
        <v>552</v>
      </c>
      <c r="N658" s="819">
        <f t="shared" si="146"/>
        <v>364</v>
      </c>
      <c r="O658" s="819">
        <f t="shared" si="147"/>
        <v>1386</v>
      </c>
      <c r="P658" s="819">
        <f t="shared" si="150"/>
        <v>846</v>
      </c>
      <c r="Q658" s="819">
        <f t="shared" si="151"/>
        <v>661</v>
      </c>
      <c r="R658" s="819">
        <f t="shared" si="152"/>
        <v>470</v>
      </c>
      <c r="S658" s="819">
        <f t="shared" si="153"/>
        <v>338</v>
      </c>
      <c r="T658" s="819">
        <f t="shared" si="154"/>
        <v>1364</v>
      </c>
      <c r="U658" s="819">
        <f t="shared" si="155"/>
        <v>3679</v>
      </c>
      <c r="V658" s="819">
        <f t="shared" si="156"/>
        <v>1671</v>
      </c>
      <c r="W658" s="379">
        <f t="shared" si="157"/>
        <v>1671</v>
      </c>
      <c r="X658" s="819" t="str">
        <f t="shared" si="158"/>
        <v/>
      </c>
      <c r="Y658" s="837"/>
      <c r="Z658" s="839"/>
      <c r="AA658" s="838"/>
      <c r="AB658" s="839"/>
    </row>
    <row r="659" spans="1:28" ht="14.45">
      <c r="A659" s="816"/>
      <c r="B659" s="819" t="s">
        <v>1716</v>
      </c>
      <c r="C659" s="819" t="s">
        <v>1717</v>
      </c>
      <c r="D659" s="379" t="s">
        <v>336</v>
      </c>
      <c r="E659" s="818" t="s">
        <v>868</v>
      </c>
      <c r="F659" s="820">
        <v>0.472247686</v>
      </c>
      <c r="G659" s="821">
        <v>0.56368602300000004</v>
      </c>
      <c r="H659" s="822">
        <v>2639697983.31531</v>
      </c>
      <c r="I659" s="819"/>
      <c r="J659" s="820">
        <v>-4.93702E-6</v>
      </c>
      <c r="K659" s="819">
        <f t="shared" si="148"/>
        <v>122</v>
      </c>
      <c r="L659" s="819">
        <f t="shared" si="149"/>
        <v>908</v>
      </c>
      <c r="M659" s="819">
        <f t="shared" si="145"/>
        <v>122</v>
      </c>
      <c r="N659" s="819">
        <f t="shared" si="146"/>
        <v>364</v>
      </c>
      <c r="O659" s="819">
        <f t="shared" si="147"/>
        <v>782</v>
      </c>
      <c r="P659" s="819">
        <f t="shared" si="150"/>
        <v>1276</v>
      </c>
      <c r="Q659" s="819">
        <f t="shared" si="151"/>
        <v>485</v>
      </c>
      <c r="R659" s="819">
        <f t="shared" si="152"/>
        <v>40</v>
      </c>
      <c r="S659" s="819">
        <f t="shared" si="153"/>
        <v>338</v>
      </c>
      <c r="T659" s="819">
        <f t="shared" si="154"/>
        <v>760</v>
      </c>
      <c r="U659" s="819">
        <f t="shared" si="155"/>
        <v>2899</v>
      </c>
      <c r="V659" s="819">
        <f t="shared" si="156"/>
        <v>803</v>
      </c>
      <c r="W659" s="379">
        <f t="shared" si="157"/>
        <v>803</v>
      </c>
      <c r="X659" s="819" t="str">
        <f t="shared" si="158"/>
        <v/>
      </c>
      <c r="Y659" s="837"/>
      <c r="Z659" s="839"/>
      <c r="AA659" s="838"/>
      <c r="AB659" s="839"/>
    </row>
    <row r="660" spans="1:28" ht="13.15">
      <c r="B660" s="819" t="s">
        <v>1718</v>
      </c>
      <c r="C660" s="819" t="s">
        <v>1719</v>
      </c>
      <c r="D660" s="379" t="s">
        <v>336</v>
      </c>
      <c r="E660" s="818" t="s">
        <v>1720</v>
      </c>
      <c r="F660" s="820">
        <v>2.022534008</v>
      </c>
      <c r="G660" s="821">
        <v>0.10260773199999999</v>
      </c>
      <c r="H660" s="822">
        <v>297337751.42805398</v>
      </c>
      <c r="I660" s="819"/>
      <c r="J660" s="820">
        <v>-3.6803600000000001E-5</v>
      </c>
      <c r="K660" s="819">
        <f t="shared" si="148"/>
        <v>475</v>
      </c>
      <c r="L660" s="819">
        <f t="shared" si="149"/>
        <v>1011</v>
      </c>
      <c r="M660" s="819">
        <f t="shared" si="145"/>
        <v>475</v>
      </c>
      <c r="N660" s="819">
        <f t="shared" si="146"/>
        <v>364</v>
      </c>
      <c r="O660" s="819">
        <f t="shared" si="147"/>
        <v>889</v>
      </c>
      <c r="P660" s="819">
        <f t="shared" si="150"/>
        <v>923</v>
      </c>
      <c r="Q660" s="819">
        <f t="shared" si="151"/>
        <v>588</v>
      </c>
      <c r="R660" s="819">
        <f t="shared" si="152"/>
        <v>393</v>
      </c>
      <c r="S660" s="819">
        <f t="shared" si="153"/>
        <v>338</v>
      </c>
      <c r="T660" s="819">
        <f t="shared" si="154"/>
        <v>867</v>
      </c>
      <c r="U660" s="819">
        <f t="shared" si="155"/>
        <v>3109</v>
      </c>
      <c r="V660" s="819">
        <f t="shared" si="156"/>
        <v>1077</v>
      </c>
      <c r="W660" s="379">
        <f t="shared" si="157"/>
        <v>1077</v>
      </c>
      <c r="X660" s="819" t="str">
        <f t="shared" si="158"/>
        <v/>
      </c>
      <c r="Y660" s="837"/>
      <c r="Z660" s="839"/>
      <c r="AA660" s="838"/>
      <c r="AB660" s="839"/>
    </row>
    <row r="661" spans="1:28" ht="14.45">
      <c r="A661" s="816"/>
      <c r="B661" s="819" t="s">
        <v>1721</v>
      </c>
      <c r="C661" s="819" t="s">
        <v>1722</v>
      </c>
      <c r="D661" s="379" t="s">
        <v>336</v>
      </c>
      <c r="E661" s="818" t="s">
        <v>453</v>
      </c>
      <c r="F661" s="820">
        <v>-1.2534907E-2</v>
      </c>
      <c r="G661" s="821">
        <v>-3.3044151000000001E-2</v>
      </c>
      <c r="H661" s="822">
        <v>38466871.042780302</v>
      </c>
      <c r="I661" s="819"/>
      <c r="J661" s="820">
        <v>3.5184000000000002E-4</v>
      </c>
      <c r="K661" s="819">
        <f t="shared" si="148"/>
        <v>935</v>
      </c>
      <c r="L661" s="819">
        <f t="shared" si="149"/>
        <v>1203</v>
      </c>
      <c r="M661" s="819">
        <f t="shared" si="145"/>
        <v>935</v>
      </c>
      <c r="N661" s="819">
        <f t="shared" si="146"/>
        <v>364</v>
      </c>
      <c r="O661" s="819">
        <f t="shared" si="147"/>
        <v>220</v>
      </c>
      <c r="P661" s="819">
        <f t="shared" si="150"/>
        <v>463</v>
      </c>
      <c r="Q661" s="819">
        <f t="shared" si="151"/>
        <v>780</v>
      </c>
      <c r="R661" s="819">
        <f t="shared" si="152"/>
        <v>853</v>
      </c>
      <c r="S661" s="819">
        <f t="shared" si="153"/>
        <v>338</v>
      </c>
      <c r="T661" s="819">
        <f t="shared" si="154"/>
        <v>198</v>
      </c>
      <c r="U661" s="819">
        <f t="shared" si="155"/>
        <v>2632</v>
      </c>
      <c r="V661" s="819">
        <f t="shared" si="156"/>
        <v>306</v>
      </c>
      <c r="W661" s="379">
        <f t="shared" si="157"/>
        <v>306</v>
      </c>
      <c r="X661" s="819" t="str">
        <f t="shared" si="158"/>
        <v/>
      </c>
      <c r="Y661" s="837"/>
      <c r="Z661" s="839"/>
      <c r="AA661" s="838"/>
      <c r="AB661" s="839"/>
    </row>
    <row r="662" spans="1:28" ht="13.15">
      <c r="B662" s="819" t="s">
        <v>1723</v>
      </c>
      <c r="C662" s="819" t="s">
        <v>1724</v>
      </c>
      <c r="D662" s="379" t="s">
        <v>336</v>
      </c>
      <c r="E662" s="818" t="s">
        <v>378</v>
      </c>
      <c r="F662" s="820">
        <v>0.55568796399999998</v>
      </c>
      <c r="G662" s="821">
        <v>-3.3903884000000002E-2</v>
      </c>
      <c r="H662" s="822">
        <v>729336201</v>
      </c>
      <c r="I662" s="819"/>
      <c r="J662" s="820">
        <v>3.3548599999999999E-5</v>
      </c>
      <c r="K662" s="819">
        <f t="shared" si="148"/>
        <v>275</v>
      </c>
      <c r="L662" s="819">
        <f t="shared" si="149"/>
        <v>1205</v>
      </c>
      <c r="M662" s="819">
        <f t="shared" si="145"/>
        <v>275</v>
      </c>
      <c r="N662" s="819">
        <f t="shared" si="146"/>
        <v>364</v>
      </c>
      <c r="O662" s="819">
        <f t="shared" si="147"/>
        <v>372</v>
      </c>
      <c r="P662" s="819">
        <f t="shared" si="150"/>
        <v>1123</v>
      </c>
      <c r="Q662" s="819">
        <f t="shared" si="151"/>
        <v>782</v>
      </c>
      <c r="R662" s="819">
        <f t="shared" si="152"/>
        <v>193</v>
      </c>
      <c r="S662" s="819">
        <f t="shared" si="153"/>
        <v>338</v>
      </c>
      <c r="T662" s="819">
        <f t="shared" si="154"/>
        <v>350</v>
      </c>
      <c r="U662" s="819">
        <f t="shared" si="155"/>
        <v>2786</v>
      </c>
      <c r="V662" s="819">
        <f t="shared" si="156"/>
        <v>602</v>
      </c>
      <c r="W662" s="379">
        <f t="shared" si="157"/>
        <v>602</v>
      </c>
      <c r="X662" s="819" t="str">
        <f t="shared" si="158"/>
        <v/>
      </c>
      <c r="Y662" s="837"/>
      <c r="Z662" s="839"/>
      <c r="AA662" s="838"/>
      <c r="AB662" s="839"/>
    </row>
    <row r="663" spans="1:28" ht="14.45">
      <c r="A663" s="816"/>
      <c r="B663" s="819" t="s">
        <v>1725</v>
      </c>
      <c r="C663" s="819" t="s">
        <v>1726</v>
      </c>
      <c r="D663" s="379" t="s">
        <v>336</v>
      </c>
      <c r="E663" s="818" t="s">
        <v>337</v>
      </c>
      <c r="F663" s="820">
        <v>0.99188318200000003</v>
      </c>
      <c r="G663" s="821">
        <v>0</v>
      </c>
      <c r="H663" s="822">
        <v>22143605.199999999</v>
      </c>
      <c r="I663" s="819"/>
      <c r="J663" s="820">
        <v>-6.65075E-4</v>
      </c>
      <c r="K663" s="819">
        <f t="shared" si="148"/>
        <v>1082</v>
      </c>
      <c r="L663" s="819">
        <f t="shared" si="149"/>
        <v>1084</v>
      </c>
      <c r="M663" s="819">
        <f t="shared" si="145"/>
        <v>1082</v>
      </c>
      <c r="N663" s="819">
        <f t="shared" si="146"/>
        <v>364</v>
      </c>
      <c r="O663" s="819">
        <f t="shared" si="147"/>
        <v>1338</v>
      </c>
      <c r="P663" s="819">
        <f t="shared" si="150"/>
        <v>316</v>
      </c>
      <c r="Q663" s="819">
        <f t="shared" si="151"/>
        <v>661</v>
      </c>
      <c r="R663" s="819">
        <f t="shared" si="152"/>
        <v>1000</v>
      </c>
      <c r="S663" s="819">
        <f t="shared" si="153"/>
        <v>338</v>
      </c>
      <c r="T663" s="819">
        <f t="shared" si="154"/>
        <v>1316</v>
      </c>
      <c r="U663" s="819">
        <f t="shared" si="155"/>
        <v>3631</v>
      </c>
      <c r="V663" s="819">
        <f t="shared" si="156"/>
        <v>1639</v>
      </c>
      <c r="W663" s="379">
        <f t="shared" si="157"/>
        <v>1639</v>
      </c>
      <c r="X663" s="819" t="str">
        <f t="shared" si="158"/>
        <v/>
      </c>
      <c r="Y663" s="837"/>
      <c r="Z663" s="839"/>
      <c r="AA663" s="838"/>
      <c r="AB663" s="839"/>
    </row>
    <row r="664" spans="1:28" ht="13.15">
      <c r="B664" s="819" t="s">
        <v>1727</v>
      </c>
      <c r="C664" s="819" t="s">
        <v>1728</v>
      </c>
      <c r="D664" s="379" t="s">
        <v>336</v>
      </c>
      <c r="E664" s="818" t="s">
        <v>1077</v>
      </c>
      <c r="F664" s="820">
        <v>2.0721840760000001</v>
      </c>
      <c r="G664" s="821">
        <v>-1.416228117</v>
      </c>
      <c r="H664" s="822">
        <v>21087092.451987501</v>
      </c>
      <c r="I664" s="819"/>
      <c r="J664" s="820">
        <v>8.3839199999999998E-4</v>
      </c>
      <c r="K664" s="819">
        <f t="shared" si="148"/>
        <v>1091</v>
      </c>
      <c r="L664" s="819">
        <f t="shared" si="149"/>
        <v>1318</v>
      </c>
      <c r="M664" s="819">
        <f t="shared" si="145"/>
        <v>1091</v>
      </c>
      <c r="N664" s="819">
        <f t="shared" si="146"/>
        <v>364</v>
      </c>
      <c r="O664" s="819">
        <f t="shared" si="147"/>
        <v>184</v>
      </c>
      <c r="P664" s="819">
        <f t="shared" si="150"/>
        <v>307</v>
      </c>
      <c r="Q664" s="819">
        <f t="shared" si="151"/>
        <v>895</v>
      </c>
      <c r="R664" s="819">
        <f t="shared" si="152"/>
        <v>1009</v>
      </c>
      <c r="S664" s="819">
        <f t="shared" si="153"/>
        <v>338</v>
      </c>
      <c r="T664" s="819">
        <f t="shared" si="154"/>
        <v>162</v>
      </c>
      <c r="U664" s="819">
        <f t="shared" si="155"/>
        <v>2711</v>
      </c>
      <c r="V664" s="819">
        <f t="shared" si="156"/>
        <v>368</v>
      </c>
      <c r="W664" s="379">
        <f t="shared" si="157"/>
        <v>368</v>
      </c>
      <c r="X664" s="819" t="str">
        <f t="shared" si="158"/>
        <v/>
      </c>
      <c r="Y664" s="837"/>
      <c r="Z664" s="839"/>
      <c r="AA664" s="838"/>
      <c r="AB664" s="839"/>
    </row>
    <row r="665" spans="1:28" ht="14.45">
      <c r="A665" s="816"/>
      <c r="B665" s="819" t="s">
        <v>1729</v>
      </c>
      <c r="C665" s="819" t="s">
        <v>1730</v>
      </c>
      <c r="D665" s="379" t="s">
        <v>336</v>
      </c>
      <c r="E665" s="818" t="s">
        <v>425</v>
      </c>
      <c r="F665" s="820">
        <v>12.58632201</v>
      </c>
      <c r="G665" s="821">
        <v>-1.5197095439999999</v>
      </c>
      <c r="H665" s="822">
        <v>264815002.28755099</v>
      </c>
      <c r="I665" s="819"/>
      <c r="J665" s="820">
        <v>4.6307699999999997E-5</v>
      </c>
      <c r="K665" s="819">
        <f t="shared" si="148"/>
        <v>502</v>
      </c>
      <c r="L665" s="819">
        <f t="shared" si="149"/>
        <v>1324</v>
      </c>
      <c r="M665" s="819">
        <f t="shared" si="145"/>
        <v>502</v>
      </c>
      <c r="N665" s="819">
        <f t="shared" si="146"/>
        <v>364</v>
      </c>
      <c r="O665" s="819">
        <f t="shared" si="147"/>
        <v>352</v>
      </c>
      <c r="P665" s="819">
        <f t="shared" si="150"/>
        <v>896</v>
      </c>
      <c r="Q665" s="819">
        <f t="shared" si="151"/>
        <v>901</v>
      </c>
      <c r="R665" s="819">
        <f t="shared" si="152"/>
        <v>420</v>
      </c>
      <c r="S665" s="819">
        <f t="shared" si="153"/>
        <v>338</v>
      </c>
      <c r="T665" s="819">
        <f t="shared" si="154"/>
        <v>330</v>
      </c>
      <c r="U665" s="819">
        <f t="shared" si="155"/>
        <v>2885</v>
      </c>
      <c r="V665" s="819">
        <f t="shared" si="156"/>
        <v>783</v>
      </c>
      <c r="W665" s="379">
        <f t="shared" si="157"/>
        <v>783</v>
      </c>
      <c r="X665" s="819" t="str">
        <f t="shared" si="158"/>
        <v/>
      </c>
      <c r="Y665" s="837"/>
      <c r="Z665" s="839"/>
      <c r="AA665" s="838"/>
      <c r="AB665" s="839"/>
    </row>
    <row r="666" spans="1:28" ht="13.15">
      <c r="B666" s="819" t="s">
        <v>1731</v>
      </c>
      <c r="C666" s="819" t="s">
        <v>1732</v>
      </c>
      <c r="D666" s="379" t="s">
        <v>336</v>
      </c>
      <c r="E666" s="818" t="s">
        <v>418</v>
      </c>
      <c r="F666" s="820"/>
      <c r="G666" s="821">
        <v>0</v>
      </c>
      <c r="H666" s="822">
        <v>217242417.62154499</v>
      </c>
      <c r="I666" s="819">
        <v>2.19</v>
      </c>
      <c r="J666" s="820">
        <v>-3.4693499999999998E-4</v>
      </c>
      <c r="K666" s="819">
        <f t="shared" si="148"/>
        <v>545</v>
      </c>
      <c r="L666" s="819">
        <f t="shared" si="149"/>
        <v>1084</v>
      </c>
      <c r="M666" s="819">
        <f t="shared" si="145"/>
        <v>545</v>
      </c>
      <c r="N666" s="819">
        <f t="shared" si="146"/>
        <v>78</v>
      </c>
      <c r="O666" s="819">
        <f t="shared" si="147"/>
        <v>1196</v>
      </c>
      <c r="P666" s="819">
        <f t="shared" si="150"/>
        <v>853</v>
      </c>
      <c r="Q666" s="819">
        <f t="shared" si="151"/>
        <v>661</v>
      </c>
      <c r="R666" s="819">
        <f t="shared" si="152"/>
        <v>463</v>
      </c>
      <c r="S666" s="819">
        <f t="shared" si="153"/>
        <v>52</v>
      </c>
      <c r="T666" s="819">
        <f t="shared" si="154"/>
        <v>1174</v>
      </c>
      <c r="U666" s="819">
        <f t="shared" si="155"/>
        <v>3203</v>
      </c>
      <c r="V666" s="819">
        <f t="shared" si="156"/>
        <v>1198</v>
      </c>
      <c r="W666" s="379">
        <f t="shared" si="157"/>
        <v>1198</v>
      </c>
      <c r="X666" s="819" t="str">
        <f t="shared" si="158"/>
        <v/>
      </c>
      <c r="Y666" s="837"/>
      <c r="Z666" s="839"/>
      <c r="AA666" s="838"/>
      <c r="AB666" s="839"/>
    </row>
    <row r="667" spans="1:28" ht="14.45">
      <c r="A667" s="816"/>
      <c r="B667" s="819" t="s">
        <v>1733</v>
      </c>
      <c r="C667" s="819" t="s">
        <v>1734</v>
      </c>
      <c r="D667" s="379" t="s">
        <v>336</v>
      </c>
      <c r="E667" s="818" t="s">
        <v>337</v>
      </c>
      <c r="F667" s="820">
        <v>-0.74193234699999999</v>
      </c>
      <c r="G667" s="821">
        <v>-0.23179229000000001</v>
      </c>
      <c r="H667" s="822">
        <v>15210448.98</v>
      </c>
      <c r="I667" s="819"/>
      <c r="J667" s="820">
        <v>2.7210299999999999E-5</v>
      </c>
      <c r="K667" s="819">
        <f t="shared" si="148"/>
        <v>1159</v>
      </c>
      <c r="L667" s="819">
        <f t="shared" si="149"/>
        <v>1245</v>
      </c>
      <c r="M667" s="819">
        <f t="shared" si="145"/>
        <v>1159</v>
      </c>
      <c r="N667" s="819">
        <f t="shared" si="146"/>
        <v>364</v>
      </c>
      <c r="O667" s="819">
        <f t="shared" si="147"/>
        <v>387</v>
      </c>
      <c r="P667" s="819">
        <f t="shared" si="150"/>
        <v>239</v>
      </c>
      <c r="Q667" s="819">
        <f t="shared" si="151"/>
        <v>822</v>
      </c>
      <c r="R667" s="819">
        <f t="shared" si="152"/>
        <v>1077</v>
      </c>
      <c r="S667" s="819">
        <f t="shared" si="153"/>
        <v>338</v>
      </c>
      <c r="T667" s="819">
        <f t="shared" si="154"/>
        <v>365</v>
      </c>
      <c r="U667" s="819">
        <f t="shared" si="155"/>
        <v>2841</v>
      </c>
      <c r="V667" s="819">
        <f t="shared" si="156"/>
        <v>704</v>
      </c>
      <c r="W667" s="379">
        <f t="shared" si="157"/>
        <v>704</v>
      </c>
      <c r="X667" s="819" t="str">
        <f t="shared" si="158"/>
        <v/>
      </c>
      <c r="Y667" s="837"/>
      <c r="Z667" s="839"/>
      <c r="AA667" s="838"/>
      <c r="AB667" s="839"/>
    </row>
    <row r="668" spans="1:28" ht="13.15">
      <c r="B668" s="819" t="s">
        <v>1735</v>
      </c>
      <c r="C668" s="819" t="s">
        <v>1736</v>
      </c>
      <c r="D668" s="379" t="s">
        <v>336</v>
      </c>
      <c r="E668" s="818" t="s">
        <v>349</v>
      </c>
      <c r="F668" s="820">
        <v>-1.2802631579999999</v>
      </c>
      <c r="G668" s="821">
        <v>-56.465753419999999</v>
      </c>
      <c r="H668" s="822">
        <v>78473746.773899898</v>
      </c>
      <c r="I668" s="819"/>
      <c r="J668" s="820">
        <v>9.0750300000000008E-6</v>
      </c>
      <c r="K668" s="819">
        <f t="shared" si="148"/>
        <v>776</v>
      </c>
      <c r="L668" s="819">
        <f t="shared" si="149"/>
        <v>1510</v>
      </c>
      <c r="M668" s="819">
        <f t="shared" si="145"/>
        <v>776</v>
      </c>
      <c r="N668" s="819">
        <f t="shared" si="146"/>
        <v>364</v>
      </c>
      <c r="O668" s="819">
        <f t="shared" si="147"/>
        <v>423</v>
      </c>
      <c r="P668" s="819">
        <f t="shared" si="150"/>
        <v>622</v>
      </c>
      <c r="Q668" s="819">
        <f t="shared" si="151"/>
        <v>1087</v>
      </c>
      <c r="R668" s="819">
        <f t="shared" si="152"/>
        <v>694</v>
      </c>
      <c r="S668" s="819">
        <f t="shared" si="153"/>
        <v>338</v>
      </c>
      <c r="T668" s="819">
        <f t="shared" si="154"/>
        <v>401</v>
      </c>
      <c r="U668" s="819">
        <f t="shared" si="155"/>
        <v>3142</v>
      </c>
      <c r="V668" s="819">
        <f t="shared" si="156"/>
        <v>1112</v>
      </c>
      <c r="W668" s="379">
        <f t="shared" si="157"/>
        <v>1112</v>
      </c>
      <c r="X668" s="819" t="str">
        <f t="shared" si="158"/>
        <v/>
      </c>
      <c r="Y668" s="837"/>
      <c r="Z668" s="839"/>
      <c r="AA668" s="838"/>
      <c r="AB668" s="839"/>
    </row>
    <row r="669" spans="1:28" ht="14.45">
      <c r="A669" s="816"/>
      <c r="B669" s="819" t="s">
        <v>1737</v>
      </c>
      <c r="C669" s="819" t="s">
        <v>1738</v>
      </c>
      <c r="D669" s="379" t="s">
        <v>336</v>
      </c>
      <c r="E669" s="818" t="s">
        <v>191</v>
      </c>
      <c r="F669" s="820">
        <v>2.2061385100000002</v>
      </c>
      <c r="G669" s="821">
        <v>3.7103863439999998</v>
      </c>
      <c r="H669" s="822">
        <v>649382.24996360496</v>
      </c>
      <c r="I669" s="819"/>
      <c r="J669" s="820">
        <v>-6.6233799999999995E-4</v>
      </c>
      <c r="K669" s="819">
        <f t="shared" si="148"/>
        <v>1588</v>
      </c>
      <c r="L669" s="819">
        <f t="shared" si="149"/>
        <v>475</v>
      </c>
      <c r="M669" s="819">
        <f t="shared" si="145"/>
        <v>1588</v>
      </c>
      <c r="N669" s="819">
        <f t="shared" si="146"/>
        <v>364</v>
      </c>
      <c r="O669" s="819">
        <f t="shared" si="147"/>
        <v>1335</v>
      </c>
      <c r="P669" s="819">
        <f t="shared" si="150"/>
        <v>190</v>
      </c>
      <c r="Q669" s="819">
        <f t="shared" si="151"/>
        <v>52</v>
      </c>
      <c r="R669" s="819">
        <f t="shared" si="152"/>
        <v>1506</v>
      </c>
      <c r="S669" s="819">
        <f t="shared" si="153"/>
        <v>338</v>
      </c>
      <c r="T669" s="819">
        <f t="shared" si="154"/>
        <v>1313</v>
      </c>
      <c r="U669" s="819">
        <f t="shared" si="155"/>
        <v>3399</v>
      </c>
      <c r="V669" s="819">
        <f t="shared" si="156"/>
        <v>1462</v>
      </c>
      <c r="W669" s="379">
        <f t="shared" si="157"/>
        <v>1462</v>
      </c>
      <c r="X669" s="819" t="str">
        <f t="shared" si="158"/>
        <v/>
      </c>
      <c r="Y669" s="837"/>
      <c r="Z669" s="839"/>
      <c r="AA669" s="838"/>
      <c r="AB669" s="839"/>
    </row>
    <row r="670" spans="1:28" ht="13.15">
      <c r="B670" s="819" t="s">
        <v>1739</v>
      </c>
      <c r="C670" s="819" t="s">
        <v>1740</v>
      </c>
      <c r="D670" s="379" t="s">
        <v>336</v>
      </c>
      <c r="E670" s="818" t="s">
        <v>612</v>
      </c>
      <c r="F670" s="820"/>
      <c r="G670" s="821"/>
      <c r="H670" s="822">
        <v>5195749.8766009398</v>
      </c>
      <c r="I670" s="819"/>
      <c r="J670" s="820">
        <v>0</v>
      </c>
      <c r="K670" s="819">
        <f t="shared" si="148"/>
        <v>1360</v>
      </c>
      <c r="L670" s="819">
        <f t="shared" si="149"/>
        <v>1084</v>
      </c>
      <c r="M670" s="819">
        <f t="shared" si="145"/>
        <v>1360</v>
      </c>
      <c r="N670" s="819">
        <f t="shared" si="146"/>
        <v>364</v>
      </c>
      <c r="O670" s="819">
        <f t="shared" si="147"/>
        <v>492</v>
      </c>
      <c r="P670" s="819">
        <f t="shared" si="150"/>
        <v>38</v>
      </c>
      <c r="Q670" s="819">
        <f t="shared" si="151"/>
        <v>661</v>
      </c>
      <c r="R670" s="819">
        <f t="shared" si="152"/>
        <v>1278</v>
      </c>
      <c r="S670" s="819">
        <f t="shared" si="153"/>
        <v>338</v>
      </c>
      <c r="T670" s="819">
        <f t="shared" si="154"/>
        <v>470</v>
      </c>
      <c r="U670" s="819">
        <f t="shared" si="155"/>
        <v>2785</v>
      </c>
      <c r="V670" s="819">
        <f t="shared" si="156"/>
        <v>463</v>
      </c>
      <c r="W670" s="379">
        <f t="shared" si="157"/>
        <v>463</v>
      </c>
      <c r="X670" s="819" t="str">
        <f t="shared" si="158"/>
        <v/>
      </c>
      <c r="Y670" s="837"/>
      <c r="Z670" s="839"/>
      <c r="AA670" s="838"/>
      <c r="AB670" s="839"/>
    </row>
    <row r="671" spans="1:28" ht="14.45">
      <c r="A671" s="816"/>
      <c r="B671" s="819" t="s">
        <v>1741</v>
      </c>
      <c r="C671" s="819" t="s">
        <v>1742</v>
      </c>
      <c r="D671" s="379" t="s">
        <v>336</v>
      </c>
      <c r="E671" s="818" t="s">
        <v>425</v>
      </c>
      <c r="F671" s="820">
        <v>2.828799772</v>
      </c>
      <c r="G671" s="821">
        <v>7.5456200280000001</v>
      </c>
      <c r="H671" s="822">
        <v>110878084.429194</v>
      </c>
      <c r="I671" s="819"/>
      <c r="J671" s="820">
        <v>-5.9230600000000002E-4</v>
      </c>
      <c r="K671" s="819">
        <f t="shared" si="148"/>
        <v>695</v>
      </c>
      <c r="L671" s="819">
        <f t="shared" si="149"/>
        <v>272</v>
      </c>
      <c r="M671" s="819">
        <f t="shared" si="145"/>
        <v>695</v>
      </c>
      <c r="N671" s="819">
        <f t="shared" si="146"/>
        <v>364</v>
      </c>
      <c r="O671" s="819">
        <f t="shared" si="147"/>
        <v>1308</v>
      </c>
      <c r="P671" s="819">
        <f t="shared" si="150"/>
        <v>703</v>
      </c>
      <c r="Q671" s="819">
        <f t="shared" si="151"/>
        <v>151</v>
      </c>
      <c r="R671" s="819">
        <f t="shared" si="152"/>
        <v>613</v>
      </c>
      <c r="S671" s="819">
        <f t="shared" si="153"/>
        <v>338</v>
      </c>
      <c r="T671" s="819">
        <f t="shared" si="154"/>
        <v>1286</v>
      </c>
      <c r="U671" s="819">
        <f t="shared" si="155"/>
        <v>3091</v>
      </c>
      <c r="V671" s="819">
        <f t="shared" si="156"/>
        <v>1057</v>
      </c>
      <c r="W671" s="379">
        <f t="shared" si="157"/>
        <v>1057</v>
      </c>
      <c r="X671" s="819" t="str">
        <f t="shared" si="158"/>
        <v/>
      </c>
      <c r="Y671" s="837"/>
      <c r="Z671" s="839"/>
      <c r="AA671" s="838"/>
      <c r="AB671" s="839"/>
    </row>
    <row r="672" spans="1:28" ht="13.15">
      <c r="B672" s="819" t="s">
        <v>1743</v>
      </c>
      <c r="C672" s="819" t="s">
        <v>1744</v>
      </c>
      <c r="D672" s="379" t="s">
        <v>336</v>
      </c>
      <c r="E672" s="818" t="s">
        <v>337</v>
      </c>
      <c r="F672" s="820">
        <v>2.7203982930000001</v>
      </c>
      <c r="G672" s="821">
        <v>-1.342845973</v>
      </c>
      <c r="H672" s="822">
        <v>13086635.404534999</v>
      </c>
      <c r="I672" s="819"/>
      <c r="J672" s="820">
        <v>1.64943E-4</v>
      </c>
      <c r="K672" s="819">
        <f t="shared" si="148"/>
        <v>1200</v>
      </c>
      <c r="L672" s="819">
        <f t="shared" si="149"/>
        <v>1313</v>
      </c>
      <c r="M672" s="819">
        <f t="shared" si="145"/>
        <v>1200</v>
      </c>
      <c r="N672" s="819">
        <f t="shared" si="146"/>
        <v>364</v>
      </c>
      <c r="O672" s="819">
        <f t="shared" si="147"/>
        <v>267</v>
      </c>
      <c r="P672" s="819">
        <f t="shared" si="150"/>
        <v>198</v>
      </c>
      <c r="Q672" s="819">
        <f t="shared" si="151"/>
        <v>890</v>
      </c>
      <c r="R672" s="819">
        <f t="shared" si="152"/>
        <v>1118</v>
      </c>
      <c r="S672" s="819">
        <f t="shared" si="153"/>
        <v>338</v>
      </c>
      <c r="T672" s="819">
        <f t="shared" si="154"/>
        <v>245</v>
      </c>
      <c r="U672" s="819">
        <f t="shared" si="155"/>
        <v>2789</v>
      </c>
      <c r="V672" s="819">
        <f t="shared" si="156"/>
        <v>610</v>
      </c>
      <c r="W672" s="379">
        <f t="shared" si="157"/>
        <v>610</v>
      </c>
      <c r="X672" s="819" t="str">
        <f t="shared" si="158"/>
        <v/>
      </c>
      <c r="Y672" s="837"/>
      <c r="Z672" s="839"/>
      <c r="AA672" s="838"/>
      <c r="AB672" s="839"/>
    </row>
    <row r="673" spans="1:28" ht="14.45">
      <c r="A673" s="816"/>
      <c r="B673" s="819" t="s">
        <v>1745</v>
      </c>
      <c r="C673" s="819" t="s">
        <v>1746</v>
      </c>
      <c r="D673" s="379" t="s">
        <v>336</v>
      </c>
      <c r="E673" s="818" t="s">
        <v>441</v>
      </c>
      <c r="F673" s="820">
        <v>2.0055416560000001</v>
      </c>
      <c r="G673" s="821">
        <v>6.9346105219999998</v>
      </c>
      <c r="H673" s="822">
        <v>324221090.20714098</v>
      </c>
      <c r="I673" s="819"/>
      <c r="J673" s="820">
        <v>-1.23464E-4</v>
      </c>
      <c r="K673" s="819">
        <f t="shared" si="148"/>
        <v>455</v>
      </c>
      <c r="L673" s="819">
        <f t="shared" si="149"/>
        <v>288</v>
      </c>
      <c r="M673" s="819">
        <f t="shared" si="145"/>
        <v>455</v>
      </c>
      <c r="N673" s="819">
        <f t="shared" si="146"/>
        <v>364</v>
      </c>
      <c r="O673" s="819">
        <f t="shared" si="147"/>
        <v>1031</v>
      </c>
      <c r="P673" s="819">
        <f t="shared" si="150"/>
        <v>943</v>
      </c>
      <c r="Q673" s="819">
        <f t="shared" si="151"/>
        <v>135</v>
      </c>
      <c r="R673" s="819">
        <f t="shared" si="152"/>
        <v>373</v>
      </c>
      <c r="S673" s="819">
        <f t="shared" si="153"/>
        <v>338</v>
      </c>
      <c r="T673" s="819">
        <f t="shared" si="154"/>
        <v>1009</v>
      </c>
      <c r="U673" s="819">
        <f t="shared" si="155"/>
        <v>2798</v>
      </c>
      <c r="V673" s="819">
        <f t="shared" si="156"/>
        <v>623</v>
      </c>
      <c r="W673" s="379">
        <f t="shared" si="157"/>
        <v>623</v>
      </c>
      <c r="X673" s="819" t="str">
        <f t="shared" si="158"/>
        <v/>
      </c>
      <c r="Y673" s="837"/>
      <c r="Z673" s="839"/>
      <c r="AA673" s="838"/>
      <c r="AB673" s="839"/>
    </row>
    <row r="674" spans="1:28" ht="13.15">
      <c r="B674" s="819" t="s">
        <v>1747</v>
      </c>
      <c r="C674" s="819" t="s">
        <v>1748</v>
      </c>
      <c r="D674" s="379" t="s">
        <v>336</v>
      </c>
      <c r="E674" s="818" t="s">
        <v>600</v>
      </c>
      <c r="F674" s="820">
        <v>3.5996331000000001</v>
      </c>
      <c r="G674" s="821">
        <v>4.6162505400000002</v>
      </c>
      <c r="H674" s="822">
        <v>5737328.6692174897</v>
      </c>
      <c r="I674" s="819">
        <v>0.31</v>
      </c>
      <c r="J674" s="820">
        <v>-3.297758E-3</v>
      </c>
      <c r="K674" s="819">
        <f t="shared" si="148"/>
        <v>1348</v>
      </c>
      <c r="L674" s="819">
        <f t="shared" si="149"/>
        <v>406</v>
      </c>
      <c r="M674" s="819">
        <f t="shared" si="145"/>
        <v>1348</v>
      </c>
      <c r="N674" s="819">
        <f t="shared" si="146"/>
        <v>187</v>
      </c>
      <c r="O674" s="819">
        <f t="shared" si="147"/>
        <v>1560</v>
      </c>
      <c r="P674" s="819">
        <f t="shared" si="150"/>
        <v>50</v>
      </c>
      <c r="Q674" s="819">
        <f t="shared" si="151"/>
        <v>17</v>
      </c>
      <c r="R674" s="819">
        <f t="shared" si="152"/>
        <v>1266</v>
      </c>
      <c r="S674" s="819">
        <f t="shared" si="153"/>
        <v>161</v>
      </c>
      <c r="T674" s="819">
        <f t="shared" si="154"/>
        <v>1538</v>
      </c>
      <c r="U674" s="819">
        <f t="shared" si="155"/>
        <v>3032</v>
      </c>
      <c r="V674" s="819">
        <f t="shared" si="156"/>
        <v>967</v>
      </c>
      <c r="W674" s="379">
        <f t="shared" si="157"/>
        <v>967</v>
      </c>
      <c r="X674" s="819" t="str">
        <f t="shared" si="158"/>
        <v/>
      </c>
      <c r="Y674" s="837"/>
      <c r="Z674" s="839"/>
      <c r="AA674" s="838"/>
      <c r="AB674" s="839"/>
    </row>
    <row r="675" spans="1:28" ht="14.45">
      <c r="A675" s="816"/>
      <c r="B675" s="819" t="s">
        <v>1749</v>
      </c>
      <c r="C675" s="819" t="s">
        <v>1750</v>
      </c>
      <c r="D675" s="379" t="s">
        <v>336</v>
      </c>
      <c r="E675" s="818" t="s">
        <v>418</v>
      </c>
      <c r="F675" s="820">
        <v>1.2712127630000001</v>
      </c>
      <c r="G675" s="821">
        <v>3.5280858030000002</v>
      </c>
      <c r="H675" s="822">
        <v>82333504.240305603</v>
      </c>
      <c r="I675" s="819">
        <v>3.51</v>
      </c>
      <c r="J675" s="820">
        <v>-0.25883215300000001</v>
      </c>
      <c r="K675" s="819">
        <f t="shared" si="148"/>
        <v>765</v>
      </c>
      <c r="L675" s="819">
        <f t="shared" si="149"/>
        <v>497</v>
      </c>
      <c r="M675" s="819">
        <f t="shared" si="145"/>
        <v>765</v>
      </c>
      <c r="N675" s="819">
        <f t="shared" si="146"/>
        <v>58</v>
      </c>
      <c r="O675" s="819">
        <f t="shared" si="147"/>
        <v>1770</v>
      </c>
      <c r="P675" s="819">
        <f t="shared" si="150"/>
        <v>633</v>
      </c>
      <c r="Q675" s="819">
        <f t="shared" si="151"/>
        <v>74</v>
      </c>
      <c r="R675" s="819">
        <f t="shared" si="152"/>
        <v>683</v>
      </c>
      <c r="S675" s="819">
        <f t="shared" si="153"/>
        <v>32</v>
      </c>
      <c r="T675" s="819">
        <f t="shared" si="154"/>
        <v>1748</v>
      </c>
      <c r="U675" s="819">
        <f t="shared" si="155"/>
        <v>3170</v>
      </c>
      <c r="V675" s="819">
        <f t="shared" si="156"/>
        <v>1156</v>
      </c>
      <c r="W675" s="379">
        <f t="shared" si="157"/>
        <v>1156</v>
      </c>
      <c r="X675" s="819" t="str">
        <f t="shared" si="158"/>
        <v/>
      </c>
      <c r="Y675" s="837"/>
      <c r="Z675" s="839"/>
      <c r="AA675" s="838"/>
      <c r="AB675" s="839"/>
    </row>
    <row r="676" spans="1:28" ht="13.15">
      <c r="B676" s="819" t="s">
        <v>1751</v>
      </c>
      <c r="C676" s="819" t="s">
        <v>1752</v>
      </c>
      <c r="D676" s="379" t="s">
        <v>336</v>
      </c>
      <c r="E676" s="818" t="s">
        <v>191</v>
      </c>
      <c r="F676" s="820">
        <v>0.99833403399999998</v>
      </c>
      <c r="G676" s="821">
        <v>7.5239417519999998</v>
      </c>
      <c r="H676" s="822">
        <v>486043000.05823302</v>
      </c>
      <c r="I676" s="819"/>
      <c r="J676" s="820">
        <v>-2.8057400000000001E-4</v>
      </c>
      <c r="K676" s="819">
        <f t="shared" si="148"/>
        <v>359</v>
      </c>
      <c r="L676" s="819">
        <f t="shared" si="149"/>
        <v>273</v>
      </c>
      <c r="M676" s="819">
        <f t="shared" si="145"/>
        <v>359</v>
      </c>
      <c r="N676" s="819">
        <f t="shared" si="146"/>
        <v>364</v>
      </c>
      <c r="O676" s="819">
        <f t="shared" si="147"/>
        <v>1168</v>
      </c>
      <c r="P676" s="819">
        <f t="shared" si="150"/>
        <v>1039</v>
      </c>
      <c r="Q676" s="819">
        <f t="shared" si="151"/>
        <v>150</v>
      </c>
      <c r="R676" s="819">
        <f t="shared" si="152"/>
        <v>277</v>
      </c>
      <c r="S676" s="819">
        <f t="shared" si="153"/>
        <v>338</v>
      </c>
      <c r="T676" s="819">
        <f t="shared" si="154"/>
        <v>1146</v>
      </c>
      <c r="U676" s="819">
        <f t="shared" si="155"/>
        <v>2950</v>
      </c>
      <c r="V676" s="819">
        <f t="shared" si="156"/>
        <v>862</v>
      </c>
      <c r="W676" s="379">
        <f t="shared" si="157"/>
        <v>862</v>
      </c>
      <c r="X676" s="819" t="str">
        <f t="shared" si="158"/>
        <v/>
      </c>
      <c r="Y676" s="837"/>
      <c r="Z676" s="839"/>
      <c r="AA676" s="838"/>
      <c r="AB676" s="839"/>
    </row>
    <row r="677" spans="1:28" ht="14.45">
      <c r="A677" s="816"/>
      <c r="B677" s="819" t="s">
        <v>1753</v>
      </c>
      <c r="C677" s="819" t="s">
        <v>1754</v>
      </c>
      <c r="D677" s="379" t="s">
        <v>336</v>
      </c>
      <c r="E677" s="818" t="s">
        <v>337</v>
      </c>
      <c r="F677" s="820">
        <v>34.699472360000001</v>
      </c>
      <c r="G677" s="821">
        <v>445.1735195</v>
      </c>
      <c r="H677" s="822">
        <v>94831527948</v>
      </c>
      <c r="I677" s="819"/>
      <c r="J677" s="820">
        <v>-5.5400299999999999E-5</v>
      </c>
      <c r="K677" s="819">
        <f t="shared" si="148"/>
        <v>2</v>
      </c>
      <c r="L677" s="819">
        <f t="shared" si="149"/>
        <v>2</v>
      </c>
      <c r="M677" s="819">
        <f t="shared" si="145"/>
        <v>2</v>
      </c>
      <c r="N677" s="819">
        <f t="shared" si="146"/>
        <v>364</v>
      </c>
      <c r="O677" s="819">
        <f t="shared" si="147"/>
        <v>930</v>
      </c>
      <c r="P677" s="819">
        <f t="shared" si="150"/>
        <v>1396</v>
      </c>
      <c r="Q677" s="819">
        <f t="shared" si="151"/>
        <v>421</v>
      </c>
      <c r="R677" s="819">
        <f t="shared" si="152"/>
        <v>80</v>
      </c>
      <c r="S677" s="819">
        <f t="shared" si="153"/>
        <v>338</v>
      </c>
      <c r="T677" s="819">
        <f t="shared" si="154"/>
        <v>908</v>
      </c>
      <c r="U677" s="819">
        <f t="shared" si="155"/>
        <v>3143</v>
      </c>
      <c r="V677" s="819">
        <f t="shared" si="156"/>
        <v>1114</v>
      </c>
      <c r="W677" s="379">
        <f t="shared" si="157"/>
        <v>1114</v>
      </c>
      <c r="X677" s="819" t="str">
        <f t="shared" si="158"/>
        <v/>
      </c>
      <c r="Y677" s="837"/>
      <c r="Z677" s="839"/>
      <c r="AA677" s="838"/>
      <c r="AB677" s="839"/>
    </row>
    <row r="678" spans="1:28" ht="13.15">
      <c r="B678" s="819" t="s">
        <v>1755</v>
      </c>
      <c r="C678" s="819" t="s">
        <v>1756</v>
      </c>
      <c r="D678" s="379" t="s">
        <v>336</v>
      </c>
      <c r="E678" s="818" t="s">
        <v>441</v>
      </c>
      <c r="F678" s="820">
        <v>4.789434559</v>
      </c>
      <c r="G678" s="821">
        <v>-3.2472413929999999</v>
      </c>
      <c r="H678" s="822">
        <v>62236916.418482803</v>
      </c>
      <c r="I678" s="819">
        <v>1.07</v>
      </c>
      <c r="J678" s="820">
        <v>1.534992E-3</v>
      </c>
      <c r="K678" s="819">
        <f t="shared" si="148"/>
        <v>832</v>
      </c>
      <c r="L678" s="819">
        <f t="shared" si="149"/>
        <v>1377</v>
      </c>
      <c r="M678" s="819">
        <f t="shared" si="145"/>
        <v>832</v>
      </c>
      <c r="N678" s="819">
        <f t="shared" si="146"/>
        <v>128</v>
      </c>
      <c r="O678" s="819">
        <f t="shared" si="147"/>
        <v>170</v>
      </c>
      <c r="P678" s="819">
        <f t="shared" si="150"/>
        <v>566</v>
      </c>
      <c r="Q678" s="819">
        <f t="shared" si="151"/>
        <v>954</v>
      </c>
      <c r="R678" s="819">
        <f t="shared" si="152"/>
        <v>750</v>
      </c>
      <c r="S678" s="819">
        <f t="shared" si="153"/>
        <v>102</v>
      </c>
      <c r="T678" s="819">
        <f t="shared" si="154"/>
        <v>148</v>
      </c>
      <c r="U678" s="819">
        <f t="shared" si="155"/>
        <v>2520</v>
      </c>
      <c r="V678" s="819">
        <f t="shared" si="156"/>
        <v>256</v>
      </c>
      <c r="W678" s="379">
        <f t="shared" si="157"/>
        <v>256</v>
      </c>
      <c r="X678" s="819" t="str">
        <f t="shared" si="158"/>
        <v/>
      </c>
      <c r="Y678" s="837"/>
      <c r="Z678" s="839"/>
      <c r="AA678" s="838"/>
      <c r="AB678" s="839"/>
    </row>
    <row r="679" spans="1:28" ht="14.45">
      <c r="A679" s="816"/>
      <c r="B679" s="819" t="s">
        <v>1757</v>
      </c>
      <c r="C679" s="819" t="s">
        <v>1758</v>
      </c>
      <c r="D679" s="379" t="s">
        <v>336</v>
      </c>
      <c r="E679" s="818" t="s">
        <v>441</v>
      </c>
      <c r="F679" s="820">
        <v>1.2203037969999999</v>
      </c>
      <c r="G679" s="821">
        <v>7.3553272000000003E-2</v>
      </c>
      <c r="H679" s="822">
        <v>396898848.84261203</v>
      </c>
      <c r="I679" s="819"/>
      <c r="J679" s="820">
        <v>-5.9791399999999995E-4</v>
      </c>
      <c r="K679" s="819">
        <f t="shared" si="148"/>
        <v>412</v>
      </c>
      <c r="L679" s="819">
        <f t="shared" si="149"/>
        <v>1028</v>
      </c>
      <c r="M679" s="819">
        <f t="shared" si="145"/>
        <v>412</v>
      </c>
      <c r="N679" s="819">
        <f t="shared" si="146"/>
        <v>364</v>
      </c>
      <c r="O679" s="819">
        <f t="shared" si="147"/>
        <v>1311</v>
      </c>
      <c r="P679" s="819">
        <f t="shared" si="150"/>
        <v>986</v>
      </c>
      <c r="Q679" s="819">
        <f t="shared" si="151"/>
        <v>605</v>
      </c>
      <c r="R679" s="819">
        <f t="shared" si="152"/>
        <v>330</v>
      </c>
      <c r="S679" s="819">
        <f t="shared" si="153"/>
        <v>338</v>
      </c>
      <c r="T679" s="819">
        <f t="shared" si="154"/>
        <v>1289</v>
      </c>
      <c r="U679" s="819">
        <f t="shared" si="155"/>
        <v>3548</v>
      </c>
      <c r="V679" s="819">
        <f t="shared" si="156"/>
        <v>1593</v>
      </c>
      <c r="W679" s="379">
        <f t="shared" si="157"/>
        <v>1593</v>
      </c>
      <c r="X679" s="819" t="str">
        <f t="shared" si="158"/>
        <v/>
      </c>
      <c r="Y679" s="837"/>
      <c r="Z679" s="839"/>
      <c r="AA679" s="838"/>
      <c r="AB679" s="839"/>
    </row>
    <row r="680" spans="1:28" ht="13.15">
      <c r="B680" s="819" t="s">
        <v>1759</v>
      </c>
      <c r="C680" s="819" t="s">
        <v>1760</v>
      </c>
      <c r="D680" s="379" t="s">
        <v>336</v>
      </c>
      <c r="E680" s="818" t="s">
        <v>341</v>
      </c>
      <c r="F680" s="820">
        <v>2.2525182140000002</v>
      </c>
      <c r="G680" s="821">
        <v>3.7630767540000001</v>
      </c>
      <c r="H680" s="822">
        <v>337307000.61336201</v>
      </c>
      <c r="I680" s="819"/>
      <c r="J680" s="820">
        <v>-4.3524600000000003E-4</v>
      </c>
      <c r="K680" s="819">
        <f t="shared" si="148"/>
        <v>446</v>
      </c>
      <c r="L680" s="819">
        <f t="shared" si="149"/>
        <v>470</v>
      </c>
      <c r="M680" s="819">
        <f t="shared" si="145"/>
        <v>446</v>
      </c>
      <c r="N680" s="819">
        <f t="shared" si="146"/>
        <v>364</v>
      </c>
      <c r="O680" s="819">
        <f t="shared" si="147"/>
        <v>1245</v>
      </c>
      <c r="P680" s="819">
        <f t="shared" si="150"/>
        <v>952</v>
      </c>
      <c r="Q680" s="819">
        <f t="shared" si="151"/>
        <v>47</v>
      </c>
      <c r="R680" s="819">
        <f t="shared" si="152"/>
        <v>364</v>
      </c>
      <c r="S680" s="819">
        <f t="shared" si="153"/>
        <v>338</v>
      </c>
      <c r="T680" s="819">
        <f t="shared" si="154"/>
        <v>1223</v>
      </c>
      <c r="U680" s="819">
        <f t="shared" si="155"/>
        <v>2924</v>
      </c>
      <c r="V680" s="819">
        <f t="shared" si="156"/>
        <v>838</v>
      </c>
      <c r="W680" s="379">
        <f t="shared" si="157"/>
        <v>838</v>
      </c>
      <c r="X680" s="819" t="str">
        <f t="shared" si="158"/>
        <v/>
      </c>
      <c r="Y680" s="837"/>
      <c r="Z680" s="839"/>
      <c r="AA680" s="838"/>
      <c r="AB680" s="839"/>
    </row>
    <row r="681" spans="1:28" ht="14.45">
      <c r="A681" s="816"/>
      <c r="B681" s="819" t="s">
        <v>1761</v>
      </c>
      <c r="C681" s="819" t="s">
        <v>1762</v>
      </c>
      <c r="D681" s="379" t="s">
        <v>336</v>
      </c>
      <c r="E681" s="818" t="s">
        <v>418</v>
      </c>
      <c r="F681" s="820">
        <v>-4.6364117000000003E-2</v>
      </c>
      <c r="G681" s="821">
        <v>-0.82955018300000005</v>
      </c>
      <c r="H681" s="822">
        <v>119826908.137502</v>
      </c>
      <c r="I681" s="819"/>
      <c r="J681" s="820">
        <v>5.9198199999999998E-5</v>
      </c>
      <c r="K681" s="819">
        <f t="shared" si="148"/>
        <v>672</v>
      </c>
      <c r="L681" s="819">
        <f t="shared" si="149"/>
        <v>1284</v>
      </c>
      <c r="M681" s="819">
        <f t="shared" si="145"/>
        <v>672</v>
      </c>
      <c r="N681" s="819">
        <f t="shared" si="146"/>
        <v>364</v>
      </c>
      <c r="O681" s="819">
        <f t="shared" si="147"/>
        <v>335</v>
      </c>
      <c r="P681" s="819">
        <f t="shared" si="150"/>
        <v>726</v>
      </c>
      <c r="Q681" s="819">
        <f t="shared" si="151"/>
        <v>861</v>
      </c>
      <c r="R681" s="819">
        <f t="shared" si="152"/>
        <v>590</v>
      </c>
      <c r="S681" s="819">
        <f t="shared" si="153"/>
        <v>338</v>
      </c>
      <c r="T681" s="819">
        <f t="shared" si="154"/>
        <v>313</v>
      </c>
      <c r="U681" s="819">
        <f t="shared" si="155"/>
        <v>2828</v>
      </c>
      <c r="V681" s="819">
        <f t="shared" si="156"/>
        <v>678</v>
      </c>
      <c r="W681" s="379">
        <f t="shared" si="157"/>
        <v>678</v>
      </c>
      <c r="X681" s="819" t="str">
        <f t="shared" si="158"/>
        <v/>
      </c>
      <c r="Y681" s="837"/>
      <c r="Z681" s="839"/>
      <c r="AA681" s="838"/>
      <c r="AB681" s="839"/>
    </row>
    <row r="682" spans="1:28" ht="13.15">
      <c r="B682" s="819" t="s">
        <v>1763</v>
      </c>
      <c r="C682" s="819" t="s">
        <v>1764</v>
      </c>
      <c r="D682" s="379" t="s">
        <v>336</v>
      </c>
      <c r="E682" s="818" t="s">
        <v>378</v>
      </c>
      <c r="F682" s="820">
        <v>1.766900541</v>
      </c>
      <c r="G682" s="821">
        <v>0</v>
      </c>
      <c r="H682" s="822">
        <v>67664641.202145204</v>
      </c>
      <c r="I682" s="819"/>
      <c r="J682" s="820">
        <v>-4.2670219999999997E-3</v>
      </c>
      <c r="K682" s="819">
        <f t="shared" si="148"/>
        <v>810</v>
      </c>
      <c r="L682" s="819">
        <f t="shared" si="149"/>
        <v>1084</v>
      </c>
      <c r="M682" s="819">
        <f t="shared" si="145"/>
        <v>810</v>
      </c>
      <c r="N682" s="819">
        <f t="shared" si="146"/>
        <v>364</v>
      </c>
      <c r="O682" s="819">
        <f t="shared" si="147"/>
        <v>1590</v>
      </c>
      <c r="P682" s="819">
        <f t="shared" si="150"/>
        <v>588</v>
      </c>
      <c r="Q682" s="819">
        <f t="shared" si="151"/>
        <v>661</v>
      </c>
      <c r="R682" s="819">
        <f t="shared" si="152"/>
        <v>728</v>
      </c>
      <c r="S682" s="819">
        <f t="shared" si="153"/>
        <v>338</v>
      </c>
      <c r="T682" s="819">
        <f t="shared" si="154"/>
        <v>1568</v>
      </c>
      <c r="U682" s="819">
        <f t="shared" si="155"/>
        <v>3883</v>
      </c>
      <c r="V682" s="819">
        <f t="shared" si="156"/>
        <v>1734</v>
      </c>
      <c r="W682" s="379">
        <f t="shared" si="157"/>
        <v>1734</v>
      </c>
      <c r="X682" s="819" t="str">
        <f t="shared" si="158"/>
        <v/>
      </c>
      <c r="Y682" s="837"/>
      <c r="Z682" s="839"/>
      <c r="AA682" s="838"/>
      <c r="AB682" s="839"/>
    </row>
    <row r="683" spans="1:28" ht="14.45">
      <c r="A683" s="816"/>
      <c r="B683" s="819" t="s">
        <v>1765</v>
      </c>
      <c r="C683" s="819" t="s">
        <v>1766</v>
      </c>
      <c r="D683" s="379" t="s">
        <v>336</v>
      </c>
      <c r="E683" s="818" t="s">
        <v>337</v>
      </c>
      <c r="F683" s="820">
        <v>5.4581589279999996</v>
      </c>
      <c r="G683" s="821">
        <v>-6.4632241649999997</v>
      </c>
      <c r="H683" s="822">
        <v>6928398.5819499996</v>
      </c>
      <c r="I683" s="819"/>
      <c r="J683" s="820">
        <v>3.4868900000000001E-4</v>
      </c>
      <c r="K683" s="819">
        <f t="shared" si="148"/>
        <v>1323</v>
      </c>
      <c r="L683" s="819">
        <f t="shared" si="149"/>
        <v>1425</v>
      </c>
      <c r="M683" s="819">
        <f t="shared" si="145"/>
        <v>1323</v>
      </c>
      <c r="N683" s="819">
        <f t="shared" si="146"/>
        <v>364</v>
      </c>
      <c r="O683" s="819">
        <f t="shared" si="147"/>
        <v>221</v>
      </c>
      <c r="P683" s="819">
        <f t="shared" si="150"/>
        <v>75</v>
      </c>
      <c r="Q683" s="819">
        <f t="shared" si="151"/>
        <v>1002</v>
      </c>
      <c r="R683" s="819">
        <f t="shared" si="152"/>
        <v>1241</v>
      </c>
      <c r="S683" s="819">
        <f t="shared" si="153"/>
        <v>338</v>
      </c>
      <c r="T683" s="819">
        <f t="shared" si="154"/>
        <v>199</v>
      </c>
      <c r="U683" s="819">
        <f t="shared" si="155"/>
        <v>2855</v>
      </c>
      <c r="V683" s="819">
        <f t="shared" si="156"/>
        <v>729</v>
      </c>
      <c r="W683" s="379">
        <f t="shared" si="157"/>
        <v>729</v>
      </c>
      <c r="X683" s="819" t="str">
        <f t="shared" si="158"/>
        <v/>
      </c>
      <c r="Y683" s="837"/>
      <c r="Z683" s="839"/>
      <c r="AA683" s="838"/>
      <c r="AB683" s="839"/>
    </row>
    <row r="684" spans="1:28" ht="13.15">
      <c r="B684" s="819" t="s">
        <v>1767</v>
      </c>
      <c r="C684" s="819" t="s">
        <v>1768</v>
      </c>
      <c r="D684" s="379" t="s">
        <v>336</v>
      </c>
      <c r="E684" s="818" t="s">
        <v>545</v>
      </c>
      <c r="F684" s="820">
        <v>1.6544490860000001</v>
      </c>
      <c r="G684" s="821">
        <v>0.70541249100000003</v>
      </c>
      <c r="H684" s="822">
        <v>170008070.90685299</v>
      </c>
      <c r="I684" s="819"/>
      <c r="J684" s="820">
        <v>-2.6012499999999999E-4</v>
      </c>
      <c r="K684" s="819">
        <f t="shared" si="148"/>
        <v>608</v>
      </c>
      <c r="L684" s="819">
        <f t="shared" si="149"/>
        <v>873</v>
      </c>
      <c r="M684" s="819">
        <f t="shared" si="145"/>
        <v>608</v>
      </c>
      <c r="N684" s="819">
        <f t="shared" si="146"/>
        <v>364</v>
      </c>
      <c r="O684" s="819">
        <f t="shared" si="147"/>
        <v>1153</v>
      </c>
      <c r="P684" s="819">
        <f t="shared" si="150"/>
        <v>790</v>
      </c>
      <c r="Q684" s="819">
        <f t="shared" si="151"/>
        <v>450</v>
      </c>
      <c r="R684" s="819">
        <f t="shared" si="152"/>
        <v>526</v>
      </c>
      <c r="S684" s="819">
        <f t="shared" si="153"/>
        <v>338</v>
      </c>
      <c r="T684" s="819">
        <f t="shared" si="154"/>
        <v>1131</v>
      </c>
      <c r="U684" s="819">
        <f t="shared" si="155"/>
        <v>3235</v>
      </c>
      <c r="V684" s="819">
        <f t="shared" si="156"/>
        <v>1250</v>
      </c>
      <c r="W684" s="379">
        <f t="shared" si="157"/>
        <v>1250</v>
      </c>
      <c r="X684" s="819" t="str">
        <f t="shared" si="158"/>
        <v/>
      </c>
      <c r="Y684" s="837"/>
      <c r="Z684" s="839"/>
      <c r="AA684" s="838"/>
      <c r="AB684" s="839"/>
    </row>
    <row r="685" spans="1:28" ht="14.45">
      <c r="A685" s="816"/>
      <c r="B685" s="819" t="s">
        <v>1769</v>
      </c>
      <c r="C685" s="819" t="s">
        <v>1770</v>
      </c>
      <c r="D685" s="379" t="s">
        <v>336</v>
      </c>
      <c r="E685" s="818" t="s">
        <v>418</v>
      </c>
      <c r="F685" s="820">
        <v>1.3108180789999999</v>
      </c>
      <c r="G685" s="821">
        <v>-4.345771E-3</v>
      </c>
      <c r="H685" s="822">
        <v>55817575.451544002</v>
      </c>
      <c r="I685" s="819"/>
      <c r="J685" s="820">
        <v>2.8194500000000003E-4</v>
      </c>
      <c r="K685" s="819">
        <f t="shared" si="148"/>
        <v>851</v>
      </c>
      <c r="L685" s="819">
        <f t="shared" si="149"/>
        <v>1194</v>
      </c>
      <c r="M685" s="819">
        <f t="shared" si="145"/>
        <v>851</v>
      </c>
      <c r="N685" s="819">
        <f t="shared" si="146"/>
        <v>364</v>
      </c>
      <c r="O685" s="819">
        <f t="shared" si="147"/>
        <v>236</v>
      </c>
      <c r="P685" s="819">
        <f t="shared" si="150"/>
        <v>547</v>
      </c>
      <c r="Q685" s="819">
        <f t="shared" si="151"/>
        <v>771</v>
      </c>
      <c r="R685" s="819">
        <f t="shared" si="152"/>
        <v>769</v>
      </c>
      <c r="S685" s="819">
        <f t="shared" si="153"/>
        <v>338</v>
      </c>
      <c r="T685" s="819">
        <f t="shared" si="154"/>
        <v>214</v>
      </c>
      <c r="U685" s="819">
        <f t="shared" si="155"/>
        <v>2639</v>
      </c>
      <c r="V685" s="819">
        <f t="shared" si="156"/>
        <v>312</v>
      </c>
      <c r="W685" s="379">
        <f t="shared" si="157"/>
        <v>312</v>
      </c>
      <c r="X685" s="819" t="str">
        <f t="shared" si="158"/>
        <v/>
      </c>
      <c r="Y685" s="837"/>
      <c r="Z685" s="839"/>
      <c r="AA685" s="838"/>
      <c r="AB685" s="839"/>
    </row>
    <row r="686" spans="1:28" ht="13.15">
      <c r="B686" s="819" t="s">
        <v>1771</v>
      </c>
      <c r="C686" s="819" t="s">
        <v>1772</v>
      </c>
      <c r="D686" s="379" t="s">
        <v>336</v>
      </c>
      <c r="E686" s="818" t="s">
        <v>685</v>
      </c>
      <c r="F686" s="820">
        <v>1.169857903</v>
      </c>
      <c r="G686" s="821">
        <v>28.669322709999999</v>
      </c>
      <c r="H686" s="822">
        <v>43744522.5200404</v>
      </c>
      <c r="I686" s="819">
        <v>9.6</v>
      </c>
      <c r="J686" s="820">
        <v>-6.9296790000000002E-3</v>
      </c>
      <c r="K686" s="819">
        <f t="shared" si="148"/>
        <v>907</v>
      </c>
      <c r="L686" s="819">
        <f t="shared" si="149"/>
        <v>63</v>
      </c>
      <c r="M686" s="819">
        <f t="shared" si="145"/>
        <v>907</v>
      </c>
      <c r="N686" s="819">
        <f t="shared" si="146"/>
        <v>33</v>
      </c>
      <c r="O686" s="819">
        <f t="shared" si="147"/>
        <v>1626</v>
      </c>
      <c r="P686" s="819">
        <f t="shared" si="150"/>
        <v>491</v>
      </c>
      <c r="Q686" s="819">
        <f t="shared" si="151"/>
        <v>360</v>
      </c>
      <c r="R686" s="819">
        <f t="shared" si="152"/>
        <v>825</v>
      </c>
      <c r="S686" s="819">
        <f t="shared" si="153"/>
        <v>7</v>
      </c>
      <c r="T686" s="819">
        <f t="shared" si="154"/>
        <v>1604</v>
      </c>
      <c r="U686" s="819">
        <f t="shared" si="155"/>
        <v>3287</v>
      </c>
      <c r="V686" s="819">
        <f t="shared" si="156"/>
        <v>1320</v>
      </c>
      <c r="W686" s="379">
        <f t="shared" si="157"/>
        <v>1320</v>
      </c>
      <c r="X686" s="819" t="str">
        <f t="shared" si="158"/>
        <v/>
      </c>
      <c r="Y686" s="837"/>
      <c r="Z686" s="839"/>
      <c r="AA686" s="838"/>
      <c r="AB686" s="839"/>
    </row>
    <row r="687" spans="1:28" ht="14.45">
      <c r="A687" s="816"/>
      <c r="B687" s="819" t="s">
        <v>1773</v>
      </c>
      <c r="C687" s="819" t="s">
        <v>1774</v>
      </c>
      <c r="D687" s="379" t="s">
        <v>336</v>
      </c>
      <c r="E687" s="818" t="s">
        <v>191</v>
      </c>
      <c r="F687" s="820">
        <v>1.245205932</v>
      </c>
      <c r="G687" s="821">
        <v>-2.697227764</v>
      </c>
      <c r="H687" s="822">
        <v>8924506.1872179396</v>
      </c>
      <c r="I687" s="819"/>
      <c r="J687" s="820">
        <v>1.4914999999999999E-4</v>
      </c>
      <c r="K687" s="819">
        <f t="shared" si="148"/>
        <v>1271</v>
      </c>
      <c r="L687" s="819">
        <f t="shared" si="149"/>
        <v>1365</v>
      </c>
      <c r="M687" s="819">
        <f t="shared" si="145"/>
        <v>1271</v>
      </c>
      <c r="N687" s="819">
        <f t="shared" si="146"/>
        <v>364</v>
      </c>
      <c r="O687" s="819">
        <f t="shared" si="147"/>
        <v>273</v>
      </c>
      <c r="P687" s="819">
        <f t="shared" si="150"/>
        <v>127</v>
      </c>
      <c r="Q687" s="819">
        <f t="shared" si="151"/>
        <v>942</v>
      </c>
      <c r="R687" s="819">
        <f t="shared" si="152"/>
        <v>1189</v>
      </c>
      <c r="S687" s="819">
        <f t="shared" si="153"/>
        <v>338</v>
      </c>
      <c r="T687" s="819">
        <f t="shared" si="154"/>
        <v>251</v>
      </c>
      <c r="U687" s="819">
        <f t="shared" si="155"/>
        <v>2847</v>
      </c>
      <c r="V687" s="819">
        <f t="shared" si="156"/>
        <v>713</v>
      </c>
      <c r="W687" s="379">
        <f t="shared" si="157"/>
        <v>713</v>
      </c>
      <c r="X687" s="819" t="str">
        <f t="shared" si="158"/>
        <v/>
      </c>
      <c r="Y687" s="837"/>
      <c r="Z687" s="839"/>
      <c r="AA687" s="838"/>
      <c r="AB687" s="839"/>
    </row>
    <row r="688" spans="1:28" ht="13.15">
      <c r="B688" s="819" t="s">
        <v>1775</v>
      </c>
      <c r="C688" s="819" t="s">
        <v>1776</v>
      </c>
      <c r="D688" s="379" t="s">
        <v>336</v>
      </c>
      <c r="E688" s="818" t="s">
        <v>337</v>
      </c>
      <c r="F688" s="820">
        <v>-1.209424107</v>
      </c>
      <c r="G688" s="821">
        <v>-7.0130266849999998</v>
      </c>
      <c r="H688" s="822">
        <v>11981910817.5</v>
      </c>
      <c r="I688" s="819"/>
      <c r="J688" s="820">
        <v>9.3431500000000002E-5</v>
      </c>
      <c r="K688" s="819">
        <f t="shared" si="148"/>
        <v>32</v>
      </c>
      <c r="L688" s="819">
        <f t="shared" si="149"/>
        <v>1429</v>
      </c>
      <c r="M688" s="819">
        <f t="shared" si="145"/>
        <v>32</v>
      </c>
      <c r="N688" s="819">
        <f t="shared" si="146"/>
        <v>364</v>
      </c>
      <c r="O688" s="819">
        <f t="shared" si="147"/>
        <v>303</v>
      </c>
      <c r="P688" s="819">
        <f t="shared" si="150"/>
        <v>1366</v>
      </c>
      <c r="Q688" s="819">
        <f t="shared" si="151"/>
        <v>1006</v>
      </c>
      <c r="R688" s="819">
        <f t="shared" si="152"/>
        <v>50</v>
      </c>
      <c r="S688" s="819">
        <f t="shared" si="153"/>
        <v>338</v>
      </c>
      <c r="T688" s="819">
        <f t="shared" si="154"/>
        <v>281</v>
      </c>
      <c r="U688" s="819">
        <f t="shared" si="155"/>
        <v>3041</v>
      </c>
      <c r="V688" s="819">
        <f t="shared" si="156"/>
        <v>985</v>
      </c>
      <c r="W688" s="379">
        <f t="shared" si="157"/>
        <v>985</v>
      </c>
      <c r="X688" s="819" t="str">
        <f t="shared" si="158"/>
        <v/>
      </c>
      <c r="Y688" s="837"/>
      <c r="Z688" s="839"/>
      <c r="AA688" s="838"/>
      <c r="AB688" s="839"/>
    </row>
    <row r="689" spans="1:28" ht="14.45">
      <c r="A689" s="816"/>
      <c r="B689" s="819" t="s">
        <v>1777</v>
      </c>
      <c r="C689" s="819" t="s">
        <v>1778</v>
      </c>
      <c r="D689" s="379" t="s">
        <v>336</v>
      </c>
      <c r="E689" s="818" t="s">
        <v>441</v>
      </c>
      <c r="F689" s="820">
        <v>5.4416295080000001</v>
      </c>
      <c r="G689" s="821">
        <v>2.3111844349999999</v>
      </c>
      <c r="H689" s="822">
        <v>5944.5951999999997</v>
      </c>
      <c r="I689" s="819">
        <v>0.44</v>
      </c>
      <c r="J689" s="820">
        <v>-4.8850599999999999E-4</v>
      </c>
      <c r="K689" s="819">
        <f t="shared" si="148"/>
        <v>1671</v>
      </c>
      <c r="L689" s="819">
        <f t="shared" si="149"/>
        <v>625</v>
      </c>
      <c r="M689" s="819">
        <f t="shared" si="145"/>
        <v>1671</v>
      </c>
      <c r="N689" s="819">
        <f t="shared" si="146"/>
        <v>171</v>
      </c>
      <c r="O689" s="819">
        <f t="shared" si="147"/>
        <v>1264</v>
      </c>
      <c r="P689" s="819">
        <f t="shared" si="150"/>
        <v>273</v>
      </c>
      <c r="Q689" s="819">
        <f t="shared" si="151"/>
        <v>202</v>
      </c>
      <c r="R689" s="819">
        <f t="shared" si="152"/>
        <v>1589</v>
      </c>
      <c r="S689" s="819">
        <f t="shared" si="153"/>
        <v>145</v>
      </c>
      <c r="T689" s="819">
        <f t="shared" si="154"/>
        <v>1242</v>
      </c>
      <c r="U689" s="819">
        <f t="shared" si="155"/>
        <v>3451</v>
      </c>
      <c r="V689" s="819">
        <f t="shared" si="156"/>
        <v>1507</v>
      </c>
      <c r="W689" s="379">
        <f t="shared" si="157"/>
        <v>1507</v>
      </c>
      <c r="X689" s="819" t="str">
        <f t="shared" si="158"/>
        <v/>
      </c>
      <c r="Y689" s="837"/>
      <c r="Z689" s="839"/>
      <c r="AA689" s="838"/>
      <c r="AB689" s="839"/>
    </row>
    <row r="690" spans="1:28" ht="13.15">
      <c r="B690" s="819" t="s">
        <v>1779</v>
      </c>
      <c r="C690" s="819" t="s">
        <v>1780</v>
      </c>
      <c r="D690" s="379" t="s">
        <v>336</v>
      </c>
      <c r="E690" s="818" t="s">
        <v>745</v>
      </c>
      <c r="F690" s="820">
        <v>0.12576194700000001</v>
      </c>
      <c r="G690" s="821">
        <v>-4.2666748630000004</v>
      </c>
      <c r="H690" s="822"/>
      <c r="I690" s="819"/>
      <c r="J690" s="820">
        <v>7.1069999999999995E-5</v>
      </c>
      <c r="K690" s="819" t="str">
        <f t="shared" si="148"/>
        <v>N/A</v>
      </c>
      <c r="L690" s="819">
        <f t="shared" si="149"/>
        <v>1395</v>
      </c>
      <c r="M690" s="819" t="str">
        <f t="shared" si="145"/>
        <v>N/A</v>
      </c>
      <c r="N690" s="819">
        <f t="shared" si="146"/>
        <v>364</v>
      </c>
      <c r="O690" s="819">
        <f t="shared" si="147"/>
        <v>316</v>
      </c>
      <c r="P690" s="819" t="str">
        <f t="shared" si="150"/>
        <v>N/A</v>
      </c>
      <c r="Q690" s="819">
        <f t="shared" si="151"/>
        <v>972</v>
      </c>
      <c r="R690" s="819" t="str">
        <f t="shared" si="152"/>
        <v>N/A</v>
      </c>
      <c r="S690" s="819">
        <f t="shared" si="153"/>
        <v>338</v>
      </c>
      <c r="T690" s="819">
        <f t="shared" si="154"/>
        <v>294</v>
      </c>
      <c r="U690" s="819">
        <f t="shared" si="155"/>
        <v>1604</v>
      </c>
      <c r="V690" s="819">
        <f t="shared" si="156"/>
        <v>70</v>
      </c>
      <c r="W690" s="379">
        <f t="shared" si="157"/>
        <v>70</v>
      </c>
      <c r="X690" s="819" t="str">
        <f t="shared" si="158"/>
        <v/>
      </c>
      <c r="Y690" s="837"/>
      <c r="Z690" s="839"/>
      <c r="AA690" s="838"/>
      <c r="AB690" s="839"/>
    </row>
    <row r="691" spans="1:28" ht="14.45">
      <c r="A691" s="816"/>
      <c r="B691" s="819" t="s">
        <v>1781</v>
      </c>
      <c r="C691" s="819" t="s">
        <v>1782</v>
      </c>
      <c r="D691" s="379" t="s">
        <v>336</v>
      </c>
      <c r="E691" s="818" t="s">
        <v>189</v>
      </c>
      <c r="F691" s="820">
        <v>-3.0398479109999998</v>
      </c>
      <c r="G691" s="821">
        <v>-1.020082076</v>
      </c>
      <c r="H691" s="822">
        <v>100767823.146293</v>
      </c>
      <c r="I691" s="819"/>
      <c r="J691" s="820">
        <v>5.3795200000000003E-5</v>
      </c>
      <c r="K691" s="819">
        <f t="shared" si="148"/>
        <v>723</v>
      </c>
      <c r="L691" s="819">
        <f t="shared" si="149"/>
        <v>1293</v>
      </c>
      <c r="M691" s="819">
        <f t="shared" si="145"/>
        <v>723</v>
      </c>
      <c r="N691" s="819">
        <f t="shared" si="146"/>
        <v>364</v>
      </c>
      <c r="O691" s="819">
        <f t="shared" si="147"/>
        <v>342</v>
      </c>
      <c r="P691" s="819">
        <f t="shared" si="150"/>
        <v>675</v>
      </c>
      <c r="Q691" s="819">
        <f t="shared" si="151"/>
        <v>870</v>
      </c>
      <c r="R691" s="819">
        <f t="shared" si="152"/>
        <v>641</v>
      </c>
      <c r="S691" s="819">
        <f t="shared" si="153"/>
        <v>338</v>
      </c>
      <c r="T691" s="819">
        <f t="shared" si="154"/>
        <v>320</v>
      </c>
      <c r="U691" s="819">
        <f t="shared" si="155"/>
        <v>2844</v>
      </c>
      <c r="V691" s="819">
        <f t="shared" si="156"/>
        <v>710</v>
      </c>
      <c r="W691" s="379">
        <f t="shared" si="157"/>
        <v>710</v>
      </c>
      <c r="X691" s="819" t="str">
        <f t="shared" si="158"/>
        <v/>
      </c>
      <c r="Y691" s="837"/>
      <c r="Z691" s="839"/>
      <c r="AA691" s="838"/>
      <c r="AB691" s="839"/>
    </row>
    <row r="692" spans="1:28" ht="13.15">
      <c r="B692" s="819" t="s">
        <v>1783</v>
      </c>
      <c r="C692" s="819" t="s">
        <v>1784</v>
      </c>
      <c r="D692" s="379" t="s">
        <v>336</v>
      </c>
      <c r="E692" s="818" t="s">
        <v>460</v>
      </c>
      <c r="F692" s="820">
        <v>1.002445875</v>
      </c>
      <c r="G692" s="821">
        <v>0</v>
      </c>
      <c r="H692" s="822">
        <v>3392715.8866183301</v>
      </c>
      <c r="I692" s="819"/>
      <c r="J692" s="820">
        <v>3.73226E-6</v>
      </c>
      <c r="K692" s="819">
        <f t="shared" si="148"/>
        <v>1434</v>
      </c>
      <c r="L692" s="819">
        <f t="shared" si="149"/>
        <v>1084</v>
      </c>
      <c r="M692" s="819">
        <f t="shared" si="145"/>
        <v>1434</v>
      </c>
      <c r="N692" s="819">
        <f t="shared" si="146"/>
        <v>364</v>
      </c>
      <c r="O692" s="819">
        <f t="shared" si="147"/>
        <v>453</v>
      </c>
      <c r="P692" s="819">
        <f t="shared" si="150"/>
        <v>36</v>
      </c>
      <c r="Q692" s="819">
        <f t="shared" si="151"/>
        <v>661</v>
      </c>
      <c r="R692" s="819">
        <f t="shared" si="152"/>
        <v>1352</v>
      </c>
      <c r="S692" s="819">
        <f t="shared" si="153"/>
        <v>338</v>
      </c>
      <c r="T692" s="819">
        <f t="shared" si="154"/>
        <v>431</v>
      </c>
      <c r="U692" s="819">
        <f t="shared" si="155"/>
        <v>2818</v>
      </c>
      <c r="V692" s="819">
        <f t="shared" si="156"/>
        <v>661</v>
      </c>
      <c r="W692" s="379">
        <f t="shared" si="157"/>
        <v>661</v>
      </c>
      <c r="X692" s="819" t="str">
        <f t="shared" si="158"/>
        <v/>
      </c>
      <c r="Y692" s="837"/>
      <c r="Z692" s="839"/>
      <c r="AA692" s="838"/>
      <c r="AB692" s="839"/>
    </row>
    <row r="693" spans="1:28" ht="14.45">
      <c r="A693" s="816"/>
      <c r="B693" s="819" t="s">
        <v>1785</v>
      </c>
      <c r="C693" s="819" t="s">
        <v>1786</v>
      </c>
      <c r="D693" s="379" t="s">
        <v>336</v>
      </c>
      <c r="E693" s="818" t="s">
        <v>460</v>
      </c>
      <c r="F693" s="820">
        <v>0.22893867100000001</v>
      </c>
      <c r="G693" s="821">
        <v>0.67385777800000002</v>
      </c>
      <c r="H693" s="822">
        <v>8321292.7824054603</v>
      </c>
      <c r="I693" s="819"/>
      <c r="J693" s="820">
        <v>-8.2712000000000004E-5</v>
      </c>
      <c r="K693" s="819">
        <f t="shared" si="148"/>
        <v>1290</v>
      </c>
      <c r="L693" s="819">
        <f t="shared" si="149"/>
        <v>886</v>
      </c>
      <c r="M693" s="819">
        <f t="shared" si="145"/>
        <v>1290</v>
      </c>
      <c r="N693" s="819">
        <f t="shared" si="146"/>
        <v>364</v>
      </c>
      <c r="O693" s="819">
        <f t="shared" si="147"/>
        <v>982</v>
      </c>
      <c r="P693" s="819">
        <f t="shared" si="150"/>
        <v>108</v>
      </c>
      <c r="Q693" s="819">
        <f t="shared" si="151"/>
        <v>463</v>
      </c>
      <c r="R693" s="819">
        <f t="shared" si="152"/>
        <v>1208</v>
      </c>
      <c r="S693" s="819">
        <f t="shared" si="153"/>
        <v>338</v>
      </c>
      <c r="T693" s="819">
        <f t="shared" si="154"/>
        <v>960</v>
      </c>
      <c r="U693" s="819">
        <f t="shared" si="155"/>
        <v>3077</v>
      </c>
      <c r="V693" s="819">
        <f t="shared" si="156"/>
        <v>1021</v>
      </c>
      <c r="W693" s="379">
        <f t="shared" si="157"/>
        <v>1021</v>
      </c>
      <c r="X693" s="819" t="str">
        <f t="shared" si="158"/>
        <v/>
      </c>
      <c r="Y693" s="837"/>
      <c r="Z693" s="839"/>
      <c r="AA693" s="838"/>
      <c r="AB693" s="839"/>
    </row>
    <row r="694" spans="1:28" ht="13.15">
      <c r="B694" s="819" t="s">
        <v>1787</v>
      </c>
      <c r="C694" s="819" t="s">
        <v>1788</v>
      </c>
      <c r="D694" s="379" t="s">
        <v>336</v>
      </c>
      <c r="E694" s="818" t="s">
        <v>453</v>
      </c>
      <c r="F694" s="820">
        <v>2.2771609260000001</v>
      </c>
      <c r="G694" s="821">
        <v>-51.650556260000002</v>
      </c>
      <c r="H694" s="822">
        <v>51598909.309383303</v>
      </c>
      <c r="I694" s="819"/>
      <c r="J694" s="820">
        <v>1.4143200000000001E-6</v>
      </c>
      <c r="K694" s="819">
        <f t="shared" si="148"/>
        <v>868</v>
      </c>
      <c r="L694" s="819">
        <f t="shared" si="149"/>
        <v>1509</v>
      </c>
      <c r="M694" s="819">
        <f t="shared" si="145"/>
        <v>868</v>
      </c>
      <c r="N694" s="819">
        <f t="shared" si="146"/>
        <v>364</v>
      </c>
      <c r="O694" s="819">
        <f t="shared" si="147"/>
        <v>475</v>
      </c>
      <c r="P694" s="819">
        <f t="shared" si="150"/>
        <v>530</v>
      </c>
      <c r="Q694" s="819">
        <f t="shared" si="151"/>
        <v>1086</v>
      </c>
      <c r="R694" s="819">
        <f t="shared" si="152"/>
        <v>786</v>
      </c>
      <c r="S694" s="819">
        <f t="shared" si="153"/>
        <v>338</v>
      </c>
      <c r="T694" s="819">
        <f t="shared" si="154"/>
        <v>453</v>
      </c>
      <c r="U694" s="819">
        <f t="shared" si="155"/>
        <v>3193</v>
      </c>
      <c r="V694" s="819">
        <f t="shared" si="156"/>
        <v>1185</v>
      </c>
      <c r="W694" s="379">
        <f t="shared" si="157"/>
        <v>1185</v>
      </c>
      <c r="X694" s="819" t="str">
        <f t="shared" si="158"/>
        <v/>
      </c>
      <c r="Y694" s="837"/>
      <c r="Z694" s="839"/>
      <c r="AA694" s="838"/>
      <c r="AB694" s="839"/>
    </row>
    <row r="695" spans="1:28" ht="14.45">
      <c r="A695" s="816"/>
      <c r="B695" s="819" t="s">
        <v>1789</v>
      </c>
      <c r="C695" s="819" t="s">
        <v>1790</v>
      </c>
      <c r="D695" s="379" t="s">
        <v>336</v>
      </c>
      <c r="E695" s="818" t="s">
        <v>453</v>
      </c>
      <c r="F695" s="820">
        <v>1.6519233849999999</v>
      </c>
      <c r="G695" s="821">
        <v>3.435611406</v>
      </c>
      <c r="H695" s="822">
        <v>65410626.530895203</v>
      </c>
      <c r="I695" s="819">
        <v>0.38</v>
      </c>
      <c r="J695" s="820">
        <v>-1.4232775E-2</v>
      </c>
      <c r="K695" s="819">
        <f t="shared" si="148"/>
        <v>820</v>
      </c>
      <c r="L695" s="819">
        <f t="shared" si="149"/>
        <v>509</v>
      </c>
      <c r="M695" s="819">
        <f t="shared" si="145"/>
        <v>820</v>
      </c>
      <c r="N695" s="819">
        <f t="shared" si="146"/>
        <v>175</v>
      </c>
      <c r="O695" s="819">
        <f t="shared" si="147"/>
        <v>1667</v>
      </c>
      <c r="P695" s="819">
        <f t="shared" si="150"/>
        <v>578</v>
      </c>
      <c r="Q695" s="819">
        <f t="shared" si="151"/>
        <v>86</v>
      </c>
      <c r="R695" s="819">
        <f t="shared" si="152"/>
        <v>738</v>
      </c>
      <c r="S695" s="819">
        <f t="shared" si="153"/>
        <v>149</v>
      </c>
      <c r="T695" s="819">
        <f t="shared" si="154"/>
        <v>1645</v>
      </c>
      <c r="U695" s="819">
        <f t="shared" si="155"/>
        <v>3196</v>
      </c>
      <c r="V695" s="819">
        <f t="shared" si="156"/>
        <v>1190</v>
      </c>
      <c r="W695" s="379">
        <f t="shared" si="157"/>
        <v>1190</v>
      </c>
      <c r="X695" s="819" t="str">
        <f t="shared" si="158"/>
        <v/>
      </c>
      <c r="Y695" s="837"/>
      <c r="Z695" s="839"/>
      <c r="AA695" s="838"/>
      <c r="AB695" s="839"/>
    </row>
    <row r="696" spans="1:28" ht="13.15">
      <c r="B696" s="819" t="s">
        <v>1791</v>
      </c>
      <c r="C696" s="819" t="s">
        <v>1792</v>
      </c>
      <c r="D696" s="379" t="s">
        <v>336</v>
      </c>
      <c r="E696" s="818" t="s">
        <v>607</v>
      </c>
      <c r="F696" s="820">
        <v>-6.0813827000000001E-2</v>
      </c>
      <c r="G696" s="821">
        <v>-231.66674259999999</v>
      </c>
      <c r="H696" s="822">
        <v>7097984.8249979597</v>
      </c>
      <c r="I696" s="819"/>
      <c r="J696" s="820">
        <v>1.6073300000000001E-5</v>
      </c>
      <c r="K696" s="819">
        <f t="shared" si="148"/>
        <v>1318</v>
      </c>
      <c r="L696" s="819">
        <f t="shared" si="149"/>
        <v>1527</v>
      </c>
      <c r="M696" s="819">
        <f t="shared" si="145"/>
        <v>1318</v>
      </c>
      <c r="N696" s="819">
        <f t="shared" si="146"/>
        <v>364</v>
      </c>
      <c r="O696" s="819">
        <f t="shared" si="147"/>
        <v>413</v>
      </c>
      <c r="P696" s="819">
        <f t="shared" si="150"/>
        <v>80</v>
      </c>
      <c r="Q696" s="819">
        <f t="shared" si="151"/>
        <v>1104</v>
      </c>
      <c r="R696" s="819">
        <f t="shared" si="152"/>
        <v>1236</v>
      </c>
      <c r="S696" s="819">
        <f t="shared" si="153"/>
        <v>338</v>
      </c>
      <c r="T696" s="819">
        <f t="shared" si="154"/>
        <v>391</v>
      </c>
      <c r="U696" s="819">
        <f t="shared" si="155"/>
        <v>3149</v>
      </c>
      <c r="V696" s="819">
        <f t="shared" si="156"/>
        <v>1122</v>
      </c>
      <c r="W696" s="379">
        <f t="shared" si="157"/>
        <v>1122</v>
      </c>
      <c r="X696" s="819" t="str">
        <f t="shared" si="158"/>
        <v/>
      </c>
      <c r="Y696" s="837"/>
      <c r="Z696" s="839"/>
      <c r="AA696" s="838"/>
      <c r="AB696" s="839"/>
    </row>
    <row r="697" spans="1:28" ht="14.45">
      <c r="A697" s="816"/>
      <c r="B697" s="819" t="s">
        <v>1793</v>
      </c>
      <c r="C697" s="819" t="s">
        <v>1794</v>
      </c>
      <c r="D697" s="379" t="s">
        <v>336</v>
      </c>
      <c r="E697" s="818" t="s">
        <v>607</v>
      </c>
      <c r="F697" s="820">
        <v>4.4809361670000003</v>
      </c>
      <c r="G697" s="821">
        <v>4.0286244160000004</v>
      </c>
      <c r="H697" s="822">
        <v>2638809750.87252</v>
      </c>
      <c r="I697" s="819">
        <v>4.79</v>
      </c>
      <c r="J697" s="820">
        <v>-5.7954260000000002E-3</v>
      </c>
      <c r="K697" s="819">
        <f t="shared" si="148"/>
        <v>123</v>
      </c>
      <c r="L697" s="819">
        <f t="shared" si="149"/>
        <v>449</v>
      </c>
      <c r="M697" s="819">
        <f t="shared" si="145"/>
        <v>123</v>
      </c>
      <c r="N697" s="819">
        <f t="shared" si="146"/>
        <v>48</v>
      </c>
      <c r="O697" s="819">
        <f t="shared" si="147"/>
        <v>1612</v>
      </c>
      <c r="P697" s="819">
        <f t="shared" si="150"/>
        <v>1275</v>
      </c>
      <c r="Q697" s="819">
        <f t="shared" si="151"/>
        <v>26</v>
      </c>
      <c r="R697" s="819">
        <f t="shared" si="152"/>
        <v>41</v>
      </c>
      <c r="S697" s="819">
        <f t="shared" si="153"/>
        <v>22</v>
      </c>
      <c r="T697" s="819">
        <f t="shared" si="154"/>
        <v>1590</v>
      </c>
      <c r="U697" s="819">
        <f t="shared" si="155"/>
        <v>2954</v>
      </c>
      <c r="V697" s="819">
        <f t="shared" si="156"/>
        <v>873</v>
      </c>
      <c r="W697" s="379">
        <f t="shared" si="157"/>
        <v>873</v>
      </c>
      <c r="X697" s="819" t="str">
        <f t="shared" si="158"/>
        <v/>
      </c>
      <c r="Y697" s="837"/>
      <c r="Z697" s="839"/>
      <c r="AA697" s="838"/>
      <c r="AB697" s="839"/>
    </row>
    <row r="698" spans="1:28" ht="13.15">
      <c r="B698" s="819" t="s">
        <v>1795</v>
      </c>
      <c r="C698" s="819" t="s">
        <v>1796</v>
      </c>
      <c r="D698" s="379" t="s">
        <v>336</v>
      </c>
      <c r="E698" s="818" t="s">
        <v>191</v>
      </c>
      <c r="F698" s="820">
        <v>2.2028337659999999</v>
      </c>
      <c r="G698" s="821">
        <v>4.398094E-3</v>
      </c>
      <c r="H698" s="822">
        <v>1397373.08924152</v>
      </c>
      <c r="I698" s="819">
        <v>0.01</v>
      </c>
      <c r="J698" s="820">
        <v>-5.8760599999999996E-4</v>
      </c>
      <c r="K698" s="819">
        <f t="shared" si="148"/>
        <v>1534</v>
      </c>
      <c r="L698" s="819">
        <f t="shared" si="149"/>
        <v>1075</v>
      </c>
      <c r="M698" s="819">
        <f t="shared" si="145"/>
        <v>1534</v>
      </c>
      <c r="N698" s="819">
        <f t="shared" si="146"/>
        <v>344</v>
      </c>
      <c r="O698" s="819">
        <f t="shared" si="147"/>
        <v>1305</v>
      </c>
      <c r="P698" s="819">
        <f t="shared" si="150"/>
        <v>136</v>
      </c>
      <c r="Q698" s="819">
        <f t="shared" si="151"/>
        <v>652</v>
      </c>
      <c r="R698" s="819">
        <f t="shared" si="152"/>
        <v>1452</v>
      </c>
      <c r="S698" s="819">
        <f t="shared" si="153"/>
        <v>318</v>
      </c>
      <c r="T698" s="819">
        <f t="shared" si="154"/>
        <v>1283</v>
      </c>
      <c r="U698" s="819">
        <f t="shared" si="155"/>
        <v>3841</v>
      </c>
      <c r="V698" s="819">
        <f t="shared" si="156"/>
        <v>1728</v>
      </c>
      <c r="W698" s="379">
        <f t="shared" si="157"/>
        <v>1728</v>
      </c>
      <c r="X698" s="819" t="str">
        <f t="shared" si="158"/>
        <v/>
      </c>
      <c r="Y698" s="837"/>
      <c r="Z698" s="839"/>
      <c r="AA698" s="838"/>
      <c r="AB698" s="839"/>
    </row>
    <row r="699" spans="1:28" ht="14.45">
      <c r="A699" s="816"/>
      <c r="B699" s="819" t="s">
        <v>1797</v>
      </c>
      <c r="C699" s="819" t="s">
        <v>1798</v>
      </c>
      <c r="D699" s="379" t="s">
        <v>336</v>
      </c>
      <c r="E699" s="818" t="s">
        <v>941</v>
      </c>
      <c r="F699" s="820">
        <v>-7.5496666670000003</v>
      </c>
      <c r="G699" s="821">
        <v>-0.73344741300000005</v>
      </c>
      <c r="H699" s="822">
        <v>525185340.40607297</v>
      </c>
      <c r="I699" s="819"/>
      <c r="J699" s="820">
        <v>3.4068400000000001E-4</v>
      </c>
      <c r="K699" s="819">
        <f t="shared" si="148"/>
        <v>339</v>
      </c>
      <c r="L699" s="819">
        <f t="shared" si="149"/>
        <v>1280</v>
      </c>
      <c r="M699" s="819">
        <f t="shared" si="145"/>
        <v>339</v>
      </c>
      <c r="N699" s="819">
        <f t="shared" si="146"/>
        <v>364</v>
      </c>
      <c r="O699" s="819">
        <f t="shared" si="147"/>
        <v>224</v>
      </c>
      <c r="P699" s="819">
        <f t="shared" si="150"/>
        <v>1059</v>
      </c>
      <c r="Q699" s="819">
        <f t="shared" si="151"/>
        <v>857</v>
      </c>
      <c r="R699" s="819">
        <f t="shared" si="152"/>
        <v>257</v>
      </c>
      <c r="S699" s="819">
        <f t="shared" si="153"/>
        <v>338</v>
      </c>
      <c r="T699" s="819">
        <f t="shared" si="154"/>
        <v>202</v>
      </c>
      <c r="U699" s="819">
        <f t="shared" si="155"/>
        <v>2713</v>
      </c>
      <c r="V699" s="819">
        <f t="shared" si="156"/>
        <v>371</v>
      </c>
      <c r="W699" s="379">
        <f t="shared" si="157"/>
        <v>371</v>
      </c>
      <c r="X699" s="819" t="str">
        <f t="shared" si="158"/>
        <v/>
      </c>
      <c r="Y699" s="837"/>
      <c r="Z699" s="839"/>
      <c r="AA699" s="838"/>
      <c r="AB699" s="839"/>
    </row>
    <row r="700" spans="1:28" ht="13.15">
      <c r="B700" s="819" t="s">
        <v>1799</v>
      </c>
      <c r="C700" s="819" t="s">
        <v>1800</v>
      </c>
      <c r="D700" s="379" t="s">
        <v>336</v>
      </c>
      <c r="E700" s="818" t="s">
        <v>373</v>
      </c>
      <c r="F700" s="820">
        <v>5.0109887930000001</v>
      </c>
      <c r="G700" s="821">
        <v>9.2045140290000003</v>
      </c>
      <c r="H700" s="822">
        <v>139730639.73063999</v>
      </c>
      <c r="I700" s="819"/>
      <c r="J700" s="820">
        <v>-4.3224099999999998E-4</v>
      </c>
      <c r="K700" s="819">
        <f t="shared" si="148"/>
        <v>638</v>
      </c>
      <c r="L700" s="819">
        <f t="shared" si="149"/>
        <v>219</v>
      </c>
      <c r="M700" s="819">
        <f t="shared" si="145"/>
        <v>638</v>
      </c>
      <c r="N700" s="819">
        <f t="shared" si="146"/>
        <v>364</v>
      </c>
      <c r="O700" s="819">
        <f t="shared" si="147"/>
        <v>1243</v>
      </c>
      <c r="P700" s="819">
        <f t="shared" si="150"/>
        <v>760</v>
      </c>
      <c r="Q700" s="819">
        <f t="shared" si="151"/>
        <v>204</v>
      </c>
      <c r="R700" s="819">
        <f t="shared" si="152"/>
        <v>556</v>
      </c>
      <c r="S700" s="819">
        <f t="shared" si="153"/>
        <v>338</v>
      </c>
      <c r="T700" s="819">
        <f t="shared" si="154"/>
        <v>1221</v>
      </c>
      <c r="U700" s="819">
        <f t="shared" si="155"/>
        <v>3079</v>
      </c>
      <c r="V700" s="819">
        <f t="shared" si="156"/>
        <v>1025</v>
      </c>
      <c r="W700" s="379">
        <f t="shared" si="157"/>
        <v>1025</v>
      </c>
      <c r="X700" s="819" t="str">
        <f t="shared" si="158"/>
        <v/>
      </c>
      <c r="Y700" s="837"/>
      <c r="Z700" s="839"/>
      <c r="AA700" s="838"/>
      <c r="AB700" s="839"/>
    </row>
    <row r="701" spans="1:28" ht="14.45">
      <c r="A701" s="816"/>
      <c r="B701" s="819" t="s">
        <v>1801</v>
      </c>
      <c r="C701" s="819" t="s">
        <v>1802</v>
      </c>
      <c r="D701" s="379" t="s">
        <v>336</v>
      </c>
      <c r="E701" s="818" t="s">
        <v>337</v>
      </c>
      <c r="F701" s="820"/>
      <c r="G701" s="821"/>
      <c r="H701" s="822">
        <v>1600464.32</v>
      </c>
      <c r="I701" s="819"/>
      <c r="J701" s="820">
        <v>0</v>
      </c>
      <c r="K701" s="819">
        <f t="shared" si="148"/>
        <v>1522</v>
      </c>
      <c r="L701" s="819">
        <f t="shared" si="149"/>
        <v>1084</v>
      </c>
      <c r="M701" s="819">
        <f t="shared" si="145"/>
        <v>1522</v>
      </c>
      <c r="N701" s="819">
        <f t="shared" si="146"/>
        <v>364</v>
      </c>
      <c r="O701" s="819">
        <f t="shared" si="147"/>
        <v>492</v>
      </c>
      <c r="P701" s="819">
        <f t="shared" si="150"/>
        <v>124</v>
      </c>
      <c r="Q701" s="819">
        <f t="shared" si="151"/>
        <v>661</v>
      </c>
      <c r="R701" s="819">
        <f t="shared" si="152"/>
        <v>1440</v>
      </c>
      <c r="S701" s="819">
        <f t="shared" si="153"/>
        <v>338</v>
      </c>
      <c r="T701" s="819">
        <f t="shared" si="154"/>
        <v>470</v>
      </c>
      <c r="U701" s="819">
        <f t="shared" si="155"/>
        <v>3033</v>
      </c>
      <c r="V701" s="819">
        <f t="shared" si="156"/>
        <v>969</v>
      </c>
      <c r="W701" s="379">
        <f t="shared" si="157"/>
        <v>969</v>
      </c>
      <c r="X701" s="819" t="str">
        <f t="shared" si="158"/>
        <v/>
      </c>
      <c r="Y701" s="837"/>
      <c r="Z701" s="839"/>
      <c r="AA701" s="838"/>
      <c r="AB701" s="839"/>
    </row>
    <row r="702" spans="1:28" ht="13.15">
      <c r="B702" s="819" t="s">
        <v>1803</v>
      </c>
      <c r="C702" s="819" t="s">
        <v>1804</v>
      </c>
      <c r="D702" s="379" t="s">
        <v>336</v>
      </c>
      <c r="E702" s="818" t="s">
        <v>352</v>
      </c>
      <c r="F702" s="820">
        <v>5.4870518849999996</v>
      </c>
      <c r="G702" s="821">
        <v>1.5778926959999999</v>
      </c>
      <c r="H702" s="822">
        <v>41679666.3061288</v>
      </c>
      <c r="I702" s="819">
        <v>9.4600000000000009</v>
      </c>
      <c r="J702" s="820">
        <v>-0.13794031600000001</v>
      </c>
      <c r="K702" s="819">
        <f t="shared" si="148"/>
        <v>920</v>
      </c>
      <c r="L702" s="819">
        <f t="shared" si="149"/>
        <v>731</v>
      </c>
      <c r="M702" s="819">
        <f t="shared" si="145"/>
        <v>920</v>
      </c>
      <c r="N702" s="819">
        <f t="shared" si="146"/>
        <v>35</v>
      </c>
      <c r="O702" s="819">
        <f t="shared" si="147"/>
        <v>1756</v>
      </c>
      <c r="P702" s="819">
        <f t="shared" si="150"/>
        <v>478</v>
      </c>
      <c r="Q702" s="819">
        <f t="shared" si="151"/>
        <v>308</v>
      </c>
      <c r="R702" s="819">
        <f t="shared" si="152"/>
        <v>838</v>
      </c>
      <c r="S702" s="819">
        <f t="shared" si="153"/>
        <v>9</v>
      </c>
      <c r="T702" s="819">
        <f t="shared" si="154"/>
        <v>1734</v>
      </c>
      <c r="U702" s="819">
        <f t="shared" si="155"/>
        <v>3367</v>
      </c>
      <c r="V702" s="819">
        <f t="shared" si="156"/>
        <v>1428</v>
      </c>
      <c r="W702" s="379">
        <f t="shared" si="157"/>
        <v>1428</v>
      </c>
      <c r="X702" s="819" t="str">
        <f t="shared" si="158"/>
        <v/>
      </c>
      <c r="Y702" s="837"/>
      <c r="Z702" s="839"/>
      <c r="AA702" s="838"/>
      <c r="AB702" s="839"/>
    </row>
    <row r="703" spans="1:28" ht="14.45">
      <c r="A703" s="816"/>
      <c r="B703" s="819" t="s">
        <v>1805</v>
      </c>
      <c r="C703" s="819" t="s">
        <v>1806</v>
      </c>
      <c r="D703" s="379" t="s">
        <v>336</v>
      </c>
      <c r="E703" s="818" t="s">
        <v>1382</v>
      </c>
      <c r="F703" s="820">
        <v>0.33293282800000001</v>
      </c>
      <c r="G703" s="821">
        <v>4.1265787180000002</v>
      </c>
      <c r="H703" s="822">
        <v>200840344.99148399</v>
      </c>
      <c r="I703" s="819"/>
      <c r="J703" s="820">
        <v>-8.6344699999999993E-5</v>
      </c>
      <c r="K703" s="819">
        <f t="shared" si="148"/>
        <v>568</v>
      </c>
      <c r="L703" s="819">
        <f t="shared" si="149"/>
        <v>440</v>
      </c>
      <c r="M703" s="819">
        <f t="shared" si="145"/>
        <v>568</v>
      </c>
      <c r="N703" s="819">
        <f t="shared" si="146"/>
        <v>364</v>
      </c>
      <c r="O703" s="819">
        <f t="shared" si="147"/>
        <v>990</v>
      </c>
      <c r="P703" s="819">
        <f t="shared" si="150"/>
        <v>830</v>
      </c>
      <c r="Q703" s="819">
        <f t="shared" si="151"/>
        <v>17</v>
      </c>
      <c r="R703" s="819">
        <f t="shared" si="152"/>
        <v>486</v>
      </c>
      <c r="S703" s="819">
        <f t="shared" si="153"/>
        <v>338</v>
      </c>
      <c r="T703" s="819">
        <f t="shared" si="154"/>
        <v>968</v>
      </c>
      <c r="U703" s="819">
        <f t="shared" si="155"/>
        <v>2639</v>
      </c>
      <c r="V703" s="819">
        <f t="shared" si="156"/>
        <v>312</v>
      </c>
      <c r="W703" s="379">
        <f t="shared" si="157"/>
        <v>312</v>
      </c>
      <c r="X703" s="819" t="str">
        <f t="shared" si="158"/>
        <v/>
      </c>
      <c r="Y703" s="837"/>
      <c r="Z703" s="839"/>
      <c r="AA703" s="838"/>
      <c r="AB703" s="839"/>
    </row>
    <row r="704" spans="1:28" ht="13.15">
      <c r="B704" s="819" t="s">
        <v>1807</v>
      </c>
      <c r="C704" s="819" t="s">
        <v>1808</v>
      </c>
      <c r="D704" s="379" t="s">
        <v>336</v>
      </c>
      <c r="E704" s="818" t="s">
        <v>337</v>
      </c>
      <c r="F704" s="820">
        <v>1.1461853479999999</v>
      </c>
      <c r="G704" s="821">
        <v>-0.64122569600000001</v>
      </c>
      <c r="H704" s="822">
        <v>14352080045.52</v>
      </c>
      <c r="I704" s="819"/>
      <c r="J704" s="820">
        <v>3.089329E-3</v>
      </c>
      <c r="K704" s="819">
        <f t="shared" si="148"/>
        <v>25</v>
      </c>
      <c r="L704" s="819">
        <f t="shared" si="149"/>
        <v>1268</v>
      </c>
      <c r="M704" s="819">
        <f t="shared" si="145"/>
        <v>25</v>
      </c>
      <c r="N704" s="819">
        <f t="shared" si="146"/>
        <v>364</v>
      </c>
      <c r="O704" s="819">
        <f t="shared" si="147"/>
        <v>155</v>
      </c>
      <c r="P704" s="819">
        <f t="shared" si="150"/>
        <v>1373</v>
      </c>
      <c r="Q704" s="819">
        <f t="shared" si="151"/>
        <v>845</v>
      </c>
      <c r="R704" s="819">
        <f t="shared" si="152"/>
        <v>57</v>
      </c>
      <c r="S704" s="819">
        <f t="shared" si="153"/>
        <v>338</v>
      </c>
      <c r="T704" s="819">
        <f t="shared" si="154"/>
        <v>133</v>
      </c>
      <c r="U704" s="819">
        <f t="shared" si="155"/>
        <v>2746</v>
      </c>
      <c r="V704" s="819">
        <f t="shared" si="156"/>
        <v>413</v>
      </c>
      <c r="W704" s="379">
        <f t="shared" si="157"/>
        <v>413</v>
      </c>
      <c r="X704" s="819" t="str">
        <f t="shared" si="158"/>
        <v/>
      </c>
      <c r="Y704" s="837"/>
      <c r="Z704" s="839"/>
      <c r="AA704" s="838"/>
      <c r="AB704" s="839"/>
    </row>
    <row r="705" spans="1:28" ht="14.45">
      <c r="A705" s="816"/>
      <c r="B705" s="819" t="s">
        <v>1809</v>
      </c>
      <c r="C705" s="819" t="s">
        <v>1810</v>
      </c>
      <c r="D705" s="379" t="s">
        <v>336</v>
      </c>
      <c r="E705" s="818" t="s">
        <v>1811</v>
      </c>
      <c r="F705" s="820">
        <v>1.7713678580000001</v>
      </c>
      <c r="G705" s="821">
        <v>3.5734574700000001</v>
      </c>
      <c r="H705" s="822">
        <v>31761113.312415</v>
      </c>
      <c r="I705" s="819"/>
      <c r="J705" s="820">
        <v>-3.9302779999999997E-3</v>
      </c>
      <c r="K705" s="819">
        <f t="shared" si="148"/>
        <v>988</v>
      </c>
      <c r="L705" s="819">
        <f t="shared" si="149"/>
        <v>491</v>
      </c>
      <c r="M705" s="819">
        <f t="shared" si="145"/>
        <v>988</v>
      </c>
      <c r="N705" s="819">
        <f t="shared" si="146"/>
        <v>364</v>
      </c>
      <c r="O705" s="819">
        <f t="shared" si="147"/>
        <v>1587</v>
      </c>
      <c r="P705" s="819">
        <f t="shared" si="150"/>
        <v>410</v>
      </c>
      <c r="Q705" s="819">
        <f t="shared" si="151"/>
        <v>68</v>
      </c>
      <c r="R705" s="819">
        <f t="shared" si="152"/>
        <v>906</v>
      </c>
      <c r="S705" s="819">
        <f t="shared" si="153"/>
        <v>338</v>
      </c>
      <c r="T705" s="819">
        <f t="shared" si="154"/>
        <v>1565</v>
      </c>
      <c r="U705" s="819">
        <f t="shared" si="155"/>
        <v>3287</v>
      </c>
      <c r="V705" s="819">
        <f t="shared" si="156"/>
        <v>1320</v>
      </c>
      <c r="W705" s="379">
        <f t="shared" si="157"/>
        <v>1320</v>
      </c>
      <c r="X705" s="819" t="str">
        <f t="shared" si="158"/>
        <v/>
      </c>
      <c r="Y705" s="837"/>
      <c r="Z705" s="839"/>
      <c r="AA705" s="838"/>
      <c r="AB705" s="839"/>
    </row>
    <row r="706" spans="1:28" ht="13.15">
      <c r="B706" s="819" t="s">
        <v>1812</v>
      </c>
      <c r="C706" s="819" t="s">
        <v>1813</v>
      </c>
      <c r="D706" s="379" t="s">
        <v>336</v>
      </c>
      <c r="E706" s="818" t="s">
        <v>441</v>
      </c>
      <c r="F706" s="820">
        <v>-21.173668639999999</v>
      </c>
      <c r="G706" s="821">
        <v>-2.706</v>
      </c>
      <c r="H706" s="822">
        <v>219414925.208215</v>
      </c>
      <c r="I706" s="819"/>
      <c r="J706" s="820">
        <v>1.10598E-4</v>
      </c>
      <c r="K706" s="819">
        <f t="shared" si="148"/>
        <v>540</v>
      </c>
      <c r="L706" s="819">
        <f t="shared" si="149"/>
        <v>1366</v>
      </c>
      <c r="M706" s="819">
        <f t="shared" si="145"/>
        <v>540</v>
      </c>
      <c r="N706" s="819">
        <f t="shared" si="146"/>
        <v>364</v>
      </c>
      <c r="O706" s="819">
        <f t="shared" si="147"/>
        <v>293</v>
      </c>
      <c r="P706" s="819">
        <f t="shared" si="150"/>
        <v>858</v>
      </c>
      <c r="Q706" s="819">
        <f t="shared" si="151"/>
        <v>943</v>
      </c>
      <c r="R706" s="819">
        <f t="shared" si="152"/>
        <v>458</v>
      </c>
      <c r="S706" s="819">
        <f t="shared" si="153"/>
        <v>338</v>
      </c>
      <c r="T706" s="819">
        <f t="shared" si="154"/>
        <v>271</v>
      </c>
      <c r="U706" s="819">
        <f t="shared" si="155"/>
        <v>2868</v>
      </c>
      <c r="V706" s="819">
        <f t="shared" si="156"/>
        <v>750</v>
      </c>
      <c r="W706" s="379">
        <f t="shared" si="157"/>
        <v>750</v>
      </c>
      <c r="X706" s="819" t="str">
        <f t="shared" si="158"/>
        <v/>
      </c>
      <c r="Y706" s="837"/>
      <c r="Z706" s="839"/>
      <c r="AA706" s="838"/>
      <c r="AB706" s="839"/>
    </row>
    <row r="707" spans="1:28" ht="14.45">
      <c r="A707" s="816"/>
      <c r="B707" s="819" t="s">
        <v>1814</v>
      </c>
      <c r="C707" s="819" t="s">
        <v>1815</v>
      </c>
      <c r="D707" s="379" t="s">
        <v>336</v>
      </c>
      <c r="E707" s="818" t="s">
        <v>839</v>
      </c>
      <c r="F707" s="820">
        <v>2.4055632230000001</v>
      </c>
      <c r="G707" s="821">
        <v>-2.19124512</v>
      </c>
      <c r="H707" s="822"/>
      <c r="I707" s="819"/>
      <c r="J707" s="820">
        <v>4.809537E-3</v>
      </c>
      <c r="K707" s="819" t="str">
        <f t="shared" si="148"/>
        <v>N/A</v>
      </c>
      <c r="L707" s="819">
        <f t="shared" si="149"/>
        <v>1348</v>
      </c>
      <c r="M707" s="819" t="str">
        <f t="shared" si="145"/>
        <v>N/A</v>
      </c>
      <c r="N707" s="819">
        <f t="shared" si="146"/>
        <v>364</v>
      </c>
      <c r="O707" s="819">
        <f t="shared" si="147"/>
        <v>150</v>
      </c>
      <c r="P707" s="819" t="str">
        <f t="shared" si="150"/>
        <v>N/A</v>
      </c>
      <c r="Q707" s="819">
        <f t="shared" si="151"/>
        <v>925</v>
      </c>
      <c r="R707" s="819" t="str">
        <f t="shared" si="152"/>
        <v>N/A</v>
      </c>
      <c r="S707" s="819">
        <f t="shared" si="153"/>
        <v>338</v>
      </c>
      <c r="T707" s="819">
        <f t="shared" si="154"/>
        <v>128</v>
      </c>
      <c r="U707" s="819">
        <f t="shared" si="155"/>
        <v>1391</v>
      </c>
      <c r="V707" s="819">
        <f t="shared" si="156"/>
        <v>9</v>
      </c>
      <c r="W707" s="379">
        <f t="shared" si="157"/>
        <v>9</v>
      </c>
      <c r="X707" s="819" t="str">
        <f t="shared" si="158"/>
        <v/>
      </c>
      <c r="Y707" s="837"/>
      <c r="Z707" s="839"/>
      <c r="AA707" s="838"/>
      <c r="AB707" s="839"/>
    </row>
    <row r="708" spans="1:28" ht="13.15">
      <c r="B708" s="819" t="s">
        <v>1816</v>
      </c>
      <c r="C708" s="819" t="s">
        <v>1817</v>
      </c>
      <c r="D708" s="379" t="s">
        <v>336</v>
      </c>
      <c r="E708" s="818" t="s">
        <v>337</v>
      </c>
      <c r="F708" s="820">
        <v>-2.1394867070000001</v>
      </c>
      <c r="G708" s="821">
        <v>-3.3820098E-2</v>
      </c>
      <c r="H708" s="822">
        <v>521662.9792</v>
      </c>
      <c r="I708" s="819"/>
      <c r="J708" s="820">
        <v>1.10121E-4</v>
      </c>
      <c r="K708" s="819">
        <f t="shared" si="148"/>
        <v>1599</v>
      </c>
      <c r="L708" s="819">
        <f t="shared" si="149"/>
        <v>1204</v>
      </c>
      <c r="M708" s="819">
        <f t="shared" ref="M708:M771" si="159">IFERROR(_xlfn.RANK.EQ(H708,H$3:H$1787),"N/A")</f>
        <v>1599</v>
      </c>
      <c r="N708" s="819">
        <f t="shared" ref="N708:N771" si="160">IFERROR(_xlfn.RANK.EQ(I708,I$3:I$1787),"N/A")</f>
        <v>364</v>
      </c>
      <c r="O708" s="819">
        <f t="shared" ref="O708:O771" si="161">IFERROR(_xlfn.RANK.EQ(J708,J$3:J$1787),"N/A")</f>
        <v>295</v>
      </c>
      <c r="P708" s="819">
        <f t="shared" si="150"/>
        <v>201</v>
      </c>
      <c r="Q708" s="819">
        <f t="shared" si="151"/>
        <v>781</v>
      </c>
      <c r="R708" s="819">
        <f t="shared" si="152"/>
        <v>1517</v>
      </c>
      <c r="S708" s="819">
        <f t="shared" si="153"/>
        <v>338</v>
      </c>
      <c r="T708" s="819">
        <f t="shared" si="154"/>
        <v>273</v>
      </c>
      <c r="U708" s="819">
        <f t="shared" si="155"/>
        <v>3110</v>
      </c>
      <c r="V708" s="819">
        <f t="shared" si="156"/>
        <v>1081</v>
      </c>
      <c r="W708" s="379">
        <f t="shared" si="157"/>
        <v>1081</v>
      </c>
      <c r="X708" s="819" t="str">
        <f t="shared" si="158"/>
        <v/>
      </c>
      <c r="Y708" s="837"/>
      <c r="Z708" s="839"/>
      <c r="AA708" s="838"/>
      <c r="AB708" s="839"/>
    </row>
    <row r="709" spans="1:28" ht="14.45">
      <c r="A709" s="816"/>
      <c r="B709" s="819" t="s">
        <v>1818</v>
      </c>
      <c r="C709" s="819" t="s">
        <v>1819</v>
      </c>
      <c r="D709" s="379" t="s">
        <v>336</v>
      </c>
      <c r="E709" s="818" t="s">
        <v>460</v>
      </c>
      <c r="F709" s="820"/>
      <c r="G709" s="821"/>
      <c r="H709" s="822">
        <v>32425283.592017699</v>
      </c>
      <c r="I709" s="819"/>
      <c r="J709" s="820">
        <v>0</v>
      </c>
      <c r="K709" s="819">
        <f t="shared" ref="K709:K772" si="162">IFERROR(_xlfn.RANK.EQ(H709,H$3:H$1787),"N/A")</f>
        <v>980</v>
      </c>
      <c r="L709" s="819">
        <f t="shared" ref="L709:L772" si="163">IFERROR(_xlfn.RANK.EQ(G709,G$3:G$1787),"N/A")</f>
        <v>1084</v>
      </c>
      <c r="M709" s="819">
        <f t="shared" si="159"/>
        <v>980</v>
      </c>
      <c r="N709" s="819">
        <f t="shared" si="160"/>
        <v>364</v>
      </c>
      <c r="O709" s="819">
        <f t="shared" si="161"/>
        <v>492</v>
      </c>
      <c r="P709" s="819">
        <f t="shared" ref="P709:P772" si="164">IFERROR(ABS(K$3-K709),"N/A")</f>
        <v>418</v>
      </c>
      <c r="Q709" s="819">
        <f t="shared" ref="Q709:Q772" si="165">IFERROR(ABS(L$3-L709),"N/A")</f>
        <v>661</v>
      </c>
      <c r="R709" s="819">
        <f t="shared" ref="R709:R772" si="166">IFERROR(ABS(M$3-M709),"N/A")</f>
        <v>898</v>
      </c>
      <c r="S709" s="819">
        <f t="shared" ref="S709:S772" si="167">IFERROR(ABS(N$3-N709),"N/A")</f>
        <v>338</v>
      </c>
      <c r="T709" s="819">
        <f t="shared" ref="T709:T772" si="168">IFERROR(ABS(O$3-O709),"N/A")</f>
        <v>470</v>
      </c>
      <c r="U709" s="819">
        <f t="shared" ref="U709:U772" si="169">SUM(P709:T709)</f>
        <v>2785</v>
      </c>
      <c r="V709" s="819">
        <f t="shared" ref="V709:V772" si="170">_xlfn.RANK.EQ(U709,$U$4:$U$1787,1)</f>
        <v>463</v>
      </c>
      <c r="W709" s="379">
        <f t="shared" ref="W709:W772" si="171">IF(Y709="Not suitable","-",V709)</f>
        <v>463</v>
      </c>
      <c r="X709" s="819" t="str">
        <f t="shared" si="158"/>
        <v/>
      </c>
      <c r="Y709" s="837"/>
      <c r="Z709" s="839"/>
      <c r="AA709" s="838"/>
      <c r="AB709" s="839"/>
    </row>
    <row r="710" spans="1:28" ht="13.15">
      <c r="B710" s="819" t="s">
        <v>1820</v>
      </c>
      <c r="C710" s="819" t="s">
        <v>1821</v>
      </c>
      <c r="D710" s="379" t="s">
        <v>336</v>
      </c>
      <c r="E710" s="818" t="s">
        <v>441</v>
      </c>
      <c r="F710" s="820"/>
      <c r="G710" s="821"/>
      <c r="H710" s="822">
        <v>6999984.5999999996</v>
      </c>
      <c r="I710" s="819"/>
      <c r="J710" s="820">
        <v>0</v>
      </c>
      <c r="K710" s="819">
        <f t="shared" si="162"/>
        <v>1322</v>
      </c>
      <c r="L710" s="819">
        <f t="shared" si="163"/>
        <v>1084</v>
      </c>
      <c r="M710" s="819">
        <f t="shared" si="159"/>
        <v>1322</v>
      </c>
      <c r="N710" s="819">
        <f t="shared" si="160"/>
        <v>364</v>
      </c>
      <c r="O710" s="819">
        <f t="shared" si="161"/>
        <v>492</v>
      </c>
      <c r="P710" s="819">
        <f t="shared" si="164"/>
        <v>76</v>
      </c>
      <c r="Q710" s="819">
        <f t="shared" si="165"/>
        <v>661</v>
      </c>
      <c r="R710" s="819">
        <f t="shared" si="166"/>
        <v>1240</v>
      </c>
      <c r="S710" s="819">
        <f t="shared" si="167"/>
        <v>338</v>
      </c>
      <c r="T710" s="819">
        <f t="shared" si="168"/>
        <v>470</v>
      </c>
      <c r="U710" s="819">
        <f t="shared" si="169"/>
        <v>2785</v>
      </c>
      <c r="V710" s="819">
        <f t="shared" si="170"/>
        <v>463</v>
      </c>
      <c r="W710" s="379">
        <f t="shared" si="171"/>
        <v>463</v>
      </c>
      <c r="X710" s="819" t="str">
        <f t="shared" ref="X710:X773" si="172">IF(L710="N/A","Y","")</f>
        <v/>
      </c>
      <c r="Y710" s="837"/>
      <c r="Z710" s="839"/>
      <c r="AA710" s="838"/>
      <c r="AB710" s="839"/>
    </row>
    <row r="711" spans="1:28" ht="14.45">
      <c r="A711" s="816"/>
      <c r="B711" s="819" t="s">
        <v>1822</v>
      </c>
      <c r="C711" s="819" t="s">
        <v>1823</v>
      </c>
      <c r="D711" s="379" t="s">
        <v>336</v>
      </c>
      <c r="E711" s="818" t="s">
        <v>460</v>
      </c>
      <c r="F711" s="820">
        <v>0.106846336</v>
      </c>
      <c r="G711" s="821">
        <v>23.739963039999999</v>
      </c>
      <c r="H711" s="822">
        <v>225760.771858333</v>
      </c>
      <c r="I711" s="819"/>
      <c r="J711" s="820">
        <v>-3.0441199999999999E-5</v>
      </c>
      <c r="K711" s="819">
        <f t="shared" si="162"/>
        <v>1638</v>
      </c>
      <c r="L711" s="819">
        <f t="shared" si="163"/>
        <v>81</v>
      </c>
      <c r="M711" s="819">
        <f t="shared" si="159"/>
        <v>1638</v>
      </c>
      <c r="N711" s="819">
        <f t="shared" si="160"/>
        <v>364</v>
      </c>
      <c r="O711" s="819">
        <f t="shared" si="161"/>
        <v>877</v>
      </c>
      <c r="P711" s="819">
        <f t="shared" si="164"/>
        <v>240</v>
      </c>
      <c r="Q711" s="819">
        <f t="shared" si="165"/>
        <v>342</v>
      </c>
      <c r="R711" s="819">
        <f t="shared" si="166"/>
        <v>1556</v>
      </c>
      <c r="S711" s="819">
        <f t="shared" si="167"/>
        <v>338</v>
      </c>
      <c r="T711" s="819">
        <f t="shared" si="168"/>
        <v>855</v>
      </c>
      <c r="U711" s="819">
        <f t="shared" si="169"/>
        <v>3331</v>
      </c>
      <c r="V711" s="819">
        <f t="shared" si="170"/>
        <v>1382</v>
      </c>
      <c r="W711" s="379">
        <f t="shared" si="171"/>
        <v>1382</v>
      </c>
      <c r="X711" s="819" t="str">
        <f t="shared" si="172"/>
        <v/>
      </c>
      <c r="Y711" s="837"/>
      <c r="Z711" s="839"/>
      <c r="AA711" s="838"/>
      <c r="AB711" s="839"/>
    </row>
    <row r="712" spans="1:28" ht="13.15">
      <c r="B712" s="819" t="s">
        <v>1824</v>
      </c>
      <c r="C712" s="819" t="s">
        <v>1825</v>
      </c>
      <c r="D712" s="379" t="s">
        <v>336</v>
      </c>
      <c r="E712" s="818" t="s">
        <v>1826</v>
      </c>
      <c r="F712" s="820">
        <v>1.9458778400000001</v>
      </c>
      <c r="G712" s="821">
        <v>2.4474035430000001</v>
      </c>
      <c r="H712" s="822">
        <v>1996369.66967614</v>
      </c>
      <c r="I712" s="819"/>
      <c r="J712" s="820">
        <v>-6.7208300000000005E-5</v>
      </c>
      <c r="K712" s="819">
        <f t="shared" si="162"/>
        <v>1500</v>
      </c>
      <c r="L712" s="819">
        <f t="shared" si="163"/>
        <v>608</v>
      </c>
      <c r="M712" s="819">
        <f t="shared" si="159"/>
        <v>1500</v>
      </c>
      <c r="N712" s="819">
        <f t="shared" si="160"/>
        <v>364</v>
      </c>
      <c r="O712" s="819">
        <f t="shared" si="161"/>
        <v>953</v>
      </c>
      <c r="P712" s="819">
        <f t="shared" si="164"/>
        <v>102</v>
      </c>
      <c r="Q712" s="819">
        <f t="shared" si="165"/>
        <v>185</v>
      </c>
      <c r="R712" s="819">
        <f t="shared" si="166"/>
        <v>1418</v>
      </c>
      <c r="S712" s="819">
        <f t="shared" si="167"/>
        <v>338</v>
      </c>
      <c r="T712" s="819">
        <f t="shared" si="168"/>
        <v>931</v>
      </c>
      <c r="U712" s="819">
        <f t="shared" si="169"/>
        <v>2974</v>
      </c>
      <c r="V712" s="819">
        <f t="shared" si="170"/>
        <v>894</v>
      </c>
      <c r="W712" s="379">
        <f t="shared" si="171"/>
        <v>894</v>
      </c>
      <c r="X712" s="819" t="str">
        <f t="shared" si="172"/>
        <v/>
      </c>
      <c r="Y712" s="837"/>
      <c r="Z712" s="839"/>
      <c r="AA712" s="838"/>
      <c r="AB712" s="839"/>
    </row>
    <row r="713" spans="1:28" ht="14.45">
      <c r="A713" s="816"/>
      <c r="B713" s="819" t="s">
        <v>1827</v>
      </c>
      <c r="C713" s="819" t="s">
        <v>1828</v>
      </c>
      <c r="D713" s="379" t="s">
        <v>336</v>
      </c>
      <c r="E713" s="818" t="s">
        <v>1829</v>
      </c>
      <c r="F713" s="820">
        <v>1.6722050559999999</v>
      </c>
      <c r="G713" s="821">
        <v>0</v>
      </c>
      <c r="H713" s="822">
        <v>84745762.711864397</v>
      </c>
      <c r="I713" s="819"/>
      <c r="J713" s="820">
        <v>-7.5697200000000004E-5</v>
      </c>
      <c r="K713" s="819">
        <f t="shared" si="162"/>
        <v>758</v>
      </c>
      <c r="L713" s="819">
        <f t="shared" si="163"/>
        <v>1084</v>
      </c>
      <c r="M713" s="819">
        <f t="shared" si="159"/>
        <v>758</v>
      </c>
      <c r="N713" s="819">
        <f t="shared" si="160"/>
        <v>364</v>
      </c>
      <c r="O713" s="819">
        <f t="shared" si="161"/>
        <v>963</v>
      </c>
      <c r="P713" s="819">
        <f t="shared" si="164"/>
        <v>640</v>
      </c>
      <c r="Q713" s="819">
        <f t="shared" si="165"/>
        <v>661</v>
      </c>
      <c r="R713" s="819">
        <f t="shared" si="166"/>
        <v>676</v>
      </c>
      <c r="S713" s="819">
        <f t="shared" si="167"/>
        <v>338</v>
      </c>
      <c r="T713" s="819">
        <f t="shared" si="168"/>
        <v>941</v>
      </c>
      <c r="U713" s="819">
        <f t="shared" si="169"/>
        <v>3256</v>
      </c>
      <c r="V713" s="819">
        <f t="shared" si="170"/>
        <v>1284</v>
      </c>
      <c r="W713" s="379">
        <f t="shared" si="171"/>
        <v>1284</v>
      </c>
      <c r="X713" s="819" t="str">
        <f t="shared" si="172"/>
        <v/>
      </c>
      <c r="Y713" s="837"/>
      <c r="Z713" s="839"/>
      <c r="AA713" s="838"/>
      <c r="AB713" s="839"/>
    </row>
    <row r="714" spans="1:28" ht="13.15">
      <c r="B714" s="819" t="s">
        <v>1830</v>
      </c>
      <c r="C714" s="819" t="s">
        <v>1831</v>
      </c>
      <c r="D714" s="379" t="s">
        <v>336</v>
      </c>
      <c r="E714" s="818" t="s">
        <v>1832</v>
      </c>
      <c r="F714" s="820">
        <v>-9.5878563E-2</v>
      </c>
      <c r="G714" s="821">
        <v>-1.3349208379999999</v>
      </c>
      <c r="H714" s="822">
        <v>8062995.8290665597</v>
      </c>
      <c r="I714" s="819"/>
      <c r="J714" s="820">
        <v>4.0782789999999998E-3</v>
      </c>
      <c r="K714" s="819">
        <f t="shared" si="162"/>
        <v>1297</v>
      </c>
      <c r="L714" s="819">
        <f t="shared" si="163"/>
        <v>1312</v>
      </c>
      <c r="M714" s="819">
        <f t="shared" si="159"/>
        <v>1297</v>
      </c>
      <c r="N714" s="819">
        <f t="shared" si="160"/>
        <v>364</v>
      </c>
      <c r="O714" s="819">
        <f t="shared" si="161"/>
        <v>152</v>
      </c>
      <c r="P714" s="819">
        <f t="shared" si="164"/>
        <v>101</v>
      </c>
      <c r="Q714" s="819">
        <f t="shared" si="165"/>
        <v>889</v>
      </c>
      <c r="R714" s="819">
        <f t="shared" si="166"/>
        <v>1215</v>
      </c>
      <c r="S714" s="819">
        <f t="shared" si="167"/>
        <v>338</v>
      </c>
      <c r="T714" s="819">
        <f t="shared" si="168"/>
        <v>130</v>
      </c>
      <c r="U714" s="819">
        <f t="shared" si="169"/>
        <v>2673</v>
      </c>
      <c r="V714" s="819">
        <f t="shared" si="170"/>
        <v>334</v>
      </c>
      <c r="W714" s="379">
        <f t="shared" si="171"/>
        <v>334</v>
      </c>
      <c r="X714" s="819" t="str">
        <f t="shared" si="172"/>
        <v/>
      </c>
      <c r="Y714" s="837"/>
      <c r="Z714" s="839"/>
      <c r="AA714" s="838"/>
      <c r="AB714" s="839"/>
    </row>
    <row r="715" spans="1:28" ht="14.45">
      <c r="A715" s="816"/>
      <c r="B715" s="819" t="s">
        <v>1833</v>
      </c>
      <c r="C715" s="819" t="s">
        <v>1834</v>
      </c>
      <c r="D715" s="379" t="s">
        <v>336</v>
      </c>
      <c r="E715" s="818" t="s">
        <v>998</v>
      </c>
      <c r="F715" s="820">
        <v>2.3586033</v>
      </c>
      <c r="G715" s="821">
        <v>1.844300823</v>
      </c>
      <c r="H715" s="822">
        <v>60257960.499798499</v>
      </c>
      <c r="I715" s="819">
        <v>0.66</v>
      </c>
      <c r="J715" s="820">
        <v>-4.9347200000000001E-4</v>
      </c>
      <c r="K715" s="819">
        <f t="shared" si="162"/>
        <v>840</v>
      </c>
      <c r="L715" s="819">
        <f t="shared" si="163"/>
        <v>696</v>
      </c>
      <c r="M715" s="819">
        <f t="shared" si="159"/>
        <v>840</v>
      </c>
      <c r="N715" s="819">
        <f t="shared" si="160"/>
        <v>156</v>
      </c>
      <c r="O715" s="819">
        <f t="shared" si="161"/>
        <v>1268</v>
      </c>
      <c r="P715" s="819">
        <f t="shared" si="164"/>
        <v>558</v>
      </c>
      <c r="Q715" s="819">
        <f t="shared" si="165"/>
        <v>273</v>
      </c>
      <c r="R715" s="819">
        <f t="shared" si="166"/>
        <v>758</v>
      </c>
      <c r="S715" s="819">
        <f t="shared" si="167"/>
        <v>130</v>
      </c>
      <c r="T715" s="819">
        <f t="shared" si="168"/>
        <v>1246</v>
      </c>
      <c r="U715" s="819">
        <f t="shared" si="169"/>
        <v>2965</v>
      </c>
      <c r="V715" s="819">
        <f t="shared" si="170"/>
        <v>884</v>
      </c>
      <c r="W715" s="379">
        <f t="shared" si="171"/>
        <v>884</v>
      </c>
      <c r="X715" s="819" t="str">
        <f t="shared" si="172"/>
        <v/>
      </c>
      <c r="Y715" s="837"/>
      <c r="Z715" s="839"/>
      <c r="AA715" s="838"/>
      <c r="AB715" s="839"/>
    </row>
    <row r="716" spans="1:28" ht="13.15">
      <c r="B716" s="819" t="s">
        <v>1835</v>
      </c>
      <c r="C716" s="819" t="s">
        <v>1836</v>
      </c>
      <c r="D716" s="379" t="s">
        <v>336</v>
      </c>
      <c r="E716" s="818" t="s">
        <v>702</v>
      </c>
      <c r="F716" s="820">
        <v>4.8861141449999996</v>
      </c>
      <c r="G716" s="821">
        <v>14.74537069</v>
      </c>
      <c r="H716" s="822">
        <v>3905195.9890610701</v>
      </c>
      <c r="I716" s="819"/>
      <c r="J716" s="820">
        <v>-2.2614000000000001E-5</v>
      </c>
      <c r="K716" s="819">
        <f t="shared" si="162"/>
        <v>1413</v>
      </c>
      <c r="L716" s="819">
        <f t="shared" si="163"/>
        <v>127</v>
      </c>
      <c r="M716" s="819">
        <f t="shared" si="159"/>
        <v>1413</v>
      </c>
      <c r="N716" s="819">
        <f t="shared" si="160"/>
        <v>364</v>
      </c>
      <c r="O716" s="819">
        <f t="shared" si="161"/>
        <v>859</v>
      </c>
      <c r="P716" s="819">
        <f t="shared" si="164"/>
        <v>15</v>
      </c>
      <c r="Q716" s="819">
        <f t="shared" si="165"/>
        <v>296</v>
      </c>
      <c r="R716" s="819">
        <f t="shared" si="166"/>
        <v>1331</v>
      </c>
      <c r="S716" s="819">
        <f t="shared" si="167"/>
        <v>338</v>
      </c>
      <c r="T716" s="819">
        <f t="shared" si="168"/>
        <v>837</v>
      </c>
      <c r="U716" s="819">
        <f t="shared" si="169"/>
        <v>2817</v>
      </c>
      <c r="V716" s="819">
        <f t="shared" si="170"/>
        <v>657</v>
      </c>
      <c r="W716" s="379">
        <f t="shared" si="171"/>
        <v>657</v>
      </c>
      <c r="X716" s="819" t="str">
        <f t="shared" si="172"/>
        <v/>
      </c>
      <c r="Y716" s="837"/>
      <c r="Z716" s="839"/>
      <c r="AA716" s="838"/>
      <c r="AB716" s="839"/>
    </row>
    <row r="717" spans="1:28" ht="14.45">
      <c r="A717" s="816"/>
      <c r="B717" s="819" t="s">
        <v>1837</v>
      </c>
      <c r="C717" s="819" t="s">
        <v>1838</v>
      </c>
      <c r="D717" s="379" t="s">
        <v>336</v>
      </c>
      <c r="E717" s="818" t="s">
        <v>418</v>
      </c>
      <c r="F717" s="820">
        <v>1.0533568129999999</v>
      </c>
      <c r="G717" s="821">
        <v>5.751625529</v>
      </c>
      <c r="H717" s="822">
        <v>97393429.792192593</v>
      </c>
      <c r="I717" s="819"/>
      <c r="J717" s="820">
        <v>-1.8685899999999999E-4</v>
      </c>
      <c r="K717" s="819">
        <f t="shared" si="162"/>
        <v>729</v>
      </c>
      <c r="L717" s="819">
        <f t="shared" si="163"/>
        <v>334</v>
      </c>
      <c r="M717" s="819">
        <f t="shared" si="159"/>
        <v>729</v>
      </c>
      <c r="N717" s="819">
        <f t="shared" si="160"/>
        <v>364</v>
      </c>
      <c r="O717" s="819">
        <f t="shared" si="161"/>
        <v>1096</v>
      </c>
      <c r="P717" s="819">
        <f t="shared" si="164"/>
        <v>669</v>
      </c>
      <c r="Q717" s="819">
        <f t="shared" si="165"/>
        <v>89</v>
      </c>
      <c r="R717" s="819">
        <f t="shared" si="166"/>
        <v>647</v>
      </c>
      <c r="S717" s="819">
        <f t="shared" si="167"/>
        <v>338</v>
      </c>
      <c r="T717" s="819">
        <f t="shared" si="168"/>
        <v>1074</v>
      </c>
      <c r="U717" s="819">
        <f t="shared" si="169"/>
        <v>2817</v>
      </c>
      <c r="V717" s="819">
        <f t="shared" si="170"/>
        <v>657</v>
      </c>
      <c r="W717" s="379">
        <f t="shared" si="171"/>
        <v>657</v>
      </c>
      <c r="X717" s="819" t="str">
        <f t="shared" si="172"/>
        <v/>
      </c>
      <c r="Y717" s="837"/>
      <c r="Z717" s="839"/>
      <c r="AA717" s="838"/>
      <c r="AB717" s="839"/>
    </row>
    <row r="718" spans="1:28" ht="13.15">
      <c r="B718" s="819" t="s">
        <v>1839</v>
      </c>
      <c r="C718" s="819" t="s">
        <v>1840</v>
      </c>
      <c r="D718" s="379" t="s">
        <v>336</v>
      </c>
      <c r="E718" s="818" t="s">
        <v>1832</v>
      </c>
      <c r="F718" s="820">
        <v>0.31785990600000003</v>
      </c>
      <c r="G718" s="821">
        <v>-1.1593504530000001</v>
      </c>
      <c r="H718" s="822">
        <v>10811343.048444301</v>
      </c>
      <c r="I718" s="819"/>
      <c r="J718" s="820">
        <v>9.3292800000000002E-5</v>
      </c>
      <c r="K718" s="819">
        <f t="shared" si="162"/>
        <v>1236</v>
      </c>
      <c r="L718" s="819">
        <f t="shared" si="163"/>
        <v>1303</v>
      </c>
      <c r="M718" s="819">
        <f t="shared" si="159"/>
        <v>1236</v>
      </c>
      <c r="N718" s="819">
        <f t="shared" si="160"/>
        <v>364</v>
      </c>
      <c r="O718" s="819">
        <f t="shared" si="161"/>
        <v>304</v>
      </c>
      <c r="P718" s="819">
        <f t="shared" si="164"/>
        <v>162</v>
      </c>
      <c r="Q718" s="819">
        <f t="shared" si="165"/>
        <v>880</v>
      </c>
      <c r="R718" s="819">
        <f t="shared" si="166"/>
        <v>1154</v>
      </c>
      <c r="S718" s="819">
        <f t="shared" si="167"/>
        <v>338</v>
      </c>
      <c r="T718" s="819">
        <f t="shared" si="168"/>
        <v>282</v>
      </c>
      <c r="U718" s="819">
        <f t="shared" si="169"/>
        <v>2816</v>
      </c>
      <c r="V718" s="819">
        <f t="shared" si="170"/>
        <v>656</v>
      </c>
      <c r="W718" s="379">
        <f t="shared" si="171"/>
        <v>656</v>
      </c>
      <c r="X718" s="819" t="str">
        <f t="shared" si="172"/>
        <v/>
      </c>
      <c r="Y718" s="837"/>
      <c r="Z718" s="839"/>
      <c r="AA718" s="838"/>
      <c r="AB718" s="839"/>
    </row>
    <row r="719" spans="1:28" ht="14.45">
      <c r="A719" s="816"/>
      <c r="B719" s="819" t="s">
        <v>1841</v>
      </c>
      <c r="C719" s="819" t="s">
        <v>1842</v>
      </c>
      <c r="D719" s="379" t="s">
        <v>336</v>
      </c>
      <c r="E719" s="818" t="s">
        <v>1832</v>
      </c>
      <c r="F719" s="820">
        <v>4.2245562200000002</v>
      </c>
      <c r="G719" s="821">
        <v>13.59540668</v>
      </c>
      <c r="H719" s="822">
        <v>35932186.7881056</v>
      </c>
      <c r="I719" s="819"/>
      <c r="J719" s="820">
        <v>-1.3065900000000001E-4</v>
      </c>
      <c r="K719" s="819">
        <f t="shared" si="162"/>
        <v>955</v>
      </c>
      <c r="L719" s="819">
        <f t="shared" si="163"/>
        <v>144</v>
      </c>
      <c r="M719" s="819">
        <f t="shared" si="159"/>
        <v>955</v>
      </c>
      <c r="N719" s="819">
        <f t="shared" si="160"/>
        <v>364</v>
      </c>
      <c r="O719" s="819">
        <f t="shared" si="161"/>
        <v>1042</v>
      </c>
      <c r="P719" s="819">
        <f t="shared" si="164"/>
        <v>443</v>
      </c>
      <c r="Q719" s="819">
        <f t="shared" si="165"/>
        <v>279</v>
      </c>
      <c r="R719" s="819">
        <f t="shared" si="166"/>
        <v>873</v>
      </c>
      <c r="S719" s="819">
        <f t="shared" si="167"/>
        <v>338</v>
      </c>
      <c r="T719" s="819">
        <f t="shared" si="168"/>
        <v>1020</v>
      </c>
      <c r="U719" s="819">
        <f t="shared" si="169"/>
        <v>2953</v>
      </c>
      <c r="V719" s="819">
        <f t="shared" si="170"/>
        <v>871</v>
      </c>
      <c r="W719" s="379">
        <f t="shared" si="171"/>
        <v>871</v>
      </c>
      <c r="X719" s="819" t="str">
        <f t="shared" si="172"/>
        <v/>
      </c>
      <c r="Y719" s="837"/>
      <c r="Z719" s="839"/>
      <c r="AA719" s="838"/>
      <c r="AB719" s="839"/>
    </row>
    <row r="720" spans="1:28" ht="13.15">
      <c r="B720" s="819" t="s">
        <v>1843</v>
      </c>
      <c r="C720" s="819" t="s">
        <v>1844</v>
      </c>
      <c r="D720" s="379" t="s">
        <v>336</v>
      </c>
      <c r="E720" s="818" t="s">
        <v>425</v>
      </c>
      <c r="F720" s="820">
        <v>2.7114926970000002</v>
      </c>
      <c r="G720" s="821">
        <v>21.508557570000001</v>
      </c>
      <c r="H720" s="822">
        <v>69556957.8441374</v>
      </c>
      <c r="I720" s="819"/>
      <c r="J720" s="820">
        <v>-7.3854599999999997E-4</v>
      </c>
      <c r="K720" s="819">
        <f t="shared" si="162"/>
        <v>799</v>
      </c>
      <c r="L720" s="819">
        <f t="shared" si="163"/>
        <v>92</v>
      </c>
      <c r="M720" s="819">
        <f t="shared" si="159"/>
        <v>799</v>
      </c>
      <c r="N720" s="819">
        <f t="shared" si="160"/>
        <v>364</v>
      </c>
      <c r="O720" s="819">
        <f t="shared" si="161"/>
        <v>1353</v>
      </c>
      <c r="P720" s="819">
        <f t="shared" si="164"/>
        <v>599</v>
      </c>
      <c r="Q720" s="819">
        <f t="shared" si="165"/>
        <v>331</v>
      </c>
      <c r="R720" s="819">
        <f t="shared" si="166"/>
        <v>717</v>
      </c>
      <c r="S720" s="819">
        <f t="shared" si="167"/>
        <v>338</v>
      </c>
      <c r="T720" s="819">
        <f t="shared" si="168"/>
        <v>1331</v>
      </c>
      <c r="U720" s="819">
        <f t="shared" si="169"/>
        <v>3316</v>
      </c>
      <c r="V720" s="819">
        <f t="shared" si="170"/>
        <v>1366</v>
      </c>
      <c r="W720" s="379">
        <f t="shared" si="171"/>
        <v>1366</v>
      </c>
      <c r="X720" s="819" t="str">
        <f t="shared" si="172"/>
        <v/>
      </c>
      <c r="Y720" s="837"/>
      <c r="Z720" s="839"/>
      <c r="AA720" s="838"/>
      <c r="AB720" s="839"/>
    </row>
    <row r="721" spans="1:28" ht="14.45">
      <c r="A721" s="816"/>
      <c r="B721" s="819" t="s">
        <v>1845</v>
      </c>
      <c r="C721" s="819" t="s">
        <v>1846</v>
      </c>
      <c r="D721" s="379" t="s">
        <v>336</v>
      </c>
      <c r="E721" s="818" t="s">
        <v>731</v>
      </c>
      <c r="F721" s="820">
        <v>0.25293101800000001</v>
      </c>
      <c r="G721" s="821">
        <v>-1.0900031139999999</v>
      </c>
      <c r="H721" s="822">
        <v>14350121.547671299</v>
      </c>
      <c r="I721" s="819"/>
      <c r="J721" s="820">
        <v>2.7611799999999998E-6</v>
      </c>
      <c r="K721" s="819">
        <f t="shared" si="162"/>
        <v>1175</v>
      </c>
      <c r="L721" s="819">
        <f t="shared" si="163"/>
        <v>1300</v>
      </c>
      <c r="M721" s="819">
        <f t="shared" si="159"/>
        <v>1175</v>
      </c>
      <c r="N721" s="819">
        <f t="shared" si="160"/>
        <v>364</v>
      </c>
      <c r="O721" s="819">
        <f t="shared" si="161"/>
        <v>460</v>
      </c>
      <c r="P721" s="819">
        <f t="shared" si="164"/>
        <v>223</v>
      </c>
      <c r="Q721" s="819">
        <f t="shared" si="165"/>
        <v>877</v>
      </c>
      <c r="R721" s="819">
        <f t="shared" si="166"/>
        <v>1093</v>
      </c>
      <c r="S721" s="819">
        <f t="shared" si="167"/>
        <v>338</v>
      </c>
      <c r="T721" s="819">
        <f t="shared" si="168"/>
        <v>438</v>
      </c>
      <c r="U721" s="819">
        <f t="shared" si="169"/>
        <v>2969</v>
      </c>
      <c r="V721" s="819">
        <f t="shared" si="170"/>
        <v>890</v>
      </c>
      <c r="W721" s="379">
        <f t="shared" si="171"/>
        <v>890</v>
      </c>
      <c r="X721" s="819" t="str">
        <f t="shared" si="172"/>
        <v/>
      </c>
      <c r="Y721" s="837"/>
      <c r="Z721" s="839"/>
      <c r="AA721" s="838"/>
      <c r="AB721" s="839"/>
    </row>
    <row r="722" spans="1:28" ht="13.15">
      <c r="B722" s="819" t="s">
        <v>1847</v>
      </c>
      <c r="C722" s="819" t="s">
        <v>1848</v>
      </c>
      <c r="D722" s="379" t="s">
        <v>336</v>
      </c>
      <c r="E722" s="818" t="s">
        <v>941</v>
      </c>
      <c r="F722" s="820">
        <v>2.7747469370000002</v>
      </c>
      <c r="G722" s="821">
        <v>153.11000000000001</v>
      </c>
      <c r="H722" s="822">
        <v>66825160.936528303</v>
      </c>
      <c r="I722" s="819">
        <v>1.1299999999999999</v>
      </c>
      <c r="J722" s="820">
        <v>-9.6954500000000002E-5</v>
      </c>
      <c r="K722" s="819">
        <f t="shared" si="162"/>
        <v>815</v>
      </c>
      <c r="L722" s="819">
        <f t="shared" si="163"/>
        <v>11</v>
      </c>
      <c r="M722" s="819">
        <f t="shared" si="159"/>
        <v>815</v>
      </c>
      <c r="N722" s="819">
        <f t="shared" si="160"/>
        <v>120</v>
      </c>
      <c r="O722" s="819">
        <f t="shared" si="161"/>
        <v>1005</v>
      </c>
      <c r="P722" s="819">
        <f t="shared" si="164"/>
        <v>583</v>
      </c>
      <c r="Q722" s="819">
        <f t="shared" si="165"/>
        <v>412</v>
      </c>
      <c r="R722" s="819">
        <f t="shared" si="166"/>
        <v>733</v>
      </c>
      <c r="S722" s="819">
        <f t="shared" si="167"/>
        <v>94</v>
      </c>
      <c r="T722" s="819">
        <f t="shared" si="168"/>
        <v>983</v>
      </c>
      <c r="U722" s="819">
        <f t="shared" si="169"/>
        <v>2805</v>
      </c>
      <c r="V722" s="819">
        <f t="shared" si="170"/>
        <v>639</v>
      </c>
      <c r="W722" s="379">
        <f t="shared" si="171"/>
        <v>639</v>
      </c>
      <c r="X722" s="819" t="str">
        <f t="shared" si="172"/>
        <v/>
      </c>
      <c r="Y722" s="837"/>
      <c r="Z722" s="839"/>
      <c r="AA722" s="838"/>
      <c r="AB722" s="839"/>
    </row>
    <row r="723" spans="1:28" ht="14.45">
      <c r="A723" s="816"/>
      <c r="B723" s="819" t="s">
        <v>1849</v>
      </c>
      <c r="C723" s="819" t="s">
        <v>1850</v>
      </c>
      <c r="D723" s="379" t="s">
        <v>336</v>
      </c>
      <c r="E723" s="818" t="s">
        <v>337</v>
      </c>
      <c r="F723" s="820">
        <v>2.25698643</v>
      </c>
      <c r="G723" s="821">
        <v>1.3751976020000001</v>
      </c>
      <c r="H723" s="822">
        <v>1184.2742169999999</v>
      </c>
      <c r="I723" s="819"/>
      <c r="J723" s="820">
        <v>-1.71201E-4</v>
      </c>
      <c r="K723" s="819">
        <f t="shared" si="162"/>
        <v>1682</v>
      </c>
      <c r="L723" s="819">
        <f t="shared" si="163"/>
        <v>760</v>
      </c>
      <c r="M723" s="819">
        <f t="shared" si="159"/>
        <v>1682</v>
      </c>
      <c r="N723" s="819">
        <f t="shared" si="160"/>
        <v>364</v>
      </c>
      <c r="O723" s="819">
        <f t="shared" si="161"/>
        <v>1084</v>
      </c>
      <c r="P723" s="819">
        <f t="shared" si="164"/>
        <v>284</v>
      </c>
      <c r="Q723" s="819">
        <f t="shared" si="165"/>
        <v>337</v>
      </c>
      <c r="R723" s="819">
        <f t="shared" si="166"/>
        <v>1600</v>
      </c>
      <c r="S723" s="819">
        <f t="shared" si="167"/>
        <v>338</v>
      </c>
      <c r="T723" s="819">
        <f t="shared" si="168"/>
        <v>1062</v>
      </c>
      <c r="U723" s="819">
        <f t="shared" si="169"/>
        <v>3621</v>
      </c>
      <c r="V723" s="819">
        <f t="shared" si="170"/>
        <v>1634</v>
      </c>
      <c r="W723" s="379">
        <f t="shared" si="171"/>
        <v>1634</v>
      </c>
      <c r="X723" s="819" t="str">
        <f t="shared" si="172"/>
        <v/>
      </c>
      <c r="Y723" s="837"/>
      <c r="Z723" s="839"/>
      <c r="AA723" s="838"/>
      <c r="AB723" s="839"/>
    </row>
    <row r="724" spans="1:28" ht="13.15">
      <c r="B724" s="819" t="s">
        <v>1851</v>
      </c>
      <c r="C724" s="819" t="s">
        <v>1852</v>
      </c>
      <c r="D724" s="379" t="s">
        <v>336</v>
      </c>
      <c r="E724" s="818" t="s">
        <v>418</v>
      </c>
      <c r="F724" s="820">
        <v>1.800769555</v>
      </c>
      <c r="G724" s="821">
        <v>-4.4394159469999996</v>
      </c>
      <c r="H724" s="822">
        <v>427776626.607108</v>
      </c>
      <c r="I724" s="819"/>
      <c r="J724" s="820">
        <v>1.2236199999999999E-4</v>
      </c>
      <c r="K724" s="819">
        <f t="shared" si="162"/>
        <v>392</v>
      </c>
      <c r="L724" s="819">
        <f t="shared" si="163"/>
        <v>1399</v>
      </c>
      <c r="M724" s="819">
        <f t="shared" si="159"/>
        <v>392</v>
      </c>
      <c r="N724" s="819">
        <f t="shared" si="160"/>
        <v>364</v>
      </c>
      <c r="O724" s="819">
        <f t="shared" si="161"/>
        <v>284</v>
      </c>
      <c r="P724" s="819">
        <f t="shared" si="164"/>
        <v>1006</v>
      </c>
      <c r="Q724" s="819">
        <f t="shared" si="165"/>
        <v>976</v>
      </c>
      <c r="R724" s="819">
        <f t="shared" si="166"/>
        <v>310</v>
      </c>
      <c r="S724" s="819">
        <f t="shared" si="167"/>
        <v>338</v>
      </c>
      <c r="T724" s="819">
        <f t="shared" si="168"/>
        <v>262</v>
      </c>
      <c r="U724" s="819">
        <f t="shared" si="169"/>
        <v>2892</v>
      </c>
      <c r="V724" s="819">
        <f t="shared" si="170"/>
        <v>795</v>
      </c>
      <c r="W724" s="379">
        <f t="shared" si="171"/>
        <v>795</v>
      </c>
      <c r="X724" s="819" t="str">
        <f t="shared" si="172"/>
        <v/>
      </c>
      <c r="Y724" s="837"/>
      <c r="Z724" s="839"/>
      <c r="AA724" s="838"/>
      <c r="AB724" s="839"/>
    </row>
    <row r="725" spans="1:28" ht="14.45">
      <c r="A725" s="816"/>
      <c r="B725" s="819" t="s">
        <v>1853</v>
      </c>
      <c r="C725" s="819" t="s">
        <v>1854</v>
      </c>
      <c r="D725" s="379" t="s">
        <v>336</v>
      </c>
      <c r="E725" s="818" t="s">
        <v>373</v>
      </c>
      <c r="F725" s="820">
        <v>4.654098651</v>
      </c>
      <c r="G725" s="821">
        <v>108.2663551</v>
      </c>
      <c r="H725" s="822">
        <v>15737373.7373737</v>
      </c>
      <c r="I725" s="819">
        <v>1.08</v>
      </c>
      <c r="J725" s="820">
        <v>-1.8265199999999999E-5</v>
      </c>
      <c r="K725" s="819">
        <f t="shared" si="162"/>
        <v>1154</v>
      </c>
      <c r="L725" s="819">
        <f t="shared" si="163"/>
        <v>14</v>
      </c>
      <c r="M725" s="819">
        <f t="shared" si="159"/>
        <v>1154</v>
      </c>
      <c r="N725" s="819">
        <f t="shared" si="160"/>
        <v>126</v>
      </c>
      <c r="O725" s="819">
        <f t="shared" si="161"/>
        <v>844</v>
      </c>
      <c r="P725" s="819">
        <f t="shared" si="164"/>
        <v>244</v>
      </c>
      <c r="Q725" s="819">
        <f t="shared" si="165"/>
        <v>409</v>
      </c>
      <c r="R725" s="819">
        <f t="shared" si="166"/>
        <v>1072</v>
      </c>
      <c r="S725" s="819">
        <f t="shared" si="167"/>
        <v>100</v>
      </c>
      <c r="T725" s="819">
        <f t="shared" si="168"/>
        <v>822</v>
      </c>
      <c r="U725" s="819">
        <f t="shared" si="169"/>
        <v>2647</v>
      </c>
      <c r="V725" s="819">
        <f t="shared" si="170"/>
        <v>318</v>
      </c>
      <c r="W725" s="379">
        <f t="shared" si="171"/>
        <v>318</v>
      </c>
      <c r="X725" s="819" t="str">
        <f t="shared" si="172"/>
        <v/>
      </c>
      <c r="Y725" s="837"/>
      <c r="Z725" s="839"/>
      <c r="AA725" s="838"/>
      <c r="AB725" s="839"/>
    </row>
    <row r="726" spans="1:28" ht="13.15">
      <c r="B726" s="819" t="s">
        <v>1855</v>
      </c>
      <c r="C726" s="819" t="s">
        <v>1856</v>
      </c>
      <c r="D726" s="379" t="s">
        <v>336</v>
      </c>
      <c r="E726" s="818" t="s">
        <v>418</v>
      </c>
      <c r="F726" s="820">
        <v>-3.4246580000000001E-3</v>
      </c>
      <c r="G726" s="821">
        <v>-8.0454545450000001</v>
      </c>
      <c r="H726" s="822">
        <v>81837196.219330594</v>
      </c>
      <c r="I726" s="819"/>
      <c r="J726" s="820">
        <v>1.05782E-6</v>
      </c>
      <c r="K726" s="819">
        <f t="shared" si="162"/>
        <v>767</v>
      </c>
      <c r="L726" s="819">
        <f t="shared" si="163"/>
        <v>1435</v>
      </c>
      <c r="M726" s="819">
        <f t="shared" si="159"/>
        <v>767</v>
      </c>
      <c r="N726" s="819">
        <f t="shared" si="160"/>
        <v>364</v>
      </c>
      <c r="O726" s="819">
        <f t="shared" si="161"/>
        <v>478</v>
      </c>
      <c r="P726" s="819">
        <f t="shared" si="164"/>
        <v>631</v>
      </c>
      <c r="Q726" s="819">
        <f t="shared" si="165"/>
        <v>1012</v>
      </c>
      <c r="R726" s="819">
        <f t="shared" si="166"/>
        <v>685</v>
      </c>
      <c r="S726" s="819">
        <f t="shared" si="167"/>
        <v>338</v>
      </c>
      <c r="T726" s="819">
        <f t="shared" si="168"/>
        <v>456</v>
      </c>
      <c r="U726" s="819">
        <f t="shared" si="169"/>
        <v>3122</v>
      </c>
      <c r="V726" s="819">
        <f t="shared" si="170"/>
        <v>1091</v>
      </c>
      <c r="W726" s="379">
        <f t="shared" si="171"/>
        <v>1091</v>
      </c>
      <c r="X726" s="819" t="str">
        <f t="shared" si="172"/>
        <v/>
      </c>
      <c r="Y726" s="837"/>
      <c r="Z726" s="839"/>
      <c r="AA726" s="838"/>
      <c r="AB726" s="839"/>
    </row>
    <row r="727" spans="1:28" ht="14.45">
      <c r="A727" s="816"/>
      <c r="B727" s="819" t="s">
        <v>1857</v>
      </c>
      <c r="C727" s="819" t="s">
        <v>1858</v>
      </c>
      <c r="D727" s="379" t="s">
        <v>336</v>
      </c>
      <c r="E727" s="818" t="s">
        <v>337</v>
      </c>
      <c r="F727" s="820">
        <v>0.24231678500000001</v>
      </c>
      <c r="G727" s="821">
        <v>-3.1369548999999997E-2</v>
      </c>
      <c r="H727" s="822">
        <v>514605661.14999998</v>
      </c>
      <c r="I727" s="819"/>
      <c r="J727" s="820">
        <v>3.0419599999999999E-5</v>
      </c>
      <c r="K727" s="819">
        <f t="shared" si="162"/>
        <v>342</v>
      </c>
      <c r="L727" s="819">
        <f t="shared" si="163"/>
        <v>1200</v>
      </c>
      <c r="M727" s="819">
        <f t="shared" si="159"/>
        <v>342</v>
      </c>
      <c r="N727" s="819">
        <f t="shared" si="160"/>
        <v>364</v>
      </c>
      <c r="O727" s="819">
        <f t="shared" si="161"/>
        <v>377</v>
      </c>
      <c r="P727" s="819">
        <f t="shared" si="164"/>
        <v>1056</v>
      </c>
      <c r="Q727" s="819">
        <f t="shared" si="165"/>
        <v>777</v>
      </c>
      <c r="R727" s="819">
        <f t="shared" si="166"/>
        <v>260</v>
      </c>
      <c r="S727" s="819">
        <f t="shared" si="167"/>
        <v>338</v>
      </c>
      <c r="T727" s="819">
        <f t="shared" si="168"/>
        <v>355</v>
      </c>
      <c r="U727" s="819">
        <f t="shared" si="169"/>
        <v>2786</v>
      </c>
      <c r="V727" s="819">
        <f t="shared" si="170"/>
        <v>602</v>
      </c>
      <c r="W727" s="379">
        <f t="shared" si="171"/>
        <v>602</v>
      </c>
      <c r="X727" s="819" t="str">
        <f t="shared" si="172"/>
        <v/>
      </c>
      <c r="Y727" s="837"/>
      <c r="Z727" s="839"/>
      <c r="AA727" s="838"/>
      <c r="AB727" s="839"/>
    </row>
    <row r="728" spans="1:28" ht="13.15">
      <c r="B728" s="819" t="s">
        <v>1859</v>
      </c>
      <c r="C728" s="819" t="s">
        <v>1860</v>
      </c>
      <c r="D728" s="379" t="s">
        <v>336</v>
      </c>
      <c r="E728" s="818" t="s">
        <v>1861</v>
      </c>
      <c r="F728" s="820">
        <v>5.8596761999999997E-2</v>
      </c>
      <c r="G728" s="821">
        <v>0</v>
      </c>
      <c r="H728" s="822">
        <v>165257.527942143</v>
      </c>
      <c r="I728" s="819"/>
      <c r="J728" s="820">
        <v>-1.006E-6</v>
      </c>
      <c r="K728" s="819">
        <f t="shared" si="162"/>
        <v>1647</v>
      </c>
      <c r="L728" s="819">
        <f t="shared" si="163"/>
        <v>1084</v>
      </c>
      <c r="M728" s="819">
        <f t="shared" si="159"/>
        <v>1647</v>
      </c>
      <c r="N728" s="819">
        <f t="shared" si="160"/>
        <v>364</v>
      </c>
      <c r="O728" s="819">
        <f t="shared" si="161"/>
        <v>754</v>
      </c>
      <c r="P728" s="819">
        <f t="shared" si="164"/>
        <v>249</v>
      </c>
      <c r="Q728" s="819">
        <f t="shared" si="165"/>
        <v>661</v>
      </c>
      <c r="R728" s="819">
        <f t="shared" si="166"/>
        <v>1565</v>
      </c>
      <c r="S728" s="819">
        <f t="shared" si="167"/>
        <v>338</v>
      </c>
      <c r="T728" s="819">
        <f t="shared" si="168"/>
        <v>732</v>
      </c>
      <c r="U728" s="819">
        <f t="shared" si="169"/>
        <v>3545</v>
      </c>
      <c r="V728" s="819">
        <f t="shared" si="170"/>
        <v>1591</v>
      </c>
      <c r="W728" s="379">
        <f t="shared" si="171"/>
        <v>1591</v>
      </c>
      <c r="X728" s="819" t="str">
        <f t="shared" si="172"/>
        <v/>
      </c>
      <c r="Y728" s="837"/>
      <c r="Z728" s="839"/>
      <c r="AA728" s="838"/>
      <c r="AB728" s="839"/>
    </row>
    <row r="729" spans="1:28" ht="14.45">
      <c r="A729" s="816"/>
      <c r="B729" s="819" t="s">
        <v>1862</v>
      </c>
      <c r="C729" s="819" t="s">
        <v>1863</v>
      </c>
      <c r="D729" s="379" t="s">
        <v>336</v>
      </c>
      <c r="E729" s="818" t="s">
        <v>1861</v>
      </c>
      <c r="F729" s="820">
        <v>-2.5289473669999998</v>
      </c>
      <c r="G729" s="821">
        <v>-115.1813267</v>
      </c>
      <c r="H729" s="822">
        <v>183203.73438527301</v>
      </c>
      <c r="I729" s="819"/>
      <c r="J729" s="820">
        <v>6.08088E-6</v>
      </c>
      <c r="K729" s="819">
        <f t="shared" si="162"/>
        <v>1642</v>
      </c>
      <c r="L729" s="819">
        <f t="shared" si="163"/>
        <v>1521</v>
      </c>
      <c r="M729" s="819">
        <f t="shared" si="159"/>
        <v>1642</v>
      </c>
      <c r="N729" s="819">
        <f t="shared" si="160"/>
        <v>364</v>
      </c>
      <c r="O729" s="819">
        <f t="shared" si="161"/>
        <v>437</v>
      </c>
      <c r="P729" s="819">
        <f t="shared" si="164"/>
        <v>244</v>
      </c>
      <c r="Q729" s="819">
        <f t="shared" si="165"/>
        <v>1098</v>
      </c>
      <c r="R729" s="819">
        <f t="shared" si="166"/>
        <v>1560</v>
      </c>
      <c r="S729" s="819">
        <f t="shared" si="167"/>
        <v>338</v>
      </c>
      <c r="T729" s="819">
        <f t="shared" si="168"/>
        <v>415</v>
      </c>
      <c r="U729" s="819">
        <f t="shared" si="169"/>
        <v>3655</v>
      </c>
      <c r="V729" s="819">
        <f t="shared" si="170"/>
        <v>1655</v>
      </c>
      <c r="W729" s="379">
        <f t="shared" si="171"/>
        <v>1655</v>
      </c>
      <c r="X729" s="819" t="str">
        <f t="shared" si="172"/>
        <v/>
      </c>
      <c r="Y729" s="837"/>
      <c r="Z729" s="839"/>
      <c r="AA729" s="838"/>
      <c r="AB729" s="839"/>
    </row>
    <row r="730" spans="1:28" ht="13.15">
      <c r="B730" s="819" t="s">
        <v>1864</v>
      </c>
      <c r="C730" s="819" t="s">
        <v>1865</v>
      </c>
      <c r="D730" s="379" t="s">
        <v>336</v>
      </c>
      <c r="E730" s="818" t="s">
        <v>1861</v>
      </c>
      <c r="F730" s="820">
        <v>1.272370336</v>
      </c>
      <c r="G730" s="821">
        <v>0</v>
      </c>
      <c r="H730" s="822">
        <v>1895107.385492</v>
      </c>
      <c r="I730" s="819"/>
      <c r="J730" s="820">
        <v>-6.3130400000000001E-5</v>
      </c>
      <c r="K730" s="819">
        <f t="shared" si="162"/>
        <v>1506</v>
      </c>
      <c r="L730" s="819">
        <f t="shared" si="163"/>
        <v>1084</v>
      </c>
      <c r="M730" s="819">
        <f t="shared" si="159"/>
        <v>1506</v>
      </c>
      <c r="N730" s="819">
        <f t="shared" si="160"/>
        <v>364</v>
      </c>
      <c r="O730" s="819">
        <f t="shared" si="161"/>
        <v>944</v>
      </c>
      <c r="P730" s="819">
        <f t="shared" si="164"/>
        <v>108</v>
      </c>
      <c r="Q730" s="819">
        <f t="shared" si="165"/>
        <v>661</v>
      </c>
      <c r="R730" s="819">
        <f t="shared" si="166"/>
        <v>1424</v>
      </c>
      <c r="S730" s="819">
        <f t="shared" si="167"/>
        <v>338</v>
      </c>
      <c r="T730" s="819">
        <f t="shared" si="168"/>
        <v>922</v>
      </c>
      <c r="U730" s="819">
        <f t="shared" si="169"/>
        <v>3453</v>
      </c>
      <c r="V730" s="819">
        <f t="shared" si="170"/>
        <v>1509</v>
      </c>
      <c r="W730" s="379">
        <f t="shared" si="171"/>
        <v>1509</v>
      </c>
      <c r="X730" s="819" t="str">
        <f t="shared" si="172"/>
        <v/>
      </c>
      <c r="Y730" s="837"/>
      <c r="Z730" s="839"/>
      <c r="AA730" s="838"/>
      <c r="AB730" s="839"/>
    </row>
    <row r="731" spans="1:28" ht="14.45">
      <c r="A731" s="816"/>
      <c r="B731" s="819" t="s">
        <v>1866</v>
      </c>
      <c r="C731" s="819" t="s">
        <v>1867</v>
      </c>
      <c r="D731" s="379" t="s">
        <v>336</v>
      </c>
      <c r="E731" s="818" t="s">
        <v>1832</v>
      </c>
      <c r="F731" s="820">
        <v>0.96532010400000001</v>
      </c>
      <c r="G731" s="821">
        <v>-4.0905975960000003</v>
      </c>
      <c r="H731" s="822">
        <v>2767796.6719180802</v>
      </c>
      <c r="I731" s="819"/>
      <c r="J731" s="820">
        <v>1.897452E-3</v>
      </c>
      <c r="K731" s="819">
        <f t="shared" si="162"/>
        <v>1456</v>
      </c>
      <c r="L731" s="819">
        <f t="shared" si="163"/>
        <v>1391</v>
      </c>
      <c r="M731" s="819">
        <f t="shared" si="159"/>
        <v>1456</v>
      </c>
      <c r="N731" s="819">
        <f t="shared" si="160"/>
        <v>364</v>
      </c>
      <c r="O731" s="819">
        <f t="shared" si="161"/>
        <v>165</v>
      </c>
      <c r="P731" s="819">
        <f t="shared" si="164"/>
        <v>58</v>
      </c>
      <c r="Q731" s="819">
        <f t="shared" si="165"/>
        <v>968</v>
      </c>
      <c r="R731" s="819">
        <f t="shared" si="166"/>
        <v>1374</v>
      </c>
      <c r="S731" s="819">
        <f t="shared" si="167"/>
        <v>338</v>
      </c>
      <c r="T731" s="819">
        <f t="shared" si="168"/>
        <v>143</v>
      </c>
      <c r="U731" s="819">
        <f t="shared" si="169"/>
        <v>2881</v>
      </c>
      <c r="V731" s="819">
        <f t="shared" si="170"/>
        <v>776</v>
      </c>
      <c r="W731" s="379">
        <f t="shared" si="171"/>
        <v>776</v>
      </c>
      <c r="X731" s="819" t="str">
        <f t="shared" si="172"/>
        <v/>
      </c>
      <c r="Y731" s="837"/>
      <c r="Z731" s="839"/>
      <c r="AA731" s="838"/>
      <c r="AB731" s="839"/>
    </row>
    <row r="732" spans="1:28" ht="13.15">
      <c r="B732" s="819" t="s">
        <v>1868</v>
      </c>
      <c r="C732" s="819" t="s">
        <v>1869</v>
      </c>
      <c r="D732" s="379" t="s">
        <v>336</v>
      </c>
      <c r="E732" s="818" t="s">
        <v>1870</v>
      </c>
      <c r="F732" s="820">
        <v>0.96144759199999996</v>
      </c>
      <c r="G732" s="821">
        <v>0</v>
      </c>
      <c r="H732" s="822">
        <v>24746856.361060999</v>
      </c>
      <c r="I732" s="819"/>
      <c r="J732" s="820">
        <v>-1.6874500000000001E-4</v>
      </c>
      <c r="K732" s="819">
        <f t="shared" si="162"/>
        <v>1046</v>
      </c>
      <c r="L732" s="819">
        <f t="shared" si="163"/>
        <v>1084</v>
      </c>
      <c r="M732" s="819">
        <f t="shared" si="159"/>
        <v>1046</v>
      </c>
      <c r="N732" s="819">
        <f t="shared" si="160"/>
        <v>364</v>
      </c>
      <c r="O732" s="819">
        <f t="shared" si="161"/>
        <v>1077</v>
      </c>
      <c r="P732" s="819">
        <f t="shared" si="164"/>
        <v>352</v>
      </c>
      <c r="Q732" s="819">
        <f t="shared" si="165"/>
        <v>661</v>
      </c>
      <c r="R732" s="819">
        <f t="shared" si="166"/>
        <v>964</v>
      </c>
      <c r="S732" s="819">
        <f t="shared" si="167"/>
        <v>338</v>
      </c>
      <c r="T732" s="819">
        <f t="shared" si="168"/>
        <v>1055</v>
      </c>
      <c r="U732" s="819">
        <f t="shared" si="169"/>
        <v>3370</v>
      </c>
      <c r="V732" s="819">
        <f t="shared" si="170"/>
        <v>1434</v>
      </c>
      <c r="W732" s="379">
        <f t="shared" si="171"/>
        <v>1434</v>
      </c>
      <c r="X732" s="819" t="str">
        <f t="shared" si="172"/>
        <v/>
      </c>
      <c r="Y732" s="837"/>
      <c r="Z732" s="839"/>
      <c r="AA732" s="838"/>
      <c r="AB732" s="839"/>
    </row>
    <row r="733" spans="1:28" ht="14.45">
      <c r="A733" s="816"/>
      <c r="B733" s="819" t="s">
        <v>1871</v>
      </c>
      <c r="C733" s="819" t="s">
        <v>1872</v>
      </c>
      <c r="D733" s="379" t="s">
        <v>336</v>
      </c>
      <c r="E733" s="818" t="s">
        <v>460</v>
      </c>
      <c r="F733" s="820">
        <v>0.99896354499999995</v>
      </c>
      <c r="G733" s="821">
        <v>0.68107759599999995</v>
      </c>
      <c r="H733" s="822">
        <v>2475124.37810945</v>
      </c>
      <c r="I733" s="819"/>
      <c r="J733" s="820">
        <v>-1.8278700000000001E-4</v>
      </c>
      <c r="K733" s="819">
        <f t="shared" si="162"/>
        <v>1470</v>
      </c>
      <c r="L733" s="819">
        <f t="shared" si="163"/>
        <v>879</v>
      </c>
      <c r="M733" s="819">
        <f t="shared" si="159"/>
        <v>1470</v>
      </c>
      <c r="N733" s="819">
        <f t="shared" si="160"/>
        <v>364</v>
      </c>
      <c r="O733" s="819">
        <f t="shared" si="161"/>
        <v>1092</v>
      </c>
      <c r="P733" s="819">
        <f t="shared" si="164"/>
        <v>72</v>
      </c>
      <c r="Q733" s="819">
        <f t="shared" si="165"/>
        <v>456</v>
      </c>
      <c r="R733" s="819">
        <f t="shared" si="166"/>
        <v>1388</v>
      </c>
      <c r="S733" s="819">
        <f t="shared" si="167"/>
        <v>338</v>
      </c>
      <c r="T733" s="819">
        <f t="shared" si="168"/>
        <v>1070</v>
      </c>
      <c r="U733" s="819">
        <f t="shared" si="169"/>
        <v>3324</v>
      </c>
      <c r="V733" s="819">
        <f t="shared" si="170"/>
        <v>1376</v>
      </c>
      <c r="W733" s="379">
        <f t="shared" si="171"/>
        <v>1376</v>
      </c>
      <c r="X733" s="819" t="str">
        <f t="shared" si="172"/>
        <v/>
      </c>
      <c r="Y733" s="837"/>
      <c r="Z733" s="839"/>
      <c r="AA733" s="838"/>
      <c r="AB733" s="839"/>
    </row>
    <row r="734" spans="1:28" ht="13.15">
      <c r="B734" s="819" t="s">
        <v>1873</v>
      </c>
      <c r="C734" s="819" t="s">
        <v>1874</v>
      </c>
      <c r="D734" s="379" t="s">
        <v>336</v>
      </c>
      <c r="E734" s="818" t="s">
        <v>460</v>
      </c>
      <c r="F734" s="820">
        <v>1.270568524</v>
      </c>
      <c r="G734" s="821">
        <v>15.18165436</v>
      </c>
      <c r="H734" s="822">
        <v>45390701.840953998</v>
      </c>
      <c r="I734" s="819"/>
      <c r="J734" s="820">
        <v>-2.09998E-3</v>
      </c>
      <c r="K734" s="819">
        <f t="shared" si="162"/>
        <v>899</v>
      </c>
      <c r="L734" s="819">
        <f t="shared" si="163"/>
        <v>124</v>
      </c>
      <c r="M734" s="819">
        <f t="shared" si="159"/>
        <v>899</v>
      </c>
      <c r="N734" s="819">
        <f t="shared" si="160"/>
        <v>364</v>
      </c>
      <c r="O734" s="819">
        <f t="shared" si="161"/>
        <v>1497</v>
      </c>
      <c r="P734" s="819">
        <f t="shared" si="164"/>
        <v>499</v>
      </c>
      <c r="Q734" s="819">
        <f t="shared" si="165"/>
        <v>299</v>
      </c>
      <c r="R734" s="819">
        <f t="shared" si="166"/>
        <v>817</v>
      </c>
      <c r="S734" s="819">
        <f t="shared" si="167"/>
        <v>338</v>
      </c>
      <c r="T734" s="819">
        <f t="shared" si="168"/>
        <v>1475</v>
      </c>
      <c r="U734" s="819">
        <f t="shared" si="169"/>
        <v>3428</v>
      </c>
      <c r="V734" s="819">
        <f t="shared" si="170"/>
        <v>1488</v>
      </c>
      <c r="W734" s="379">
        <f t="shared" si="171"/>
        <v>1488</v>
      </c>
      <c r="X734" s="819" t="str">
        <f t="shared" si="172"/>
        <v/>
      </c>
      <c r="Y734" s="837"/>
      <c r="Z734" s="839"/>
      <c r="AA734" s="838"/>
      <c r="AB734" s="839"/>
    </row>
    <row r="735" spans="1:28" ht="14.45">
      <c r="A735" s="816"/>
      <c r="B735" s="819" t="s">
        <v>1875</v>
      </c>
      <c r="C735" s="819" t="s">
        <v>1876</v>
      </c>
      <c r="D735" s="379" t="s">
        <v>336</v>
      </c>
      <c r="E735" s="818" t="s">
        <v>425</v>
      </c>
      <c r="F735" s="820"/>
      <c r="G735" s="821"/>
      <c r="H735" s="822">
        <v>51029625.336177297</v>
      </c>
      <c r="I735" s="819"/>
      <c r="J735" s="820">
        <v>0</v>
      </c>
      <c r="K735" s="819">
        <f t="shared" si="162"/>
        <v>873</v>
      </c>
      <c r="L735" s="819">
        <f t="shared" si="163"/>
        <v>1084</v>
      </c>
      <c r="M735" s="819">
        <f t="shared" si="159"/>
        <v>873</v>
      </c>
      <c r="N735" s="819">
        <f t="shared" si="160"/>
        <v>364</v>
      </c>
      <c r="O735" s="819">
        <f t="shared" si="161"/>
        <v>492</v>
      </c>
      <c r="P735" s="819">
        <f t="shared" si="164"/>
        <v>525</v>
      </c>
      <c r="Q735" s="819">
        <f t="shared" si="165"/>
        <v>661</v>
      </c>
      <c r="R735" s="819">
        <f t="shared" si="166"/>
        <v>791</v>
      </c>
      <c r="S735" s="819">
        <f t="shared" si="167"/>
        <v>338</v>
      </c>
      <c r="T735" s="819">
        <f t="shared" si="168"/>
        <v>470</v>
      </c>
      <c r="U735" s="819">
        <f t="shared" si="169"/>
        <v>2785</v>
      </c>
      <c r="V735" s="819">
        <f t="shared" si="170"/>
        <v>463</v>
      </c>
      <c r="W735" s="379">
        <f t="shared" si="171"/>
        <v>463</v>
      </c>
      <c r="X735" s="819" t="str">
        <f t="shared" si="172"/>
        <v/>
      </c>
      <c r="Y735" s="837"/>
      <c r="Z735" s="839"/>
      <c r="AA735" s="838"/>
      <c r="AB735" s="839"/>
    </row>
    <row r="736" spans="1:28" ht="13.15">
      <c r="B736" s="819" t="s">
        <v>1877</v>
      </c>
      <c r="C736" s="819" t="s">
        <v>1878</v>
      </c>
      <c r="D736" s="379" t="s">
        <v>336</v>
      </c>
      <c r="E736" s="818" t="s">
        <v>378</v>
      </c>
      <c r="F736" s="820">
        <v>2.9767271160000002</v>
      </c>
      <c r="G736" s="821">
        <v>-221.6710526</v>
      </c>
      <c r="H736" s="822">
        <v>504376167.522111</v>
      </c>
      <c r="I736" s="819"/>
      <c r="J736" s="820">
        <v>1.67975E-5</v>
      </c>
      <c r="K736" s="819">
        <f t="shared" si="162"/>
        <v>347</v>
      </c>
      <c r="L736" s="819">
        <f t="shared" si="163"/>
        <v>1525</v>
      </c>
      <c r="M736" s="819">
        <f t="shared" si="159"/>
        <v>347</v>
      </c>
      <c r="N736" s="819">
        <f t="shared" si="160"/>
        <v>364</v>
      </c>
      <c r="O736" s="819">
        <f t="shared" si="161"/>
        <v>412</v>
      </c>
      <c r="P736" s="819">
        <f t="shared" si="164"/>
        <v>1051</v>
      </c>
      <c r="Q736" s="819">
        <f t="shared" si="165"/>
        <v>1102</v>
      </c>
      <c r="R736" s="819">
        <f t="shared" si="166"/>
        <v>265</v>
      </c>
      <c r="S736" s="819">
        <f t="shared" si="167"/>
        <v>338</v>
      </c>
      <c r="T736" s="819">
        <f t="shared" si="168"/>
        <v>390</v>
      </c>
      <c r="U736" s="819">
        <f t="shared" si="169"/>
        <v>3146</v>
      </c>
      <c r="V736" s="819">
        <f t="shared" si="170"/>
        <v>1120</v>
      </c>
      <c r="W736" s="379">
        <f t="shared" si="171"/>
        <v>1120</v>
      </c>
      <c r="X736" s="819" t="str">
        <f t="shared" si="172"/>
        <v/>
      </c>
      <c r="Y736" s="837"/>
      <c r="Z736" s="839"/>
      <c r="AA736" s="838"/>
      <c r="AB736" s="839"/>
    </row>
    <row r="737" spans="1:28" ht="14.45">
      <c r="A737" s="816"/>
      <c r="B737" s="819" t="s">
        <v>1879</v>
      </c>
      <c r="C737" s="819" t="s">
        <v>1880</v>
      </c>
      <c r="D737" s="379" t="s">
        <v>336</v>
      </c>
      <c r="E737" s="818" t="s">
        <v>337</v>
      </c>
      <c r="F737" s="820">
        <v>3.4402622639999998</v>
      </c>
      <c r="G737" s="821">
        <v>2.2032155310000001</v>
      </c>
      <c r="H737" s="822">
        <v>4392987.3408000004</v>
      </c>
      <c r="I737" s="819"/>
      <c r="J737" s="820">
        <v>-2.5721600000000001E-5</v>
      </c>
      <c r="K737" s="819">
        <f t="shared" si="162"/>
        <v>1387</v>
      </c>
      <c r="L737" s="819">
        <f t="shared" si="163"/>
        <v>648</v>
      </c>
      <c r="M737" s="819">
        <f t="shared" si="159"/>
        <v>1387</v>
      </c>
      <c r="N737" s="819">
        <f t="shared" si="160"/>
        <v>364</v>
      </c>
      <c r="O737" s="819">
        <f t="shared" si="161"/>
        <v>866</v>
      </c>
      <c r="P737" s="819">
        <f t="shared" si="164"/>
        <v>11</v>
      </c>
      <c r="Q737" s="819">
        <f t="shared" si="165"/>
        <v>225</v>
      </c>
      <c r="R737" s="819">
        <f t="shared" si="166"/>
        <v>1305</v>
      </c>
      <c r="S737" s="819">
        <f t="shared" si="167"/>
        <v>338</v>
      </c>
      <c r="T737" s="819">
        <f t="shared" si="168"/>
        <v>844</v>
      </c>
      <c r="U737" s="819">
        <f t="shared" si="169"/>
        <v>2723</v>
      </c>
      <c r="V737" s="819">
        <f t="shared" si="170"/>
        <v>386</v>
      </c>
      <c r="W737" s="379">
        <f t="shared" si="171"/>
        <v>386</v>
      </c>
      <c r="X737" s="819" t="str">
        <f t="shared" si="172"/>
        <v/>
      </c>
      <c r="Y737" s="837"/>
      <c r="Z737" s="839"/>
      <c r="AA737" s="838"/>
      <c r="AB737" s="839"/>
    </row>
    <row r="738" spans="1:28" ht="13.15">
      <c r="B738" s="819" t="s">
        <v>1881</v>
      </c>
      <c r="C738" s="819" t="s">
        <v>1882</v>
      </c>
      <c r="D738" s="379" t="s">
        <v>336</v>
      </c>
      <c r="E738" s="818" t="s">
        <v>191</v>
      </c>
      <c r="F738" s="820">
        <v>1.340156949</v>
      </c>
      <c r="G738" s="821">
        <v>8.4633864000000003E-2</v>
      </c>
      <c r="H738" s="822">
        <v>28234286.795749001</v>
      </c>
      <c r="I738" s="819"/>
      <c r="J738" s="820">
        <v>-5.2526500000000002E-4</v>
      </c>
      <c r="K738" s="819">
        <f t="shared" si="162"/>
        <v>1020</v>
      </c>
      <c r="L738" s="819">
        <f t="shared" si="163"/>
        <v>1022</v>
      </c>
      <c r="M738" s="819">
        <f t="shared" si="159"/>
        <v>1020</v>
      </c>
      <c r="N738" s="819">
        <f t="shared" si="160"/>
        <v>364</v>
      </c>
      <c r="O738" s="819">
        <f t="shared" si="161"/>
        <v>1276</v>
      </c>
      <c r="P738" s="819">
        <f t="shared" si="164"/>
        <v>378</v>
      </c>
      <c r="Q738" s="819">
        <f t="shared" si="165"/>
        <v>599</v>
      </c>
      <c r="R738" s="819">
        <f t="shared" si="166"/>
        <v>938</v>
      </c>
      <c r="S738" s="819">
        <f t="shared" si="167"/>
        <v>338</v>
      </c>
      <c r="T738" s="819">
        <f t="shared" si="168"/>
        <v>1254</v>
      </c>
      <c r="U738" s="819">
        <f t="shared" si="169"/>
        <v>3507</v>
      </c>
      <c r="V738" s="819">
        <f t="shared" si="170"/>
        <v>1558</v>
      </c>
      <c r="W738" s="379">
        <f t="shared" si="171"/>
        <v>1558</v>
      </c>
      <c r="X738" s="819" t="str">
        <f t="shared" si="172"/>
        <v/>
      </c>
      <c r="Y738" s="837"/>
      <c r="Z738" s="839"/>
      <c r="AA738" s="838"/>
      <c r="AB738" s="839"/>
    </row>
    <row r="739" spans="1:28" ht="14.45">
      <c r="A739" s="816"/>
      <c r="B739" s="819" t="s">
        <v>1883</v>
      </c>
      <c r="C739" s="819" t="s">
        <v>1884</v>
      </c>
      <c r="D739" s="379" t="s">
        <v>336</v>
      </c>
      <c r="E739" s="818" t="s">
        <v>1826</v>
      </c>
      <c r="F739" s="820">
        <v>-0.15896750400000001</v>
      </c>
      <c r="G739" s="821">
        <v>-0.933030943</v>
      </c>
      <c r="H739" s="822">
        <v>7142986.4896895001</v>
      </c>
      <c r="I739" s="819"/>
      <c r="J739" s="820">
        <v>9.7709199999999993E-4</v>
      </c>
      <c r="K739" s="819">
        <f t="shared" si="162"/>
        <v>1315</v>
      </c>
      <c r="L739" s="819">
        <f t="shared" si="163"/>
        <v>1289</v>
      </c>
      <c r="M739" s="819">
        <f t="shared" si="159"/>
        <v>1315</v>
      </c>
      <c r="N739" s="819">
        <f t="shared" si="160"/>
        <v>364</v>
      </c>
      <c r="O739" s="819">
        <f t="shared" si="161"/>
        <v>179</v>
      </c>
      <c r="P739" s="819">
        <f t="shared" si="164"/>
        <v>83</v>
      </c>
      <c r="Q739" s="819">
        <f t="shared" si="165"/>
        <v>866</v>
      </c>
      <c r="R739" s="819">
        <f t="shared" si="166"/>
        <v>1233</v>
      </c>
      <c r="S739" s="819">
        <f t="shared" si="167"/>
        <v>338</v>
      </c>
      <c r="T739" s="819">
        <f t="shared" si="168"/>
        <v>157</v>
      </c>
      <c r="U739" s="819">
        <f t="shared" si="169"/>
        <v>2677</v>
      </c>
      <c r="V739" s="819">
        <f t="shared" si="170"/>
        <v>335</v>
      </c>
      <c r="W739" s="379">
        <f t="shared" si="171"/>
        <v>335</v>
      </c>
      <c r="X739" s="819" t="str">
        <f t="shared" si="172"/>
        <v/>
      </c>
      <c r="Y739" s="837"/>
      <c r="Z739" s="839"/>
      <c r="AA739" s="838"/>
      <c r="AB739" s="839"/>
    </row>
    <row r="740" spans="1:28" ht="13.15">
      <c r="B740" s="819" t="s">
        <v>1885</v>
      </c>
      <c r="C740" s="819" t="s">
        <v>1886</v>
      </c>
      <c r="D740" s="379" t="s">
        <v>336</v>
      </c>
      <c r="E740" s="818" t="s">
        <v>373</v>
      </c>
      <c r="F740" s="820">
        <v>3.5270704820000001</v>
      </c>
      <c r="G740" s="821">
        <v>6.5955016940000002</v>
      </c>
      <c r="H740" s="822">
        <v>92146462.211700395</v>
      </c>
      <c r="I740" s="819"/>
      <c r="J740" s="820">
        <v>-3.7068919999999998E-3</v>
      </c>
      <c r="K740" s="819">
        <f t="shared" si="162"/>
        <v>740</v>
      </c>
      <c r="L740" s="819">
        <f t="shared" si="163"/>
        <v>303</v>
      </c>
      <c r="M740" s="819">
        <f t="shared" si="159"/>
        <v>740</v>
      </c>
      <c r="N740" s="819">
        <f t="shared" si="160"/>
        <v>364</v>
      </c>
      <c r="O740" s="819">
        <f t="shared" si="161"/>
        <v>1577</v>
      </c>
      <c r="P740" s="819">
        <f t="shared" si="164"/>
        <v>658</v>
      </c>
      <c r="Q740" s="819">
        <f t="shared" si="165"/>
        <v>120</v>
      </c>
      <c r="R740" s="819">
        <f t="shared" si="166"/>
        <v>658</v>
      </c>
      <c r="S740" s="819">
        <f t="shared" si="167"/>
        <v>338</v>
      </c>
      <c r="T740" s="819">
        <f t="shared" si="168"/>
        <v>1555</v>
      </c>
      <c r="U740" s="819">
        <f t="shared" si="169"/>
        <v>3329</v>
      </c>
      <c r="V740" s="819">
        <f t="shared" si="170"/>
        <v>1380</v>
      </c>
      <c r="W740" s="379">
        <f t="shared" si="171"/>
        <v>1380</v>
      </c>
      <c r="X740" s="819" t="str">
        <f t="shared" si="172"/>
        <v/>
      </c>
      <c r="Y740" s="837"/>
      <c r="Z740" s="839"/>
      <c r="AA740" s="838"/>
      <c r="AB740" s="839"/>
    </row>
    <row r="741" spans="1:28" ht="14.45">
      <c r="A741" s="816"/>
      <c r="B741" s="819" t="s">
        <v>1887</v>
      </c>
      <c r="C741" s="819" t="s">
        <v>1888</v>
      </c>
      <c r="D741" s="379" t="s">
        <v>336</v>
      </c>
      <c r="E741" s="818" t="s">
        <v>1832</v>
      </c>
      <c r="F741" s="820"/>
      <c r="G741" s="821"/>
      <c r="H741" s="822">
        <v>821861.84324537194</v>
      </c>
      <c r="I741" s="819"/>
      <c r="J741" s="820">
        <v>0</v>
      </c>
      <c r="K741" s="819">
        <f t="shared" si="162"/>
        <v>1571</v>
      </c>
      <c r="L741" s="819">
        <f t="shared" si="163"/>
        <v>1084</v>
      </c>
      <c r="M741" s="819">
        <f t="shared" si="159"/>
        <v>1571</v>
      </c>
      <c r="N741" s="819">
        <f t="shared" si="160"/>
        <v>364</v>
      </c>
      <c r="O741" s="819">
        <f t="shared" si="161"/>
        <v>492</v>
      </c>
      <c r="P741" s="819">
        <f t="shared" si="164"/>
        <v>173</v>
      </c>
      <c r="Q741" s="819">
        <f t="shared" si="165"/>
        <v>661</v>
      </c>
      <c r="R741" s="819">
        <f t="shared" si="166"/>
        <v>1489</v>
      </c>
      <c r="S741" s="819">
        <f t="shared" si="167"/>
        <v>338</v>
      </c>
      <c r="T741" s="819">
        <f t="shared" si="168"/>
        <v>470</v>
      </c>
      <c r="U741" s="819">
        <f t="shared" si="169"/>
        <v>3131</v>
      </c>
      <c r="V741" s="819">
        <f t="shared" si="170"/>
        <v>1100</v>
      </c>
      <c r="W741" s="379">
        <f t="shared" si="171"/>
        <v>1100</v>
      </c>
      <c r="X741" s="819" t="str">
        <f t="shared" si="172"/>
        <v/>
      </c>
      <c r="Y741" s="837"/>
      <c r="Z741" s="839"/>
      <c r="AA741" s="838"/>
      <c r="AB741" s="839"/>
    </row>
    <row r="742" spans="1:28" ht="13.15">
      <c r="B742" s="819" t="s">
        <v>1889</v>
      </c>
      <c r="C742" s="819" t="s">
        <v>1890</v>
      </c>
      <c r="D742" s="379" t="s">
        <v>336</v>
      </c>
      <c r="E742" s="818" t="s">
        <v>441</v>
      </c>
      <c r="F742" s="820"/>
      <c r="G742" s="821"/>
      <c r="H742" s="822">
        <v>1719260518.48593</v>
      </c>
      <c r="I742" s="819"/>
      <c r="J742" s="820">
        <v>0</v>
      </c>
      <c r="K742" s="819">
        <f t="shared" si="162"/>
        <v>166</v>
      </c>
      <c r="L742" s="819">
        <f t="shared" si="163"/>
        <v>1084</v>
      </c>
      <c r="M742" s="819">
        <f t="shared" si="159"/>
        <v>166</v>
      </c>
      <c r="N742" s="819">
        <f t="shared" si="160"/>
        <v>364</v>
      </c>
      <c r="O742" s="819">
        <f t="shared" si="161"/>
        <v>492</v>
      </c>
      <c r="P742" s="819">
        <f t="shared" si="164"/>
        <v>1232</v>
      </c>
      <c r="Q742" s="819">
        <f t="shared" si="165"/>
        <v>661</v>
      </c>
      <c r="R742" s="819">
        <f t="shared" si="166"/>
        <v>84</v>
      </c>
      <c r="S742" s="819">
        <f t="shared" si="167"/>
        <v>338</v>
      </c>
      <c r="T742" s="819">
        <f t="shared" si="168"/>
        <v>470</v>
      </c>
      <c r="U742" s="819">
        <f t="shared" si="169"/>
        <v>2785</v>
      </c>
      <c r="V742" s="819">
        <f t="shared" si="170"/>
        <v>463</v>
      </c>
      <c r="W742" s="379">
        <f t="shared" si="171"/>
        <v>463</v>
      </c>
      <c r="X742" s="819" t="str">
        <f t="shared" si="172"/>
        <v/>
      </c>
      <c r="Y742" s="837"/>
      <c r="Z742" s="839"/>
      <c r="AA742" s="838"/>
      <c r="AB742" s="839"/>
    </row>
    <row r="743" spans="1:28" ht="14.45">
      <c r="A743" s="816"/>
      <c r="B743" s="819" t="s">
        <v>1891</v>
      </c>
      <c r="C743" s="819" t="s">
        <v>1892</v>
      </c>
      <c r="D743" s="379" t="s">
        <v>336</v>
      </c>
      <c r="E743" s="818" t="s">
        <v>337</v>
      </c>
      <c r="F743" s="820">
        <v>5.1650036620000002</v>
      </c>
      <c r="G743" s="821">
        <v>-1.2103710649999999</v>
      </c>
      <c r="H743" s="822">
        <v>1053103.24</v>
      </c>
      <c r="I743" s="819"/>
      <c r="J743" s="820">
        <v>1.6742600000000001E-4</v>
      </c>
      <c r="K743" s="819">
        <f t="shared" si="162"/>
        <v>1553</v>
      </c>
      <c r="L743" s="819">
        <f t="shared" si="163"/>
        <v>1307</v>
      </c>
      <c r="M743" s="819">
        <f t="shared" si="159"/>
        <v>1553</v>
      </c>
      <c r="N743" s="819">
        <f t="shared" si="160"/>
        <v>364</v>
      </c>
      <c r="O743" s="819">
        <f t="shared" si="161"/>
        <v>266</v>
      </c>
      <c r="P743" s="819">
        <f t="shared" si="164"/>
        <v>155</v>
      </c>
      <c r="Q743" s="819">
        <f t="shared" si="165"/>
        <v>884</v>
      </c>
      <c r="R743" s="819">
        <f t="shared" si="166"/>
        <v>1471</v>
      </c>
      <c r="S743" s="819">
        <f t="shared" si="167"/>
        <v>338</v>
      </c>
      <c r="T743" s="819">
        <f t="shared" si="168"/>
        <v>244</v>
      </c>
      <c r="U743" s="819">
        <f t="shared" si="169"/>
        <v>3092</v>
      </c>
      <c r="V743" s="819">
        <f t="shared" si="170"/>
        <v>1059</v>
      </c>
      <c r="W743" s="379">
        <f t="shared" si="171"/>
        <v>1059</v>
      </c>
      <c r="X743" s="819" t="str">
        <f t="shared" si="172"/>
        <v/>
      </c>
      <c r="Y743" s="837"/>
      <c r="Z743" s="839"/>
      <c r="AA743" s="838"/>
      <c r="AB743" s="839"/>
    </row>
    <row r="744" spans="1:28" ht="13.15">
      <c r="B744" s="819" t="s">
        <v>1893</v>
      </c>
      <c r="C744" s="819" t="s">
        <v>1894</v>
      </c>
      <c r="D744" s="379" t="s">
        <v>336</v>
      </c>
      <c r="E744" s="818" t="s">
        <v>337</v>
      </c>
      <c r="F744" s="820">
        <v>1.8488081489999999</v>
      </c>
      <c r="G744" s="821">
        <v>1.32475637</v>
      </c>
      <c r="H744" s="822">
        <v>993155.42929999996</v>
      </c>
      <c r="I744" s="819"/>
      <c r="J744" s="820">
        <v>-2.4225589999999999E-3</v>
      </c>
      <c r="K744" s="819">
        <f t="shared" si="162"/>
        <v>1556</v>
      </c>
      <c r="L744" s="819">
        <f t="shared" si="163"/>
        <v>769</v>
      </c>
      <c r="M744" s="819">
        <f t="shared" si="159"/>
        <v>1556</v>
      </c>
      <c r="N744" s="819">
        <f t="shared" si="160"/>
        <v>364</v>
      </c>
      <c r="O744" s="819">
        <f t="shared" si="161"/>
        <v>1521</v>
      </c>
      <c r="P744" s="819">
        <f t="shared" si="164"/>
        <v>158</v>
      </c>
      <c r="Q744" s="819">
        <f t="shared" si="165"/>
        <v>346</v>
      </c>
      <c r="R744" s="819">
        <f t="shared" si="166"/>
        <v>1474</v>
      </c>
      <c r="S744" s="819">
        <f t="shared" si="167"/>
        <v>338</v>
      </c>
      <c r="T744" s="819">
        <f t="shared" si="168"/>
        <v>1499</v>
      </c>
      <c r="U744" s="819">
        <f t="shared" si="169"/>
        <v>3815</v>
      </c>
      <c r="V744" s="819">
        <f t="shared" si="170"/>
        <v>1717</v>
      </c>
      <c r="W744" s="379">
        <f t="shared" si="171"/>
        <v>1717</v>
      </c>
      <c r="X744" s="819" t="str">
        <f t="shared" si="172"/>
        <v/>
      </c>
      <c r="Y744" s="837"/>
      <c r="Z744" s="839"/>
      <c r="AA744" s="838"/>
      <c r="AB744" s="839"/>
    </row>
    <row r="745" spans="1:28" ht="14.45">
      <c r="A745" s="816"/>
      <c r="B745" s="819" t="s">
        <v>1895</v>
      </c>
      <c r="C745" s="819" t="s">
        <v>1896</v>
      </c>
      <c r="D745" s="379" t="s">
        <v>336</v>
      </c>
      <c r="E745" s="818" t="s">
        <v>441</v>
      </c>
      <c r="F745" s="820">
        <v>2.4900144100000001</v>
      </c>
      <c r="G745" s="821">
        <v>3.7615230930000001</v>
      </c>
      <c r="H745" s="822">
        <v>59889.840900000003</v>
      </c>
      <c r="I745" s="819"/>
      <c r="J745" s="820">
        <v>-3.7421600000000002E-4</v>
      </c>
      <c r="K745" s="819">
        <f t="shared" si="162"/>
        <v>1658</v>
      </c>
      <c r="L745" s="819">
        <f t="shared" si="163"/>
        <v>471</v>
      </c>
      <c r="M745" s="819">
        <f t="shared" si="159"/>
        <v>1658</v>
      </c>
      <c r="N745" s="819">
        <f t="shared" si="160"/>
        <v>364</v>
      </c>
      <c r="O745" s="819">
        <f t="shared" si="161"/>
        <v>1207</v>
      </c>
      <c r="P745" s="819">
        <f t="shared" si="164"/>
        <v>260</v>
      </c>
      <c r="Q745" s="819">
        <f t="shared" si="165"/>
        <v>48</v>
      </c>
      <c r="R745" s="819">
        <f t="shared" si="166"/>
        <v>1576</v>
      </c>
      <c r="S745" s="819">
        <f t="shared" si="167"/>
        <v>338</v>
      </c>
      <c r="T745" s="819">
        <f t="shared" si="168"/>
        <v>1185</v>
      </c>
      <c r="U745" s="819">
        <f t="shared" si="169"/>
        <v>3407</v>
      </c>
      <c r="V745" s="819">
        <f t="shared" si="170"/>
        <v>1469</v>
      </c>
      <c r="W745" s="379">
        <f t="shared" si="171"/>
        <v>1469</v>
      </c>
      <c r="X745" s="819" t="str">
        <f t="shared" si="172"/>
        <v/>
      </c>
      <c r="Y745" s="837"/>
      <c r="Z745" s="839"/>
      <c r="AA745" s="838"/>
      <c r="AB745" s="839"/>
    </row>
    <row r="746" spans="1:28" ht="13.15">
      <c r="B746" s="819" t="s">
        <v>1897</v>
      </c>
      <c r="C746" s="819" t="s">
        <v>1898</v>
      </c>
      <c r="D746" s="379" t="s">
        <v>336</v>
      </c>
      <c r="E746" s="818" t="s">
        <v>711</v>
      </c>
      <c r="F746" s="820">
        <v>0.78058390300000002</v>
      </c>
      <c r="G746" s="821">
        <v>-0.48717626600000002</v>
      </c>
      <c r="H746" s="822">
        <v>165514758.81929401</v>
      </c>
      <c r="I746" s="819"/>
      <c r="J746" s="820">
        <v>2.7758200000000001E-4</v>
      </c>
      <c r="K746" s="819">
        <f t="shared" si="162"/>
        <v>612</v>
      </c>
      <c r="L746" s="819">
        <f t="shared" si="163"/>
        <v>1262</v>
      </c>
      <c r="M746" s="819">
        <f t="shared" si="159"/>
        <v>612</v>
      </c>
      <c r="N746" s="819">
        <f t="shared" si="160"/>
        <v>364</v>
      </c>
      <c r="O746" s="819">
        <f t="shared" si="161"/>
        <v>237</v>
      </c>
      <c r="P746" s="819">
        <f t="shared" si="164"/>
        <v>786</v>
      </c>
      <c r="Q746" s="819">
        <f t="shared" si="165"/>
        <v>839</v>
      </c>
      <c r="R746" s="819">
        <f t="shared" si="166"/>
        <v>530</v>
      </c>
      <c r="S746" s="819">
        <f t="shared" si="167"/>
        <v>338</v>
      </c>
      <c r="T746" s="819">
        <f t="shared" si="168"/>
        <v>215</v>
      </c>
      <c r="U746" s="819">
        <f t="shared" si="169"/>
        <v>2708</v>
      </c>
      <c r="V746" s="819">
        <f t="shared" si="170"/>
        <v>367</v>
      </c>
      <c r="W746" s="379">
        <f t="shared" si="171"/>
        <v>367</v>
      </c>
      <c r="X746" s="819" t="str">
        <f t="shared" si="172"/>
        <v/>
      </c>
      <c r="Y746" s="837"/>
      <c r="Z746" s="839"/>
      <c r="AA746" s="838"/>
      <c r="AB746" s="839"/>
    </row>
    <row r="747" spans="1:28" ht="14.45">
      <c r="A747" s="816"/>
      <c r="B747" s="819" t="s">
        <v>1899</v>
      </c>
      <c r="C747" s="819" t="s">
        <v>1900</v>
      </c>
      <c r="D747" s="379" t="s">
        <v>336</v>
      </c>
      <c r="E747" s="818" t="s">
        <v>1826</v>
      </c>
      <c r="F747" s="820">
        <v>1.3065624119999999</v>
      </c>
      <c r="G747" s="821">
        <v>68.561193560000007</v>
      </c>
      <c r="H747" s="822">
        <v>14802838.828675499</v>
      </c>
      <c r="I747" s="819"/>
      <c r="J747" s="820">
        <v>-9.4353599999999997E-5</v>
      </c>
      <c r="K747" s="819">
        <f t="shared" si="162"/>
        <v>1169</v>
      </c>
      <c r="L747" s="819">
        <f t="shared" si="163"/>
        <v>22</v>
      </c>
      <c r="M747" s="819">
        <f t="shared" si="159"/>
        <v>1169</v>
      </c>
      <c r="N747" s="819">
        <f t="shared" si="160"/>
        <v>364</v>
      </c>
      <c r="O747" s="819">
        <f t="shared" si="161"/>
        <v>1001</v>
      </c>
      <c r="P747" s="819">
        <f t="shared" si="164"/>
        <v>229</v>
      </c>
      <c r="Q747" s="819">
        <f t="shared" si="165"/>
        <v>401</v>
      </c>
      <c r="R747" s="819">
        <f t="shared" si="166"/>
        <v>1087</v>
      </c>
      <c r="S747" s="819">
        <f t="shared" si="167"/>
        <v>338</v>
      </c>
      <c r="T747" s="819">
        <f t="shared" si="168"/>
        <v>979</v>
      </c>
      <c r="U747" s="819">
        <f t="shared" si="169"/>
        <v>3034</v>
      </c>
      <c r="V747" s="819">
        <f t="shared" si="170"/>
        <v>974</v>
      </c>
      <c r="W747" s="379">
        <f t="shared" si="171"/>
        <v>974</v>
      </c>
      <c r="X747" s="819" t="str">
        <f t="shared" si="172"/>
        <v/>
      </c>
      <c r="Y747" s="837"/>
      <c r="Z747" s="839"/>
      <c r="AA747" s="838"/>
      <c r="AB747" s="839"/>
    </row>
    <row r="748" spans="1:28" ht="13.15">
      <c r="B748" s="819" t="s">
        <v>1901</v>
      </c>
      <c r="C748" s="819" t="s">
        <v>1902</v>
      </c>
      <c r="D748" s="379" t="s">
        <v>336</v>
      </c>
      <c r="E748" s="818" t="s">
        <v>941</v>
      </c>
      <c r="F748" s="820">
        <v>-1.6539521829999999</v>
      </c>
      <c r="G748" s="821">
        <v>-1.393978288</v>
      </c>
      <c r="H748" s="822">
        <v>32548219.8646424</v>
      </c>
      <c r="I748" s="819"/>
      <c r="J748" s="820">
        <v>5.3647799999999995E-4</v>
      </c>
      <c r="K748" s="819">
        <f t="shared" si="162"/>
        <v>977</v>
      </c>
      <c r="L748" s="819">
        <f t="shared" si="163"/>
        <v>1316</v>
      </c>
      <c r="M748" s="819">
        <f t="shared" si="159"/>
        <v>977</v>
      </c>
      <c r="N748" s="819">
        <f t="shared" si="160"/>
        <v>364</v>
      </c>
      <c r="O748" s="819">
        <f t="shared" si="161"/>
        <v>210</v>
      </c>
      <c r="P748" s="819">
        <f t="shared" si="164"/>
        <v>421</v>
      </c>
      <c r="Q748" s="819">
        <f t="shared" si="165"/>
        <v>893</v>
      </c>
      <c r="R748" s="819">
        <f t="shared" si="166"/>
        <v>895</v>
      </c>
      <c r="S748" s="819">
        <f t="shared" si="167"/>
        <v>338</v>
      </c>
      <c r="T748" s="819">
        <f t="shared" si="168"/>
        <v>188</v>
      </c>
      <c r="U748" s="819">
        <f t="shared" si="169"/>
        <v>2735</v>
      </c>
      <c r="V748" s="819">
        <f t="shared" si="170"/>
        <v>400</v>
      </c>
      <c r="W748" s="379">
        <f t="shared" si="171"/>
        <v>400</v>
      </c>
      <c r="X748" s="819" t="str">
        <f t="shared" si="172"/>
        <v/>
      </c>
      <c r="Y748" s="837"/>
      <c r="Z748" s="839"/>
      <c r="AA748" s="838"/>
      <c r="AB748" s="839"/>
    </row>
    <row r="749" spans="1:28" ht="14.45">
      <c r="A749" s="816"/>
      <c r="B749" s="819" t="s">
        <v>1903</v>
      </c>
      <c r="C749" s="819" t="s">
        <v>1904</v>
      </c>
      <c r="D749" s="379" t="s">
        <v>336</v>
      </c>
      <c r="E749" s="818" t="s">
        <v>425</v>
      </c>
      <c r="F749" s="820">
        <v>1.156714829</v>
      </c>
      <c r="G749" s="821">
        <v>1.656196459</v>
      </c>
      <c r="H749" s="822">
        <v>113833973.277381</v>
      </c>
      <c r="I749" s="819"/>
      <c r="J749" s="820">
        <v>-8.6532400000000005E-5</v>
      </c>
      <c r="K749" s="819">
        <f t="shared" si="162"/>
        <v>686</v>
      </c>
      <c r="L749" s="819">
        <f t="shared" si="163"/>
        <v>724</v>
      </c>
      <c r="M749" s="819">
        <f t="shared" si="159"/>
        <v>686</v>
      </c>
      <c r="N749" s="819">
        <f t="shared" si="160"/>
        <v>364</v>
      </c>
      <c r="O749" s="819">
        <f t="shared" si="161"/>
        <v>991</v>
      </c>
      <c r="P749" s="819">
        <f t="shared" si="164"/>
        <v>712</v>
      </c>
      <c r="Q749" s="819">
        <f t="shared" si="165"/>
        <v>301</v>
      </c>
      <c r="R749" s="819">
        <f t="shared" si="166"/>
        <v>604</v>
      </c>
      <c r="S749" s="819">
        <f t="shared" si="167"/>
        <v>338</v>
      </c>
      <c r="T749" s="819">
        <f t="shared" si="168"/>
        <v>969</v>
      </c>
      <c r="U749" s="819">
        <f t="shared" si="169"/>
        <v>2924</v>
      </c>
      <c r="V749" s="819">
        <f t="shared" si="170"/>
        <v>838</v>
      </c>
      <c r="W749" s="379">
        <f t="shared" si="171"/>
        <v>838</v>
      </c>
      <c r="X749" s="819" t="str">
        <f t="shared" si="172"/>
        <v/>
      </c>
      <c r="Y749" s="837"/>
      <c r="Z749" s="839"/>
      <c r="AA749" s="838"/>
      <c r="AB749" s="839"/>
    </row>
    <row r="750" spans="1:28" ht="13.15">
      <c r="B750" s="819" t="s">
        <v>1905</v>
      </c>
      <c r="C750" s="819" t="s">
        <v>1906</v>
      </c>
      <c r="D750" s="379" t="s">
        <v>336</v>
      </c>
      <c r="E750" s="818" t="s">
        <v>378</v>
      </c>
      <c r="F750" s="820">
        <v>0.64219459000000001</v>
      </c>
      <c r="G750" s="821">
        <v>1.1155198E-2</v>
      </c>
      <c r="H750" s="822">
        <v>8600264.1400382891</v>
      </c>
      <c r="I750" s="819"/>
      <c r="J750" s="820">
        <v>-2.2155930000000001E-3</v>
      </c>
      <c r="K750" s="819">
        <f t="shared" si="162"/>
        <v>1282</v>
      </c>
      <c r="L750" s="819">
        <f t="shared" si="163"/>
        <v>1069</v>
      </c>
      <c r="M750" s="819">
        <f t="shared" si="159"/>
        <v>1282</v>
      </c>
      <c r="N750" s="819">
        <f t="shared" si="160"/>
        <v>364</v>
      </c>
      <c r="O750" s="819">
        <f t="shared" si="161"/>
        <v>1508</v>
      </c>
      <c r="P750" s="819">
        <f t="shared" si="164"/>
        <v>116</v>
      </c>
      <c r="Q750" s="819">
        <f t="shared" si="165"/>
        <v>646</v>
      </c>
      <c r="R750" s="819">
        <f t="shared" si="166"/>
        <v>1200</v>
      </c>
      <c r="S750" s="819">
        <f t="shared" si="167"/>
        <v>338</v>
      </c>
      <c r="T750" s="819">
        <f t="shared" si="168"/>
        <v>1486</v>
      </c>
      <c r="U750" s="819">
        <f t="shared" si="169"/>
        <v>3786</v>
      </c>
      <c r="V750" s="819">
        <f t="shared" si="170"/>
        <v>1708</v>
      </c>
      <c r="W750" s="379">
        <f t="shared" si="171"/>
        <v>1708</v>
      </c>
      <c r="X750" s="819" t="str">
        <f t="shared" si="172"/>
        <v/>
      </c>
      <c r="Y750" s="837"/>
      <c r="Z750" s="839"/>
      <c r="AA750" s="838"/>
      <c r="AB750" s="839"/>
    </row>
    <row r="751" spans="1:28" ht="14.45">
      <c r="A751" s="816"/>
      <c r="B751" s="819" t="s">
        <v>1907</v>
      </c>
      <c r="C751" s="819" t="s">
        <v>1908</v>
      </c>
      <c r="D751" s="379" t="s">
        <v>336</v>
      </c>
      <c r="E751" s="818" t="s">
        <v>189</v>
      </c>
      <c r="F751" s="820">
        <v>0.13473876400000001</v>
      </c>
      <c r="G751" s="821">
        <v>-1.2248535110000001</v>
      </c>
      <c r="H751" s="822">
        <v>34505629.383767501</v>
      </c>
      <c r="I751" s="819"/>
      <c r="J751" s="820">
        <v>6.7066599999999999E-4</v>
      </c>
      <c r="K751" s="819">
        <f t="shared" si="162"/>
        <v>959</v>
      </c>
      <c r="L751" s="819">
        <f t="shared" si="163"/>
        <v>1308</v>
      </c>
      <c r="M751" s="819">
        <f t="shared" si="159"/>
        <v>959</v>
      </c>
      <c r="N751" s="819">
        <f t="shared" si="160"/>
        <v>364</v>
      </c>
      <c r="O751" s="819">
        <f t="shared" si="161"/>
        <v>194</v>
      </c>
      <c r="P751" s="819">
        <f t="shared" si="164"/>
        <v>439</v>
      </c>
      <c r="Q751" s="819">
        <f t="shared" si="165"/>
        <v>885</v>
      </c>
      <c r="R751" s="819">
        <f t="shared" si="166"/>
        <v>877</v>
      </c>
      <c r="S751" s="819">
        <f t="shared" si="167"/>
        <v>338</v>
      </c>
      <c r="T751" s="819">
        <f t="shared" si="168"/>
        <v>172</v>
      </c>
      <c r="U751" s="819">
        <f t="shared" si="169"/>
        <v>2711</v>
      </c>
      <c r="V751" s="819">
        <f t="shared" si="170"/>
        <v>368</v>
      </c>
      <c r="W751" s="379">
        <f t="shared" si="171"/>
        <v>368</v>
      </c>
      <c r="X751" s="819" t="str">
        <f t="shared" si="172"/>
        <v/>
      </c>
      <c r="Y751" s="837"/>
      <c r="Z751" s="839"/>
      <c r="AA751" s="838"/>
      <c r="AB751" s="839"/>
    </row>
    <row r="752" spans="1:28" ht="13.15">
      <c r="B752" s="819" t="s">
        <v>1909</v>
      </c>
      <c r="C752" s="819" t="s">
        <v>1910</v>
      </c>
      <c r="D752" s="379" t="s">
        <v>336</v>
      </c>
      <c r="E752" s="818" t="s">
        <v>676</v>
      </c>
      <c r="F752" s="820">
        <v>6.2371177639999997</v>
      </c>
      <c r="G752" s="821">
        <v>2.5075407109999999</v>
      </c>
      <c r="H752" s="822">
        <v>830844420.30953002</v>
      </c>
      <c r="I752" s="819"/>
      <c r="J752" s="820">
        <v>-1.3400630000000001E-3</v>
      </c>
      <c r="K752" s="819">
        <f t="shared" si="162"/>
        <v>247</v>
      </c>
      <c r="L752" s="819">
        <f t="shared" si="163"/>
        <v>600</v>
      </c>
      <c r="M752" s="819">
        <f t="shared" si="159"/>
        <v>247</v>
      </c>
      <c r="N752" s="819">
        <f t="shared" si="160"/>
        <v>364</v>
      </c>
      <c r="O752" s="819">
        <f t="shared" si="161"/>
        <v>1441</v>
      </c>
      <c r="P752" s="819">
        <f t="shared" si="164"/>
        <v>1151</v>
      </c>
      <c r="Q752" s="819">
        <f t="shared" si="165"/>
        <v>177</v>
      </c>
      <c r="R752" s="819">
        <f t="shared" si="166"/>
        <v>165</v>
      </c>
      <c r="S752" s="819">
        <f t="shared" si="167"/>
        <v>338</v>
      </c>
      <c r="T752" s="819">
        <f t="shared" si="168"/>
        <v>1419</v>
      </c>
      <c r="U752" s="819">
        <f t="shared" si="169"/>
        <v>3250</v>
      </c>
      <c r="V752" s="819">
        <f t="shared" si="170"/>
        <v>1269</v>
      </c>
      <c r="W752" s="379">
        <f t="shared" si="171"/>
        <v>1269</v>
      </c>
      <c r="X752" s="819" t="str">
        <f t="shared" si="172"/>
        <v/>
      </c>
      <c r="Y752" s="837"/>
      <c r="Z752" s="839"/>
      <c r="AA752" s="838"/>
      <c r="AB752" s="839"/>
    </row>
    <row r="753" spans="1:28" ht="14.45">
      <c r="A753" s="816"/>
      <c r="B753" s="819" t="s">
        <v>1911</v>
      </c>
      <c r="C753" s="819" t="s">
        <v>1912</v>
      </c>
      <c r="D753" s="379" t="s">
        <v>336</v>
      </c>
      <c r="E753" s="818" t="s">
        <v>425</v>
      </c>
      <c r="F753" s="820"/>
      <c r="G753" s="821"/>
      <c r="H753" s="822">
        <v>734207823.96982896</v>
      </c>
      <c r="I753" s="819"/>
      <c r="J753" s="820">
        <v>0</v>
      </c>
      <c r="K753" s="819">
        <f t="shared" si="162"/>
        <v>272</v>
      </c>
      <c r="L753" s="819">
        <f t="shared" si="163"/>
        <v>1084</v>
      </c>
      <c r="M753" s="819">
        <f t="shared" si="159"/>
        <v>272</v>
      </c>
      <c r="N753" s="819">
        <f t="shared" si="160"/>
        <v>364</v>
      </c>
      <c r="O753" s="819">
        <f t="shared" si="161"/>
        <v>492</v>
      </c>
      <c r="P753" s="819">
        <f t="shared" si="164"/>
        <v>1126</v>
      </c>
      <c r="Q753" s="819">
        <f t="shared" si="165"/>
        <v>661</v>
      </c>
      <c r="R753" s="819">
        <f t="shared" si="166"/>
        <v>190</v>
      </c>
      <c r="S753" s="819">
        <f t="shared" si="167"/>
        <v>338</v>
      </c>
      <c r="T753" s="819">
        <f t="shared" si="168"/>
        <v>470</v>
      </c>
      <c r="U753" s="819">
        <f t="shared" si="169"/>
        <v>2785</v>
      </c>
      <c r="V753" s="819">
        <f t="shared" si="170"/>
        <v>463</v>
      </c>
      <c r="W753" s="379">
        <f t="shared" si="171"/>
        <v>463</v>
      </c>
      <c r="X753" s="819" t="str">
        <f t="shared" si="172"/>
        <v/>
      </c>
      <c r="Y753" s="837"/>
      <c r="Z753" s="839"/>
      <c r="AA753" s="838"/>
      <c r="AB753" s="839"/>
    </row>
    <row r="754" spans="1:28" ht="13.15">
      <c r="B754" s="819" t="s">
        <v>1913</v>
      </c>
      <c r="C754" s="819" t="s">
        <v>1914</v>
      </c>
      <c r="D754" s="379" t="s">
        <v>336</v>
      </c>
      <c r="E754" s="818" t="s">
        <v>1077</v>
      </c>
      <c r="F754" s="820">
        <v>-0.66514945400000003</v>
      </c>
      <c r="G754" s="821">
        <v>-9.5860066150000005</v>
      </c>
      <c r="H754" s="822">
        <v>313857977.14753598</v>
      </c>
      <c r="I754" s="819"/>
      <c r="J754" s="820">
        <v>3.3261E-4</v>
      </c>
      <c r="K754" s="819">
        <f t="shared" si="162"/>
        <v>462</v>
      </c>
      <c r="L754" s="819">
        <f t="shared" si="163"/>
        <v>1446</v>
      </c>
      <c r="M754" s="819">
        <f t="shared" si="159"/>
        <v>462</v>
      </c>
      <c r="N754" s="819">
        <f t="shared" si="160"/>
        <v>364</v>
      </c>
      <c r="O754" s="819">
        <f t="shared" si="161"/>
        <v>228</v>
      </c>
      <c r="P754" s="819">
        <f t="shared" si="164"/>
        <v>936</v>
      </c>
      <c r="Q754" s="819">
        <f t="shared" si="165"/>
        <v>1023</v>
      </c>
      <c r="R754" s="819">
        <f t="shared" si="166"/>
        <v>380</v>
      </c>
      <c r="S754" s="819">
        <f t="shared" si="167"/>
        <v>338</v>
      </c>
      <c r="T754" s="819">
        <f t="shared" si="168"/>
        <v>206</v>
      </c>
      <c r="U754" s="819">
        <f t="shared" si="169"/>
        <v>2883</v>
      </c>
      <c r="V754" s="819">
        <f t="shared" si="170"/>
        <v>779</v>
      </c>
      <c r="W754" s="379">
        <f t="shared" si="171"/>
        <v>779</v>
      </c>
      <c r="X754" s="819" t="str">
        <f t="shared" si="172"/>
        <v/>
      </c>
      <c r="Y754" s="837"/>
      <c r="Z754" s="839"/>
      <c r="AA754" s="838"/>
      <c r="AB754" s="839"/>
    </row>
    <row r="755" spans="1:28" ht="14.45">
      <c r="A755" s="816"/>
      <c r="B755" s="819" t="s">
        <v>1915</v>
      </c>
      <c r="C755" s="819" t="s">
        <v>1916</v>
      </c>
      <c r="D755" s="379" t="s">
        <v>336</v>
      </c>
      <c r="E755" s="818" t="s">
        <v>337</v>
      </c>
      <c r="F755" s="820"/>
      <c r="G755" s="821"/>
      <c r="H755" s="822">
        <v>2054906.3396999999</v>
      </c>
      <c r="I755" s="819"/>
      <c r="J755" s="820">
        <v>0</v>
      </c>
      <c r="K755" s="819">
        <f t="shared" si="162"/>
        <v>1494</v>
      </c>
      <c r="L755" s="819">
        <f t="shared" si="163"/>
        <v>1084</v>
      </c>
      <c r="M755" s="819">
        <f t="shared" si="159"/>
        <v>1494</v>
      </c>
      <c r="N755" s="819">
        <f t="shared" si="160"/>
        <v>364</v>
      </c>
      <c r="O755" s="819">
        <f t="shared" si="161"/>
        <v>492</v>
      </c>
      <c r="P755" s="819">
        <f t="shared" si="164"/>
        <v>96</v>
      </c>
      <c r="Q755" s="819">
        <f t="shared" si="165"/>
        <v>661</v>
      </c>
      <c r="R755" s="819">
        <f t="shared" si="166"/>
        <v>1412</v>
      </c>
      <c r="S755" s="819">
        <f t="shared" si="167"/>
        <v>338</v>
      </c>
      <c r="T755" s="819">
        <f t="shared" si="168"/>
        <v>470</v>
      </c>
      <c r="U755" s="819">
        <f t="shared" si="169"/>
        <v>2977</v>
      </c>
      <c r="V755" s="819">
        <f t="shared" si="170"/>
        <v>897</v>
      </c>
      <c r="W755" s="379">
        <f t="shared" si="171"/>
        <v>897</v>
      </c>
      <c r="X755" s="819" t="str">
        <f t="shared" si="172"/>
        <v/>
      </c>
      <c r="Y755" s="837"/>
      <c r="Z755" s="839"/>
      <c r="AA755" s="838"/>
      <c r="AB755" s="839"/>
    </row>
    <row r="756" spans="1:28" ht="13.15">
      <c r="B756" s="819" t="s">
        <v>1917</v>
      </c>
      <c r="C756" s="819" t="s">
        <v>1918</v>
      </c>
      <c r="D756" s="379" t="s">
        <v>336</v>
      </c>
      <c r="E756" s="818" t="s">
        <v>1478</v>
      </c>
      <c r="F756" s="820">
        <v>1.334288243</v>
      </c>
      <c r="G756" s="821">
        <v>7.6783314550000004</v>
      </c>
      <c r="H756" s="822">
        <v>2986080.5860805898</v>
      </c>
      <c r="I756" s="819"/>
      <c r="J756" s="820">
        <v>-6.8697699999999997E-4</v>
      </c>
      <c r="K756" s="819">
        <f t="shared" si="162"/>
        <v>1448</v>
      </c>
      <c r="L756" s="819">
        <f t="shared" si="163"/>
        <v>264</v>
      </c>
      <c r="M756" s="819">
        <f t="shared" si="159"/>
        <v>1448</v>
      </c>
      <c r="N756" s="819">
        <f t="shared" si="160"/>
        <v>364</v>
      </c>
      <c r="O756" s="819">
        <f t="shared" si="161"/>
        <v>1341</v>
      </c>
      <c r="P756" s="819">
        <f t="shared" si="164"/>
        <v>50</v>
      </c>
      <c r="Q756" s="819">
        <f t="shared" si="165"/>
        <v>159</v>
      </c>
      <c r="R756" s="819">
        <f t="shared" si="166"/>
        <v>1366</v>
      </c>
      <c r="S756" s="819">
        <f t="shared" si="167"/>
        <v>338</v>
      </c>
      <c r="T756" s="819">
        <f t="shared" si="168"/>
        <v>1319</v>
      </c>
      <c r="U756" s="819">
        <f t="shared" si="169"/>
        <v>3232</v>
      </c>
      <c r="V756" s="819">
        <f t="shared" si="170"/>
        <v>1239</v>
      </c>
      <c r="W756" s="379">
        <f t="shared" si="171"/>
        <v>1239</v>
      </c>
      <c r="X756" s="819" t="str">
        <f t="shared" si="172"/>
        <v/>
      </c>
      <c r="Y756" s="837"/>
      <c r="Z756" s="839"/>
      <c r="AA756" s="838"/>
      <c r="AB756" s="839"/>
    </row>
    <row r="757" spans="1:28" ht="14.45">
      <c r="A757" s="816"/>
      <c r="B757" s="819" t="s">
        <v>1919</v>
      </c>
      <c r="C757" s="819" t="s">
        <v>1920</v>
      </c>
      <c r="D757" s="379" t="s">
        <v>336</v>
      </c>
      <c r="E757" s="818" t="s">
        <v>337</v>
      </c>
      <c r="F757" s="820">
        <v>0.241596375</v>
      </c>
      <c r="G757" s="821">
        <v>8.3438752150000006</v>
      </c>
      <c r="H757" s="822">
        <v>3.5</v>
      </c>
      <c r="I757" s="819"/>
      <c r="J757" s="820">
        <v>-9.1736199999999994E-6</v>
      </c>
      <c r="K757" s="819">
        <f t="shared" si="162"/>
        <v>1696</v>
      </c>
      <c r="L757" s="819">
        <f t="shared" si="163"/>
        <v>248</v>
      </c>
      <c r="M757" s="819">
        <f t="shared" si="159"/>
        <v>1696</v>
      </c>
      <c r="N757" s="819">
        <f t="shared" si="160"/>
        <v>364</v>
      </c>
      <c r="O757" s="819">
        <f t="shared" si="161"/>
        <v>800</v>
      </c>
      <c r="P757" s="819">
        <f t="shared" si="164"/>
        <v>298</v>
      </c>
      <c r="Q757" s="819">
        <f t="shared" si="165"/>
        <v>175</v>
      </c>
      <c r="R757" s="819">
        <f t="shared" si="166"/>
        <v>1614</v>
      </c>
      <c r="S757" s="819">
        <f t="shared" si="167"/>
        <v>338</v>
      </c>
      <c r="T757" s="819">
        <f t="shared" si="168"/>
        <v>778</v>
      </c>
      <c r="U757" s="819">
        <f t="shared" si="169"/>
        <v>3203</v>
      </c>
      <c r="V757" s="819">
        <f t="shared" si="170"/>
        <v>1198</v>
      </c>
      <c r="W757" s="379">
        <f t="shared" si="171"/>
        <v>1198</v>
      </c>
      <c r="X757" s="819" t="str">
        <f t="shared" si="172"/>
        <v/>
      </c>
      <c r="Y757" s="837"/>
      <c r="Z757" s="839"/>
      <c r="AA757" s="838"/>
      <c r="AB757" s="839"/>
    </row>
    <row r="758" spans="1:28" ht="13.15">
      <c r="B758" s="819" t="s">
        <v>1921</v>
      </c>
      <c r="C758" s="819" t="s">
        <v>1922</v>
      </c>
      <c r="D758" s="379" t="s">
        <v>336</v>
      </c>
      <c r="E758" s="818" t="s">
        <v>612</v>
      </c>
      <c r="F758" s="820">
        <v>3.3625093619999999</v>
      </c>
      <c r="G758" s="821">
        <v>5.4058399039999996</v>
      </c>
      <c r="H758" s="822">
        <v>118759416.073562</v>
      </c>
      <c r="I758" s="819"/>
      <c r="J758" s="820">
        <v>-4.8097599999999998E-4</v>
      </c>
      <c r="K758" s="819">
        <f t="shared" si="162"/>
        <v>676</v>
      </c>
      <c r="L758" s="819">
        <f t="shared" si="163"/>
        <v>358</v>
      </c>
      <c r="M758" s="819">
        <f t="shared" si="159"/>
        <v>676</v>
      </c>
      <c r="N758" s="819">
        <f t="shared" si="160"/>
        <v>364</v>
      </c>
      <c r="O758" s="819">
        <f t="shared" si="161"/>
        <v>1261</v>
      </c>
      <c r="P758" s="819">
        <f t="shared" si="164"/>
        <v>722</v>
      </c>
      <c r="Q758" s="819">
        <f t="shared" si="165"/>
        <v>65</v>
      </c>
      <c r="R758" s="819">
        <f t="shared" si="166"/>
        <v>594</v>
      </c>
      <c r="S758" s="819">
        <f t="shared" si="167"/>
        <v>338</v>
      </c>
      <c r="T758" s="819">
        <f t="shared" si="168"/>
        <v>1239</v>
      </c>
      <c r="U758" s="819">
        <f t="shared" si="169"/>
        <v>2958</v>
      </c>
      <c r="V758" s="819">
        <f t="shared" si="170"/>
        <v>876</v>
      </c>
      <c r="W758" s="379">
        <f t="shared" si="171"/>
        <v>876</v>
      </c>
      <c r="X758" s="819" t="str">
        <f t="shared" si="172"/>
        <v/>
      </c>
      <c r="Y758" s="837"/>
      <c r="Z758" s="839"/>
      <c r="AA758" s="838"/>
      <c r="AB758" s="839"/>
    </row>
    <row r="759" spans="1:28" ht="14.45">
      <c r="A759" s="816"/>
      <c r="B759" s="819" t="s">
        <v>1923</v>
      </c>
      <c r="C759" s="819" t="s">
        <v>1924</v>
      </c>
      <c r="D759" s="379" t="s">
        <v>336</v>
      </c>
      <c r="E759" s="818" t="s">
        <v>425</v>
      </c>
      <c r="F759" s="820"/>
      <c r="G759" s="821"/>
      <c r="H759" s="822">
        <v>61910355.083619297</v>
      </c>
      <c r="I759" s="819"/>
      <c r="J759" s="820">
        <v>0</v>
      </c>
      <c r="K759" s="819">
        <f t="shared" si="162"/>
        <v>833</v>
      </c>
      <c r="L759" s="819">
        <f t="shared" si="163"/>
        <v>1084</v>
      </c>
      <c r="M759" s="819">
        <f t="shared" si="159"/>
        <v>833</v>
      </c>
      <c r="N759" s="819">
        <f t="shared" si="160"/>
        <v>364</v>
      </c>
      <c r="O759" s="819">
        <f t="shared" si="161"/>
        <v>492</v>
      </c>
      <c r="P759" s="819">
        <f t="shared" si="164"/>
        <v>565</v>
      </c>
      <c r="Q759" s="819">
        <f t="shared" si="165"/>
        <v>661</v>
      </c>
      <c r="R759" s="819">
        <f t="shared" si="166"/>
        <v>751</v>
      </c>
      <c r="S759" s="819">
        <f t="shared" si="167"/>
        <v>338</v>
      </c>
      <c r="T759" s="819">
        <f t="shared" si="168"/>
        <v>470</v>
      </c>
      <c r="U759" s="819">
        <f t="shared" si="169"/>
        <v>2785</v>
      </c>
      <c r="V759" s="819">
        <f t="shared" si="170"/>
        <v>463</v>
      </c>
      <c r="W759" s="379">
        <f t="shared" si="171"/>
        <v>463</v>
      </c>
      <c r="X759" s="819" t="str">
        <f t="shared" si="172"/>
        <v/>
      </c>
      <c r="Y759" s="837"/>
      <c r="Z759" s="839"/>
      <c r="AA759" s="838"/>
      <c r="AB759" s="839"/>
    </row>
    <row r="760" spans="1:28" ht="13.15">
      <c r="B760" s="819" t="s">
        <v>1925</v>
      </c>
      <c r="C760" s="819" t="s">
        <v>1926</v>
      </c>
      <c r="D760" s="379" t="s">
        <v>336</v>
      </c>
      <c r="E760" s="818" t="s">
        <v>373</v>
      </c>
      <c r="F760" s="820">
        <v>0.68550956299999999</v>
      </c>
      <c r="G760" s="821">
        <v>1.8912388330000001</v>
      </c>
      <c r="H760" s="822">
        <v>216435185.18518499</v>
      </c>
      <c r="I760" s="819"/>
      <c r="J760" s="820">
        <v>-2.3310470000000002E-3</v>
      </c>
      <c r="K760" s="819">
        <f t="shared" si="162"/>
        <v>547</v>
      </c>
      <c r="L760" s="819">
        <f t="shared" si="163"/>
        <v>690</v>
      </c>
      <c r="M760" s="819">
        <f t="shared" si="159"/>
        <v>547</v>
      </c>
      <c r="N760" s="819">
        <f t="shared" si="160"/>
        <v>364</v>
      </c>
      <c r="O760" s="819">
        <f t="shared" si="161"/>
        <v>1515</v>
      </c>
      <c r="P760" s="819">
        <f t="shared" si="164"/>
        <v>851</v>
      </c>
      <c r="Q760" s="819">
        <f t="shared" si="165"/>
        <v>267</v>
      </c>
      <c r="R760" s="819">
        <f t="shared" si="166"/>
        <v>465</v>
      </c>
      <c r="S760" s="819">
        <f t="shared" si="167"/>
        <v>338</v>
      </c>
      <c r="T760" s="819">
        <f t="shared" si="168"/>
        <v>1493</v>
      </c>
      <c r="U760" s="819">
        <f t="shared" si="169"/>
        <v>3414</v>
      </c>
      <c r="V760" s="819">
        <f t="shared" si="170"/>
        <v>1477</v>
      </c>
      <c r="W760" s="379">
        <f t="shared" si="171"/>
        <v>1477</v>
      </c>
      <c r="X760" s="819" t="str">
        <f t="shared" si="172"/>
        <v/>
      </c>
      <c r="Y760" s="837"/>
      <c r="Z760" s="839"/>
      <c r="AA760" s="838"/>
      <c r="AB760" s="839"/>
    </row>
    <row r="761" spans="1:28" ht="14.45">
      <c r="A761" s="816"/>
      <c r="B761" s="819" t="s">
        <v>1927</v>
      </c>
      <c r="C761" s="819" t="s">
        <v>1928</v>
      </c>
      <c r="D761" s="379" t="s">
        <v>336</v>
      </c>
      <c r="E761" s="818" t="s">
        <v>1171</v>
      </c>
      <c r="F761" s="820">
        <v>2.1784343690000001</v>
      </c>
      <c r="G761" s="821">
        <v>3.7843178640000001</v>
      </c>
      <c r="H761" s="822">
        <v>10635796.0569293</v>
      </c>
      <c r="I761" s="819">
        <v>1.1399999999999999</v>
      </c>
      <c r="J761" s="820">
        <v>-1.7240499999999999E-4</v>
      </c>
      <c r="K761" s="819">
        <f t="shared" si="162"/>
        <v>1241</v>
      </c>
      <c r="L761" s="819">
        <f t="shared" si="163"/>
        <v>468</v>
      </c>
      <c r="M761" s="819">
        <f t="shared" si="159"/>
        <v>1241</v>
      </c>
      <c r="N761" s="819">
        <f t="shared" si="160"/>
        <v>119</v>
      </c>
      <c r="O761" s="819">
        <f t="shared" si="161"/>
        <v>1086</v>
      </c>
      <c r="P761" s="819">
        <f t="shared" si="164"/>
        <v>157</v>
      </c>
      <c r="Q761" s="819">
        <f t="shared" si="165"/>
        <v>45</v>
      </c>
      <c r="R761" s="819">
        <f t="shared" si="166"/>
        <v>1159</v>
      </c>
      <c r="S761" s="819">
        <f t="shared" si="167"/>
        <v>93</v>
      </c>
      <c r="T761" s="819">
        <f t="shared" si="168"/>
        <v>1064</v>
      </c>
      <c r="U761" s="819">
        <f t="shared" si="169"/>
        <v>2518</v>
      </c>
      <c r="V761" s="819">
        <f t="shared" si="170"/>
        <v>254</v>
      </c>
      <c r="W761" s="379">
        <f t="shared" si="171"/>
        <v>254</v>
      </c>
      <c r="X761" s="819" t="str">
        <f t="shared" si="172"/>
        <v/>
      </c>
      <c r="Y761" s="837"/>
      <c r="Z761" s="839"/>
      <c r="AA761" s="838"/>
      <c r="AB761" s="839"/>
    </row>
    <row r="762" spans="1:28" ht="13.15">
      <c r="B762" s="819" t="s">
        <v>1929</v>
      </c>
      <c r="C762" s="819" t="s">
        <v>1930</v>
      </c>
      <c r="D762" s="379" t="s">
        <v>336</v>
      </c>
      <c r="E762" s="818" t="s">
        <v>941</v>
      </c>
      <c r="F762" s="820">
        <v>8.7855402060000003</v>
      </c>
      <c r="G762" s="821">
        <v>2.0949717450000001</v>
      </c>
      <c r="H762" s="822">
        <v>225993644.77775699</v>
      </c>
      <c r="I762" s="819"/>
      <c r="J762" s="820">
        <v>-9.2688500000000001E-4</v>
      </c>
      <c r="K762" s="819">
        <f t="shared" si="162"/>
        <v>532</v>
      </c>
      <c r="L762" s="819">
        <f t="shared" si="163"/>
        <v>658</v>
      </c>
      <c r="M762" s="819">
        <f t="shared" si="159"/>
        <v>532</v>
      </c>
      <c r="N762" s="819">
        <f t="shared" si="160"/>
        <v>364</v>
      </c>
      <c r="O762" s="819">
        <f t="shared" si="161"/>
        <v>1384</v>
      </c>
      <c r="P762" s="819">
        <f t="shared" si="164"/>
        <v>866</v>
      </c>
      <c r="Q762" s="819">
        <f t="shared" si="165"/>
        <v>235</v>
      </c>
      <c r="R762" s="819">
        <f t="shared" si="166"/>
        <v>450</v>
      </c>
      <c r="S762" s="819">
        <f t="shared" si="167"/>
        <v>338</v>
      </c>
      <c r="T762" s="819">
        <f t="shared" si="168"/>
        <v>1362</v>
      </c>
      <c r="U762" s="819">
        <f t="shared" si="169"/>
        <v>3251</v>
      </c>
      <c r="V762" s="819">
        <f t="shared" si="170"/>
        <v>1271</v>
      </c>
      <c r="W762" s="379">
        <f t="shared" si="171"/>
        <v>1271</v>
      </c>
      <c r="X762" s="819" t="str">
        <f t="shared" si="172"/>
        <v/>
      </c>
      <c r="Y762" s="837"/>
      <c r="Z762" s="839"/>
      <c r="AA762" s="838"/>
      <c r="AB762" s="839"/>
    </row>
    <row r="763" spans="1:28" ht="14.45">
      <c r="A763" s="816"/>
      <c r="B763" s="819" t="s">
        <v>1931</v>
      </c>
      <c r="C763" s="819" t="s">
        <v>1932</v>
      </c>
      <c r="D763" s="379" t="s">
        <v>336</v>
      </c>
      <c r="E763" s="818" t="s">
        <v>731</v>
      </c>
      <c r="F763" s="820">
        <v>1.6112737699999999</v>
      </c>
      <c r="G763" s="821">
        <v>0.98770821399999997</v>
      </c>
      <c r="H763" s="822">
        <v>375341823.75052202</v>
      </c>
      <c r="I763" s="819"/>
      <c r="J763" s="820">
        <v>-2.5338500000000001E-4</v>
      </c>
      <c r="K763" s="819">
        <f t="shared" si="162"/>
        <v>420</v>
      </c>
      <c r="L763" s="819">
        <f t="shared" si="163"/>
        <v>815</v>
      </c>
      <c r="M763" s="819">
        <f t="shared" si="159"/>
        <v>420</v>
      </c>
      <c r="N763" s="819">
        <f t="shared" si="160"/>
        <v>364</v>
      </c>
      <c r="O763" s="819">
        <f t="shared" si="161"/>
        <v>1149</v>
      </c>
      <c r="P763" s="819">
        <f t="shared" si="164"/>
        <v>978</v>
      </c>
      <c r="Q763" s="819">
        <f t="shared" si="165"/>
        <v>392</v>
      </c>
      <c r="R763" s="819">
        <f t="shared" si="166"/>
        <v>338</v>
      </c>
      <c r="S763" s="819">
        <f t="shared" si="167"/>
        <v>338</v>
      </c>
      <c r="T763" s="819">
        <f t="shared" si="168"/>
        <v>1127</v>
      </c>
      <c r="U763" s="819">
        <f t="shared" si="169"/>
        <v>3173</v>
      </c>
      <c r="V763" s="819">
        <f t="shared" si="170"/>
        <v>1162</v>
      </c>
      <c r="W763" s="379">
        <f t="shared" si="171"/>
        <v>1162</v>
      </c>
      <c r="X763" s="819" t="str">
        <f t="shared" si="172"/>
        <v/>
      </c>
      <c r="Y763" s="837"/>
      <c r="Z763" s="839"/>
      <c r="AA763" s="838"/>
      <c r="AB763" s="839"/>
    </row>
    <row r="764" spans="1:28" ht="13.15">
      <c r="B764" s="819" t="s">
        <v>1933</v>
      </c>
      <c r="C764" s="819" t="s">
        <v>1934</v>
      </c>
      <c r="D764" s="379" t="s">
        <v>336</v>
      </c>
      <c r="E764" s="818" t="s">
        <v>460</v>
      </c>
      <c r="F764" s="820">
        <v>1.6111995029999999</v>
      </c>
      <c r="G764" s="821">
        <v>56.64858933</v>
      </c>
      <c r="H764" s="822">
        <v>105643614.789956</v>
      </c>
      <c r="I764" s="819"/>
      <c r="J764" s="820">
        <v>-5.2771000000000003E-4</v>
      </c>
      <c r="K764" s="819">
        <f t="shared" si="162"/>
        <v>710</v>
      </c>
      <c r="L764" s="819">
        <f t="shared" si="163"/>
        <v>33</v>
      </c>
      <c r="M764" s="819">
        <f t="shared" si="159"/>
        <v>710</v>
      </c>
      <c r="N764" s="819">
        <f t="shared" si="160"/>
        <v>364</v>
      </c>
      <c r="O764" s="819">
        <f t="shared" si="161"/>
        <v>1278</v>
      </c>
      <c r="P764" s="819">
        <f t="shared" si="164"/>
        <v>688</v>
      </c>
      <c r="Q764" s="819">
        <f t="shared" si="165"/>
        <v>390</v>
      </c>
      <c r="R764" s="819">
        <f t="shared" si="166"/>
        <v>628</v>
      </c>
      <c r="S764" s="819">
        <f t="shared" si="167"/>
        <v>338</v>
      </c>
      <c r="T764" s="819">
        <f t="shared" si="168"/>
        <v>1256</v>
      </c>
      <c r="U764" s="819">
        <f t="shared" si="169"/>
        <v>3300</v>
      </c>
      <c r="V764" s="819">
        <f t="shared" si="170"/>
        <v>1344</v>
      </c>
      <c r="W764" s="379">
        <f t="shared" si="171"/>
        <v>1344</v>
      </c>
      <c r="X764" s="819" t="str">
        <f t="shared" si="172"/>
        <v/>
      </c>
      <c r="Y764" s="837"/>
      <c r="Z764" s="839"/>
      <c r="AA764" s="838"/>
      <c r="AB764" s="839"/>
    </row>
    <row r="765" spans="1:28" ht="14.45">
      <c r="A765" s="816"/>
      <c r="B765" s="819" t="s">
        <v>1935</v>
      </c>
      <c r="C765" s="819" t="s">
        <v>1936</v>
      </c>
      <c r="D765" s="379" t="s">
        <v>336</v>
      </c>
      <c r="E765" s="818" t="s">
        <v>460</v>
      </c>
      <c r="F765" s="820">
        <v>1.403646591</v>
      </c>
      <c r="G765" s="821">
        <v>0</v>
      </c>
      <c r="H765" s="822">
        <v>274791781.027147</v>
      </c>
      <c r="I765" s="819"/>
      <c r="J765" s="820">
        <v>-8.8779500000000003E-4</v>
      </c>
      <c r="K765" s="819">
        <f t="shared" si="162"/>
        <v>492</v>
      </c>
      <c r="L765" s="819">
        <f t="shared" si="163"/>
        <v>1084</v>
      </c>
      <c r="M765" s="819">
        <f t="shared" si="159"/>
        <v>492</v>
      </c>
      <c r="N765" s="819">
        <f t="shared" si="160"/>
        <v>364</v>
      </c>
      <c r="O765" s="819">
        <f t="shared" si="161"/>
        <v>1378</v>
      </c>
      <c r="P765" s="819">
        <f t="shared" si="164"/>
        <v>906</v>
      </c>
      <c r="Q765" s="819">
        <f t="shared" si="165"/>
        <v>661</v>
      </c>
      <c r="R765" s="819">
        <f t="shared" si="166"/>
        <v>410</v>
      </c>
      <c r="S765" s="819">
        <f t="shared" si="167"/>
        <v>338</v>
      </c>
      <c r="T765" s="819">
        <f t="shared" si="168"/>
        <v>1356</v>
      </c>
      <c r="U765" s="819">
        <f t="shared" si="169"/>
        <v>3671</v>
      </c>
      <c r="V765" s="819">
        <f t="shared" si="170"/>
        <v>1663</v>
      </c>
      <c r="W765" s="379">
        <f t="shared" si="171"/>
        <v>1663</v>
      </c>
      <c r="X765" s="819" t="str">
        <f t="shared" si="172"/>
        <v/>
      </c>
      <c r="Y765" s="837"/>
      <c r="Z765" s="839"/>
      <c r="AA765" s="838"/>
      <c r="AB765" s="839"/>
    </row>
    <row r="766" spans="1:28" ht="13.15">
      <c r="B766" s="819" t="s">
        <v>1937</v>
      </c>
      <c r="C766" s="819" t="s">
        <v>1938</v>
      </c>
      <c r="D766" s="379" t="s">
        <v>336</v>
      </c>
      <c r="E766" s="818" t="s">
        <v>441</v>
      </c>
      <c r="F766" s="820">
        <v>-2.01802343</v>
      </c>
      <c r="G766" s="821">
        <v>1.677984666</v>
      </c>
      <c r="H766" s="822">
        <v>931066137.26043296</v>
      </c>
      <c r="I766" s="819"/>
      <c r="J766" s="820">
        <v>-7.2404199999999994E-5</v>
      </c>
      <c r="K766" s="819">
        <f t="shared" si="162"/>
        <v>235</v>
      </c>
      <c r="L766" s="819">
        <f t="shared" si="163"/>
        <v>721</v>
      </c>
      <c r="M766" s="819">
        <f t="shared" si="159"/>
        <v>235</v>
      </c>
      <c r="N766" s="819">
        <f t="shared" si="160"/>
        <v>364</v>
      </c>
      <c r="O766" s="819">
        <f t="shared" si="161"/>
        <v>958</v>
      </c>
      <c r="P766" s="819">
        <f t="shared" si="164"/>
        <v>1163</v>
      </c>
      <c r="Q766" s="819">
        <f t="shared" si="165"/>
        <v>298</v>
      </c>
      <c r="R766" s="819">
        <f t="shared" si="166"/>
        <v>153</v>
      </c>
      <c r="S766" s="819">
        <f t="shared" si="167"/>
        <v>338</v>
      </c>
      <c r="T766" s="819">
        <f t="shared" si="168"/>
        <v>936</v>
      </c>
      <c r="U766" s="819">
        <f t="shared" si="169"/>
        <v>2888</v>
      </c>
      <c r="V766" s="819">
        <f t="shared" si="170"/>
        <v>789</v>
      </c>
      <c r="W766" s="379">
        <f t="shared" si="171"/>
        <v>789</v>
      </c>
      <c r="X766" s="819" t="str">
        <f t="shared" si="172"/>
        <v/>
      </c>
      <c r="Y766" s="837"/>
      <c r="Z766" s="839"/>
      <c r="AA766" s="838"/>
      <c r="AB766" s="839"/>
    </row>
    <row r="767" spans="1:28" ht="14.45">
      <c r="A767" s="816"/>
      <c r="B767" s="819" t="s">
        <v>1939</v>
      </c>
      <c r="C767" s="819" t="s">
        <v>1940</v>
      </c>
      <c r="D767" s="379" t="s">
        <v>336</v>
      </c>
      <c r="E767" s="818" t="s">
        <v>418</v>
      </c>
      <c r="F767" s="820">
        <v>2.5796567239999999</v>
      </c>
      <c r="G767" s="821">
        <v>-0.19788709400000001</v>
      </c>
      <c r="H767" s="822">
        <v>194979469.60574901</v>
      </c>
      <c r="I767" s="819"/>
      <c r="J767" s="820">
        <v>2.5112600000000001E-5</v>
      </c>
      <c r="K767" s="819">
        <f t="shared" si="162"/>
        <v>576</v>
      </c>
      <c r="L767" s="819">
        <f t="shared" si="163"/>
        <v>1241</v>
      </c>
      <c r="M767" s="819">
        <f t="shared" si="159"/>
        <v>576</v>
      </c>
      <c r="N767" s="819">
        <f t="shared" si="160"/>
        <v>364</v>
      </c>
      <c r="O767" s="819">
        <f t="shared" si="161"/>
        <v>390</v>
      </c>
      <c r="P767" s="819">
        <f t="shared" si="164"/>
        <v>822</v>
      </c>
      <c r="Q767" s="819">
        <f t="shared" si="165"/>
        <v>818</v>
      </c>
      <c r="R767" s="819">
        <f t="shared" si="166"/>
        <v>494</v>
      </c>
      <c r="S767" s="819">
        <f t="shared" si="167"/>
        <v>338</v>
      </c>
      <c r="T767" s="819">
        <f t="shared" si="168"/>
        <v>368</v>
      </c>
      <c r="U767" s="819">
        <f t="shared" si="169"/>
        <v>2840</v>
      </c>
      <c r="V767" s="819">
        <f t="shared" si="170"/>
        <v>700</v>
      </c>
      <c r="W767" s="379">
        <f t="shared" si="171"/>
        <v>700</v>
      </c>
      <c r="X767" s="819" t="str">
        <f t="shared" si="172"/>
        <v/>
      </c>
      <c r="Y767" s="837"/>
      <c r="Z767" s="839"/>
      <c r="AA767" s="838"/>
      <c r="AB767" s="839"/>
    </row>
    <row r="768" spans="1:28" ht="13.15">
      <c r="B768" s="819" t="s">
        <v>1941</v>
      </c>
      <c r="C768" s="819" t="s">
        <v>1942</v>
      </c>
      <c r="D768" s="379" t="s">
        <v>336</v>
      </c>
      <c r="E768" s="818" t="s">
        <v>337</v>
      </c>
      <c r="F768" s="820">
        <v>0.44016085399999999</v>
      </c>
      <c r="G768" s="821">
        <v>0.982674822</v>
      </c>
      <c r="H768" s="822">
        <v>6189278.2400000002</v>
      </c>
      <c r="I768" s="819">
        <v>0.52</v>
      </c>
      <c r="J768" s="820">
        <v>-1.4546470000000001E-3</v>
      </c>
      <c r="K768" s="819">
        <f t="shared" si="162"/>
        <v>1338</v>
      </c>
      <c r="L768" s="819">
        <f t="shared" si="163"/>
        <v>818</v>
      </c>
      <c r="M768" s="819">
        <f t="shared" si="159"/>
        <v>1338</v>
      </c>
      <c r="N768" s="819">
        <f t="shared" si="160"/>
        <v>163</v>
      </c>
      <c r="O768" s="819">
        <f t="shared" si="161"/>
        <v>1457</v>
      </c>
      <c r="P768" s="819">
        <f t="shared" si="164"/>
        <v>60</v>
      </c>
      <c r="Q768" s="819">
        <f t="shared" si="165"/>
        <v>395</v>
      </c>
      <c r="R768" s="819">
        <f t="shared" si="166"/>
        <v>1256</v>
      </c>
      <c r="S768" s="819">
        <f t="shared" si="167"/>
        <v>137</v>
      </c>
      <c r="T768" s="819">
        <f t="shared" si="168"/>
        <v>1435</v>
      </c>
      <c r="U768" s="819">
        <f t="shared" si="169"/>
        <v>3283</v>
      </c>
      <c r="V768" s="819">
        <f t="shared" si="170"/>
        <v>1315</v>
      </c>
      <c r="W768" s="379">
        <f t="shared" si="171"/>
        <v>1315</v>
      </c>
      <c r="X768" s="819" t="str">
        <f t="shared" si="172"/>
        <v/>
      </c>
      <c r="Y768" s="837"/>
      <c r="Z768" s="839"/>
      <c r="AA768" s="838"/>
      <c r="AB768" s="839"/>
    </row>
    <row r="769" spans="1:28" ht="14.45">
      <c r="A769" s="816"/>
      <c r="B769" s="819" t="s">
        <v>1943</v>
      </c>
      <c r="C769" s="819" t="s">
        <v>1944</v>
      </c>
      <c r="D769" s="379" t="s">
        <v>336</v>
      </c>
      <c r="E769" s="818" t="s">
        <v>418</v>
      </c>
      <c r="F769" s="820">
        <v>0.20799883499999999</v>
      </c>
      <c r="G769" s="821">
        <v>2.3012552300000002</v>
      </c>
      <c r="H769" s="822">
        <v>8504762.0897261593</v>
      </c>
      <c r="I769" s="819"/>
      <c r="J769" s="820">
        <v>-1.8360099999999999E-6</v>
      </c>
      <c r="K769" s="819">
        <f t="shared" si="162"/>
        <v>1285</v>
      </c>
      <c r="L769" s="819">
        <f t="shared" si="163"/>
        <v>631</v>
      </c>
      <c r="M769" s="819">
        <f t="shared" si="159"/>
        <v>1285</v>
      </c>
      <c r="N769" s="819">
        <f t="shared" si="160"/>
        <v>364</v>
      </c>
      <c r="O769" s="819">
        <f t="shared" si="161"/>
        <v>762</v>
      </c>
      <c r="P769" s="819">
        <f t="shared" si="164"/>
        <v>113</v>
      </c>
      <c r="Q769" s="819">
        <f t="shared" si="165"/>
        <v>208</v>
      </c>
      <c r="R769" s="819">
        <f t="shared" si="166"/>
        <v>1203</v>
      </c>
      <c r="S769" s="819">
        <f t="shared" si="167"/>
        <v>338</v>
      </c>
      <c r="T769" s="819">
        <f t="shared" si="168"/>
        <v>740</v>
      </c>
      <c r="U769" s="819">
        <f t="shared" si="169"/>
        <v>2602</v>
      </c>
      <c r="V769" s="819">
        <f t="shared" si="170"/>
        <v>285</v>
      </c>
      <c r="W769" s="379">
        <f t="shared" si="171"/>
        <v>285</v>
      </c>
      <c r="X769" s="819" t="str">
        <f t="shared" si="172"/>
        <v/>
      </c>
      <c r="Y769" s="837"/>
      <c r="Z769" s="839"/>
      <c r="AA769" s="838"/>
      <c r="AB769" s="839"/>
    </row>
    <row r="770" spans="1:28" ht="13.15">
      <c r="B770" s="819" t="s">
        <v>1945</v>
      </c>
      <c r="C770" s="819" t="s">
        <v>1946</v>
      </c>
      <c r="D770" s="379" t="s">
        <v>336</v>
      </c>
      <c r="E770" s="818" t="s">
        <v>460</v>
      </c>
      <c r="F770" s="820">
        <v>1.4713561639999999</v>
      </c>
      <c r="G770" s="821">
        <v>3.7170488669999999</v>
      </c>
      <c r="H770" s="822">
        <v>1274015659.5193901</v>
      </c>
      <c r="I770" s="819">
        <v>0.04</v>
      </c>
      <c r="J770" s="820">
        <v>-6.2852899999999996E-4</v>
      </c>
      <c r="K770" s="819">
        <f t="shared" si="162"/>
        <v>190</v>
      </c>
      <c r="L770" s="819">
        <f t="shared" si="163"/>
        <v>474</v>
      </c>
      <c r="M770" s="819">
        <f t="shared" si="159"/>
        <v>190</v>
      </c>
      <c r="N770" s="819">
        <f t="shared" si="160"/>
        <v>309</v>
      </c>
      <c r="O770" s="819">
        <f t="shared" si="161"/>
        <v>1324</v>
      </c>
      <c r="P770" s="819">
        <f t="shared" si="164"/>
        <v>1208</v>
      </c>
      <c r="Q770" s="819">
        <f t="shared" si="165"/>
        <v>51</v>
      </c>
      <c r="R770" s="819">
        <f t="shared" si="166"/>
        <v>108</v>
      </c>
      <c r="S770" s="819">
        <f t="shared" si="167"/>
        <v>283</v>
      </c>
      <c r="T770" s="819">
        <f t="shared" si="168"/>
        <v>1302</v>
      </c>
      <c r="U770" s="819">
        <f t="shared" si="169"/>
        <v>2952</v>
      </c>
      <c r="V770" s="819">
        <f t="shared" si="170"/>
        <v>867</v>
      </c>
      <c r="W770" s="379">
        <f t="shared" si="171"/>
        <v>867</v>
      </c>
      <c r="X770" s="819" t="str">
        <f t="shared" si="172"/>
        <v/>
      </c>
      <c r="Y770" s="837"/>
      <c r="Z770" s="839"/>
      <c r="AA770" s="838"/>
      <c r="AB770" s="839"/>
    </row>
    <row r="771" spans="1:28" ht="14.45">
      <c r="A771" s="816"/>
      <c r="B771" s="819" t="s">
        <v>1947</v>
      </c>
      <c r="C771" s="819" t="s">
        <v>1948</v>
      </c>
      <c r="D771" s="379" t="s">
        <v>336</v>
      </c>
      <c r="E771" s="818" t="s">
        <v>460</v>
      </c>
      <c r="F771" s="820">
        <v>0.52514026999999996</v>
      </c>
      <c r="G771" s="821">
        <v>0.71184698099999999</v>
      </c>
      <c r="H771" s="822">
        <v>4441321.5219032802</v>
      </c>
      <c r="I771" s="819"/>
      <c r="J771" s="820">
        <v>-3.96291E-4</v>
      </c>
      <c r="K771" s="819">
        <f t="shared" si="162"/>
        <v>1382</v>
      </c>
      <c r="L771" s="819">
        <f t="shared" si="163"/>
        <v>869</v>
      </c>
      <c r="M771" s="819">
        <f t="shared" si="159"/>
        <v>1382</v>
      </c>
      <c r="N771" s="819">
        <f t="shared" si="160"/>
        <v>364</v>
      </c>
      <c r="O771" s="819">
        <f t="shared" si="161"/>
        <v>1221</v>
      </c>
      <c r="P771" s="819">
        <f t="shared" si="164"/>
        <v>16</v>
      </c>
      <c r="Q771" s="819">
        <f t="shared" si="165"/>
        <v>446</v>
      </c>
      <c r="R771" s="819">
        <f t="shared" si="166"/>
        <v>1300</v>
      </c>
      <c r="S771" s="819">
        <f t="shared" si="167"/>
        <v>338</v>
      </c>
      <c r="T771" s="819">
        <f t="shared" si="168"/>
        <v>1199</v>
      </c>
      <c r="U771" s="819">
        <f t="shared" si="169"/>
        <v>3299</v>
      </c>
      <c r="V771" s="819">
        <f t="shared" si="170"/>
        <v>1342</v>
      </c>
      <c r="W771" s="379">
        <f t="shared" si="171"/>
        <v>1342</v>
      </c>
      <c r="X771" s="819" t="str">
        <f t="shared" si="172"/>
        <v/>
      </c>
      <c r="Y771" s="837"/>
      <c r="Z771" s="839"/>
      <c r="AA771" s="838"/>
      <c r="AB771" s="839"/>
    </row>
    <row r="772" spans="1:28" ht="13.15">
      <c r="B772" s="819" t="s">
        <v>1949</v>
      </c>
      <c r="C772" s="819" t="s">
        <v>1950</v>
      </c>
      <c r="D772" s="379" t="s">
        <v>336</v>
      </c>
      <c r="E772" s="818" t="s">
        <v>373</v>
      </c>
      <c r="F772" s="820">
        <v>0</v>
      </c>
      <c r="G772" s="821">
        <v>0</v>
      </c>
      <c r="H772" s="822">
        <v>113682558.005051</v>
      </c>
      <c r="I772" s="819"/>
      <c r="J772" s="820">
        <v>2.03563E-6</v>
      </c>
      <c r="K772" s="819">
        <f t="shared" si="162"/>
        <v>687</v>
      </c>
      <c r="L772" s="819">
        <f t="shared" si="163"/>
        <v>1084</v>
      </c>
      <c r="M772" s="819">
        <f t="shared" ref="M772:M835" si="173">IFERROR(_xlfn.RANK.EQ(H772,H$3:H$1787),"N/A")</f>
        <v>687</v>
      </c>
      <c r="N772" s="819">
        <f t="shared" ref="N772:N835" si="174">IFERROR(_xlfn.RANK.EQ(I772,I$3:I$1787),"N/A")</f>
        <v>364</v>
      </c>
      <c r="O772" s="819">
        <f t="shared" ref="O772:O835" si="175">IFERROR(_xlfn.RANK.EQ(J772,J$3:J$1787),"N/A")</f>
        <v>470</v>
      </c>
      <c r="P772" s="819">
        <f t="shared" si="164"/>
        <v>711</v>
      </c>
      <c r="Q772" s="819">
        <f t="shared" si="165"/>
        <v>661</v>
      </c>
      <c r="R772" s="819">
        <f t="shared" si="166"/>
        <v>605</v>
      </c>
      <c r="S772" s="819">
        <f t="shared" si="167"/>
        <v>338</v>
      </c>
      <c r="T772" s="819">
        <f t="shared" si="168"/>
        <v>448</v>
      </c>
      <c r="U772" s="819">
        <f t="shared" si="169"/>
        <v>2763</v>
      </c>
      <c r="V772" s="819">
        <f t="shared" si="170"/>
        <v>434</v>
      </c>
      <c r="W772" s="379">
        <f t="shared" si="171"/>
        <v>434</v>
      </c>
      <c r="X772" s="819" t="str">
        <f t="shared" si="172"/>
        <v/>
      </c>
      <c r="Y772" s="837"/>
      <c r="Z772" s="839"/>
      <c r="AA772" s="838"/>
      <c r="AB772" s="839"/>
    </row>
    <row r="773" spans="1:28" ht="14.45">
      <c r="A773" s="816"/>
      <c r="B773" s="819" t="s">
        <v>1951</v>
      </c>
      <c r="C773" s="819" t="s">
        <v>1952</v>
      </c>
      <c r="D773" s="379" t="s">
        <v>336</v>
      </c>
      <c r="E773" s="818" t="s">
        <v>425</v>
      </c>
      <c r="F773" s="820">
        <v>0.97858515800000001</v>
      </c>
      <c r="G773" s="821">
        <v>3.3569397990000001</v>
      </c>
      <c r="H773" s="822">
        <v>210825682.40131101</v>
      </c>
      <c r="I773" s="819">
        <v>0.03</v>
      </c>
      <c r="J773" s="820">
        <v>-5.7390100000000003E-4</v>
      </c>
      <c r="K773" s="819">
        <f t="shared" ref="K773:K836" si="176">IFERROR(_xlfn.RANK.EQ(H773,H$3:H$1787),"N/A")</f>
        <v>550</v>
      </c>
      <c r="L773" s="819">
        <f t="shared" ref="L773:L836" si="177">IFERROR(_xlfn.RANK.EQ(G773,G$3:G$1787),"N/A")</f>
        <v>519</v>
      </c>
      <c r="M773" s="819">
        <f t="shared" si="173"/>
        <v>550</v>
      </c>
      <c r="N773" s="819">
        <f t="shared" si="174"/>
        <v>323</v>
      </c>
      <c r="O773" s="819">
        <f t="shared" si="175"/>
        <v>1300</v>
      </c>
      <c r="P773" s="819">
        <f t="shared" ref="P773:P836" si="178">IFERROR(ABS(K$3-K773),"N/A")</f>
        <v>848</v>
      </c>
      <c r="Q773" s="819">
        <f t="shared" ref="Q773:Q836" si="179">IFERROR(ABS(L$3-L773),"N/A")</f>
        <v>96</v>
      </c>
      <c r="R773" s="819">
        <f t="shared" ref="R773:R836" si="180">IFERROR(ABS(M$3-M773),"N/A")</f>
        <v>468</v>
      </c>
      <c r="S773" s="819">
        <f t="shared" ref="S773:S836" si="181">IFERROR(ABS(N$3-N773),"N/A")</f>
        <v>297</v>
      </c>
      <c r="T773" s="819">
        <f t="shared" ref="T773:T836" si="182">IFERROR(ABS(O$3-O773),"N/A")</f>
        <v>1278</v>
      </c>
      <c r="U773" s="819">
        <f t="shared" ref="U773:U836" si="183">SUM(P773:T773)</f>
        <v>2987</v>
      </c>
      <c r="V773" s="819">
        <f t="shared" ref="V773:V836" si="184">_xlfn.RANK.EQ(U773,$U$4:$U$1787,1)</f>
        <v>910</v>
      </c>
      <c r="W773" s="379">
        <f t="shared" ref="W773:W836" si="185">IF(Y773="Not suitable","-",V773)</f>
        <v>910</v>
      </c>
      <c r="X773" s="819" t="str">
        <f t="shared" si="172"/>
        <v/>
      </c>
      <c r="Y773" s="837"/>
      <c r="Z773" s="839"/>
      <c r="AA773" s="838"/>
      <c r="AB773" s="839"/>
    </row>
    <row r="774" spans="1:28" ht="13.15">
      <c r="B774" s="819" t="s">
        <v>1953</v>
      </c>
      <c r="C774" s="819" t="s">
        <v>1954</v>
      </c>
      <c r="D774" s="379" t="s">
        <v>336</v>
      </c>
      <c r="E774" s="818" t="s">
        <v>378</v>
      </c>
      <c r="F774" s="820">
        <v>3.2382056239999999</v>
      </c>
      <c r="G774" s="821">
        <v>6.2277974999999999E-2</v>
      </c>
      <c r="H774" s="822">
        <v>230.42846800000001</v>
      </c>
      <c r="I774" s="819"/>
      <c r="J774" s="820">
        <v>-1.456672E-3</v>
      </c>
      <c r="K774" s="819">
        <f t="shared" si="176"/>
        <v>1688</v>
      </c>
      <c r="L774" s="819">
        <f t="shared" si="177"/>
        <v>1038</v>
      </c>
      <c r="M774" s="819">
        <f t="shared" si="173"/>
        <v>1688</v>
      </c>
      <c r="N774" s="819">
        <f t="shared" si="174"/>
        <v>364</v>
      </c>
      <c r="O774" s="819">
        <f t="shared" si="175"/>
        <v>1458</v>
      </c>
      <c r="P774" s="819">
        <f t="shared" si="178"/>
        <v>290</v>
      </c>
      <c r="Q774" s="819">
        <f t="shared" si="179"/>
        <v>615</v>
      </c>
      <c r="R774" s="819">
        <f t="shared" si="180"/>
        <v>1606</v>
      </c>
      <c r="S774" s="819">
        <f t="shared" si="181"/>
        <v>338</v>
      </c>
      <c r="T774" s="819">
        <f t="shared" si="182"/>
        <v>1436</v>
      </c>
      <c r="U774" s="819">
        <f t="shared" si="183"/>
        <v>4285</v>
      </c>
      <c r="V774" s="819">
        <f t="shared" si="184"/>
        <v>1762</v>
      </c>
      <c r="W774" s="379">
        <f t="shared" si="185"/>
        <v>1762</v>
      </c>
      <c r="X774" s="819" t="str">
        <f t="shared" ref="X774:X837" si="186">IF(L774="N/A","Y","")</f>
        <v/>
      </c>
      <c r="Y774" s="837"/>
      <c r="Z774" s="839"/>
      <c r="AA774" s="838"/>
      <c r="AB774" s="839"/>
    </row>
    <row r="775" spans="1:28" ht="14.45">
      <c r="A775" s="816"/>
      <c r="B775" s="819" t="s">
        <v>1955</v>
      </c>
      <c r="C775" s="819" t="s">
        <v>1956</v>
      </c>
      <c r="D775" s="379" t="s">
        <v>336</v>
      </c>
      <c r="E775" s="818" t="s">
        <v>1957</v>
      </c>
      <c r="F775" s="820"/>
      <c r="G775" s="821"/>
      <c r="H775" s="822">
        <v>83220340.971618503</v>
      </c>
      <c r="I775" s="819"/>
      <c r="J775" s="820">
        <v>0</v>
      </c>
      <c r="K775" s="819">
        <f t="shared" si="176"/>
        <v>762</v>
      </c>
      <c r="L775" s="819">
        <f t="shared" si="177"/>
        <v>1084</v>
      </c>
      <c r="M775" s="819">
        <f t="shared" si="173"/>
        <v>762</v>
      </c>
      <c r="N775" s="819">
        <f t="shared" si="174"/>
        <v>364</v>
      </c>
      <c r="O775" s="819">
        <f t="shared" si="175"/>
        <v>492</v>
      </c>
      <c r="P775" s="819">
        <f t="shared" si="178"/>
        <v>636</v>
      </c>
      <c r="Q775" s="819">
        <f t="shared" si="179"/>
        <v>661</v>
      </c>
      <c r="R775" s="819">
        <f t="shared" si="180"/>
        <v>680</v>
      </c>
      <c r="S775" s="819">
        <f t="shared" si="181"/>
        <v>338</v>
      </c>
      <c r="T775" s="819">
        <f t="shared" si="182"/>
        <v>470</v>
      </c>
      <c r="U775" s="819">
        <f t="shared" si="183"/>
        <v>2785</v>
      </c>
      <c r="V775" s="819">
        <f t="shared" si="184"/>
        <v>463</v>
      </c>
      <c r="W775" s="379">
        <f t="shared" si="185"/>
        <v>463</v>
      </c>
      <c r="X775" s="819" t="str">
        <f t="shared" si="186"/>
        <v/>
      </c>
      <c r="Y775" s="837"/>
      <c r="Z775" s="839"/>
      <c r="AA775" s="838"/>
      <c r="AB775" s="839"/>
    </row>
    <row r="776" spans="1:28" ht="13.15">
      <c r="B776" s="819" t="s">
        <v>1958</v>
      </c>
      <c r="C776" s="819" t="s">
        <v>1959</v>
      </c>
      <c r="D776" s="379" t="s">
        <v>336</v>
      </c>
      <c r="E776" s="818" t="s">
        <v>676</v>
      </c>
      <c r="F776" s="820">
        <v>3.6655182220000002</v>
      </c>
      <c r="G776" s="821">
        <v>2.0448995559999998</v>
      </c>
      <c r="H776" s="822">
        <v>219494976.92098799</v>
      </c>
      <c r="I776" s="819"/>
      <c r="J776" s="820">
        <v>-1.710449E-3</v>
      </c>
      <c r="K776" s="819">
        <f t="shared" si="176"/>
        <v>539</v>
      </c>
      <c r="L776" s="819">
        <f t="shared" si="177"/>
        <v>666</v>
      </c>
      <c r="M776" s="819">
        <f t="shared" si="173"/>
        <v>539</v>
      </c>
      <c r="N776" s="819">
        <f t="shared" si="174"/>
        <v>364</v>
      </c>
      <c r="O776" s="819">
        <f t="shared" si="175"/>
        <v>1474</v>
      </c>
      <c r="P776" s="819">
        <f t="shared" si="178"/>
        <v>859</v>
      </c>
      <c r="Q776" s="819">
        <f t="shared" si="179"/>
        <v>243</v>
      </c>
      <c r="R776" s="819">
        <f t="shared" si="180"/>
        <v>457</v>
      </c>
      <c r="S776" s="819">
        <f t="shared" si="181"/>
        <v>338</v>
      </c>
      <c r="T776" s="819">
        <f t="shared" si="182"/>
        <v>1452</v>
      </c>
      <c r="U776" s="819">
        <f t="shared" si="183"/>
        <v>3349</v>
      </c>
      <c r="V776" s="819">
        <f t="shared" si="184"/>
        <v>1404</v>
      </c>
      <c r="W776" s="379">
        <f t="shared" si="185"/>
        <v>1404</v>
      </c>
      <c r="X776" s="819" t="str">
        <f t="shared" si="186"/>
        <v/>
      </c>
      <c r="Y776" s="837"/>
      <c r="Z776" s="839"/>
      <c r="AA776" s="838"/>
      <c r="AB776" s="839"/>
    </row>
    <row r="777" spans="1:28" ht="14.45">
      <c r="A777" s="816"/>
      <c r="B777" s="819" t="s">
        <v>1960</v>
      </c>
      <c r="C777" s="819" t="s">
        <v>1961</v>
      </c>
      <c r="D777" s="379" t="s">
        <v>336</v>
      </c>
      <c r="E777" s="818" t="s">
        <v>337</v>
      </c>
      <c r="F777" s="820">
        <v>2.2801064919999998</v>
      </c>
      <c r="G777" s="821">
        <v>0.78811858899999998</v>
      </c>
      <c r="H777" s="822">
        <v>821723.00760000001</v>
      </c>
      <c r="I777" s="819"/>
      <c r="J777" s="820">
        <v>-7.2465400000000003E-4</v>
      </c>
      <c r="K777" s="819">
        <f t="shared" si="176"/>
        <v>1572</v>
      </c>
      <c r="L777" s="819">
        <f t="shared" si="177"/>
        <v>854</v>
      </c>
      <c r="M777" s="819">
        <f t="shared" si="173"/>
        <v>1572</v>
      </c>
      <c r="N777" s="819">
        <f t="shared" si="174"/>
        <v>364</v>
      </c>
      <c r="O777" s="819">
        <f t="shared" si="175"/>
        <v>1350</v>
      </c>
      <c r="P777" s="819">
        <f t="shared" si="178"/>
        <v>174</v>
      </c>
      <c r="Q777" s="819">
        <f t="shared" si="179"/>
        <v>431</v>
      </c>
      <c r="R777" s="819">
        <f t="shared" si="180"/>
        <v>1490</v>
      </c>
      <c r="S777" s="819">
        <f t="shared" si="181"/>
        <v>338</v>
      </c>
      <c r="T777" s="819">
        <f t="shared" si="182"/>
        <v>1328</v>
      </c>
      <c r="U777" s="819">
        <f t="shared" si="183"/>
        <v>3761</v>
      </c>
      <c r="V777" s="819">
        <f t="shared" si="184"/>
        <v>1702</v>
      </c>
      <c r="W777" s="379">
        <f t="shared" si="185"/>
        <v>1702</v>
      </c>
      <c r="X777" s="819" t="str">
        <f t="shared" si="186"/>
        <v/>
      </c>
      <c r="Y777" s="837"/>
      <c r="Z777" s="839"/>
      <c r="AA777" s="838"/>
      <c r="AB777" s="839"/>
    </row>
    <row r="778" spans="1:28" ht="13.15">
      <c r="B778" s="819" t="s">
        <v>1962</v>
      </c>
      <c r="C778" s="819" t="s">
        <v>1963</v>
      </c>
      <c r="D778" s="379" t="s">
        <v>336</v>
      </c>
      <c r="E778" s="818" t="s">
        <v>373</v>
      </c>
      <c r="F778" s="820">
        <v>3.46351136</v>
      </c>
      <c r="G778" s="821">
        <v>16.790303489999999</v>
      </c>
      <c r="H778" s="822">
        <v>117425237.771465</v>
      </c>
      <c r="I778" s="819"/>
      <c r="J778" s="820">
        <v>-1.5105000000000001E-4</v>
      </c>
      <c r="K778" s="819">
        <f t="shared" si="176"/>
        <v>679</v>
      </c>
      <c r="L778" s="819">
        <f t="shared" si="177"/>
        <v>110</v>
      </c>
      <c r="M778" s="819">
        <f t="shared" si="173"/>
        <v>679</v>
      </c>
      <c r="N778" s="819">
        <f t="shared" si="174"/>
        <v>364</v>
      </c>
      <c r="O778" s="819">
        <f t="shared" si="175"/>
        <v>1060</v>
      </c>
      <c r="P778" s="819">
        <f t="shared" si="178"/>
        <v>719</v>
      </c>
      <c r="Q778" s="819">
        <f t="shared" si="179"/>
        <v>313</v>
      </c>
      <c r="R778" s="819">
        <f t="shared" si="180"/>
        <v>597</v>
      </c>
      <c r="S778" s="819">
        <f t="shared" si="181"/>
        <v>338</v>
      </c>
      <c r="T778" s="819">
        <f t="shared" si="182"/>
        <v>1038</v>
      </c>
      <c r="U778" s="819">
        <f t="shared" si="183"/>
        <v>3005</v>
      </c>
      <c r="V778" s="819">
        <f t="shared" si="184"/>
        <v>930</v>
      </c>
      <c r="W778" s="379">
        <f t="shared" si="185"/>
        <v>930</v>
      </c>
      <c r="X778" s="819" t="str">
        <f t="shared" si="186"/>
        <v/>
      </c>
      <c r="Y778" s="837"/>
      <c r="Z778" s="839"/>
      <c r="AA778" s="838"/>
      <c r="AB778" s="839"/>
    </row>
    <row r="779" spans="1:28" ht="14.45">
      <c r="A779" s="816"/>
      <c r="B779" s="819" t="s">
        <v>1964</v>
      </c>
      <c r="C779" s="819" t="s">
        <v>1965</v>
      </c>
      <c r="D779" s="379" t="s">
        <v>336</v>
      </c>
      <c r="E779" s="818" t="s">
        <v>460</v>
      </c>
      <c r="F779" s="820">
        <v>3.106938891</v>
      </c>
      <c r="G779" s="821">
        <v>2.7802671989999999</v>
      </c>
      <c r="H779" s="822">
        <v>138239287.738958</v>
      </c>
      <c r="I779" s="819">
        <v>0.36</v>
      </c>
      <c r="J779" s="820">
        <v>-1.4462687E-2</v>
      </c>
      <c r="K779" s="819">
        <f t="shared" si="176"/>
        <v>643</v>
      </c>
      <c r="L779" s="819">
        <f t="shared" si="177"/>
        <v>569</v>
      </c>
      <c r="M779" s="819">
        <f t="shared" si="173"/>
        <v>643</v>
      </c>
      <c r="N779" s="819">
        <f t="shared" si="174"/>
        <v>177</v>
      </c>
      <c r="O779" s="819">
        <f t="shared" si="175"/>
        <v>1669</v>
      </c>
      <c r="P779" s="819">
        <f t="shared" si="178"/>
        <v>755</v>
      </c>
      <c r="Q779" s="819">
        <f t="shared" si="179"/>
        <v>146</v>
      </c>
      <c r="R779" s="819">
        <f t="shared" si="180"/>
        <v>561</v>
      </c>
      <c r="S779" s="819">
        <f t="shared" si="181"/>
        <v>151</v>
      </c>
      <c r="T779" s="819">
        <f t="shared" si="182"/>
        <v>1647</v>
      </c>
      <c r="U779" s="819">
        <f t="shared" si="183"/>
        <v>3260</v>
      </c>
      <c r="V779" s="819">
        <f t="shared" si="184"/>
        <v>1288</v>
      </c>
      <c r="W779" s="379">
        <f t="shared" si="185"/>
        <v>1288</v>
      </c>
      <c r="X779" s="819" t="str">
        <f t="shared" si="186"/>
        <v/>
      </c>
      <c r="Y779" s="837"/>
      <c r="Z779" s="839"/>
      <c r="AA779" s="838"/>
      <c r="AB779" s="839"/>
    </row>
    <row r="780" spans="1:28" ht="13.15">
      <c r="B780" s="819" t="s">
        <v>1966</v>
      </c>
      <c r="C780" s="819" t="s">
        <v>1967</v>
      </c>
      <c r="D780" s="379" t="s">
        <v>336</v>
      </c>
      <c r="E780" s="818" t="s">
        <v>1339</v>
      </c>
      <c r="F780" s="820">
        <v>0.84986569300000003</v>
      </c>
      <c r="G780" s="821">
        <v>7.5569326099999996</v>
      </c>
      <c r="H780" s="822">
        <v>108612177.729018</v>
      </c>
      <c r="I780" s="819"/>
      <c r="J780" s="820">
        <v>-6.2034399999999997E-5</v>
      </c>
      <c r="K780" s="819">
        <f t="shared" si="176"/>
        <v>699</v>
      </c>
      <c r="L780" s="819">
        <f t="shared" si="177"/>
        <v>271</v>
      </c>
      <c r="M780" s="819">
        <f t="shared" si="173"/>
        <v>699</v>
      </c>
      <c r="N780" s="819">
        <f t="shared" si="174"/>
        <v>364</v>
      </c>
      <c r="O780" s="819">
        <f t="shared" si="175"/>
        <v>940</v>
      </c>
      <c r="P780" s="819">
        <f t="shared" si="178"/>
        <v>699</v>
      </c>
      <c r="Q780" s="819">
        <f t="shared" si="179"/>
        <v>152</v>
      </c>
      <c r="R780" s="819">
        <f t="shared" si="180"/>
        <v>617</v>
      </c>
      <c r="S780" s="819">
        <f t="shared" si="181"/>
        <v>338</v>
      </c>
      <c r="T780" s="819">
        <f t="shared" si="182"/>
        <v>918</v>
      </c>
      <c r="U780" s="819">
        <f t="shared" si="183"/>
        <v>2724</v>
      </c>
      <c r="V780" s="819">
        <f t="shared" si="184"/>
        <v>389</v>
      </c>
      <c r="W780" s="379">
        <f t="shared" si="185"/>
        <v>389</v>
      </c>
      <c r="X780" s="819" t="str">
        <f t="shared" si="186"/>
        <v/>
      </c>
      <c r="Y780" s="837"/>
      <c r="Z780" s="839"/>
      <c r="AA780" s="838"/>
      <c r="AB780" s="839"/>
    </row>
    <row r="781" spans="1:28" ht="14.45">
      <c r="A781" s="816"/>
      <c r="B781" s="819" t="s">
        <v>1968</v>
      </c>
      <c r="C781" s="819" t="s">
        <v>1969</v>
      </c>
      <c r="D781" s="379" t="s">
        <v>336</v>
      </c>
      <c r="E781" s="818" t="s">
        <v>453</v>
      </c>
      <c r="F781" s="820">
        <v>1.4659419490000001</v>
      </c>
      <c r="G781" s="821">
        <v>2.7145151859999999</v>
      </c>
      <c r="H781" s="822">
        <v>1283389042.0717001</v>
      </c>
      <c r="I781" s="819"/>
      <c r="J781" s="820">
        <v>-2.0669500000000001E-4</v>
      </c>
      <c r="K781" s="819">
        <f t="shared" si="176"/>
        <v>189</v>
      </c>
      <c r="L781" s="819">
        <f t="shared" si="177"/>
        <v>579</v>
      </c>
      <c r="M781" s="819">
        <f t="shared" si="173"/>
        <v>189</v>
      </c>
      <c r="N781" s="819">
        <f t="shared" si="174"/>
        <v>364</v>
      </c>
      <c r="O781" s="819">
        <f t="shared" si="175"/>
        <v>1109</v>
      </c>
      <c r="P781" s="819">
        <f t="shared" si="178"/>
        <v>1209</v>
      </c>
      <c r="Q781" s="819">
        <f t="shared" si="179"/>
        <v>156</v>
      </c>
      <c r="R781" s="819">
        <f t="shared" si="180"/>
        <v>107</v>
      </c>
      <c r="S781" s="819">
        <f t="shared" si="181"/>
        <v>338</v>
      </c>
      <c r="T781" s="819">
        <f t="shared" si="182"/>
        <v>1087</v>
      </c>
      <c r="U781" s="819">
        <f t="shared" si="183"/>
        <v>2897</v>
      </c>
      <c r="V781" s="819">
        <f t="shared" si="184"/>
        <v>802</v>
      </c>
      <c r="W781" s="379">
        <f t="shared" si="185"/>
        <v>802</v>
      </c>
      <c r="X781" s="819" t="str">
        <f t="shared" si="186"/>
        <v/>
      </c>
      <c r="Y781" s="837"/>
      <c r="Z781" s="839"/>
      <c r="AA781" s="838"/>
      <c r="AB781" s="839"/>
    </row>
    <row r="782" spans="1:28" ht="13.15">
      <c r="B782" s="819" t="s">
        <v>1970</v>
      </c>
      <c r="C782" s="819" t="s">
        <v>1971</v>
      </c>
      <c r="D782" s="379" t="s">
        <v>336</v>
      </c>
      <c r="E782" s="818" t="s">
        <v>444</v>
      </c>
      <c r="F782" s="820">
        <v>1.3886020489999999</v>
      </c>
      <c r="G782" s="821">
        <v>0.45556443000000002</v>
      </c>
      <c r="H782" s="822">
        <v>14807446.517758301</v>
      </c>
      <c r="I782" s="819">
        <v>0.15</v>
      </c>
      <c r="J782" s="820">
        <v>-5.2660850000000002E-3</v>
      </c>
      <c r="K782" s="819">
        <f t="shared" si="176"/>
        <v>1168</v>
      </c>
      <c r="L782" s="819">
        <f t="shared" si="177"/>
        <v>934</v>
      </c>
      <c r="M782" s="819">
        <f t="shared" si="173"/>
        <v>1168</v>
      </c>
      <c r="N782" s="819">
        <f t="shared" si="174"/>
        <v>235</v>
      </c>
      <c r="O782" s="819">
        <f t="shared" si="175"/>
        <v>1606</v>
      </c>
      <c r="P782" s="819">
        <f t="shared" si="178"/>
        <v>230</v>
      </c>
      <c r="Q782" s="819">
        <f t="shared" si="179"/>
        <v>511</v>
      </c>
      <c r="R782" s="819">
        <f t="shared" si="180"/>
        <v>1086</v>
      </c>
      <c r="S782" s="819">
        <f t="shared" si="181"/>
        <v>209</v>
      </c>
      <c r="T782" s="819">
        <f t="shared" si="182"/>
        <v>1584</v>
      </c>
      <c r="U782" s="819">
        <f t="shared" si="183"/>
        <v>3620</v>
      </c>
      <c r="V782" s="819">
        <f t="shared" si="184"/>
        <v>1632</v>
      </c>
      <c r="W782" s="379">
        <f t="shared" si="185"/>
        <v>1632</v>
      </c>
      <c r="X782" s="819" t="str">
        <f t="shared" si="186"/>
        <v/>
      </c>
      <c r="Y782" s="837"/>
      <c r="Z782" s="839"/>
      <c r="AA782" s="838"/>
      <c r="AB782" s="839"/>
    </row>
    <row r="783" spans="1:28" ht="14.45">
      <c r="A783" s="816"/>
      <c r="B783" s="819" t="s">
        <v>1972</v>
      </c>
      <c r="C783" s="819" t="s">
        <v>1973</v>
      </c>
      <c r="D783" s="379" t="s">
        <v>336</v>
      </c>
      <c r="E783" s="818" t="s">
        <v>740</v>
      </c>
      <c r="F783" s="820"/>
      <c r="G783" s="821"/>
      <c r="H783" s="822">
        <v>18759740.2597403</v>
      </c>
      <c r="I783" s="819"/>
      <c r="J783" s="820">
        <v>0</v>
      </c>
      <c r="K783" s="819">
        <f t="shared" si="176"/>
        <v>1112</v>
      </c>
      <c r="L783" s="819">
        <f t="shared" si="177"/>
        <v>1084</v>
      </c>
      <c r="M783" s="819">
        <f t="shared" si="173"/>
        <v>1112</v>
      </c>
      <c r="N783" s="819">
        <f t="shared" si="174"/>
        <v>364</v>
      </c>
      <c r="O783" s="819">
        <f t="shared" si="175"/>
        <v>492</v>
      </c>
      <c r="P783" s="819">
        <f t="shared" si="178"/>
        <v>286</v>
      </c>
      <c r="Q783" s="819">
        <f t="shared" si="179"/>
        <v>661</v>
      </c>
      <c r="R783" s="819">
        <f t="shared" si="180"/>
        <v>1030</v>
      </c>
      <c r="S783" s="819">
        <f t="shared" si="181"/>
        <v>338</v>
      </c>
      <c r="T783" s="819">
        <f t="shared" si="182"/>
        <v>470</v>
      </c>
      <c r="U783" s="819">
        <f t="shared" si="183"/>
        <v>2785</v>
      </c>
      <c r="V783" s="819">
        <f t="shared" si="184"/>
        <v>463</v>
      </c>
      <c r="W783" s="379">
        <f t="shared" si="185"/>
        <v>463</v>
      </c>
      <c r="X783" s="819" t="str">
        <f t="shared" si="186"/>
        <v/>
      </c>
      <c r="Y783" s="837"/>
      <c r="Z783" s="839"/>
      <c r="AA783" s="838"/>
      <c r="AB783" s="839"/>
    </row>
    <row r="784" spans="1:28" ht="13.15">
      <c r="B784" s="819" t="s">
        <v>1974</v>
      </c>
      <c r="C784" s="819" t="s">
        <v>1975</v>
      </c>
      <c r="D784" s="379" t="s">
        <v>336</v>
      </c>
      <c r="E784" s="818" t="s">
        <v>1957</v>
      </c>
      <c r="F784" s="820">
        <v>0.17768362600000001</v>
      </c>
      <c r="G784" s="821"/>
      <c r="H784" s="822">
        <v>2828437340.5904999</v>
      </c>
      <c r="I784" s="819"/>
      <c r="J784" s="820">
        <v>0</v>
      </c>
      <c r="K784" s="819">
        <f t="shared" si="176"/>
        <v>116</v>
      </c>
      <c r="L784" s="819">
        <f t="shared" si="177"/>
        <v>1084</v>
      </c>
      <c r="M784" s="819">
        <f t="shared" si="173"/>
        <v>116</v>
      </c>
      <c r="N784" s="819">
        <f t="shared" si="174"/>
        <v>364</v>
      </c>
      <c r="O784" s="819">
        <f t="shared" si="175"/>
        <v>492</v>
      </c>
      <c r="P784" s="819">
        <f t="shared" si="178"/>
        <v>1282</v>
      </c>
      <c r="Q784" s="819">
        <f t="shared" si="179"/>
        <v>661</v>
      </c>
      <c r="R784" s="819">
        <f t="shared" si="180"/>
        <v>34</v>
      </c>
      <c r="S784" s="819">
        <f t="shared" si="181"/>
        <v>338</v>
      </c>
      <c r="T784" s="819">
        <f t="shared" si="182"/>
        <v>470</v>
      </c>
      <c r="U784" s="819">
        <f t="shared" si="183"/>
        <v>2785</v>
      </c>
      <c r="V784" s="819">
        <f t="shared" si="184"/>
        <v>463</v>
      </c>
      <c r="W784" s="379">
        <f t="shared" si="185"/>
        <v>463</v>
      </c>
      <c r="X784" s="819" t="str">
        <f t="shared" si="186"/>
        <v/>
      </c>
      <c r="Y784" s="837"/>
      <c r="Z784" s="839"/>
      <c r="AA784" s="838"/>
      <c r="AB784" s="839"/>
    </row>
    <row r="785" spans="1:28" ht="14.45">
      <c r="A785" s="816"/>
      <c r="B785" s="819" t="s">
        <v>1976</v>
      </c>
      <c r="C785" s="819" t="s">
        <v>1977</v>
      </c>
      <c r="D785" s="379" t="s">
        <v>336</v>
      </c>
      <c r="E785" s="818" t="s">
        <v>337</v>
      </c>
      <c r="F785" s="820">
        <v>2.9619243800000001</v>
      </c>
      <c r="G785" s="821">
        <v>1.189776733</v>
      </c>
      <c r="H785" s="822">
        <v>2239601.5367999999</v>
      </c>
      <c r="I785" s="819"/>
      <c r="J785" s="820">
        <v>-4.9206800000000002E-4</v>
      </c>
      <c r="K785" s="819">
        <f t="shared" si="176"/>
        <v>1478</v>
      </c>
      <c r="L785" s="819">
        <f t="shared" si="177"/>
        <v>787</v>
      </c>
      <c r="M785" s="819">
        <f t="shared" si="173"/>
        <v>1478</v>
      </c>
      <c r="N785" s="819">
        <f t="shared" si="174"/>
        <v>364</v>
      </c>
      <c r="O785" s="819">
        <f t="shared" si="175"/>
        <v>1267</v>
      </c>
      <c r="P785" s="819">
        <f t="shared" si="178"/>
        <v>80</v>
      </c>
      <c r="Q785" s="819">
        <f t="shared" si="179"/>
        <v>364</v>
      </c>
      <c r="R785" s="819">
        <f t="shared" si="180"/>
        <v>1396</v>
      </c>
      <c r="S785" s="819">
        <f t="shared" si="181"/>
        <v>338</v>
      </c>
      <c r="T785" s="819">
        <f t="shared" si="182"/>
        <v>1245</v>
      </c>
      <c r="U785" s="819">
        <f t="shared" si="183"/>
        <v>3423</v>
      </c>
      <c r="V785" s="819">
        <f t="shared" si="184"/>
        <v>1485</v>
      </c>
      <c r="W785" s="379">
        <f t="shared" si="185"/>
        <v>1485</v>
      </c>
      <c r="X785" s="819" t="str">
        <f t="shared" si="186"/>
        <v/>
      </c>
      <c r="Y785" s="837"/>
      <c r="Z785" s="839"/>
      <c r="AA785" s="838"/>
      <c r="AB785" s="839"/>
    </row>
    <row r="786" spans="1:28" ht="13.15">
      <c r="B786" s="819" t="s">
        <v>1978</v>
      </c>
      <c r="C786" s="819" t="s">
        <v>1979</v>
      </c>
      <c r="D786" s="379" t="s">
        <v>336</v>
      </c>
      <c r="E786" s="818" t="s">
        <v>625</v>
      </c>
      <c r="F786" s="820"/>
      <c r="G786" s="821"/>
      <c r="H786" s="822">
        <v>20021166.540914699</v>
      </c>
      <c r="I786" s="819"/>
      <c r="J786" s="820">
        <v>0</v>
      </c>
      <c r="K786" s="819">
        <f t="shared" si="176"/>
        <v>1103</v>
      </c>
      <c r="L786" s="819">
        <f t="shared" si="177"/>
        <v>1084</v>
      </c>
      <c r="M786" s="819">
        <f t="shared" si="173"/>
        <v>1103</v>
      </c>
      <c r="N786" s="819">
        <f t="shared" si="174"/>
        <v>364</v>
      </c>
      <c r="O786" s="819">
        <f t="shared" si="175"/>
        <v>492</v>
      </c>
      <c r="P786" s="819">
        <f t="shared" si="178"/>
        <v>295</v>
      </c>
      <c r="Q786" s="819">
        <f t="shared" si="179"/>
        <v>661</v>
      </c>
      <c r="R786" s="819">
        <f t="shared" si="180"/>
        <v>1021</v>
      </c>
      <c r="S786" s="819">
        <f t="shared" si="181"/>
        <v>338</v>
      </c>
      <c r="T786" s="819">
        <f t="shared" si="182"/>
        <v>470</v>
      </c>
      <c r="U786" s="819">
        <f t="shared" si="183"/>
        <v>2785</v>
      </c>
      <c r="V786" s="819">
        <f t="shared" si="184"/>
        <v>463</v>
      </c>
      <c r="W786" s="379">
        <f t="shared" si="185"/>
        <v>463</v>
      </c>
      <c r="X786" s="819" t="str">
        <f t="shared" si="186"/>
        <v/>
      </c>
      <c r="Y786" s="837"/>
      <c r="Z786" s="839"/>
      <c r="AA786" s="838"/>
      <c r="AB786" s="839"/>
    </row>
    <row r="787" spans="1:28" ht="14.45">
      <c r="A787" s="816"/>
      <c r="B787" s="819" t="s">
        <v>1980</v>
      </c>
      <c r="C787" s="819" t="s">
        <v>1981</v>
      </c>
      <c r="D787" s="379" t="s">
        <v>336</v>
      </c>
      <c r="E787" s="818" t="s">
        <v>418</v>
      </c>
      <c r="F787" s="820">
        <v>0.85583878800000002</v>
      </c>
      <c r="G787" s="821">
        <v>-0.206956008</v>
      </c>
      <c r="H787" s="822">
        <v>332941024.147084</v>
      </c>
      <c r="I787" s="819"/>
      <c r="J787" s="820">
        <v>8.0282400000000002E-5</v>
      </c>
      <c r="K787" s="819">
        <f t="shared" si="176"/>
        <v>448</v>
      </c>
      <c r="L787" s="819">
        <f t="shared" si="177"/>
        <v>1242</v>
      </c>
      <c r="M787" s="819">
        <f t="shared" si="173"/>
        <v>448</v>
      </c>
      <c r="N787" s="819">
        <f t="shared" si="174"/>
        <v>364</v>
      </c>
      <c r="O787" s="819">
        <f t="shared" si="175"/>
        <v>309</v>
      </c>
      <c r="P787" s="819">
        <f t="shared" si="178"/>
        <v>950</v>
      </c>
      <c r="Q787" s="819">
        <f t="shared" si="179"/>
        <v>819</v>
      </c>
      <c r="R787" s="819">
        <f t="shared" si="180"/>
        <v>366</v>
      </c>
      <c r="S787" s="819">
        <f t="shared" si="181"/>
        <v>338</v>
      </c>
      <c r="T787" s="819">
        <f t="shared" si="182"/>
        <v>287</v>
      </c>
      <c r="U787" s="819">
        <f t="shared" si="183"/>
        <v>2760</v>
      </c>
      <c r="V787" s="819">
        <f t="shared" si="184"/>
        <v>432</v>
      </c>
      <c r="W787" s="379">
        <f t="shared" si="185"/>
        <v>432</v>
      </c>
      <c r="X787" s="819" t="str">
        <f t="shared" si="186"/>
        <v/>
      </c>
      <c r="Y787" s="837"/>
      <c r="Z787" s="839"/>
      <c r="AA787" s="838"/>
      <c r="AB787" s="839"/>
    </row>
    <row r="788" spans="1:28" ht="13.15">
      <c r="B788" s="819" t="s">
        <v>1982</v>
      </c>
      <c r="C788" s="819" t="s">
        <v>1983</v>
      </c>
      <c r="D788" s="379" t="s">
        <v>336</v>
      </c>
      <c r="E788" s="818" t="s">
        <v>337</v>
      </c>
      <c r="F788" s="820">
        <v>0.67588826999999996</v>
      </c>
      <c r="G788" s="821">
        <v>2.4448713070000001</v>
      </c>
      <c r="H788" s="822">
        <v>17980910.539999999</v>
      </c>
      <c r="I788" s="819">
        <v>0.11</v>
      </c>
      <c r="J788" s="820">
        <v>-2.3458915E-2</v>
      </c>
      <c r="K788" s="819">
        <f t="shared" si="176"/>
        <v>1126</v>
      </c>
      <c r="L788" s="819">
        <f t="shared" si="177"/>
        <v>609</v>
      </c>
      <c r="M788" s="819">
        <f t="shared" si="173"/>
        <v>1126</v>
      </c>
      <c r="N788" s="819">
        <f t="shared" si="174"/>
        <v>258</v>
      </c>
      <c r="O788" s="819">
        <f t="shared" si="175"/>
        <v>1699</v>
      </c>
      <c r="P788" s="819">
        <f t="shared" si="178"/>
        <v>272</v>
      </c>
      <c r="Q788" s="819">
        <f t="shared" si="179"/>
        <v>186</v>
      </c>
      <c r="R788" s="819">
        <f t="shared" si="180"/>
        <v>1044</v>
      </c>
      <c r="S788" s="819">
        <f t="shared" si="181"/>
        <v>232</v>
      </c>
      <c r="T788" s="819">
        <f t="shared" si="182"/>
        <v>1677</v>
      </c>
      <c r="U788" s="819">
        <f t="shared" si="183"/>
        <v>3411</v>
      </c>
      <c r="V788" s="819">
        <f t="shared" si="184"/>
        <v>1474</v>
      </c>
      <c r="W788" s="379">
        <f t="shared" si="185"/>
        <v>1474</v>
      </c>
      <c r="X788" s="819" t="str">
        <f t="shared" si="186"/>
        <v/>
      </c>
      <c r="Y788" s="837"/>
      <c r="Z788" s="839"/>
      <c r="AA788" s="838"/>
      <c r="AB788" s="839"/>
    </row>
    <row r="789" spans="1:28" ht="14.45">
      <c r="A789" s="816"/>
      <c r="B789" s="819" t="s">
        <v>1984</v>
      </c>
      <c r="C789" s="819" t="s">
        <v>1985</v>
      </c>
      <c r="D789" s="379" t="s">
        <v>336</v>
      </c>
      <c r="E789" s="818" t="s">
        <v>425</v>
      </c>
      <c r="F789" s="820">
        <v>2.2252737420000002</v>
      </c>
      <c r="G789" s="821">
        <v>6.1188753599999997</v>
      </c>
      <c r="H789" s="822">
        <v>41752254.675569601</v>
      </c>
      <c r="I789" s="819">
        <v>0.19</v>
      </c>
      <c r="J789" s="820">
        <v>-3.2849976000000003E-2</v>
      </c>
      <c r="K789" s="819">
        <f t="shared" si="176"/>
        <v>919</v>
      </c>
      <c r="L789" s="819">
        <f t="shared" si="177"/>
        <v>317</v>
      </c>
      <c r="M789" s="819">
        <f t="shared" si="173"/>
        <v>919</v>
      </c>
      <c r="N789" s="819">
        <f t="shared" si="174"/>
        <v>218</v>
      </c>
      <c r="O789" s="819">
        <f t="shared" si="175"/>
        <v>1716</v>
      </c>
      <c r="P789" s="819">
        <f t="shared" si="178"/>
        <v>479</v>
      </c>
      <c r="Q789" s="819">
        <f t="shared" si="179"/>
        <v>106</v>
      </c>
      <c r="R789" s="819">
        <f t="shared" si="180"/>
        <v>837</v>
      </c>
      <c r="S789" s="819">
        <f t="shared" si="181"/>
        <v>192</v>
      </c>
      <c r="T789" s="819">
        <f t="shared" si="182"/>
        <v>1694</v>
      </c>
      <c r="U789" s="819">
        <f t="shared" si="183"/>
        <v>3308</v>
      </c>
      <c r="V789" s="819">
        <f t="shared" si="184"/>
        <v>1356</v>
      </c>
      <c r="W789" s="379">
        <f t="shared" si="185"/>
        <v>1356</v>
      </c>
      <c r="X789" s="819" t="str">
        <f t="shared" si="186"/>
        <v/>
      </c>
      <c r="Y789" s="837"/>
      <c r="Z789" s="839"/>
      <c r="AA789" s="838"/>
      <c r="AB789" s="839"/>
    </row>
    <row r="790" spans="1:28" ht="13.15">
      <c r="B790" s="819" t="s">
        <v>1986</v>
      </c>
      <c r="C790" s="819" t="s">
        <v>1987</v>
      </c>
      <c r="D790" s="379" t="s">
        <v>336</v>
      </c>
      <c r="E790" s="818" t="s">
        <v>441</v>
      </c>
      <c r="F790" s="820">
        <v>4.0500181829999997</v>
      </c>
      <c r="G790" s="821">
        <v>2.6881716600000001</v>
      </c>
      <c r="H790" s="822">
        <v>8206175673.4422998</v>
      </c>
      <c r="I790" s="819"/>
      <c r="J790" s="820">
        <v>-3.6543399999999998E-4</v>
      </c>
      <c r="K790" s="819">
        <f t="shared" si="176"/>
        <v>44</v>
      </c>
      <c r="L790" s="819">
        <f t="shared" si="177"/>
        <v>583</v>
      </c>
      <c r="M790" s="819">
        <f t="shared" si="173"/>
        <v>44</v>
      </c>
      <c r="N790" s="819">
        <f t="shared" si="174"/>
        <v>364</v>
      </c>
      <c r="O790" s="819">
        <f t="shared" si="175"/>
        <v>1202</v>
      </c>
      <c r="P790" s="819">
        <f t="shared" si="178"/>
        <v>1354</v>
      </c>
      <c r="Q790" s="819">
        <f t="shared" si="179"/>
        <v>160</v>
      </c>
      <c r="R790" s="819">
        <f t="shared" si="180"/>
        <v>38</v>
      </c>
      <c r="S790" s="819">
        <f t="shared" si="181"/>
        <v>338</v>
      </c>
      <c r="T790" s="819">
        <f t="shared" si="182"/>
        <v>1180</v>
      </c>
      <c r="U790" s="819">
        <f t="shared" si="183"/>
        <v>3070</v>
      </c>
      <c r="V790" s="819">
        <f t="shared" si="184"/>
        <v>1015</v>
      </c>
      <c r="W790" s="379">
        <f t="shared" si="185"/>
        <v>1015</v>
      </c>
      <c r="X790" s="819" t="str">
        <f t="shared" si="186"/>
        <v/>
      </c>
      <c r="Y790" s="837"/>
      <c r="Z790" s="839"/>
      <c r="AA790" s="838"/>
      <c r="AB790" s="839"/>
    </row>
    <row r="791" spans="1:28" ht="14.45">
      <c r="A791" s="816"/>
      <c r="B791" s="819" t="s">
        <v>1988</v>
      </c>
      <c r="C791" s="819" t="s">
        <v>1989</v>
      </c>
      <c r="D791" s="379" t="s">
        <v>336</v>
      </c>
      <c r="E791" s="818" t="s">
        <v>378</v>
      </c>
      <c r="F791" s="820">
        <v>0.50680044899999999</v>
      </c>
      <c r="G791" s="821">
        <v>0.99888851300000003</v>
      </c>
      <c r="H791" s="822">
        <v>8442088204.8305998</v>
      </c>
      <c r="I791" s="819"/>
      <c r="J791" s="820">
        <v>-6.2442300000000004E-4</v>
      </c>
      <c r="K791" s="819">
        <f t="shared" si="176"/>
        <v>41</v>
      </c>
      <c r="L791" s="819">
        <f t="shared" si="177"/>
        <v>810</v>
      </c>
      <c r="M791" s="819">
        <f t="shared" si="173"/>
        <v>41</v>
      </c>
      <c r="N791" s="819">
        <f t="shared" si="174"/>
        <v>364</v>
      </c>
      <c r="O791" s="819">
        <f t="shared" si="175"/>
        <v>1319</v>
      </c>
      <c r="P791" s="819">
        <f t="shared" si="178"/>
        <v>1357</v>
      </c>
      <c r="Q791" s="819">
        <f t="shared" si="179"/>
        <v>387</v>
      </c>
      <c r="R791" s="819">
        <f t="shared" si="180"/>
        <v>41</v>
      </c>
      <c r="S791" s="819">
        <f t="shared" si="181"/>
        <v>338</v>
      </c>
      <c r="T791" s="819">
        <f t="shared" si="182"/>
        <v>1297</v>
      </c>
      <c r="U791" s="819">
        <f t="shared" si="183"/>
        <v>3420</v>
      </c>
      <c r="V791" s="819">
        <f t="shared" si="184"/>
        <v>1482</v>
      </c>
      <c r="W791" s="379">
        <f t="shared" si="185"/>
        <v>1482</v>
      </c>
      <c r="X791" s="819" t="str">
        <f t="shared" si="186"/>
        <v/>
      </c>
      <c r="Y791" s="837"/>
      <c r="Z791" s="839"/>
      <c r="AA791" s="838"/>
      <c r="AB791" s="839"/>
    </row>
    <row r="792" spans="1:28" ht="13.15">
      <c r="B792" s="819" t="s">
        <v>1990</v>
      </c>
      <c r="C792" s="819" t="s">
        <v>1991</v>
      </c>
      <c r="D792" s="379" t="s">
        <v>336</v>
      </c>
      <c r="E792" s="818" t="s">
        <v>728</v>
      </c>
      <c r="F792" s="820">
        <v>0.32779332999999999</v>
      </c>
      <c r="G792" s="821">
        <v>0</v>
      </c>
      <c r="H792" s="822">
        <v>17959439.6822078</v>
      </c>
      <c r="I792" s="819"/>
      <c r="J792" s="820">
        <v>1.9698999999999999E-5</v>
      </c>
      <c r="K792" s="819">
        <f t="shared" si="176"/>
        <v>1127</v>
      </c>
      <c r="L792" s="819">
        <f t="shared" si="177"/>
        <v>1084</v>
      </c>
      <c r="M792" s="819">
        <f t="shared" si="173"/>
        <v>1127</v>
      </c>
      <c r="N792" s="819">
        <f t="shared" si="174"/>
        <v>364</v>
      </c>
      <c r="O792" s="819">
        <f t="shared" si="175"/>
        <v>404</v>
      </c>
      <c r="P792" s="819">
        <f t="shared" si="178"/>
        <v>271</v>
      </c>
      <c r="Q792" s="819">
        <f t="shared" si="179"/>
        <v>661</v>
      </c>
      <c r="R792" s="819">
        <f t="shared" si="180"/>
        <v>1045</v>
      </c>
      <c r="S792" s="819">
        <f t="shared" si="181"/>
        <v>338</v>
      </c>
      <c r="T792" s="819">
        <f t="shared" si="182"/>
        <v>382</v>
      </c>
      <c r="U792" s="819">
        <f t="shared" si="183"/>
        <v>2697</v>
      </c>
      <c r="V792" s="819">
        <f t="shared" si="184"/>
        <v>356</v>
      </c>
      <c r="W792" s="379">
        <f t="shared" si="185"/>
        <v>356</v>
      </c>
      <c r="X792" s="819" t="str">
        <f t="shared" si="186"/>
        <v/>
      </c>
      <c r="Y792" s="837"/>
      <c r="Z792" s="839"/>
      <c r="AA792" s="838"/>
      <c r="AB792" s="839"/>
    </row>
    <row r="793" spans="1:28" ht="14.45">
      <c r="A793" s="816"/>
      <c r="B793" s="819" t="s">
        <v>1992</v>
      </c>
      <c r="C793" s="819" t="s">
        <v>1993</v>
      </c>
      <c r="D793" s="379" t="s">
        <v>336</v>
      </c>
      <c r="E793" s="818" t="s">
        <v>441</v>
      </c>
      <c r="F793" s="820">
        <v>0.71578947400000004</v>
      </c>
      <c r="G793" s="821">
        <v>2.5620272310000001</v>
      </c>
      <c r="H793" s="822">
        <v>528077438.13621402</v>
      </c>
      <c r="I793" s="819">
        <v>0.17</v>
      </c>
      <c r="J793" s="820">
        <v>-6.1767150000000002E-3</v>
      </c>
      <c r="K793" s="819">
        <f t="shared" si="176"/>
        <v>337</v>
      </c>
      <c r="L793" s="819">
        <f t="shared" si="177"/>
        <v>596</v>
      </c>
      <c r="M793" s="819">
        <f t="shared" si="173"/>
        <v>337</v>
      </c>
      <c r="N793" s="819">
        <f t="shared" si="174"/>
        <v>224</v>
      </c>
      <c r="O793" s="819">
        <f t="shared" si="175"/>
        <v>1618</v>
      </c>
      <c r="P793" s="819">
        <f t="shared" si="178"/>
        <v>1061</v>
      </c>
      <c r="Q793" s="819">
        <f t="shared" si="179"/>
        <v>173</v>
      </c>
      <c r="R793" s="819">
        <f t="shared" si="180"/>
        <v>255</v>
      </c>
      <c r="S793" s="819">
        <f t="shared" si="181"/>
        <v>198</v>
      </c>
      <c r="T793" s="819">
        <f t="shared" si="182"/>
        <v>1596</v>
      </c>
      <c r="U793" s="819">
        <f t="shared" si="183"/>
        <v>3283</v>
      </c>
      <c r="V793" s="819">
        <f t="shared" si="184"/>
        <v>1315</v>
      </c>
      <c r="W793" s="379">
        <f t="shared" si="185"/>
        <v>1315</v>
      </c>
      <c r="X793" s="819" t="str">
        <f t="shared" si="186"/>
        <v/>
      </c>
      <c r="Y793" s="837"/>
      <c r="Z793" s="839"/>
      <c r="AA793" s="838"/>
      <c r="AB793" s="839"/>
    </row>
    <row r="794" spans="1:28" ht="13.15">
      <c r="B794" s="819" t="s">
        <v>1994</v>
      </c>
      <c r="C794" s="819" t="s">
        <v>1995</v>
      </c>
      <c r="D794" s="379" t="s">
        <v>336</v>
      </c>
      <c r="E794" s="818" t="s">
        <v>189</v>
      </c>
      <c r="F794" s="820">
        <v>4.0356050000000003E-3</v>
      </c>
      <c r="G794" s="821">
        <v>0</v>
      </c>
      <c r="H794" s="822">
        <v>18423276.7503758</v>
      </c>
      <c r="I794" s="819"/>
      <c r="J794" s="820">
        <v>8.61067E-6</v>
      </c>
      <c r="K794" s="819">
        <f t="shared" si="176"/>
        <v>1119</v>
      </c>
      <c r="L794" s="819">
        <f t="shared" si="177"/>
        <v>1084</v>
      </c>
      <c r="M794" s="819">
        <f t="shared" si="173"/>
        <v>1119</v>
      </c>
      <c r="N794" s="819">
        <f t="shared" si="174"/>
        <v>364</v>
      </c>
      <c r="O794" s="819">
        <f t="shared" si="175"/>
        <v>427</v>
      </c>
      <c r="P794" s="819">
        <f t="shared" si="178"/>
        <v>279</v>
      </c>
      <c r="Q794" s="819">
        <f t="shared" si="179"/>
        <v>661</v>
      </c>
      <c r="R794" s="819">
        <f t="shared" si="180"/>
        <v>1037</v>
      </c>
      <c r="S794" s="819">
        <f t="shared" si="181"/>
        <v>338</v>
      </c>
      <c r="T794" s="819">
        <f t="shared" si="182"/>
        <v>405</v>
      </c>
      <c r="U794" s="819">
        <f t="shared" si="183"/>
        <v>2720</v>
      </c>
      <c r="V794" s="819">
        <f t="shared" si="184"/>
        <v>382</v>
      </c>
      <c r="W794" s="379">
        <f t="shared" si="185"/>
        <v>382</v>
      </c>
      <c r="X794" s="819" t="str">
        <f t="shared" si="186"/>
        <v/>
      </c>
      <c r="Y794" s="837"/>
      <c r="Z794" s="839"/>
      <c r="AA794" s="838"/>
      <c r="AB794" s="839"/>
    </row>
    <row r="795" spans="1:28" ht="14.45">
      <c r="A795" s="816"/>
      <c r="B795" s="819" t="s">
        <v>1996</v>
      </c>
      <c r="C795" s="819" t="s">
        <v>1997</v>
      </c>
      <c r="D795" s="379" t="s">
        <v>336</v>
      </c>
      <c r="E795" s="818" t="s">
        <v>189</v>
      </c>
      <c r="F795" s="820">
        <v>2.8453539399999999</v>
      </c>
      <c r="G795" s="821">
        <v>-7.229278366</v>
      </c>
      <c r="H795" s="822">
        <v>1769366226.4403801</v>
      </c>
      <c r="I795" s="819"/>
      <c r="J795" s="820">
        <v>5.0284100000000002E-5</v>
      </c>
      <c r="K795" s="819">
        <f t="shared" si="176"/>
        <v>163</v>
      </c>
      <c r="L795" s="819">
        <f t="shared" si="177"/>
        <v>1431</v>
      </c>
      <c r="M795" s="819">
        <f t="shared" si="173"/>
        <v>163</v>
      </c>
      <c r="N795" s="819">
        <f t="shared" si="174"/>
        <v>364</v>
      </c>
      <c r="O795" s="819">
        <f t="shared" si="175"/>
        <v>346</v>
      </c>
      <c r="P795" s="819">
        <f t="shared" si="178"/>
        <v>1235</v>
      </c>
      <c r="Q795" s="819">
        <f t="shared" si="179"/>
        <v>1008</v>
      </c>
      <c r="R795" s="819">
        <f t="shared" si="180"/>
        <v>81</v>
      </c>
      <c r="S795" s="819">
        <f t="shared" si="181"/>
        <v>338</v>
      </c>
      <c r="T795" s="819">
        <f t="shared" si="182"/>
        <v>324</v>
      </c>
      <c r="U795" s="819">
        <f t="shared" si="183"/>
        <v>2986</v>
      </c>
      <c r="V795" s="819">
        <f t="shared" si="184"/>
        <v>908</v>
      </c>
      <c r="W795" s="379">
        <f t="shared" si="185"/>
        <v>908</v>
      </c>
      <c r="X795" s="819" t="str">
        <f t="shared" si="186"/>
        <v/>
      </c>
      <c r="Y795" s="837"/>
      <c r="Z795" s="839"/>
      <c r="AA795" s="838"/>
      <c r="AB795" s="839"/>
    </row>
    <row r="796" spans="1:28" ht="13.15">
      <c r="B796" s="819" t="s">
        <v>1998</v>
      </c>
      <c r="C796" s="819" t="s">
        <v>1999</v>
      </c>
      <c r="D796" s="379" t="s">
        <v>336</v>
      </c>
      <c r="E796" s="818" t="s">
        <v>1826</v>
      </c>
      <c r="F796" s="820">
        <v>2.8426291639999999</v>
      </c>
      <c r="G796" s="821">
        <v>2.2729816829999998</v>
      </c>
      <c r="H796" s="822">
        <v>2480933.09487384</v>
      </c>
      <c r="I796" s="819">
        <v>0.09</v>
      </c>
      <c r="J796" s="820">
        <v>-7.5632100000000001E-4</v>
      </c>
      <c r="K796" s="819">
        <f t="shared" si="176"/>
        <v>1469</v>
      </c>
      <c r="L796" s="819">
        <f t="shared" si="177"/>
        <v>636</v>
      </c>
      <c r="M796" s="819">
        <f t="shared" si="173"/>
        <v>1469</v>
      </c>
      <c r="N796" s="819">
        <f t="shared" si="174"/>
        <v>275</v>
      </c>
      <c r="O796" s="819">
        <f t="shared" si="175"/>
        <v>1356</v>
      </c>
      <c r="P796" s="819">
        <f t="shared" si="178"/>
        <v>71</v>
      </c>
      <c r="Q796" s="819">
        <f t="shared" si="179"/>
        <v>213</v>
      </c>
      <c r="R796" s="819">
        <f t="shared" si="180"/>
        <v>1387</v>
      </c>
      <c r="S796" s="819">
        <f t="shared" si="181"/>
        <v>249</v>
      </c>
      <c r="T796" s="819">
        <f t="shared" si="182"/>
        <v>1334</v>
      </c>
      <c r="U796" s="819">
        <f t="shared" si="183"/>
        <v>3254</v>
      </c>
      <c r="V796" s="819">
        <f t="shared" si="184"/>
        <v>1278</v>
      </c>
      <c r="W796" s="379">
        <f t="shared" si="185"/>
        <v>1278</v>
      </c>
      <c r="X796" s="819" t="str">
        <f t="shared" si="186"/>
        <v/>
      </c>
      <c r="Y796" s="837"/>
      <c r="Z796" s="839"/>
      <c r="AA796" s="838"/>
      <c r="AB796" s="839"/>
    </row>
    <row r="797" spans="1:28" ht="14.45">
      <c r="A797" s="816"/>
      <c r="B797" s="819" t="s">
        <v>2000</v>
      </c>
      <c r="C797" s="819" t="s">
        <v>2001</v>
      </c>
      <c r="D797" s="379" t="s">
        <v>336</v>
      </c>
      <c r="E797" s="818" t="s">
        <v>337</v>
      </c>
      <c r="F797" s="820">
        <v>2.0214596949999999</v>
      </c>
      <c r="G797" s="821">
        <v>0.62352171199999995</v>
      </c>
      <c r="H797" s="822">
        <v>8334554.54</v>
      </c>
      <c r="I797" s="819">
        <v>7.0000000000000007E-2</v>
      </c>
      <c r="J797" s="820">
        <v>-2.4726850000000001E-3</v>
      </c>
      <c r="K797" s="819">
        <f t="shared" si="176"/>
        <v>1288</v>
      </c>
      <c r="L797" s="819">
        <f t="shared" si="177"/>
        <v>897</v>
      </c>
      <c r="M797" s="819">
        <f t="shared" si="173"/>
        <v>1288</v>
      </c>
      <c r="N797" s="819">
        <f t="shared" si="174"/>
        <v>293</v>
      </c>
      <c r="O797" s="819">
        <f t="shared" si="175"/>
        <v>1526</v>
      </c>
      <c r="P797" s="819">
        <f t="shared" si="178"/>
        <v>110</v>
      </c>
      <c r="Q797" s="819">
        <f t="shared" si="179"/>
        <v>474</v>
      </c>
      <c r="R797" s="819">
        <f t="shared" si="180"/>
        <v>1206</v>
      </c>
      <c r="S797" s="819">
        <f t="shared" si="181"/>
        <v>267</v>
      </c>
      <c r="T797" s="819">
        <f t="shared" si="182"/>
        <v>1504</v>
      </c>
      <c r="U797" s="819">
        <f t="shared" si="183"/>
        <v>3561</v>
      </c>
      <c r="V797" s="819">
        <f t="shared" si="184"/>
        <v>1603</v>
      </c>
      <c r="W797" s="379">
        <f t="shared" si="185"/>
        <v>1603</v>
      </c>
      <c r="X797" s="819" t="str">
        <f t="shared" si="186"/>
        <v/>
      </c>
      <c r="Y797" s="837"/>
      <c r="Z797" s="839"/>
      <c r="AA797" s="838"/>
      <c r="AB797" s="839"/>
    </row>
    <row r="798" spans="1:28" ht="13.15">
      <c r="B798" s="819" t="s">
        <v>2002</v>
      </c>
      <c r="C798" s="819" t="s">
        <v>2003</v>
      </c>
      <c r="D798" s="379" t="s">
        <v>336</v>
      </c>
      <c r="E798" s="818" t="s">
        <v>460</v>
      </c>
      <c r="F798" s="820"/>
      <c r="G798" s="821"/>
      <c r="H798" s="822">
        <v>160016430.916282</v>
      </c>
      <c r="I798" s="819"/>
      <c r="J798" s="820">
        <v>0</v>
      </c>
      <c r="K798" s="819">
        <f t="shared" si="176"/>
        <v>615</v>
      </c>
      <c r="L798" s="819">
        <f t="shared" si="177"/>
        <v>1084</v>
      </c>
      <c r="M798" s="819">
        <f t="shared" si="173"/>
        <v>615</v>
      </c>
      <c r="N798" s="819">
        <f t="shared" si="174"/>
        <v>364</v>
      </c>
      <c r="O798" s="819">
        <f t="shared" si="175"/>
        <v>492</v>
      </c>
      <c r="P798" s="819">
        <f t="shared" si="178"/>
        <v>783</v>
      </c>
      <c r="Q798" s="819">
        <f t="shared" si="179"/>
        <v>661</v>
      </c>
      <c r="R798" s="819">
        <f t="shared" si="180"/>
        <v>533</v>
      </c>
      <c r="S798" s="819">
        <f t="shared" si="181"/>
        <v>338</v>
      </c>
      <c r="T798" s="819">
        <f t="shared" si="182"/>
        <v>470</v>
      </c>
      <c r="U798" s="819">
        <f t="shared" si="183"/>
        <v>2785</v>
      </c>
      <c r="V798" s="819">
        <f t="shared" si="184"/>
        <v>463</v>
      </c>
      <c r="W798" s="379">
        <f t="shared" si="185"/>
        <v>463</v>
      </c>
      <c r="X798" s="819" t="str">
        <f t="shared" si="186"/>
        <v/>
      </c>
      <c r="Y798" s="837"/>
      <c r="Z798" s="839"/>
      <c r="AA798" s="838"/>
      <c r="AB798" s="839"/>
    </row>
    <row r="799" spans="1:28" ht="14.45">
      <c r="A799" s="816"/>
      <c r="B799" s="819" t="s">
        <v>2004</v>
      </c>
      <c r="C799" s="819" t="s">
        <v>2005</v>
      </c>
      <c r="D799" s="379" t="s">
        <v>336</v>
      </c>
      <c r="E799" s="818" t="s">
        <v>444</v>
      </c>
      <c r="F799" s="820">
        <v>3.2292439590000002</v>
      </c>
      <c r="G799" s="821">
        <v>2.2906705430000001</v>
      </c>
      <c r="H799" s="822">
        <v>399375282.43373001</v>
      </c>
      <c r="I799" s="819"/>
      <c r="J799" s="820">
        <v>-5.2952800000000003E-4</v>
      </c>
      <c r="K799" s="819">
        <f t="shared" si="176"/>
        <v>409</v>
      </c>
      <c r="L799" s="819">
        <f t="shared" si="177"/>
        <v>632</v>
      </c>
      <c r="M799" s="819">
        <f t="shared" si="173"/>
        <v>409</v>
      </c>
      <c r="N799" s="819">
        <f t="shared" si="174"/>
        <v>364</v>
      </c>
      <c r="O799" s="819">
        <f t="shared" si="175"/>
        <v>1279</v>
      </c>
      <c r="P799" s="819">
        <f t="shared" si="178"/>
        <v>989</v>
      </c>
      <c r="Q799" s="819">
        <f t="shared" si="179"/>
        <v>209</v>
      </c>
      <c r="R799" s="819">
        <f t="shared" si="180"/>
        <v>327</v>
      </c>
      <c r="S799" s="819">
        <f t="shared" si="181"/>
        <v>338</v>
      </c>
      <c r="T799" s="819">
        <f t="shared" si="182"/>
        <v>1257</v>
      </c>
      <c r="U799" s="819">
        <f t="shared" si="183"/>
        <v>3120</v>
      </c>
      <c r="V799" s="819">
        <f t="shared" si="184"/>
        <v>1090</v>
      </c>
      <c r="W799" s="379">
        <f t="shared" si="185"/>
        <v>1090</v>
      </c>
      <c r="X799" s="819" t="str">
        <f t="shared" si="186"/>
        <v/>
      </c>
      <c r="Y799" s="837"/>
      <c r="Z799" s="839"/>
      <c r="AA799" s="838"/>
      <c r="AB799" s="839"/>
    </row>
    <row r="800" spans="1:28" ht="13.15">
      <c r="B800" s="819" t="s">
        <v>2006</v>
      </c>
      <c r="C800" s="819" t="s">
        <v>2007</v>
      </c>
      <c r="D800" s="379" t="s">
        <v>336</v>
      </c>
      <c r="E800" s="818" t="s">
        <v>337</v>
      </c>
      <c r="F800" s="820">
        <v>3.2811511229999999</v>
      </c>
      <c r="G800" s="821">
        <v>2.6420223969999999</v>
      </c>
      <c r="H800" s="822">
        <v>2783.1201999999998</v>
      </c>
      <c r="I800" s="819">
        <v>47.52</v>
      </c>
      <c r="J800" s="820">
        <v>-1.1493379E-2</v>
      </c>
      <c r="K800" s="819">
        <f t="shared" si="176"/>
        <v>1679</v>
      </c>
      <c r="L800" s="819">
        <f t="shared" si="177"/>
        <v>588</v>
      </c>
      <c r="M800" s="819">
        <f t="shared" si="173"/>
        <v>1679</v>
      </c>
      <c r="N800" s="819">
        <f t="shared" si="174"/>
        <v>20</v>
      </c>
      <c r="O800" s="819">
        <f t="shared" si="175"/>
        <v>1653</v>
      </c>
      <c r="P800" s="819">
        <f t="shared" si="178"/>
        <v>281</v>
      </c>
      <c r="Q800" s="819">
        <f t="shared" si="179"/>
        <v>165</v>
      </c>
      <c r="R800" s="819">
        <f t="shared" si="180"/>
        <v>1597</v>
      </c>
      <c r="S800" s="819">
        <f t="shared" si="181"/>
        <v>6</v>
      </c>
      <c r="T800" s="819">
        <f t="shared" si="182"/>
        <v>1631</v>
      </c>
      <c r="U800" s="819">
        <f t="shared" si="183"/>
        <v>3680</v>
      </c>
      <c r="V800" s="819">
        <f t="shared" si="184"/>
        <v>1672</v>
      </c>
      <c r="W800" s="379">
        <f t="shared" si="185"/>
        <v>1672</v>
      </c>
      <c r="X800" s="819" t="str">
        <f t="shared" si="186"/>
        <v/>
      </c>
      <c r="Y800" s="837"/>
      <c r="Z800" s="839"/>
      <c r="AA800" s="838"/>
      <c r="AB800" s="839"/>
    </row>
    <row r="801" spans="1:28" ht="14.45">
      <c r="A801" s="816"/>
      <c r="B801" s="819" t="s">
        <v>2008</v>
      </c>
      <c r="C801" s="819" t="s">
        <v>2009</v>
      </c>
      <c r="D801" s="379" t="s">
        <v>336</v>
      </c>
      <c r="E801" s="818" t="s">
        <v>789</v>
      </c>
      <c r="F801" s="820">
        <v>0</v>
      </c>
      <c r="G801" s="821">
        <v>-1.9495996229999999</v>
      </c>
      <c r="H801" s="822">
        <v>358493.53602685302</v>
      </c>
      <c r="I801" s="819"/>
      <c r="J801" s="820">
        <v>7.9379200000000002E-7</v>
      </c>
      <c r="K801" s="819">
        <f t="shared" si="176"/>
        <v>1615</v>
      </c>
      <c r="L801" s="819">
        <f t="shared" si="177"/>
        <v>1342</v>
      </c>
      <c r="M801" s="819">
        <f t="shared" si="173"/>
        <v>1615</v>
      </c>
      <c r="N801" s="819">
        <f t="shared" si="174"/>
        <v>364</v>
      </c>
      <c r="O801" s="819">
        <f t="shared" si="175"/>
        <v>481</v>
      </c>
      <c r="P801" s="819">
        <f t="shared" si="178"/>
        <v>217</v>
      </c>
      <c r="Q801" s="819">
        <f t="shared" si="179"/>
        <v>919</v>
      </c>
      <c r="R801" s="819">
        <f t="shared" si="180"/>
        <v>1533</v>
      </c>
      <c r="S801" s="819">
        <f t="shared" si="181"/>
        <v>338</v>
      </c>
      <c r="T801" s="819">
        <f t="shared" si="182"/>
        <v>459</v>
      </c>
      <c r="U801" s="819">
        <f t="shared" si="183"/>
        <v>3466</v>
      </c>
      <c r="V801" s="819">
        <f t="shared" si="184"/>
        <v>1524</v>
      </c>
      <c r="W801" s="379">
        <f t="shared" si="185"/>
        <v>1524</v>
      </c>
      <c r="X801" s="819" t="str">
        <f t="shared" si="186"/>
        <v/>
      </c>
      <c r="Y801" s="837"/>
      <c r="Z801" s="839"/>
      <c r="AA801" s="838"/>
      <c r="AB801" s="839"/>
    </row>
    <row r="802" spans="1:28" ht="13.15">
      <c r="B802" s="819" t="s">
        <v>2010</v>
      </c>
      <c r="C802" s="819" t="s">
        <v>2011</v>
      </c>
      <c r="D802" s="379" t="s">
        <v>336</v>
      </c>
      <c r="E802" s="818" t="s">
        <v>481</v>
      </c>
      <c r="F802" s="820">
        <v>-4.7744977840000002</v>
      </c>
      <c r="G802" s="821">
        <v>7.1695579179999998</v>
      </c>
      <c r="H802" s="822">
        <v>5289029986.8909798</v>
      </c>
      <c r="I802" s="819">
        <v>1.93</v>
      </c>
      <c r="J802" s="820">
        <v>-1.3341476999999999E-2</v>
      </c>
      <c r="K802" s="819">
        <f t="shared" si="176"/>
        <v>71</v>
      </c>
      <c r="L802" s="819">
        <f t="shared" si="177"/>
        <v>281</v>
      </c>
      <c r="M802" s="819">
        <f t="shared" si="173"/>
        <v>71</v>
      </c>
      <c r="N802" s="819">
        <f t="shared" si="174"/>
        <v>83</v>
      </c>
      <c r="O802" s="819">
        <f t="shared" si="175"/>
        <v>1664</v>
      </c>
      <c r="P802" s="819">
        <f t="shared" si="178"/>
        <v>1327</v>
      </c>
      <c r="Q802" s="819">
        <f t="shared" si="179"/>
        <v>142</v>
      </c>
      <c r="R802" s="819">
        <f t="shared" si="180"/>
        <v>11</v>
      </c>
      <c r="S802" s="819">
        <f t="shared" si="181"/>
        <v>57</v>
      </c>
      <c r="T802" s="819">
        <f t="shared" si="182"/>
        <v>1642</v>
      </c>
      <c r="U802" s="819">
        <f t="shared" si="183"/>
        <v>3179</v>
      </c>
      <c r="V802" s="819">
        <f t="shared" si="184"/>
        <v>1169</v>
      </c>
      <c r="W802" s="379">
        <f t="shared" si="185"/>
        <v>1169</v>
      </c>
      <c r="X802" s="819" t="str">
        <f t="shared" si="186"/>
        <v/>
      </c>
      <c r="Y802" s="837"/>
      <c r="Z802" s="839"/>
      <c r="AA802" s="838"/>
      <c r="AB802" s="839"/>
    </row>
    <row r="803" spans="1:28" ht="14.45">
      <c r="A803" s="816"/>
      <c r="B803" s="819" t="s">
        <v>2012</v>
      </c>
      <c r="C803" s="819" t="s">
        <v>2013</v>
      </c>
      <c r="D803" s="379" t="s">
        <v>336</v>
      </c>
      <c r="E803" s="818" t="s">
        <v>2014</v>
      </c>
      <c r="F803" s="820">
        <v>1.9512820449999999</v>
      </c>
      <c r="G803" s="821">
        <v>12.818517870000001</v>
      </c>
      <c r="H803" s="822">
        <v>31.048368</v>
      </c>
      <c r="I803" s="819"/>
      <c r="J803" s="820">
        <v>-3.9127500000000001E-4</v>
      </c>
      <c r="K803" s="819">
        <f t="shared" si="176"/>
        <v>1694</v>
      </c>
      <c r="L803" s="819">
        <f t="shared" si="177"/>
        <v>153</v>
      </c>
      <c r="M803" s="819">
        <f t="shared" si="173"/>
        <v>1694</v>
      </c>
      <c r="N803" s="819">
        <f t="shared" si="174"/>
        <v>364</v>
      </c>
      <c r="O803" s="819">
        <f t="shared" si="175"/>
        <v>1218</v>
      </c>
      <c r="P803" s="819">
        <f t="shared" si="178"/>
        <v>296</v>
      </c>
      <c r="Q803" s="819">
        <f t="shared" si="179"/>
        <v>270</v>
      </c>
      <c r="R803" s="819">
        <f t="shared" si="180"/>
        <v>1612</v>
      </c>
      <c r="S803" s="819">
        <f t="shared" si="181"/>
        <v>338</v>
      </c>
      <c r="T803" s="819">
        <f t="shared" si="182"/>
        <v>1196</v>
      </c>
      <c r="U803" s="819">
        <f t="shared" si="183"/>
        <v>3712</v>
      </c>
      <c r="V803" s="819">
        <f t="shared" si="184"/>
        <v>1681</v>
      </c>
      <c r="W803" s="379">
        <f t="shared" si="185"/>
        <v>1681</v>
      </c>
      <c r="X803" s="819" t="str">
        <f t="shared" si="186"/>
        <v/>
      </c>
      <c r="Y803" s="837"/>
      <c r="Z803" s="839"/>
      <c r="AA803" s="838"/>
      <c r="AB803" s="839"/>
    </row>
    <row r="804" spans="1:28" ht="13.15">
      <c r="B804" s="819" t="s">
        <v>2015</v>
      </c>
      <c r="C804" s="819" t="s">
        <v>2016</v>
      </c>
      <c r="D804" s="379" t="s">
        <v>336</v>
      </c>
      <c r="E804" s="818" t="s">
        <v>2017</v>
      </c>
      <c r="F804" s="820">
        <v>1.1485959830000001</v>
      </c>
      <c r="G804" s="821">
        <v>-12.16029593</v>
      </c>
      <c r="H804" s="822">
        <v>935998898.94000006</v>
      </c>
      <c r="I804" s="819"/>
      <c r="J804" s="820">
        <v>3.01758E-5</v>
      </c>
      <c r="K804" s="819">
        <f t="shared" si="176"/>
        <v>231</v>
      </c>
      <c r="L804" s="819">
        <f t="shared" si="177"/>
        <v>1462</v>
      </c>
      <c r="M804" s="819">
        <f t="shared" si="173"/>
        <v>231</v>
      </c>
      <c r="N804" s="819">
        <f t="shared" si="174"/>
        <v>364</v>
      </c>
      <c r="O804" s="819">
        <f t="shared" si="175"/>
        <v>379</v>
      </c>
      <c r="P804" s="819">
        <f t="shared" si="178"/>
        <v>1167</v>
      </c>
      <c r="Q804" s="819">
        <f t="shared" si="179"/>
        <v>1039</v>
      </c>
      <c r="R804" s="819">
        <f t="shared" si="180"/>
        <v>149</v>
      </c>
      <c r="S804" s="819">
        <f t="shared" si="181"/>
        <v>338</v>
      </c>
      <c r="T804" s="819">
        <f t="shared" si="182"/>
        <v>357</v>
      </c>
      <c r="U804" s="819">
        <f t="shared" si="183"/>
        <v>3050</v>
      </c>
      <c r="V804" s="819">
        <f t="shared" si="184"/>
        <v>995</v>
      </c>
      <c r="W804" s="379">
        <f t="shared" si="185"/>
        <v>995</v>
      </c>
      <c r="X804" s="819" t="str">
        <f t="shared" si="186"/>
        <v/>
      </c>
      <c r="Y804" s="837"/>
      <c r="Z804" s="839"/>
      <c r="AA804" s="838"/>
      <c r="AB804" s="839"/>
    </row>
    <row r="805" spans="1:28" ht="14.45">
      <c r="A805" s="816"/>
      <c r="B805" s="819" t="s">
        <v>2018</v>
      </c>
      <c r="C805" s="819" t="s">
        <v>2019</v>
      </c>
      <c r="D805" s="379" t="s">
        <v>336</v>
      </c>
      <c r="E805" s="818" t="s">
        <v>418</v>
      </c>
      <c r="F805" s="820">
        <v>8.5134958639999994</v>
      </c>
      <c r="G805" s="821">
        <v>6.6190476189999998</v>
      </c>
      <c r="H805" s="822">
        <v>78519002.116915897</v>
      </c>
      <c r="I805" s="819"/>
      <c r="J805" s="820">
        <v>-4.1522600000000001E-5</v>
      </c>
      <c r="K805" s="819">
        <f t="shared" si="176"/>
        <v>775</v>
      </c>
      <c r="L805" s="819">
        <f t="shared" si="177"/>
        <v>299</v>
      </c>
      <c r="M805" s="819">
        <f t="shared" si="173"/>
        <v>775</v>
      </c>
      <c r="N805" s="819">
        <f t="shared" si="174"/>
        <v>364</v>
      </c>
      <c r="O805" s="819">
        <f t="shared" si="175"/>
        <v>901</v>
      </c>
      <c r="P805" s="819">
        <f t="shared" si="178"/>
        <v>623</v>
      </c>
      <c r="Q805" s="819">
        <f t="shared" si="179"/>
        <v>124</v>
      </c>
      <c r="R805" s="819">
        <f t="shared" si="180"/>
        <v>693</v>
      </c>
      <c r="S805" s="819">
        <f t="shared" si="181"/>
        <v>338</v>
      </c>
      <c r="T805" s="819">
        <f t="shared" si="182"/>
        <v>879</v>
      </c>
      <c r="U805" s="819">
        <f t="shared" si="183"/>
        <v>2657</v>
      </c>
      <c r="V805" s="819">
        <f t="shared" si="184"/>
        <v>324</v>
      </c>
      <c r="W805" s="379">
        <f t="shared" si="185"/>
        <v>324</v>
      </c>
      <c r="X805" s="819" t="str">
        <f t="shared" si="186"/>
        <v/>
      </c>
      <c r="Y805" s="837"/>
      <c r="Z805" s="839"/>
      <c r="AA805" s="838"/>
      <c r="AB805" s="839"/>
    </row>
    <row r="806" spans="1:28" ht="13.15">
      <c r="B806" s="819" t="s">
        <v>2020</v>
      </c>
      <c r="C806" s="819" t="s">
        <v>2021</v>
      </c>
      <c r="D806" s="379" t="s">
        <v>336</v>
      </c>
      <c r="E806" s="818" t="s">
        <v>2022</v>
      </c>
      <c r="F806" s="820">
        <v>-1.144930451</v>
      </c>
      <c r="G806" s="821">
        <v>-3.804147011</v>
      </c>
      <c r="H806" s="822">
        <v>764712.62462424801</v>
      </c>
      <c r="I806" s="819"/>
      <c r="J806" s="820">
        <v>1.3125699999999999E-4</v>
      </c>
      <c r="K806" s="819">
        <f t="shared" si="176"/>
        <v>1578</v>
      </c>
      <c r="L806" s="819">
        <f t="shared" si="177"/>
        <v>1384</v>
      </c>
      <c r="M806" s="819">
        <f t="shared" si="173"/>
        <v>1578</v>
      </c>
      <c r="N806" s="819">
        <f t="shared" si="174"/>
        <v>364</v>
      </c>
      <c r="O806" s="819">
        <f t="shared" si="175"/>
        <v>282</v>
      </c>
      <c r="P806" s="819">
        <f t="shared" si="178"/>
        <v>180</v>
      </c>
      <c r="Q806" s="819">
        <f t="shared" si="179"/>
        <v>961</v>
      </c>
      <c r="R806" s="819">
        <f t="shared" si="180"/>
        <v>1496</v>
      </c>
      <c r="S806" s="819">
        <f t="shared" si="181"/>
        <v>338</v>
      </c>
      <c r="T806" s="819">
        <f t="shared" si="182"/>
        <v>260</v>
      </c>
      <c r="U806" s="819">
        <f t="shared" si="183"/>
        <v>3235</v>
      </c>
      <c r="V806" s="819">
        <f t="shared" si="184"/>
        <v>1250</v>
      </c>
      <c r="W806" s="379">
        <f t="shared" si="185"/>
        <v>1250</v>
      </c>
      <c r="X806" s="819" t="str">
        <f t="shared" si="186"/>
        <v/>
      </c>
      <c r="Y806" s="837"/>
      <c r="Z806" s="839"/>
      <c r="AA806" s="838"/>
      <c r="AB806" s="839"/>
    </row>
    <row r="807" spans="1:28" ht="14.45">
      <c r="A807" s="816"/>
      <c r="B807" s="819" t="s">
        <v>2023</v>
      </c>
      <c r="C807" s="819" t="s">
        <v>2024</v>
      </c>
      <c r="D807" s="379" t="s">
        <v>336</v>
      </c>
      <c r="E807" s="818" t="s">
        <v>2025</v>
      </c>
      <c r="F807" s="820">
        <v>3.3748030249999998</v>
      </c>
      <c r="G807" s="821">
        <v>0</v>
      </c>
      <c r="H807" s="822">
        <v>1058411.7531312599</v>
      </c>
      <c r="I807" s="819"/>
      <c r="J807" s="820">
        <v>-6.6623800000000002E-6</v>
      </c>
      <c r="K807" s="819">
        <f t="shared" si="176"/>
        <v>1552</v>
      </c>
      <c r="L807" s="819">
        <f t="shared" si="177"/>
        <v>1084</v>
      </c>
      <c r="M807" s="819">
        <f t="shared" si="173"/>
        <v>1552</v>
      </c>
      <c r="N807" s="819">
        <f t="shared" si="174"/>
        <v>364</v>
      </c>
      <c r="O807" s="819">
        <f t="shared" si="175"/>
        <v>789</v>
      </c>
      <c r="P807" s="819">
        <f t="shared" si="178"/>
        <v>154</v>
      </c>
      <c r="Q807" s="819">
        <f t="shared" si="179"/>
        <v>661</v>
      </c>
      <c r="R807" s="819">
        <f t="shared" si="180"/>
        <v>1470</v>
      </c>
      <c r="S807" s="819">
        <f t="shared" si="181"/>
        <v>338</v>
      </c>
      <c r="T807" s="819">
        <f t="shared" si="182"/>
        <v>767</v>
      </c>
      <c r="U807" s="819">
        <f t="shared" si="183"/>
        <v>3390</v>
      </c>
      <c r="V807" s="819">
        <f t="shared" si="184"/>
        <v>1454</v>
      </c>
      <c r="W807" s="379">
        <f t="shared" si="185"/>
        <v>1454</v>
      </c>
      <c r="X807" s="819" t="str">
        <f t="shared" si="186"/>
        <v/>
      </c>
      <c r="Y807" s="837"/>
      <c r="Z807" s="839"/>
      <c r="AA807" s="838"/>
      <c r="AB807" s="839"/>
    </row>
    <row r="808" spans="1:28" ht="13.15">
      <c r="B808" s="819" t="s">
        <v>2026</v>
      </c>
      <c r="C808" s="819" t="s">
        <v>2027</v>
      </c>
      <c r="D808" s="379" t="s">
        <v>336</v>
      </c>
      <c r="E808" s="818" t="s">
        <v>460</v>
      </c>
      <c r="F808" s="820">
        <v>8.8546849640000005</v>
      </c>
      <c r="G808" s="821">
        <v>5.9290697330000004</v>
      </c>
      <c r="H808" s="822">
        <v>908825.74758794298</v>
      </c>
      <c r="I808" s="819"/>
      <c r="J808" s="820">
        <v>-5.5067900000000002E-5</v>
      </c>
      <c r="K808" s="819">
        <f t="shared" si="176"/>
        <v>1562</v>
      </c>
      <c r="L808" s="819">
        <f t="shared" si="177"/>
        <v>327</v>
      </c>
      <c r="M808" s="819">
        <f t="shared" si="173"/>
        <v>1562</v>
      </c>
      <c r="N808" s="819">
        <f t="shared" si="174"/>
        <v>364</v>
      </c>
      <c r="O808" s="819">
        <f t="shared" si="175"/>
        <v>929</v>
      </c>
      <c r="P808" s="819">
        <f t="shared" si="178"/>
        <v>164</v>
      </c>
      <c r="Q808" s="819">
        <f t="shared" si="179"/>
        <v>96</v>
      </c>
      <c r="R808" s="819">
        <f t="shared" si="180"/>
        <v>1480</v>
      </c>
      <c r="S808" s="819">
        <f t="shared" si="181"/>
        <v>338</v>
      </c>
      <c r="T808" s="819">
        <f t="shared" si="182"/>
        <v>907</v>
      </c>
      <c r="U808" s="819">
        <f t="shared" si="183"/>
        <v>2985</v>
      </c>
      <c r="V808" s="819">
        <f t="shared" si="184"/>
        <v>905</v>
      </c>
      <c r="W808" s="379">
        <f t="shared" si="185"/>
        <v>905</v>
      </c>
      <c r="X808" s="819" t="str">
        <f t="shared" si="186"/>
        <v/>
      </c>
      <c r="Y808" s="837"/>
      <c r="Z808" s="839"/>
      <c r="AA808" s="838"/>
      <c r="AB808" s="839"/>
    </row>
    <row r="809" spans="1:28" ht="14.45">
      <c r="A809" s="816"/>
      <c r="B809" s="819" t="s">
        <v>2028</v>
      </c>
      <c r="C809" s="819" t="s">
        <v>2029</v>
      </c>
      <c r="D809" s="379" t="s">
        <v>336</v>
      </c>
      <c r="E809" s="818" t="s">
        <v>460</v>
      </c>
      <c r="F809" s="820">
        <v>-4.4120050730000004</v>
      </c>
      <c r="G809" s="821">
        <v>-2.158749469</v>
      </c>
      <c r="H809" s="822">
        <v>4361983.3403248005</v>
      </c>
      <c r="I809" s="819"/>
      <c r="J809" s="820">
        <v>2.3263899999999999E-5</v>
      </c>
      <c r="K809" s="819">
        <f t="shared" si="176"/>
        <v>1390</v>
      </c>
      <c r="L809" s="819">
        <f t="shared" si="177"/>
        <v>1347</v>
      </c>
      <c r="M809" s="819">
        <f t="shared" si="173"/>
        <v>1390</v>
      </c>
      <c r="N809" s="819">
        <f t="shared" si="174"/>
        <v>364</v>
      </c>
      <c r="O809" s="819">
        <f t="shared" si="175"/>
        <v>395</v>
      </c>
      <c r="P809" s="819">
        <f t="shared" si="178"/>
        <v>8</v>
      </c>
      <c r="Q809" s="819">
        <f t="shared" si="179"/>
        <v>924</v>
      </c>
      <c r="R809" s="819">
        <f t="shared" si="180"/>
        <v>1308</v>
      </c>
      <c r="S809" s="819">
        <f t="shared" si="181"/>
        <v>338</v>
      </c>
      <c r="T809" s="819">
        <f t="shared" si="182"/>
        <v>373</v>
      </c>
      <c r="U809" s="819">
        <f t="shared" si="183"/>
        <v>2951</v>
      </c>
      <c r="V809" s="819">
        <f t="shared" si="184"/>
        <v>864</v>
      </c>
      <c r="W809" s="379">
        <f t="shared" si="185"/>
        <v>864</v>
      </c>
      <c r="X809" s="819" t="str">
        <f t="shared" si="186"/>
        <v/>
      </c>
      <c r="Y809" s="837"/>
      <c r="Z809" s="839"/>
      <c r="AA809" s="838"/>
      <c r="AB809" s="839"/>
    </row>
    <row r="810" spans="1:28" ht="13.15">
      <c r="B810" s="819" t="s">
        <v>2030</v>
      </c>
      <c r="C810" s="819" t="s">
        <v>2031</v>
      </c>
      <c r="D810" s="379" t="s">
        <v>336</v>
      </c>
      <c r="E810" s="818" t="s">
        <v>460</v>
      </c>
      <c r="F810" s="820">
        <v>0.87459093099999996</v>
      </c>
      <c r="G810" s="821">
        <v>9.9279851099999998</v>
      </c>
      <c r="H810" s="822">
        <v>8414094.8043387104</v>
      </c>
      <c r="I810" s="819">
        <v>0.01</v>
      </c>
      <c r="J810" s="820">
        <v>-1.480807E-3</v>
      </c>
      <c r="K810" s="819">
        <f t="shared" si="176"/>
        <v>1287</v>
      </c>
      <c r="L810" s="819">
        <f t="shared" si="177"/>
        <v>197</v>
      </c>
      <c r="M810" s="819">
        <f t="shared" si="173"/>
        <v>1287</v>
      </c>
      <c r="N810" s="819">
        <f t="shared" si="174"/>
        <v>344</v>
      </c>
      <c r="O810" s="819">
        <f t="shared" si="175"/>
        <v>1462</v>
      </c>
      <c r="P810" s="819">
        <f t="shared" si="178"/>
        <v>111</v>
      </c>
      <c r="Q810" s="819">
        <f t="shared" si="179"/>
        <v>226</v>
      </c>
      <c r="R810" s="819">
        <f t="shared" si="180"/>
        <v>1205</v>
      </c>
      <c r="S810" s="819">
        <f t="shared" si="181"/>
        <v>318</v>
      </c>
      <c r="T810" s="819">
        <f t="shared" si="182"/>
        <v>1440</v>
      </c>
      <c r="U810" s="819">
        <f t="shared" si="183"/>
        <v>3300</v>
      </c>
      <c r="V810" s="819">
        <f t="shared" si="184"/>
        <v>1344</v>
      </c>
      <c r="W810" s="379">
        <f t="shared" si="185"/>
        <v>1344</v>
      </c>
      <c r="X810" s="819" t="str">
        <f t="shared" si="186"/>
        <v/>
      </c>
      <c r="Y810" s="837"/>
      <c r="Z810" s="839"/>
      <c r="AA810" s="838"/>
      <c r="AB810" s="839"/>
    </row>
    <row r="811" spans="1:28" ht="14.45">
      <c r="A811" s="816"/>
      <c r="B811" s="819" t="s">
        <v>2032</v>
      </c>
      <c r="C811" s="819" t="s">
        <v>2033</v>
      </c>
      <c r="D811" s="379" t="s">
        <v>336</v>
      </c>
      <c r="E811" s="818" t="s">
        <v>460</v>
      </c>
      <c r="F811" s="820">
        <v>13.094589279999999</v>
      </c>
      <c r="G811" s="821">
        <v>9.9730520600000006</v>
      </c>
      <c r="H811" s="822">
        <v>928238.41864924796</v>
      </c>
      <c r="I811" s="819"/>
      <c r="J811" s="820">
        <v>-1.6832899999999999E-5</v>
      </c>
      <c r="K811" s="819">
        <f t="shared" si="176"/>
        <v>1561</v>
      </c>
      <c r="L811" s="819">
        <f t="shared" si="177"/>
        <v>194</v>
      </c>
      <c r="M811" s="819">
        <f t="shared" si="173"/>
        <v>1561</v>
      </c>
      <c r="N811" s="819">
        <f t="shared" si="174"/>
        <v>364</v>
      </c>
      <c r="O811" s="819">
        <f t="shared" si="175"/>
        <v>840</v>
      </c>
      <c r="P811" s="819">
        <f t="shared" si="178"/>
        <v>163</v>
      </c>
      <c r="Q811" s="819">
        <f t="shared" si="179"/>
        <v>229</v>
      </c>
      <c r="R811" s="819">
        <f t="shared" si="180"/>
        <v>1479</v>
      </c>
      <c r="S811" s="819">
        <f t="shared" si="181"/>
        <v>338</v>
      </c>
      <c r="T811" s="819">
        <f t="shared" si="182"/>
        <v>818</v>
      </c>
      <c r="U811" s="819">
        <f t="shared" si="183"/>
        <v>3027</v>
      </c>
      <c r="V811" s="819">
        <f t="shared" si="184"/>
        <v>960</v>
      </c>
      <c r="W811" s="379">
        <f t="shared" si="185"/>
        <v>960</v>
      </c>
      <c r="X811" s="819" t="str">
        <f t="shared" si="186"/>
        <v/>
      </c>
      <c r="Y811" s="837"/>
      <c r="Z811" s="839"/>
      <c r="AA811" s="838"/>
      <c r="AB811" s="839"/>
    </row>
    <row r="812" spans="1:28" ht="13.15">
      <c r="B812" s="819" t="s">
        <v>2034</v>
      </c>
      <c r="C812" s="819" t="s">
        <v>2035</v>
      </c>
      <c r="D812" s="379" t="s">
        <v>336</v>
      </c>
      <c r="E812" s="818" t="s">
        <v>676</v>
      </c>
      <c r="F812" s="820">
        <v>1.958839896</v>
      </c>
      <c r="G812" s="821">
        <v>0</v>
      </c>
      <c r="H812" s="822">
        <v>280204841.93483597</v>
      </c>
      <c r="I812" s="819"/>
      <c r="J812" s="820">
        <v>-2.8282149999999998E-3</v>
      </c>
      <c r="K812" s="819">
        <f t="shared" si="176"/>
        <v>489</v>
      </c>
      <c r="L812" s="819">
        <f t="shared" si="177"/>
        <v>1084</v>
      </c>
      <c r="M812" s="819">
        <f t="shared" si="173"/>
        <v>489</v>
      </c>
      <c r="N812" s="819">
        <f t="shared" si="174"/>
        <v>364</v>
      </c>
      <c r="O812" s="819">
        <f t="shared" si="175"/>
        <v>1538</v>
      </c>
      <c r="P812" s="819">
        <f t="shared" si="178"/>
        <v>909</v>
      </c>
      <c r="Q812" s="819">
        <f t="shared" si="179"/>
        <v>661</v>
      </c>
      <c r="R812" s="819">
        <f t="shared" si="180"/>
        <v>407</v>
      </c>
      <c r="S812" s="819">
        <f t="shared" si="181"/>
        <v>338</v>
      </c>
      <c r="T812" s="819">
        <f t="shared" si="182"/>
        <v>1516</v>
      </c>
      <c r="U812" s="819">
        <f t="shared" si="183"/>
        <v>3831</v>
      </c>
      <c r="V812" s="819">
        <f t="shared" si="184"/>
        <v>1725</v>
      </c>
      <c r="W812" s="379">
        <f t="shared" si="185"/>
        <v>1725</v>
      </c>
      <c r="X812" s="819" t="str">
        <f t="shared" si="186"/>
        <v/>
      </c>
      <c r="Y812" s="837"/>
      <c r="Z812" s="839"/>
      <c r="AA812" s="838"/>
      <c r="AB812" s="839"/>
    </row>
    <row r="813" spans="1:28" ht="14.45">
      <c r="A813" s="816"/>
      <c r="B813" s="819" t="s">
        <v>2036</v>
      </c>
      <c r="C813" s="819" t="s">
        <v>2037</v>
      </c>
      <c r="D813" s="379" t="s">
        <v>336</v>
      </c>
      <c r="E813" s="818" t="s">
        <v>460</v>
      </c>
      <c r="F813" s="820">
        <v>9.6394335999999997E-2</v>
      </c>
      <c r="G813" s="821">
        <v>-5.2855284549999997</v>
      </c>
      <c r="H813" s="822">
        <v>5668565.3502726704</v>
      </c>
      <c r="I813" s="819"/>
      <c r="J813" s="820">
        <v>2.4026700000000002E-5</v>
      </c>
      <c r="K813" s="819">
        <f t="shared" si="176"/>
        <v>1350</v>
      </c>
      <c r="L813" s="819">
        <f t="shared" si="177"/>
        <v>1411</v>
      </c>
      <c r="M813" s="819">
        <f t="shared" si="173"/>
        <v>1350</v>
      </c>
      <c r="N813" s="819">
        <f t="shared" si="174"/>
        <v>364</v>
      </c>
      <c r="O813" s="819">
        <f t="shared" si="175"/>
        <v>394</v>
      </c>
      <c r="P813" s="819">
        <f t="shared" si="178"/>
        <v>48</v>
      </c>
      <c r="Q813" s="819">
        <f t="shared" si="179"/>
        <v>988</v>
      </c>
      <c r="R813" s="819">
        <f t="shared" si="180"/>
        <v>1268</v>
      </c>
      <c r="S813" s="819">
        <f t="shared" si="181"/>
        <v>338</v>
      </c>
      <c r="T813" s="819">
        <f t="shared" si="182"/>
        <v>372</v>
      </c>
      <c r="U813" s="819">
        <f t="shared" si="183"/>
        <v>3014</v>
      </c>
      <c r="V813" s="819">
        <f t="shared" si="184"/>
        <v>943</v>
      </c>
      <c r="W813" s="379">
        <f t="shared" si="185"/>
        <v>943</v>
      </c>
      <c r="X813" s="819" t="str">
        <f t="shared" si="186"/>
        <v/>
      </c>
      <c r="Y813" s="837"/>
      <c r="Z813" s="839"/>
      <c r="AA813" s="838"/>
      <c r="AB813" s="839"/>
    </row>
    <row r="814" spans="1:28" ht="13.15">
      <c r="B814" s="819" t="s">
        <v>2038</v>
      </c>
      <c r="C814" s="819" t="s">
        <v>2039</v>
      </c>
      <c r="D814" s="379" t="s">
        <v>336</v>
      </c>
      <c r="E814" s="818" t="s">
        <v>2040</v>
      </c>
      <c r="F814" s="820">
        <v>3.0516260430000002</v>
      </c>
      <c r="G814" s="821">
        <v>8.0899684100000009</v>
      </c>
      <c r="H814" s="822">
        <v>563177766.13890898</v>
      </c>
      <c r="I814" s="819">
        <v>0.04</v>
      </c>
      <c r="J814" s="820">
        <v>-2.2271589999999998E-3</v>
      </c>
      <c r="K814" s="819">
        <f t="shared" si="176"/>
        <v>326</v>
      </c>
      <c r="L814" s="819">
        <f t="shared" si="177"/>
        <v>255</v>
      </c>
      <c r="M814" s="819">
        <f t="shared" si="173"/>
        <v>326</v>
      </c>
      <c r="N814" s="819">
        <f t="shared" si="174"/>
        <v>309</v>
      </c>
      <c r="O814" s="819">
        <f t="shared" si="175"/>
        <v>1510</v>
      </c>
      <c r="P814" s="819">
        <f t="shared" si="178"/>
        <v>1072</v>
      </c>
      <c r="Q814" s="819">
        <f t="shared" si="179"/>
        <v>168</v>
      </c>
      <c r="R814" s="819">
        <f t="shared" si="180"/>
        <v>244</v>
      </c>
      <c r="S814" s="819">
        <f t="shared" si="181"/>
        <v>283</v>
      </c>
      <c r="T814" s="819">
        <f t="shared" si="182"/>
        <v>1488</v>
      </c>
      <c r="U814" s="819">
        <f t="shared" si="183"/>
        <v>3255</v>
      </c>
      <c r="V814" s="819">
        <f t="shared" si="184"/>
        <v>1282</v>
      </c>
      <c r="W814" s="379">
        <f t="shared" si="185"/>
        <v>1282</v>
      </c>
      <c r="X814" s="819" t="str">
        <f t="shared" si="186"/>
        <v/>
      </c>
      <c r="Y814" s="837"/>
      <c r="Z814" s="839"/>
      <c r="AA814" s="838"/>
      <c r="AB814" s="839"/>
    </row>
    <row r="815" spans="1:28" ht="14.45">
      <c r="A815" s="816"/>
      <c r="B815" s="819" t="s">
        <v>2041</v>
      </c>
      <c r="C815" s="819" t="s">
        <v>2042</v>
      </c>
      <c r="D815" s="379" t="s">
        <v>336</v>
      </c>
      <c r="E815" s="818" t="s">
        <v>373</v>
      </c>
      <c r="F815" s="820">
        <v>3.4345069600000002</v>
      </c>
      <c r="G815" s="821">
        <v>-4.9378488389999999</v>
      </c>
      <c r="H815" s="822">
        <v>5776662.5189393898</v>
      </c>
      <c r="I815" s="819"/>
      <c r="J815" s="820">
        <v>4.22626E-4</v>
      </c>
      <c r="K815" s="819">
        <f t="shared" si="176"/>
        <v>1347</v>
      </c>
      <c r="L815" s="819">
        <f t="shared" si="177"/>
        <v>1406</v>
      </c>
      <c r="M815" s="819">
        <f t="shared" si="173"/>
        <v>1347</v>
      </c>
      <c r="N815" s="819">
        <f t="shared" si="174"/>
        <v>364</v>
      </c>
      <c r="O815" s="819">
        <f t="shared" si="175"/>
        <v>215</v>
      </c>
      <c r="P815" s="819">
        <f t="shared" si="178"/>
        <v>51</v>
      </c>
      <c r="Q815" s="819">
        <f t="shared" si="179"/>
        <v>983</v>
      </c>
      <c r="R815" s="819">
        <f t="shared" si="180"/>
        <v>1265</v>
      </c>
      <c r="S815" s="819">
        <f t="shared" si="181"/>
        <v>338</v>
      </c>
      <c r="T815" s="819">
        <f t="shared" si="182"/>
        <v>193</v>
      </c>
      <c r="U815" s="819">
        <f t="shared" si="183"/>
        <v>2830</v>
      </c>
      <c r="V815" s="819">
        <f t="shared" si="184"/>
        <v>685</v>
      </c>
      <c r="W815" s="379">
        <f t="shared" si="185"/>
        <v>685</v>
      </c>
      <c r="X815" s="819" t="str">
        <f t="shared" si="186"/>
        <v/>
      </c>
      <c r="Y815" s="837"/>
      <c r="Z815" s="839"/>
      <c r="AA815" s="838"/>
      <c r="AB815" s="839"/>
    </row>
    <row r="816" spans="1:28" ht="13.15">
      <c r="B816" s="819" t="s">
        <v>2043</v>
      </c>
      <c r="C816" s="819" t="s">
        <v>2044</v>
      </c>
      <c r="D816" s="379" t="s">
        <v>336</v>
      </c>
      <c r="E816" s="818" t="s">
        <v>373</v>
      </c>
      <c r="F816" s="820">
        <v>1.5675462419999999</v>
      </c>
      <c r="G816" s="821">
        <v>3.5014461360000002</v>
      </c>
      <c r="H816" s="822">
        <v>702179794.64646494</v>
      </c>
      <c r="I816" s="819">
        <v>0.11</v>
      </c>
      <c r="J816" s="820">
        <v>-4.7077229999999996E-3</v>
      </c>
      <c r="K816" s="819">
        <f t="shared" si="176"/>
        <v>283</v>
      </c>
      <c r="L816" s="819">
        <f t="shared" si="177"/>
        <v>501</v>
      </c>
      <c r="M816" s="819">
        <f t="shared" si="173"/>
        <v>283</v>
      </c>
      <c r="N816" s="819">
        <f t="shared" si="174"/>
        <v>258</v>
      </c>
      <c r="O816" s="819">
        <f t="shared" si="175"/>
        <v>1598</v>
      </c>
      <c r="P816" s="819">
        <f t="shared" si="178"/>
        <v>1115</v>
      </c>
      <c r="Q816" s="819">
        <f t="shared" si="179"/>
        <v>78</v>
      </c>
      <c r="R816" s="819">
        <f t="shared" si="180"/>
        <v>201</v>
      </c>
      <c r="S816" s="819">
        <f t="shared" si="181"/>
        <v>232</v>
      </c>
      <c r="T816" s="819">
        <f t="shared" si="182"/>
        <v>1576</v>
      </c>
      <c r="U816" s="819">
        <f t="shared" si="183"/>
        <v>3202</v>
      </c>
      <c r="V816" s="819">
        <f t="shared" si="184"/>
        <v>1196</v>
      </c>
      <c r="W816" s="379">
        <f t="shared" si="185"/>
        <v>1196</v>
      </c>
      <c r="X816" s="819" t="str">
        <f t="shared" si="186"/>
        <v/>
      </c>
      <c r="Y816" s="837"/>
      <c r="Z816" s="839"/>
      <c r="AA816" s="838"/>
      <c r="AB816" s="839"/>
    </row>
    <row r="817" spans="1:28" ht="14.45">
      <c r="A817" s="816"/>
      <c r="B817" s="819" t="s">
        <v>2045</v>
      </c>
      <c r="C817" s="819" t="s">
        <v>2046</v>
      </c>
      <c r="D817" s="379" t="s">
        <v>336</v>
      </c>
      <c r="E817" s="818" t="s">
        <v>441</v>
      </c>
      <c r="F817" s="820">
        <v>1.601782882</v>
      </c>
      <c r="G817" s="821">
        <v>0.172350685</v>
      </c>
      <c r="H817" s="822">
        <v>24835286.392668299</v>
      </c>
      <c r="I817" s="819">
        <v>3.99</v>
      </c>
      <c r="J817" s="820">
        <v>-3.6019630000000001E-3</v>
      </c>
      <c r="K817" s="819">
        <f t="shared" si="176"/>
        <v>1044</v>
      </c>
      <c r="L817" s="819">
        <f t="shared" si="177"/>
        <v>993</v>
      </c>
      <c r="M817" s="819">
        <f t="shared" si="173"/>
        <v>1044</v>
      </c>
      <c r="N817" s="819">
        <f t="shared" si="174"/>
        <v>53</v>
      </c>
      <c r="O817" s="819">
        <f t="shared" si="175"/>
        <v>1571</v>
      </c>
      <c r="P817" s="819">
        <f t="shared" si="178"/>
        <v>354</v>
      </c>
      <c r="Q817" s="819">
        <f t="shared" si="179"/>
        <v>570</v>
      </c>
      <c r="R817" s="819">
        <f t="shared" si="180"/>
        <v>962</v>
      </c>
      <c r="S817" s="819">
        <f t="shared" si="181"/>
        <v>27</v>
      </c>
      <c r="T817" s="819">
        <f t="shared" si="182"/>
        <v>1549</v>
      </c>
      <c r="U817" s="819">
        <f t="shared" si="183"/>
        <v>3462</v>
      </c>
      <c r="V817" s="819">
        <f t="shared" si="184"/>
        <v>1519</v>
      </c>
      <c r="W817" s="379">
        <f t="shared" si="185"/>
        <v>1519</v>
      </c>
      <c r="X817" s="819" t="str">
        <f t="shared" si="186"/>
        <v/>
      </c>
      <c r="Y817" s="837"/>
      <c r="Z817" s="839"/>
      <c r="AA817" s="838"/>
      <c r="AB817" s="839"/>
    </row>
    <row r="818" spans="1:28" ht="13.15">
      <c r="B818" s="819" t="s">
        <v>2047</v>
      </c>
      <c r="C818" s="819" t="s">
        <v>2048</v>
      </c>
      <c r="D818" s="379" t="s">
        <v>336</v>
      </c>
      <c r="E818" s="818" t="s">
        <v>2049</v>
      </c>
      <c r="F818" s="820">
        <v>2.061268621</v>
      </c>
      <c r="G818" s="821">
        <v>10.59484067</v>
      </c>
      <c r="H818" s="822">
        <v>1212969897.19015</v>
      </c>
      <c r="I818" s="819">
        <v>2.2599999999999998</v>
      </c>
      <c r="J818" s="820">
        <v>-4.7951640000000002E-3</v>
      </c>
      <c r="K818" s="819">
        <f t="shared" si="176"/>
        <v>199</v>
      </c>
      <c r="L818" s="819">
        <f t="shared" si="177"/>
        <v>181</v>
      </c>
      <c r="M818" s="819">
        <f t="shared" si="173"/>
        <v>199</v>
      </c>
      <c r="N818" s="819">
        <f t="shared" si="174"/>
        <v>76</v>
      </c>
      <c r="O818" s="819">
        <f t="shared" si="175"/>
        <v>1600</v>
      </c>
      <c r="P818" s="819">
        <f t="shared" si="178"/>
        <v>1199</v>
      </c>
      <c r="Q818" s="819">
        <f t="shared" si="179"/>
        <v>242</v>
      </c>
      <c r="R818" s="819">
        <f t="shared" si="180"/>
        <v>117</v>
      </c>
      <c r="S818" s="819">
        <f t="shared" si="181"/>
        <v>50</v>
      </c>
      <c r="T818" s="819">
        <f t="shared" si="182"/>
        <v>1578</v>
      </c>
      <c r="U818" s="819">
        <f t="shared" si="183"/>
        <v>3186</v>
      </c>
      <c r="V818" s="819">
        <f t="shared" si="184"/>
        <v>1178</v>
      </c>
      <c r="W818" s="379">
        <f t="shared" si="185"/>
        <v>1178</v>
      </c>
      <c r="X818" s="819" t="str">
        <f t="shared" si="186"/>
        <v/>
      </c>
      <c r="Y818" s="837"/>
      <c r="Z818" s="839"/>
      <c r="AA818" s="838"/>
      <c r="AB818" s="839"/>
    </row>
    <row r="819" spans="1:28" ht="14.45">
      <c r="A819" s="816"/>
      <c r="B819" s="819" t="s">
        <v>2050</v>
      </c>
      <c r="C819" s="819" t="s">
        <v>2051</v>
      </c>
      <c r="D819" s="379" t="s">
        <v>336</v>
      </c>
      <c r="E819" s="818" t="s">
        <v>887</v>
      </c>
      <c r="F819" s="820">
        <v>2.6890226089999998</v>
      </c>
      <c r="G819" s="821">
        <v>1.1073891629999999</v>
      </c>
      <c r="H819" s="822">
        <v>3102335750.85324</v>
      </c>
      <c r="I819" s="819">
        <v>1.1100000000000001</v>
      </c>
      <c r="J819" s="820">
        <v>-1.4649605E-2</v>
      </c>
      <c r="K819" s="819">
        <f t="shared" si="176"/>
        <v>103</v>
      </c>
      <c r="L819" s="819">
        <f t="shared" si="177"/>
        <v>796</v>
      </c>
      <c r="M819" s="819">
        <f t="shared" si="173"/>
        <v>103</v>
      </c>
      <c r="N819" s="819">
        <f t="shared" si="174"/>
        <v>123</v>
      </c>
      <c r="O819" s="819">
        <f t="shared" si="175"/>
        <v>1673</v>
      </c>
      <c r="P819" s="819">
        <f t="shared" si="178"/>
        <v>1295</v>
      </c>
      <c r="Q819" s="819">
        <f t="shared" si="179"/>
        <v>373</v>
      </c>
      <c r="R819" s="819">
        <f t="shared" si="180"/>
        <v>21</v>
      </c>
      <c r="S819" s="819">
        <f t="shared" si="181"/>
        <v>97</v>
      </c>
      <c r="T819" s="819">
        <f t="shared" si="182"/>
        <v>1651</v>
      </c>
      <c r="U819" s="819">
        <f t="shared" si="183"/>
        <v>3437</v>
      </c>
      <c r="V819" s="819">
        <f t="shared" si="184"/>
        <v>1494</v>
      </c>
      <c r="W819" s="379">
        <f t="shared" si="185"/>
        <v>1494</v>
      </c>
      <c r="X819" s="819" t="str">
        <f t="shared" si="186"/>
        <v/>
      </c>
      <c r="Y819" s="837"/>
      <c r="Z819" s="839"/>
      <c r="AA819" s="838"/>
      <c r="AB819" s="839"/>
    </row>
    <row r="820" spans="1:28" ht="13.15">
      <c r="B820" s="819" t="s">
        <v>2052</v>
      </c>
      <c r="C820" s="819" t="s">
        <v>2053</v>
      </c>
      <c r="D820" s="379" t="s">
        <v>336</v>
      </c>
      <c r="E820" s="818" t="s">
        <v>337</v>
      </c>
      <c r="F820" s="820">
        <v>0.91702042699999997</v>
      </c>
      <c r="G820" s="821">
        <v>-2.2664884139999999</v>
      </c>
      <c r="H820" s="822">
        <v>2026813550.8299999</v>
      </c>
      <c r="I820" s="819"/>
      <c r="J820" s="820">
        <v>8.8652900000000006E-6</v>
      </c>
      <c r="K820" s="819">
        <f t="shared" si="176"/>
        <v>147</v>
      </c>
      <c r="L820" s="819">
        <f t="shared" si="177"/>
        <v>1351</v>
      </c>
      <c r="M820" s="819">
        <f t="shared" si="173"/>
        <v>147</v>
      </c>
      <c r="N820" s="819">
        <f t="shared" si="174"/>
        <v>364</v>
      </c>
      <c r="O820" s="819">
        <f t="shared" si="175"/>
        <v>425</v>
      </c>
      <c r="P820" s="819">
        <f t="shared" si="178"/>
        <v>1251</v>
      </c>
      <c r="Q820" s="819">
        <f t="shared" si="179"/>
        <v>928</v>
      </c>
      <c r="R820" s="819">
        <f t="shared" si="180"/>
        <v>65</v>
      </c>
      <c r="S820" s="819">
        <f t="shared" si="181"/>
        <v>338</v>
      </c>
      <c r="T820" s="819">
        <f t="shared" si="182"/>
        <v>403</v>
      </c>
      <c r="U820" s="819">
        <f t="shared" si="183"/>
        <v>2985</v>
      </c>
      <c r="V820" s="819">
        <f t="shared" si="184"/>
        <v>905</v>
      </c>
      <c r="W820" s="379">
        <f t="shared" si="185"/>
        <v>905</v>
      </c>
      <c r="X820" s="819" t="str">
        <f t="shared" si="186"/>
        <v/>
      </c>
      <c r="Y820" s="837"/>
      <c r="Z820" s="839"/>
      <c r="AA820" s="838"/>
      <c r="AB820" s="839"/>
    </row>
    <row r="821" spans="1:28" ht="14.45">
      <c r="A821" s="816"/>
      <c r="B821" s="819" t="s">
        <v>2054</v>
      </c>
      <c r="C821" s="819" t="s">
        <v>2055</v>
      </c>
      <c r="D821" s="379" t="s">
        <v>336</v>
      </c>
      <c r="E821" s="818" t="s">
        <v>998</v>
      </c>
      <c r="F821" s="820">
        <v>1.11155596</v>
      </c>
      <c r="G821" s="821">
        <v>9.1465367969999996</v>
      </c>
      <c r="H821" s="822">
        <v>6771688535.5611696</v>
      </c>
      <c r="I821" s="819"/>
      <c r="J821" s="820">
        <v>-3.5402699999999999E-5</v>
      </c>
      <c r="K821" s="819">
        <f t="shared" si="176"/>
        <v>58</v>
      </c>
      <c r="L821" s="819">
        <f t="shared" si="177"/>
        <v>220</v>
      </c>
      <c r="M821" s="819">
        <f t="shared" si="173"/>
        <v>58</v>
      </c>
      <c r="N821" s="819">
        <f t="shared" si="174"/>
        <v>364</v>
      </c>
      <c r="O821" s="819">
        <f t="shared" si="175"/>
        <v>885</v>
      </c>
      <c r="P821" s="819">
        <f t="shared" si="178"/>
        <v>1340</v>
      </c>
      <c r="Q821" s="819">
        <f t="shared" si="179"/>
        <v>203</v>
      </c>
      <c r="R821" s="819">
        <f t="shared" si="180"/>
        <v>24</v>
      </c>
      <c r="S821" s="819">
        <f t="shared" si="181"/>
        <v>338</v>
      </c>
      <c r="T821" s="819">
        <f t="shared" si="182"/>
        <v>863</v>
      </c>
      <c r="U821" s="819">
        <f t="shared" si="183"/>
        <v>2768</v>
      </c>
      <c r="V821" s="819">
        <f t="shared" si="184"/>
        <v>442</v>
      </c>
      <c r="W821" s="379">
        <f t="shared" si="185"/>
        <v>442</v>
      </c>
      <c r="X821" s="819" t="str">
        <f t="shared" si="186"/>
        <v/>
      </c>
      <c r="Y821" s="837"/>
      <c r="Z821" s="839"/>
      <c r="AA821" s="838"/>
      <c r="AB821" s="839"/>
    </row>
    <row r="822" spans="1:28" ht="13.15">
      <c r="B822" s="819" t="s">
        <v>2056</v>
      </c>
      <c r="C822" s="819" t="s">
        <v>2057</v>
      </c>
      <c r="D822" s="379" t="s">
        <v>336</v>
      </c>
      <c r="E822" s="818" t="s">
        <v>373</v>
      </c>
      <c r="F822" s="820">
        <v>-3.1267341160000002</v>
      </c>
      <c r="G822" s="821">
        <v>2.6337070859999998</v>
      </c>
      <c r="H822" s="822">
        <v>7575757.5757575799</v>
      </c>
      <c r="I822" s="819"/>
      <c r="J822" s="820">
        <v>-2.5371399999999999E-4</v>
      </c>
      <c r="K822" s="819">
        <f t="shared" si="176"/>
        <v>1307</v>
      </c>
      <c r="L822" s="819">
        <f t="shared" si="177"/>
        <v>590</v>
      </c>
      <c r="M822" s="819">
        <f t="shared" si="173"/>
        <v>1307</v>
      </c>
      <c r="N822" s="819">
        <f t="shared" si="174"/>
        <v>364</v>
      </c>
      <c r="O822" s="819">
        <f t="shared" si="175"/>
        <v>1150</v>
      </c>
      <c r="P822" s="819">
        <f t="shared" si="178"/>
        <v>91</v>
      </c>
      <c r="Q822" s="819">
        <f t="shared" si="179"/>
        <v>167</v>
      </c>
      <c r="R822" s="819">
        <f t="shared" si="180"/>
        <v>1225</v>
      </c>
      <c r="S822" s="819">
        <f t="shared" si="181"/>
        <v>338</v>
      </c>
      <c r="T822" s="819">
        <f t="shared" si="182"/>
        <v>1128</v>
      </c>
      <c r="U822" s="819">
        <f t="shared" si="183"/>
        <v>2949</v>
      </c>
      <c r="V822" s="819">
        <f t="shared" si="184"/>
        <v>860</v>
      </c>
      <c r="W822" s="379">
        <f t="shared" si="185"/>
        <v>860</v>
      </c>
      <c r="X822" s="819" t="str">
        <f t="shared" si="186"/>
        <v/>
      </c>
      <c r="Y822" s="837"/>
      <c r="Z822" s="839"/>
      <c r="AA822" s="838"/>
      <c r="AB822" s="839"/>
    </row>
    <row r="823" spans="1:28" ht="14.45">
      <c r="A823" s="816"/>
      <c r="B823" s="819" t="s">
        <v>2058</v>
      </c>
      <c r="C823" s="819" t="s">
        <v>2059</v>
      </c>
      <c r="D823" s="379" t="s">
        <v>336</v>
      </c>
      <c r="E823" s="818" t="s">
        <v>1829</v>
      </c>
      <c r="F823" s="820"/>
      <c r="G823" s="821"/>
      <c r="H823" s="822">
        <v>16949152.542372901</v>
      </c>
      <c r="I823" s="819"/>
      <c r="J823" s="820">
        <v>0</v>
      </c>
      <c r="K823" s="819">
        <f t="shared" si="176"/>
        <v>1140</v>
      </c>
      <c r="L823" s="819">
        <f t="shared" si="177"/>
        <v>1084</v>
      </c>
      <c r="M823" s="819">
        <f t="shared" si="173"/>
        <v>1140</v>
      </c>
      <c r="N823" s="819">
        <f t="shared" si="174"/>
        <v>364</v>
      </c>
      <c r="O823" s="819">
        <f t="shared" si="175"/>
        <v>492</v>
      </c>
      <c r="P823" s="819">
        <f t="shared" si="178"/>
        <v>258</v>
      </c>
      <c r="Q823" s="819">
        <f t="shared" si="179"/>
        <v>661</v>
      </c>
      <c r="R823" s="819">
        <f t="shared" si="180"/>
        <v>1058</v>
      </c>
      <c r="S823" s="819">
        <f t="shared" si="181"/>
        <v>338</v>
      </c>
      <c r="T823" s="819">
        <f t="shared" si="182"/>
        <v>470</v>
      </c>
      <c r="U823" s="819">
        <f t="shared" si="183"/>
        <v>2785</v>
      </c>
      <c r="V823" s="819">
        <f t="shared" si="184"/>
        <v>463</v>
      </c>
      <c r="W823" s="379">
        <f t="shared" si="185"/>
        <v>463</v>
      </c>
      <c r="X823" s="819" t="str">
        <f t="shared" si="186"/>
        <v/>
      </c>
      <c r="Y823" s="837"/>
      <c r="Z823" s="839"/>
      <c r="AA823" s="838"/>
      <c r="AB823" s="839"/>
    </row>
    <row r="824" spans="1:28" ht="13.15">
      <c r="B824" s="819" t="s">
        <v>2060</v>
      </c>
      <c r="C824" s="819" t="s">
        <v>2061</v>
      </c>
      <c r="D824" s="379" t="s">
        <v>336</v>
      </c>
      <c r="E824" s="818" t="s">
        <v>460</v>
      </c>
      <c r="F824" s="820"/>
      <c r="G824" s="821"/>
      <c r="H824" s="822">
        <v>15494289.983220501</v>
      </c>
      <c r="I824" s="819"/>
      <c r="J824" s="820">
        <v>0</v>
      </c>
      <c r="K824" s="819">
        <f t="shared" si="176"/>
        <v>1155</v>
      </c>
      <c r="L824" s="819">
        <f t="shared" si="177"/>
        <v>1084</v>
      </c>
      <c r="M824" s="819">
        <f t="shared" si="173"/>
        <v>1155</v>
      </c>
      <c r="N824" s="819">
        <f t="shared" si="174"/>
        <v>364</v>
      </c>
      <c r="O824" s="819">
        <f t="shared" si="175"/>
        <v>492</v>
      </c>
      <c r="P824" s="819">
        <f t="shared" si="178"/>
        <v>243</v>
      </c>
      <c r="Q824" s="819">
        <f t="shared" si="179"/>
        <v>661</v>
      </c>
      <c r="R824" s="819">
        <f t="shared" si="180"/>
        <v>1073</v>
      </c>
      <c r="S824" s="819">
        <f t="shared" si="181"/>
        <v>338</v>
      </c>
      <c r="T824" s="819">
        <f t="shared" si="182"/>
        <v>470</v>
      </c>
      <c r="U824" s="819">
        <f t="shared" si="183"/>
        <v>2785</v>
      </c>
      <c r="V824" s="819">
        <f t="shared" si="184"/>
        <v>463</v>
      </c>
      <c r="W824" s="379">
        <f t="shared" si="185"/>
        <v>463</v>
      </c>
      <c r="X824" s="819" t="str">
        <f t="shared" si="186"/>
        <v/>
      </c>
      <c r="Y824" s="837"/>
      <c r="Z824" s="839"/>
      <c r="AA824" s="838"/>
      <c r="AB824" s="839"/>
    </row>
    <row r="825" spans="1:28" ht="14.45">
      <c r="A825" s="816"/>
      <c r="B825" s="819" t="s">
        <v>2062</v>
      </c>
      <c r="C825" s="819" t="s">
        <v>2063</v>
      </c>
      <c r="D825" s="379" t="s">
        <v>336</v>
      </c>
      <c r="E825" s="818" t="s">
        <v>460</v>
      </c>
      <c r="F825" s="820">
        <v>7.5786807510000003</v>
      </c>
      <c r="G825" s="821">
        <v>3.8268220679999998</v>
      </c>
      <c r="H825" s="822">
        <v>1014382.64517289</v>
      </c>
      <c r="I825" s="819"/>
      <c r="J825" s="820">
        <v>-4.3025100000000002E-5</v>
      </c>
      <c r="K825" s="819">
        <f t="shared" si="176"/>
        <v>1555</v>
      </c>
      <c r="L825" s="819">
        <f t="shared" si="177"/>
        <v>466</v>
      </c>
      <c r="M825" s="819">
        <f t="shared" si="173"/>
        <v>1555</v>
      </c>
      <c r="N825" s="819">
        <f t="shared" si="174"/>
        <v>364</v>
      </c>
      <c r="O825" s="819">
        <f t="shared" si="175"/>
        <v>906</v>
      </c>
      <c r="P825" s="819">
        <f t="shared" si="178"/>
        <v>157</v>
      </c>
      <c r="Q825" s="819">
        <f t="shared" si="179"/>
        <v>43</v>
      </c>
      <c r="R825" s="819">
        <f t="shared" si="180"/>
        <v>1473</v>
      </c>
      <c r="S825" s="819">
        <f t="shared" si="181"/>
        <v>338</v>
      </c>
      <c r="T825" s="819">
        <f t="shared" si="182"/>
        <v>884</v>
      </c>
      <c r="U825" s="819">
        <f t="shared" si="183"/>
        <v>2895</v>
      </c>
      <c r="V825" s="819">
        <f t="shared" si="184"/>
        <v>800</v>
      </c>
      <c r="W825" s="379">
        <f t="shared" si="185"/>
        <v>800</v>
      </c>
      <c r="X825" s="819" t="str">
        <f t="shared" si="186"/>
        <v/>
      </c>
      <c r="Y825" s="837"/>
      <c r="Z825" s="839"/>
      <c r="AA825" s="838"/>
      <c r="AB825" s="839"/>
    </row>
    <row r="826" spans="1:28" ht="13.15">
      <c r="B826" s="819" t="s">
        <v>2064</v>
      </c>
      <c r="C826" s="819" t="s">
        <v>2065</v>
      </c>
      <c r="D826" s="379" t="s">
        <v>336</v>
      </c>
      <c r="E826" s="818" t="s">
        <v>460</v>
      </c>
      <c r="F826" s="820">
        <v>5.0346030349999999</v>
      </c>
      <c r="G826" s="821">
        <v>4.3637360410000001</v>
      </c>
      <c r="H826" s="822">
        <v>1826122.13100018</v>
      </c>
      <c r="I826" s="819"/>
      <c r="J826" s="820">
        <v>-4.1396299999999999E-4</v>
      </c>
      <c r="K826" s="819">
        <f t="shared" si="176"/>
        <v>1510</v>
      </c>
      <c r="L826" s="819">
        <f t="shared" si="177"/>
        <v>425</v>
      </c>
      <c r="M826" s="819">
        <f t="shared" si="173"/>
        <v>1510</v>
      </c>
      <c r="N826" s="819">
        <f t="shared" si="174"/>
        <v>364</v>
      </c>
      <c r="O826" s="819">
        <f t="shared" si="175"/>
        <v>1234</v>
      </c>
      <c r="P826" s="819">
        <f t="shared" si="178"/>
        <v>112</v>
      </c>
      <c r="Q826" s="819">
        <f t="shared" si="179"/>
        <v>2</v>
      </c>
      <c r="R826" s="819">
        <f t="shared" si="180"/>
        <v>1428</v>
      </c>
      <c r="S826" s="819">
        <f t="shared" si="181"/>
        <v>338</v>
      </c>
      <c r="T826" s="819">
        <f t="shared" si="182"/>
        <v>1212</v>
      </c>
      <c r="U826" s="819">
        <f t="shared" si="183"/>
        <v>3092</v>
      </c>
      <c r="V826" s="819">
        <f t="shared" si="184"/>
        <v>1059</v>
      </c>
      <c r="W826" s="379">
        <f t="shared" si="185"/>
        <v>1059</v>
      </c>
      <c r="X826" s="819" t="str">
        <f t="shared" si="186"/>
        <v/>
      </c>
      <c r="Y826" s="837"/>
      <c r="Z826" s="839"/>
      <c r="AA826" s="838"/>
      <c r="AB826" s="839"/>
    </row>
    <row r="827" spans="1:28" ht="14.45">
      <c r="A827" s="816"/>
      <c r="B827" s="819" t="s">
        <v>2066</v>
      </c>
      <c r="C827" s="819" t="s">
        <v>2067</v>
      </c>
      <c r="D827" s="379" t="s">
        <v>336</v>
      </c>
      <c r="E827" s="818" t="s">
        <v>460</v>
      </c>
      <c r="F827" s="820"/>
      <c r="G827" s="821"/>
      <c r="H827" s="822">
        <v>33274948.603703499</v>
      </c>
      <c r="I827" s="819"/>
      <c r="J827" s="820">
        <v>0</v>
      </c>
      <c r="K827" s="819">
        <f t="shared" si="176"/>
        <v>968</v>
      </c>
      <c r="L827" s="819">
        <f t="shared" si="177"/>
        <v>1084</v>
      </c>
      <c r="M827" s="819">
        <f t="shared" si="173"/>
        <v>968</v>
      </c>
      <c r="N827" s="819">
        <f t="shared" si="174"/>
        <v>364</v>
      </c>
      <c r="O827" s="819">
        <f t="shared" si="175"/>
        <v>492</v>
      </c>
      <c r="P827" s="819">
        <f t="shared" si="178"/>
        <v>430</v>
      </c>
      <c r="Q827" s="819">
        <f t="shared" si="179"/>
        <v>661</v>
      </c>
      <c r="R827" s="819">
        <f t="shared" si="180"/>
        <v>886</v>
      </c>
      <c r="S827" s="819">
        <f t="shared" si="181"/>
        <v>338</v>
      </c>
      <c r="T827" s="819">
        <f t="shared" si="182"/>
        <v>470</v>
      </c>
      <c r="U827" s="819">
        <f t="shared" si="183"/>
        <v>2785</v>
      </c>
      <c r="V827" s="819">
        <f t="shared" si="184"/>
        <v>463</v>
      </c>
      <c r="W827" s="379">
        <f t="shared" si="185"/>
        <v>463</v>
      </c>
      <c r="X827" s="819" t="str">
        <f t="shared" si="186"/>
        <v/>
      </c>
      <c r="Y827" s="837"/>
      <c r="Z827" s="839"/>
      <c r="AA827" s="838"/>
      <c r="AB827" s="839"/>
    </row>
    <row r="828" spans="1:28" ht="13.15">
      <c r="B828" s="819" t="s">
        <v>2068</v>
      </c>
      <c r="C828" s="819" t="s">
        <v>2069</v>
      </c>
      <c r="D828" s="379" t="s">
        <v>336</v>
      </c>
      <c r="E828" s="818" t="s">
        <v>460</v>
      </c>
      <c r="F828" s="820"/>
      <c r="G828" s="821"/>
      <c r="H828" s="822">
        <v>104955953.736442</v>
      </c>
      <c r="I828" s="819"/>
      <c r="J828" s="820">
        <v>0</v>
      </c>
      <c r="K828" s="819">
        <f t="shared" si="176"/>
        <v>713</v>
      </c>
      <c r="L828" s="819">
        <f t="shared" si="177"/>
        <v>1084</v>
      </c>
      <c r="M828" s="819">
        <f t="shared" si="173"/>
        <v>713</v>
      </c>
      <c r="N828" s="819">
        <f t="shared" si="174"/>
        <v>364</v>
      </c>
      <c r="O828" s="819">
        <f t="shared" si="175"/>
        <v>492</v>
      </c>
      <c r="P828" s="819">
        <f t="shared" si="178"/>
        <v>685</v>
      </c>
      <c r="Q828" s="819">
        <f t="shared" si="179"/>
        <v>661</v>
      </c>
      <c r="R828" s="819">
        <f t="shared" si="180"/>
        <v>631</v>
      </c>
      <c r="S828" s="819">
        <f t="shared" si="181"/>
        <v>338</v>
      </c>
      <c r="T828" s="819">
        <f t="shared" si="182"/>
        <v>470</v>
      </c>
      <c r="U828" s="819">
        <f t="shared" si="183"/>
        <v>2785</v>
      </c>
      <c r="V828" s="819">
        <f t="shared" si="184"/>
        <v>463</v>
      </c>
      <c r="W828" s="379">
        <f t="shared" si="185"/>
        <v>463</v>
      </c>
      <c r="X828" s="819" t="str">
        <f t="shared" si="186"/>
        <v/>
      </c>
      <c r="Y828" s="837"/>
      <c r="Z828" s="839"/>
      <c r="AA828" s="838"/>
      <c r="AB828" s="839"/>
    </row>
    <row r="829" spans="1:28" ht="14.45">
      <c r="A829" s="816"/>
      <c r="B829" s="819" t="s">
        <v>2070</v>
      </c>
      <c r="C829" s="819" t="s">
        <v>2071</v>
      </c>
      <c r="D829" s="379" t="s">
        <v>336</v>
      </c>
      <c r="E829" s="818" t="s">
        <v>460</v>
      </c>
      <c r="F829" s="820"/>
      <c r="G829" s="821"/>
      <c r="H829" s="822">
        <v>411038.532989753</v>
      </c>
      <c r="I829" s="819"/>
      <c r="J829" s="820">
        <v>0</v>
      </c>
      <c r="K829" s="819">
        <f t="shared" si="176"/>
        <v>1610</v>
      </c>
      <c r="L829" s="819">
        <f t="shared" si="177"/>
        <v>1084</v>
      </c>
      <c r="M829" s="819">
        <f t="shared" si="173"/>
        <v>1610</v>
      </c>
      <c r="N829" s="819">
        <f t="shared" si="174"/>
        <v>364</v>
      </c>
      <c r="O829" s="819">
        <f t="shared" si="175"/>
        <v>492</v>
      </c>
      <c r="P829" s="819">
        <f t="shared" si="178"/>
        <v>212</v>
      </c>
      <c r="Q829" s="819">
        <f t="shared" si="179"/>
        <v>661</v>
      </c>
      <c r="R829" s="819">
        <f t="shared" si="180"/>
        <v>1528</v>
      </c>
      <c r="S829" s="819">
        <f t="shared" si="181"/>
        <v>338</v>
      </c>
      <c r="T829" s="819">
        <f t="shared" si="182"/>
        <v>470</v>
      </c>
      <c r="U829" s="819">
        <f t="shared" si="183"/>
        <v>3209</v>
      </c>
      <c r="V829" s="819">
        <f t="shared" si="184"/>
        <v>1208</v>
      </c>
      <c r="W829" s="379">
        <f t="shared" si="185"/>
        <v>1208</v>
      </c>
      <c r="X829" s="819" t="str">
        <f t="shared" si="186"/>
        <v/>
      </c>
      <c r="Y829" s="837"/>
      <c r="Z829" s="839"/>
      <c r="AA829" s="838"/>
      <c r="AB829" s="839"/>
    </row>
    <row r="830" spans="1:28" ht="13.15">
      <c r="B830" s="819" t="s">
        <v>2072</v>
      </c>
      <c r="C830" s="819" t="s">
        <v>2073</v>
      </c>
      <c r="D830" s="379" t="s">
        <v>336</v>
      </c>
      <c r="E830" s="818" t="s">
        <v>460</v>
      </c>
      <c r="F830" s="820"/>
      <c r="G830" s="821"/>
      <c r="H830" s="822">
        <v>730229.12446814904</v>
      </c>
      <c r="I830" s="819"/>
      <c r="J830" s="820">
        <v>0</v>
      </c>
      <c r="K830" s="819">
        <f t="shared" si="176"/>
        <v>1582</v>
      </c>
      <c r="L830" s="819">
        <f t="shared" si="177"/>
        <v>1084</v>
      </c>
      <c r="M830" s="819">
        <f t="shared" si="173"/>
        <v>1582</v>
      </c>
      <c r="N830" s="819">
        <f t="shared" si="174"/>
        <v>364</v>
      </c>
      <c r="O830" s="819">
        <f t="shared" si="175"/>
        <v>492</v>
      </c>
      <c r="P830" s="819">
        <f t="shared" si="178"/>
        <v>184</v>
      </c>
      <c r="Q830" s="819">
        <f t="shared" si="179"/>
        <v>661</v>
      </c>
      <c r="R830" s="819">
        <f t="shared" si="180"/>
        <v>1500</v>
      </c>
      <c r="S830" s="819">
        <f t="shared" si="181"/>
        <v>338</v>
      </c>
      <c r="T830" s="819">
        <f t="shared" si="182"/>
        <v>470</v>
      </c>
      <c r="U830" s="819">
        <f t="shared" si="183"/>
        <v>3153</v>
      </c>
      <c r="V830" s="819">
        <f t="shared" si="184"/>
        <v>1129</v>
      </c>
      <c r="W830" s="379">
        <f t="shared" si="185"/>
        <v>1129</v>
      </c>
      <c r="X830" s="819" t="str">
        <f t="shared" si="186"/>
        <v/>
      </c>
      <c r="Y830" s="837"/>
      <c r="Z830" s="839"/>
      <c r="AA830" s="838"/>
      <c r="AB830" s="839"/>
    </row>
    <row r="831" spans="1:28" ht="14.45">
      <c r="A831" s="816"/>
      <c r="B831" s="819" t="s">
        <v>2074</v>
      </c>
      <c r="C831" s="819" t="s">
        <v>2075</v>
      </c>
      <c r="D831" s="379" t="s">
        <v>336</v>
      </c>
      <c r="E831" s="818" t="s">
        <v>460</v>
      </c>
      <c r="F831" s="820">
        <v>0</v>
      </c>
      <c r="G831" s="821">
        <v>-228.51300090000001</v>
      </c>
      <c r="H831" s="822">
        <v>268472.46359441499</v>
      </c>
      <c r="I831" s="819"/>
      <c r="J831" s="820">
        <v>2.0357499999999999E-6</v>
      </c>
      <c r="K831" s="819">
        <f t="shared" si="176"/>
        <v>1633</v>
      </c>
      <c r="L831" s="819">
        <f t="shared" si="177"/>
        <v>1526</v>
      </c>
      <c r="M831" s="819">
        <f t="shared" si="173"/>
        <v>1633</v>
      </c>
      <c r="N831" s="819">
        <f t="shared" si="174"/>
        <v>364</v>
      </c>
      <c r="O831" s="819">
        <f t="shared" si="175"/>
        <v>469</v>
      </c>
      <c r="P831" s="819">
        <f t="shared" si="178"/>
        <v>235</v>
      </c>
      <c r="Q831" s="819">
        <f t="shared" si="179"/>
        <v>1103</v>
      </c>
      <c r="R831" s="819">
        <f t="shared" si="180"/>
        <v>1551</v>
      </c>
      <c r="S831" s="819">
        <f t="shared" si="181"/>
        <v>338</v>
      </c>
      <c r="T831" s="819">
        <f t="shared" si="182"/>
        <v>447</v>
      </c>
      <c r="U831" s="819">
        <f t="shared" si="183"/>
        <v>3674</v>
      </c>
      <c r="V831" s="819">
        <f t="shared" si="184"/>
        <v>1665</v>
      </c>
      <c r="W831" s="379">
        <f t="shared" si="185"/>
        <v>1665</v>
      </c>
      <c r="X831" s="819" t="str">
        <f t="shared" si="186"/>
        <v/>
      </c>
      <c r="Y831" s="837"/>
      <c r="Z831" s="839"/>
      <c r="AA831" s="838"/>
      <c r="AB831" s="839"/>
    </row>
    <row r="832" spans="1:28" ht="13.15">
      <c r="B832" s="819" t="s">
        <v>2076</v>
      </c>
      <c r="C832" s="819" t="s">
        <v>2077</v>
      </c>
      <c r="D832" s="379" t="s">
        <v>336</v>
      </c>
      <c r="E832" s="818" t="s">
        <v>460</v>
      </c>
      <c r="F832" s="820">
        <v>-0.105911167</v>
      </c>
      <c r="G832" s="821">
        <v>-3.2059719680000001</v>
      </c>
      <c r="H832" s="822">
        <v>758893.62977167906</v>
      </c>
      <c r="I832" s="819"/>
      <c r="J832" s="820">
        <v>1.2891399999999999E-4</v>
      </c>
      <c r="K832" s="819">
        <f t="shared" si="176"/>
        <v>1579</v>
      </c>
      <c r="L832" s="819">
        <f t="shared" si="177"/>
        <v>1376</v>
      </c>
      <c r="M832" s="819">
        <f t="shared" si="173"/>
        <v>1579</v>
      </c>
      <c r="N832" s="819">
        <f t="shared" si="174"/>
        <v>364</v>
      </c>
      <c r="O832" s="819">
        <f t="shared" si="175"/>
        <v>283</v>
      </c>
      <c r="P832" s="819">
        <f t="shared" si="178"/>
        <v>181</v>
      </c>
      <c r="Q832" s="819">
        <f t="shared" si="179"/>
        <v>953</v>
      </c>
      <c r="R832" s="819">
        <f t="shared" si="180"/>
        <v>1497</v>
      </c>
      <c r="S832" s="819">
        <f t="shared" si="181"/>
        <v>338</v>
      </c>
      <c r="T832" s="819">
        <f t="shared" si="182"/>
        <v>261</v>
      </c>
      <c r="U832" s="819">
        <f t="shared" si="183"/>
        <v>3230</v>
      </c>
      <c r="V832" s="819">
        <f t="shared" si="184"/>
        <v>1238</v>
      </c>
      <c r="W832" s="379">
        <f t="shared" si="185"/>
        <v>1238</v>
      </c>
      <c r="X832" s="819" t="str">
        <f t="shared" si="186"/>
        <v/>
      </c>
      <c r="Y832" s="837"/>
      <c r="Z832" s="839"/>
      <c r="AA832" s="838"/>
      <c r="AB832" s="839"/>
    </row>
    <row r="833" spans="1:28" ht="14.45">
      <c r="A833" s="816"/>
      <c r="B833" s="819" t="s">
        <v>2078</v>
      </c>
      <c r="C833" s="819" t="s">
        <v>2079</v>
      </c>
      <c r="D833" s="379" t="s">
        <v>336</v>
      </c>
      <c r="E833" s="818" t="s">
        <v>460</v>
      </c>
      <c r="F833" s="820">
        <v>0.73051840700000004</v>
      </c>
      <c r="G833" s="821">
        <v>0.10127771000000001</v>
      </c>
      <c r="H833" s="822">
        <v>1726048.3010726899</v>
      </c>
      <c r="I833" s="819"/>
      <c r="J833" s="820">
        <v>-2.7207000000000002E-4</v>
      </c>
      <c r="K833" s="819">
        <f t="shared" si="176"/>
        <v>1516</v>
      </c>
      <c r="L833" s="819">
        <f t="shared" si="177"/>
        <v>1013</v>
      </c>
      <c r="M833" s="819">
        <f t="shared" si="173"/>
        <v>1516</v>
      </c>
      <c r="N833" s="819">
        <f t="shared" si="174"/>
        <v>364</v>
      </c>
      <c r="O833" s="819">
        <f t="shared" si="175"/>
        <v>1160</v>
      </c>
      <c r="P833" s="819">
        <f t="shared" si="178"/>
        <v>118</v>
      </c>
      <c r="Q833" s="819">
        <f t="shared" si="179"/>
        <v>590</v>
      </c>
      <c r="R833" s="819">
        <f t="shared" si="180"/>
        <v>1434</v>
      </c>
      <c r="S833" s="819">
        <f t="shared" si="181"/>
        <v>338</v>
      </c>
      <c r="T833" s="819">
        <f t="shared" si="182"/>
        <v>1138</v>
      </c>
      <c r="U833" s="819">
        <f t="shared" si="183"/>
        <v>3618</v>
      </c>
      <c r="V833" s="819">
        <f t="shared" si="184"/>
        <v>1629</v>
      </c>
      <c r="W833" s="379">
        <f t="shared" si="185"/>
        <v>1629</v>
      </c>
      <c r="X833" s="819" t="str">
        <f t="shared" si="186"/>
        <v/>
      </c>
      <c r="Y833" s="837"/>
      <c r="Z833" s="839"/>
      <c r="AA833" s="838"/>
      <c r="AB833" s="839"/>
    </row>
    <row r="834" spans="1:28" ht="13.15">
      <c r="B834" s="819" t="s">
        <v>2080</v>
      </c>
      <c r="C834" s="819" t="s">
        <v>2081</v>
      </c>
      <c r="D834" s="379" t="s">
        <v>336</v>
      </c>
      <c r="E834" s="818" t="s">
        <v>352</v>
      </c>
      <c r="F834" s="820">
        <v>-10.236701330000001</v>
      </c>
      <c r="G834" s="821">
        <v>13.785734619999999</v>
      </c>
      <c r="H834" s="822">
        <v>1916577.0462309499</v>
      </c>
      <c r="I834" s="819"/>
      <c r="J834" s="820">
        <v>-1.744481E-3</v>
      </c>
      <c r="K834" s="819">
        <f t="shared" si="176"/>
        <v>1505</v>
      </c>
      <c r="L834" s="819">
        <f t="shared" si="177"/>
        <v>142</v>
      </c>
      <c r="M834" s="819">
        <f t="shared" si="173"/>
        <v>1505</v>
      </c>
      <c r="N834" s="819">
        <f t="shared" si="174"/>
        <v>364</v>
      </c>
      <c r="O834" s="819">
        <f t="shared" si="175"/>
        <v>1477</v>
      </c>
      <c r="P834" s="819">
        <f t="shared" si="178"/>
        <v>107</v>
      </c>
      <c r="Q834" s="819">
        <f t="shared" si="179"/>
        <v>281</v>
      </c>
      <c r="R834" s="819">
        <f t="shared" si="180"/>
        <v>1423</v>
      </c>
      <c r="S834" s="819">
        <f t="shared" si="181"/>
        <v>338</v>
      </c>
      <c r="T834" s="819">
        <f t="shared" si="182"/>
        <v>1455</v>
      </c>
      <c r="U834" s="819">
        <f t="shared" si="183"/>
        <v>3604</v>
      </c>
      <c r="V834" s="819">
        <f t="shared" si="184"/>
        <v>1623</v>
      </c>
      <c r="W834" s="379">
        <f t="shared" si="185"/>
        <v>1623</v>
      </c>
      <c r="X834" s="819" t="str">
        <f t="shared" si="186"/>
        <v/>
      </c>
      <c r="Y834" s="837"/>
      <c r="Z834" s="839"/>
      <c r="AA834" s="838"/>
      <c r="AB834" s="839"/>
    </row>
    <row r="835" spans="1:28" ht="14.45">
      <c r="A835" s="816"/>
      <c r="B835" s="819" t="s">
        <v>2082</v>
      </c>
      <c r="C835" s="819" t="s">
        <v>2083</v>
      </c>
      <c r="D835" s="379" t="s">
        <v>336</v>
      </c>
      <c r="E835" s="818" t="s">
        <v>373</v>
      </c>
      <c r="F835" s="820">
        <v>7.083092508</v>
      </c>
      <c r="G835" s="821">
        <v>15.924907510000001</v>
      </c>
      <c r="H835" s="822">
        <v>144568526.13636401</v>
      </c>
      <c r="I835" s="819"/>
      <c r="J835" s="820">
        <v>-3.1069280000000001E-3</v>
      </c>
      <c r="K835" s="819">
        <f t="shared" si="176"/>
        <v>632</v>
      </c>
      <c r="L835" s="819">
        <f t="shared" si="177"/>
        <v>115</v>
      </c>
      <c r="M835" s="819">
        <f t="shared" si="173"/>
        <v>632</v>
      </c>
      <c r="N835" s="819">
        <f t="shared" si="174"/>
        <v>364</v>
      </c>
      <c r="O835" s="819">
        <f t="shared" si="175"/>
        <v>1553</v>
      </c>
      <c r="P835" s="819">
        <f t="shared" si="178"/>
        <v>766</v>
      </c>
      <c r="Q835" s="819">
        <f t="shared" si="179"/>
        <v>308</v>
      </c>
      <c r="R835" s="819">
        <f t="shared" si="180"/>
        <v>550</v>
      </c>
      <c r="S835" s="819">
        <f t="shared" si="181"/>
        <v>338</v>
      </c>
      <c r="T835" s="819">
        <f t="shared" si="182"/>
        <v>1531</v>
      </c>
      <c r="U835" s="819">
        <f t="shared" si="183"/>
        <v>3493</v>
      </c>
      <c r="V835" s="819">
        <f t="shared" si="184"/>
        <v>1548</v>
      </c>
      <c r="W835" s="379">
        <f t="shared" si="185"/>
        <v>1548</v>
      </c>
      <c r="X835" s="819" t="str">
        <f t="shared" si="186"/>
        <v/>
      </c>
      <c r="Y835" s="837"/>
      <c r="Z835" s="839"/>
      <c r="AA835" s="838"/>
      <c r="AB835" s="839"/>
    </row>
    <row r="836" spans="1:28" ht="13.15">
      <c r="B836" s="819" t="s">
        <v>2084</v>
      </c>
      <c r="C836" s="819" t="s">
        <v>2085</v>
      </c>
      <c r="D836" s="379" t="s">
        <v>336</v>
      </c>
      <c r="E836" s="818" t="s">
        <v>460</v>
      </c>
      <c r="F836" s="820">
        <v>1.0998929129999999</v>
      </c>
      <c r="G836" s="821">
        <v>4.6323503429999997</v>
      </c>
      <c r="H836" s="822">
        <v>1119922107.4453199</v>
      </c>
      <c r="I836" s="819">
        <v>0.62</v>
      </c>
      <c r="J836" s="820">
        <v>-2.5411875E-2</v>
      </c>
      <c r="K836" s="819">
        <f t="shared" si="176"/>
        <v>205</v>
      </c>
      <c r="L836" s="819">
        <f t="shared" si="177"/>
        <v>405</v>
      </c>
      <c r="M836" s="819">
        <f t="shared" ref="M836:M899" si="187">IFERROR(_xlfn.RANK.EQ(H836,H$3:H$1787),"N/A")</f>
        <v>205</v>
      </c>
      <c r="N836" s="819">
        <f t="shared" ref="N836:N899" si="188">IFERROR(_xlfn.RANK.EQ(I836,I$3:I$1787),"N/A")</f>
        <v>159</v>
      </c>
      <c r="O836" s="819">
        <f t="shared" ref="O836:O899" si="189">IFERROR(_xlfn.RANK.EQ(J836,J$3:J$1787),"N/A")</f>
        <v>1705</v>
      </c>
      <c r="P836" s="819">
        <f t="shared" si="178"/>
        <v>1193</v>
      </c>
      <c r="Q836" s="819">
        <f t="shared" si="179"/>
        <v>18</v>
      </c>
      <c r="R836" s="819">
        <f t="shared" si="180"/>
        <v>123</v>
      </c>
      <c r="S836" s="819">
        <f t="shared" si="181"/>
        <v>133</v>
      </c>
      <c r="T836" s="819">
        <f t="shared" si="182"/>
        <v>1683</v>
      </c>
      <c r="U836" s="819">
        <f t="shared" si="183"/>
        <v>3150</v>
      </c>
      <c r="V836" s="819">
        <f t="shared" si="184"/>
        <v>1124</v>
      </c>
      <c r="W836" s="379">
        <f t="shared" si="185"/>
        <v>1124</v>
      </c>
      <c r="X836" s="819" t="str">
        <f t="shared" si="186"/>
        <v/>
      </c>
      <c r="Y836" s="837"/>
      <c r="Z836" s="839"/>
      <c r="AA836" s="838"/>
      <c r="AB836" s="839"/>
    </row>
    <row r="837" spans="1:28" ht="14.45">
      <c r="A837" s="816"/>
      <c r="B837" s="819" t="s">
        <v>2086</v>
      </c>
      <c r="C837" s="819" t="s">
        <v>2087</v>
      </c>
      <c r="D837" s="379" t="s">
        <v>336</v>
      </c>
      <c r="E837" s="818" t="s">
        <v>941</v>
      </c>
      <c r="F837" s="820"/>
      <c r="G837" s="821"/>
      <c r="H837" s="822">
        <v>248729612.2773</v>
      </c>
      <c r="I837" s="819"/>
      <c r="J837" s="820">
        <v>0</v>
      </c>
      <c r="K837" s="819">
        <f t="shared" ref="K837:K900" si="190">IFERROR(_xlfn.RANK.EQ(H837,H$3:H$1787),"N/A")</f>
        <v>516</v>
      </c>
      <c r="L837" s="819">
        <f t="shared" ref="L837:L900" si="191">IFERROR(_xlfn.RANK.EQ(G837,G$3:G$1787),"N/A")</f>
        <v>1084</v>
      </c>
      <c r="M837" s="819">
        <f t="shared" si="187"/>
        <v>516</v>
      </c>
      <c r="N837" s="819">
        <f t="shared" si="188"/>
        <v>364</v>
      </c>
      <c r="O837" s="819">
        <f t="shared" si="189"/>
        <v>492</v>
      </c>
      <c r="P837" s="819">
        <f t="shared" ref="P837:P900" si="192">IFERROR(ABS(K$3-K837),"N/A")</f>
        <v>882</v>
      </c>
      <c r="Q837" s="819">
        <f t="shared" ref="Q837:Q900" si="193">IFERROR(ABS(L$3-L837),"N/A")</f>
        <v>661</v>
      </c>
      <c r="R837" s="819">
        <f t="shared" ref="R837:R900" si="194">IFERROR(ABS(M$3-M837),"N/A")</f>
        <v>434</v>
      </c>
      <c r="S837" s="819">
        <f t="shared" ref="S837:S900" si="195">IFERROR(ABS(N$3-N837),"N/A")</f>
        <v>338</v>
      </c>
      <c r="T837" s="819">
        <f t="shared" ref="T837:T900" si="196">IFERROR(ABS(O$3-O837),"N/A")</f>
        <v>470</v>
      </c>
      <c r="U837" s="819">
        <f t="shared" ref="U837:U900" si="197">SUM(P837:T837)</f>
        <v>2785</v>
      </c>
      <c r="V837" s="819">
        <f t="shared" ref="V837:V900" si="198">_xlfn.RANK.EQ(U837,$U$4:$U$1787,1)</f>
        <v>463</v>
      </c>
      <c r="W837" s="379">
        <f t="shared" ref="W837:W900" si="199">IF(Y837="Not suitable","-",V837)</f>
        <v>463</v>
      </c>
      <c r="X837" s="819" t="str">
        <f t="shared" si="186"/>
        <v/>
      </c>
      <c r="Y837" s="837"/>
      <c r="Z837" s="839"/>
      <c r="AA837" s="838"/>
      <c r="AB837" s="839"/>
    </row>
    <row r="838" spans="1:28" ht="13.15">
      <c r="B838" s="819" t="s">
        <v>2088</v>
      </c>
      <c r="C838" s="819" t="s">
        <v>2089</v>
      </c>
      <c r="D838" s="379" t="s">
        <v>336</v>
      </c>
      <c r="E838" s="818" t="s">
        <v>887</v>
      </c>
      <c r="F838" s="820"/>
      <c r="G838" s="821"/>
      <c r="H838" s="822">
        <v>14931740614.334499</v>
      </c>
      <c r="I838" s="819"/>
      <c r="J838" s="820">
        <v>0</v>
      </c>
      <c r="K838" s="819">
        <f t="shared" si="190"/>
        <v>23</v>
      </c>
      <c r="L838" s="819">
        <f t="shared" si="191"/>
        <v>1084</v>
      </c>
      <c r="M838" s="819">
        <f t="shared" si="187"/>
        <v>23</v>
      </c>
      <c r="N838" s="819">
        <f t="shared" si="188"/>
        <v>364</v>
      </c>
      <c r="O838" s="819">
        <f t="shared" si="189"/>
        <v>492</v>
      </c>
      <c r="P838" s="819">
        <f t="shared" si="192"/>
        <v>1375</v>
      </c>
      <c r="Q838" s="819">
        <f t="shared" si="193"/>
        <v>661</v>
      </c>
      <c r="R838" s="819">
        <f t="shared" si="194"/>
        <v>59</v>
      </c>
      <c r="S838" s="819">
        <f t="shared" si="195"/>
        <v>338</v>
      </c>
      <c r="T838" s="819">
        <f t="shared" si="196"/>
        <v>470</v>
      </c>
      <c r="U838" s="819">
        <f t="shared" si="197"/>
        <v>2903</v>
      </c>
      <c r="V838" s="819">
        <f t="shared" si="198"/>
        <v>807</v>
      </c>
      <c r="W838" s="379">
        <f t="shared" si="199"/>
        <v>807</v>
      </c>
      <c r="X838" s="819" t="str">
        <f t="shared" ref="X838:X901" si="200">IF(L838="N/A","Y","")</f>
        <v/>
      </c>
      <c r="Y838" s="837"/>
      <c r="Z838" s="839"/>
      <c r="AA838" s="838"/>
      <c r="AB838" s="839"/>
    </row>
    <row r="839" spans="1:28" ht="14.45">
      <c r="A839" s="816"/>
      <c r="B839" s="819" t="s">
        <v>2090</v>
      </c>
      <c r="C839" s="819" t="s">
        <v>2091</v>
      </c>
      <c r="D839" s="379" t="s">
        <v>336</v>
      </c>
      <c r="E839" s="818" t="s">
        <v>1826</v>
      </c>
      <c r="F839" s="820"/>
      <c r="G839" s="821"/>
      <c r="H839" s="822">
        <v>9729806.2444784399</v>
      </c>
      <c r="I839" s="819"/>
      <c r="J839" s="820">
        <v>0</v>
      </c>
      <c r="K839" s="819">
        <f t="shared" si="190"/>
        <v>1258</v>
      </c>
      <c r="L839" s="819">
        <f t="shared" si="191"/>
        <v>1084</v>
      </c>
      <c r="M839" s="819">
        <f t="shared" si="187"/>
        <v>1258</v>
      </c>
      <c r="N839" s="819">
        <f t="shared" si="188"/>
        <v>364</v>
      </c>
      <c r="O839" s="819">
        <f t="shared" si="189"/>
        <v>492</v>
      </c>
      <c r="P839" s="819">
        <f t="shared" si="192"/>
        <v>140</v>
      </c>
      <c r="Q839" s="819">
        <f t="shared" si="193"/>
        <v>661</v>
      </c>
      <c r="R839" s="819">
        <f t="shared" si="194"/>
        <v>1176</v>
      </c>
      <c r="S839" s="819">
        <f t="shared" si="195"/>
        <v>338</v>
      </c>
      <c r="T839" s="819">
        <f t="shared" si="196"/>
        <v>470</v>
      </c>
      <c r="U839" s="819">
        <f t="shared" si="197"/>
        <v>2785</v>
      </c>
      <c r="V839" s="819">
        <f t="shared" si="198"/>
        <v>463</v>
      </c>
      <c r="W839" s="379">
        <f t="shared" si="199"/>
        <v>463</v>
      </c>
      <c r="X839" s="819" t="str">
        <f t="shared" si="200"/>
        <v/>
      </c>
      <c r="Y839" s="837"/>
      <c r="Z839" s="839"/>
      <c r="AA839" s="838"/>
      <c r="AB839" s="839"/>
    </row>
    <row r="840" spans="1:28" ht="13.15">
      <c r="B840" s="819" t="s">
        <v>2092</v>
      </c>
      <c r="C840" s="819" t="s">
        <v>2093</v>
      </c>
      <c r="D840" s="379" t="s">
        <v>336</v>
      </c>
      <c r="E840" s="818" t="s">
        <v>1826</v>
      </c>
      <c r="F840" s="820"/>
      <c r="G840" s="821"/>
      <c r="H840" s="822">
        <v>1460541.85179599</v>
      </c>
      <c r="I840" s="819"/>
      <c r="J840" s="820">
        <v>0</v>
      </c>
      <c r="K840" s="819">
        <f t="shared" si="190"/>
        <v>1531</v>
      </c>
      <c r="L840" s="819">
        <f t="shared" si="191"/>
        <v>1084</v>
      </c>
      <c r="M840" s="819">
        <f t="shared" si="187"/>
        <v>1531</v>
      </c>
      <c r="N840" s="819">
        <f t="shared" si="188"/>
        <v>364</v>
      </c>
      <c r="O840" s="819">
        <f t="shared" si="189"/>
        <v>492</v>
      </c>
      <c r="P840" s="819">
        <f t="shared" si="192"/>
        <v>133</v>
      </c>
      <c r="Q840" s="819">
        <f t="shared" si="193"/>
        <v>661</v>
      </c>
      <c r="R840" s="819">
        <f t="shared" si="194"/>
        <v>1449</v>
      </c>
      <c r="S840" s="819">
        <f t="shared" si="195"/>
        <v>338</v>
      </c>
      <c r="T840" s="819">
        <f t="shared" si="196"/>
        <v>470</v>
      </c>
      <c r="U840" s="819">
        <f t="shared" si="197"/>
        <v>3051</v>
      </c>
      <c r="V840" s="819">
        <f t="shared" si="198"/>
        <v>996</v>
      </c>
      <c r="W840" s="379">
        <f t="shared" si="199"/>
        <v>996</v>
      </c>
      <c r="X840" s="819" t="str">
        <f t="shared" si="200"/>
        <v/>
      </c>
      <c r="Y840" s="837"/>
      <c r="Z840" s="839"/>
      <c r="AA840" s="838"/>
      <c r="AB840" s="839"/>
    </row>
    <row r="841" spans="1:28" ht="14.45">
      <c r="A841" s="816"/>
      <c r="B841" s="819" t="s">
        <v>2094</v>
      </c>
      <c r="C841" s="819" t="s">
        <v>2095</v>
      </c>
      <c r="D841" s="379" t="s">
        <v>336</v>
      </c>
      <c r="E841" s="818" t="s">
        <v>1826</v>
      </c>
      <c r="F841" s="820"/>
      <c r="G841" s="821"/>
      <c r="H841" s="822">
        <v>9837426.1996595506</v>
      </c>
      <c r="I841" s="819"/>
      <c r="J841" s="820">
        <v>0</v>
      </c>
      <c r="K841" s="819">
        <f t="shared" si="190"/>
        <v>1257</v>
      </c>
      <c r="L841" s="819">
        <f t="shared" si="191"/>
        <v>1084</v>
      </c>
      <c r="M841" s="819">
        <f t="shared" si="187"/>
        <v>1257</v>
      </c>
      <c r="N841" s="819">
        <f t="shared" si="188"/>
        <v>364</v>
      </c>
      <c r="O841" s="819">
        <f t="shared" si="189"/>
        <v>492</v>
      </c>
      <c r="P841" s="819">
        <f t="shared" si="192"/>
        <v>141</v>
      </c>
      <c r="Q841" s="819">
        <f t="shared" si="193"/>
        <v>661</v>
      </c>
      <c r="R841" s="819">
        <f t="shared" si="194"/>
        <v>1175</v>
      </c>
      <c r="S841" s="819">
        <f t="shared" si="195"/>
        <v>338</v>
      </c>
      <c r="T841" s="819">
        <f t="shared" si="196"/>
        <v>470</v>
      </c>
      <c r="U841" s="819">
        <f t="shared" si="197"/>
        <v>2785</v>
      </c>
      <c r="V841" s="819">
        <f t="shared" si="198"/>
        <v>463</v>
      </c>
      <c r="W841" s="379">
        <f t="shared" si="199"/>
        <v>463</v>
      </c>
      <c r="X841" s="819" t="str">
        <f t="shared" si="200"/>
        <v/>
      </c>
      <c r="Y841" s="837"/>
      <c r="Z841" s="839"/>
      <c r="AA841" s="838"/>
      <c r="AB841" s="839"/>
    </row>
    <row r="842" spans="1:28" ht="13.15">
      <c r="B842" s="819" t="s">
        <v>2096</v>
      </c>
      <c r="C842" s="819" t="s">
        <v>2097</v>
      </c>
      <c r="D842" s="379" t="s">
        <v>336</v>
      </c>
      <c r="E842" s="818" t="s">
        <v>1826</v>
      </c>
      <c r="F842" s="820">
        <v>-1.562579798</v>
      </c>
      <c r="G842" s="821">
        <v>-2.9335105700000002</v>
      </c>
      <c r="H842" s="822">
        <v>1218545.2132129499</v>
      </c>
      <c r="I842" s="819"/>
      <c r="J842" s="820">
        <v>1.0329E-4</v>
      </c>
      <c r="K842" s="819">
        <f t="shared" si="190"/>
        <v>1543</v>
      </c>
      <c r="L842" s="819">
        <f t="shared" si="191"/>
        <v>1369</v>
      </c>
      <c r="M842" s="819">
        <f t="shared" si="187"/>
        <v>1543</v>
      </c>
      <c r="N842" s="819">
        <f t="shared" si="188"/>
        <v>364</v>
      </c>
      <c r="O842" s="819">
        <f t="shared" si="189"/>
        <v>297</v>
      </c>
      <c r="P842" s="819">
        <f t="shared" si="192"/>
        <v>145</v>
      </c>
      <c r="Q842" s="819">
        <f t="shared" si="193"/>
        <v>946</v>
      </c>
      <c r="R842" s="819">
        <f t="shared" si="194"/>
        <v>1461</v>
      </c>
      <c r="S842" s="819">
        <f t="shared" si="195"/>
        <v>338</v>
      </c>
      <c r="T842" s="819">
        <f t="shared" si="196"/>
        <v>275</v>
      </c>
      <c r="U842" s="819">
        <f t="shared" si="197"/>
        <v>3165</v>
      </c>
      <c r="V842" s="819">
        <f t="shared" si="198"/>
        <v>1147</v>
      </c>
      <c r="W842" s="379">
        <f t="shared" si="199"/>
        <v>1147</v>
      </c>
      <c r="X842" s="819" t="str">
        <f t="shared" si="200"/>
        <v/>
      </c>
      <c r="Y842" s="837"/>
      <c r="Z842" s="839"/>
      <c r="AA842" s="838"/>
      <c r="AB842" s="839"/>
    </row>
    <row r="843" spans="1:28" ht="14.45">
      <c r="A843" s="816"/>
      <c r="B843" s="819" t="s">
        <v>2098</v>
      </c>
      <c r="C843" s="819" t="s">
        <v>2099</v>
      </c>
      <c r="D843" s="379" t="s">
        <v>336</v>
      </c>
      <c r="E843" s="818" t="s">
        <v>1826</v>
      </c>
      <c r="F843" s="820">
        <v>0.32157137699999999</v>
      </c>
      <c r="G843" s="821">
        <v>0</v>
      </c>
      <c r="H843" s="822">
        <v>3993119.2656596801</v>
      </c>
      <c r="I843" s="819"/>
      <c r="J843" s="820">
        <v>1.24501E-6</v>
      </c>
      <c r="K843" s="819">
        <f t="shared" si="190"/>
        <v>1406</v>
      </c>
      <c r="L843" s="819">
        <f t="shared" si="191"/>
        <v>1084</v>
      </c>
      <c r="M843" s="819">
        <f t="shared" si="187"/>
        <v>1406</v>
      </c>
      <c r="N843" s="819">
        <f t="shared" si="188"/>
        <v>364</v>
      </c>
      <c r="O843" s="819">
        <f t="shared" si="189"/>
        <v>477</v>
      </c>
      <c r="P843" s="819">
        <f t="shared" si="192"/>
        <v>8</v>
      </c>
      <c r="Q843" s="819">
        <f t="shared" si="193"/>
        <v>661</v>
      </c>
      <c r="R843" s="819">
        <f t="shared" si="194"/>
        <v>1324</v>
      </c>
      <c r="S843" s="819">
        <f t="shared" si="195"/>
        <v>338</v>
      </c>
      <c r="T843" s="819">
        <f t="shared" si="196"/>
        <v>455</v>
      </c>
      <c r="U843" s="819">
        <f t="shared" si="197"/>
        <v>2786</v>
      </c>
      <c r="V843" s="819">
        <f t="shared" si="198"/>
        <v>602</v>
      </c>
      <c r="W843" s="379">
        <f t="shared" si="199"/>
        <v>602</v>
      </c>
      <c r="X843" s="819" t="str">
        <f t="shared" si="200"/>
        <v/>
      </c>
      <c r="Y843" s="837"/>
      <c r="Z843" s="839"/>
      <c r="AA843" s="838"/>
      <c r="AB843" s="839"/>
    </row>
    <row r="844" spans="1:28" ht="13.15">
      <c r="B844" s="819" t="s">
        <v>2100</v>
      </c>
      <c r="C844" s="819" t="s">
        <v>2101</v>
      </c>
      <c r="D844" s="379" t="s">
        <v>336</v>
      </c>
      <c r="E844" s="818" t="s">
        <v>460</v>
      </c>
      <c r="F844" s="820">
        <v>0.101465496</v>
      </c>
      <c r="G844" s="821">
        <v>0</v>
      </c>
      <c r="H844" s="822"/>
      <c r="I844" s="819"/>
      <c r="J844" s="820">
        <v>1.8641600000000001E-5</v>
      </c>
      <c r="K844" s="819" t="str">
        <f t="shared" si="190"/>
        <v>N/A</v>
      </c>
      <c r="L844" s="819">
        <f t="shared" si="191"/>
        <v>1084</v>
      </c>
      <c r="M844" s="819" t="str">
        <f t="shared" si="187"/>
        <v>N/A</v>
      </c>
      <c r="N844" s="819">
        <f t="shared" si="188"/>
        <v>364</v>
      </c>
      <c r="O844" s="819">
        <f t="shared" si="189"/>
        <v>406</v>
      </c>
      <c r="P844" s="819" t="str">
        <f t="shared" si="192"/>
        <v>N/A</v>
      </c>
      <c r="Q844" s="819">
        <f t="shared" si="193"/>
        <v>661</v>
      </c>
      <c r="R844" s="819" t="str">
        <f t="shared" si="194"/>
        <v>N/A</v>
      </c>
      <c r="S844" s="819">
        <f t="shared" si="195"/>
        <v>338</v>
      </c>
      <c r="T844" s="819">
        <f t="shared" si="196"/>
        <v>384</v>
      </c>
      <c r="U844" s="819">
        <f t="shared" si="197"/>
        <v>1383</v>
      </c>
      <c r="V844" s="819">
        <f t="shared" si="198"/>
        <v>7</v>
      </c>
      <c r="W844" s="379">
        <f t="shared" si="199"/>
        <v>7</v>
      </c>
      <c r="X844" s="819" t="str">
        <f t="shared" si="200"/>
        <v/>
      </c>
      <c r="Y844" s="837"/>
      <c r="Z844" s="839"/>
      <c r="AA844" s="838"/>
      <c r="AB844" s="839"/>
    </row>
    <row r="845" spans="1:28" ht="14.45">
      <c r="A845" s="816"/>
      <c r="B845" s="819" t="s">
        <v>2102</v>
      </c>
      <c r="C845" s="819" t="s">
        <v>2103</v>
      </c>
      <c r="D845" s="379" t="s">
        <v>336</v>
      </c>
      <c r="E845" s="818" t="s">
        <v>460</v>
      </c>
      <c r="F845" s="820"/>
      <c r="G845" s="821"/>
      <c r="H845" s="822">
        <v>483414.78995625302</v>
      </c>
      <c r="I845" s="819"/>
      <c r="J845" s="820">
        <v>0</v>
      </c>
      <c r="K845" s="819">
        <f t="shared" si="190"/>
        <v>1603</v>
      </c>
      <c r="L845" s="819">
        <f t="shared" si="191"/>
        <v>1084</v>
      </c>
      <c r="M845" s="819">
        <f t="shared" si="187"/>
        <v>1603</v>
      </c>
      <c r="N845" s="819">
        <f t="shared" si="188"/>
        <v>364</v>
      </c>
      <c r="O845" s="819">
        <f t="shared" si="189"/>
        <v>492</v>
      </c>
      <c r="P845" s="819">
        <f t="shared" si="192"/>
        <v>205</v>
      </c>
      <c r="Q845" s="819">
        <f t="shared" si="193"/>
        <v>661</v>
      </c>
      <c r="R845" s="819">
        <f t="shared" si="194"/>
        <v>1521</v>
      </c>
      <c r="S845" s="819">
        <f t="shared" si="195"/>
        <v>338</v>
      </c>
      <c r="T845" s="819">
        <f t="shared" si="196"/>
        <v>470</v>
      </c>
      <c r="U845" s="819">
        <f t="shared" si="197"/>
        <v>3195</v>
      </c>
      <c r="V845" s="819">
        <f t="shared" si="198"/>
        <v>1188</v>
      </c>
      <c r="W845" s="379">
        <f t="shared" si="199"/>
        <v>1188</v>
      </c>
      <c r="X845" s="819" t="str">
        <f t="shared" si="200"/>
        <v/>
      </c>
      <c r="Y845" s="837"/>
      <c r="Z845" s="839"/>
      <c r="AA845" s="838"/>
      <c r="AB845" s="839"/>
    </row>
    <row r="846" spans="1:28" ht="13.15">
      <c r="B846" s="819" t="s">
        <v>2104</v>
      </c>
      <c r="C846" s="819" t="s">
        <v>2105</v>
      </c>
      <c r="D846" s="379" t="s">
        <v>336</v>
      </c>
      <c r="E846" s="818" t="s">
        <v>460</v>
      </c>
      <c r="F846" s="820"/>
      <c r="G846" s="821"/>
      <c r="H846" s="822">
        <v>28376196.7040211</v>
      </c>
      <c r="I846" s="819"/>
      <c r="J846" s="820">
        <v>0</v>
      </c>
      <c r="K846" s="819">
        <f t="shared" si="190"/>
        <v>1017</v>
      </c>
      <c r="L846" s="819">
        <f t="shared" si="191"/>
        <v>1084</v>
      </c>
      <c r="M846" s="819">
        <f t="shared" si="187"/>
        <v>1017</v>
      </c>
      <c r="N846" s="819">
        <f t="shared" si="188"/>
        <v>364</v>
      </c>
      <c r="O846" s="819">
        <f t="shared" si="189"/>
        <v>492</v>
      </c>
      <c r="P846" s="819">
        <f t="shared" si="192"/>
        <v>381</v>
      </c>
      <c r="Q846" s="819">
        <f t="shared" si="193"/>
        <v>661</v>
      </c>
      <c r="R846" s="819">
        <f t="shared" si="194"/>
        <v>935</v>
      </c>
      <c r="S846" s="819">
        <f t="shared" si="195"/>
        <v>338</v>
      </c>
      <c r="T846" s="819">
        <f t="shared" si="196"/>
        <v>470</v>
      </c>
      <c r="U846" s="819">
        <f t="shared" si="197"/>
        <v>2785</v>
      </c>
      <c r="V846" s="819">
        <f t="shared" si="198"/>
        <v>463</v>
      </c>
      <c r="W846" s="379">
        <f t="shared" si="199"/>
        <v>463</v>
      </c>
      <c r="X846" s="819" t="str">
        <f t="shared" si="200"/>
        <v/>
      </c>
      <c r="Y846" s="837"/>
      <c r="Z846" s="839"/>
      <c r="AA846" s="838"/>
      <c r="AB846" s="839"/>
    </row>
    <row r="847" spans="1:28" ht="14.45">
      <c r="A847" s="816"/>
      <c r="B847" s="819" t="s">
        <v>2106</v>
      </c>
      <c r="C847" s="819" t="s">
        <v>2107</v>
      </c>
      <c r="D847" s="379" t="s">
        <v>336</v>
      </c>
      <c r="E847" s="818" t="s">
        <v>460</v>
      </c>
      <c r="F847" s="820"/>
      <c r="G847" s="821"/>
      <c r="H847" s="822">
        <v>775431.89309042995</v>
      </c>
      <c r="I847" s="819"/>
      <c r="J847" s="820">
        <v>0</v>
      </c>
      <c r="K847" s="819">
        <f t="shared" si="190"/>
        <v>1576</v>
      </c>
      <c r="L847" s="819">
        <f t="shared" si="191"/>
        <v>1084</v>
      </c>
      <c r="M847" s="819">
        <f t="shared" si="187"/>
        <v>1576</v>
      </c>
      <c r="N847" s="819">
        <f t="shared" si="188"/>
        <v>364</v>
      </c>
      <c r="O847" s="819">
        <f t="shared" si="189"/>
        <v>492</v>
      </c>
      <c r="P847" s="819">
        <f t="shared" si="192"/>
        <v>178</v>
      </c>
      <c r="Q847" s="819">
        <f t="shared" si="193"/>
        <v>661</v>
      </c>
      <c r="R847" s="819">
        <f t="shared" si="194"/>
        <v>1494</v>
      </c>
      <c r="S847" s="819">
        <f t="shared" si="195"/>
        <v>338</v>
      </c>
      <c r="T847" s="819">
        <f t="shared" si="196"/>
        <v>470</v>
      </c>
      <c r="U847" s="819">
        <f t="shared" si="197"/>
        <v>3141</v>
      </c>
      <c r="V847" s="819">
        <f t="shared" si="198"/>
        <v>1111</v>
      </c>
      <c r="W847" s="379">
        <f t="shared" si="199"/>
        <v>1111</v>
      </c>
      <c r="X847" s="819" t="str">
        <f t="shared" si="200"/>
        <v/>
      </c>
      <c r="Y847" s="837"/>
      <c r="Z847" s="839"/>
      <c r="AA847" s="838"/>
      <c r="AB847" s="839"/>
    </row>
    <row r="848" spans="1:28" ht="13.15">
      <c r="B848" s="819" t="s">
        <v>2108</v>
      </c>
      <c r="C848" s="819" t="s">
        <v>2109</v>
      </c>
      <c r="D848" s="379" t="s">
        <v>336</v>
      </c>
      <c r="E848" s="818" t="s">
        <v>460</v>
      </c>
      <c r="F848" s="820">
        <v>-1.0192370000000001E-3</v>
      </c>
      <c r="G848" s="821">
        <v>-11.875626370000001</v>
      </c>
      <c r="H848" s="822"/>
      <c r="I848" s="819"/>
      <c r="J848" s="820">
        <v>3.6252699999999999E-6</v>
      </c>
      <c r="K848" s="819" t="str">
        <f t="shared" si="190"/>
        <v>N/A</v>
      </c>
      <c r="L848" s="819">
        <f t="shared" si="191"/>
        <v>1459</v>
      </c>
      <c r="M848" s="819" t="str">
        <f t="shared" si="187"/>
        <v>N/A</v>
      </c>
      <c r="N848" s="819">
        <f t="shared" si="188"/>
        <v>364</v>
      </c>
      <c r="O848" s="819">
        <f t="shared" si="189"/>
        <v>454</v>
      </c>
      <c r="P848" s="819" t="str">
        <f t="shared" si="192"/>
        <v>N/A</v>
      </c>
      <c r="Q848" s="819">
        <f t="shared" si="193"/>
        <v>1036</v>
      </c>
      <c r="R848" s="819" t="str">
        <f t="shared" si="194"/>
        <v>N/A</v>
      </c>
      <c r="S848" s="819">
        <f t="shared" si="195"/>
        <v>338</v>
      </c>
      <c r="T848" s="819">
        <f t="shared" si="196"/>
        <v>432</v>
      </c>
      <c r="U848" s="819">
        <f t="shared" si="197"/>
        <v>1806</v>
      </c>
      <c r="V848" s="819">
        <f t="shared" si="198"/>
        <v>115</v>
      </c>
      <c r="W848" s="379">
        <f t="shared" si="199"/>
        <v>115</v>
      </c>
      <c r="X848" s="819" t="str">
        <f t="shared" si="200"/>
        <v/>
      </c>
      <c r="Y848" s="837"/>
      <c r="Z848" s="839"/>
      <c r="AA848" s="838"/>
      <c r="AB848" s="839"/>
    </row>
    <row r="849" spans="1:28" ht="14.45">
      <c r="A849" s="816"/>
      <c r="B849" s="819" t="s">
        <v>2110</v>
      </c>
      <c r="C849" s="819" t="s">
        <v>2111</v>
      </c>
      <c r="D849" s="379" t="s">
        <v>336</v>
      </c>
      <c r="E849" s="818" t="s">
        <v>460</v>
      </c>
      <c r="F849" s="820">
        <v>-2.03022437</v>
      </c>
      <c r="G849" s="821">
        <v>-3.1313198020000002</v>
      </c>
      <c r="H849" s="822"/>
      <c r="I849" s="819"/>
      <c r="J849" s="820">
        <v>7.5311900000000001E-4</v>
      </c>
      <c r="K849" s="819" t="str">
        <f t="shared" si="190"/>
        <v>N/A</v>
      </c>
      <c r="L849" s="819">
        <f t="shared" si="191"/>
        <v>1374</v>
      </c>
      <c r="M849" s="819" t="str">
        <f t="shared" si="187"/>
        <v>N/A</v>
      </c>
      <c r="N849" s="819">
        <f t="shared" si="188"/>
        <v>364</v>
      </c>
      <c r="O849" s="819">
        <f t="shared" si="189"/>
        <v>191</v>
      </c>
      <c r="P849" s="819" t="str">
        <f t="shared" si="192"/>
        <v>N/A</v>
      </c>
      <c r="Q849" s="819">
        <f t="shared" si="193"/>
        <v>951</v>
      </c>
      <c r="R849" s="819" t="str">
        <f t="shared" si="194"/>
        <v>N/A</v>
      </c>
      <c r="S849" s="819">
        <f t="shared" si="195"/>
        <v>338</v>
      </c>
      <c r="T849" s="819">
        <f t="shared" si="196"/>
        <v>169</v>
      </c>
      <c r="U849" s="819">
        <f t="shared" si="197"/>
        <v>1458</v>
      </c>
      <c r="V849" s="819">
        <f t="shared" si="198"/>
        <v>20</v>
      </c>
      <c r="W849" s="379">
        <f t="shared" si="199"/>
        <v>20</v>
      </c>
      <c r="X849" s="819" t="str">
        <f t="shared" si="200"/>
        <v/>
      </c>
      <c r="Y849" s="837"/>
      <c r="Z849" s="839"/>
      <c r="AA849" s="838"/>
      <c r="AB849" s="839"/>
    </row>
    <row r="850" spans="1:28" ht="13.15">
      <c r="B850" s="819" t="s">
        <v>2112</v>
      </c>
      <c r="C850" s="819" t="s">
        <v>2113</v>
      </c>
      <c r="D850" s="379" t="s">
        <v>336</v>
      </c>
      <c r="E850" s="818" t="s">
        <v>1720</v>
      </c>
      <c r="F850" s="820">
        <v>1.085254843</v>
      </c>
      <c r="G850" s="821">
        <v>1.42148919</v>
      </c>
      <c r="H850" s="822"/>
      <c r="I850" s="819"/>
      <c r="J850" s="820">
        <v>-1.0028599999999999E-4</v>
      </c>
      <c r="K850" s="819" t="str">
        <f t="shared" si="190"/>
        <v>N/A</v>
      </c>
      <c r="L850" s="819">
        <f t="shared" si="191"/>
        <v>751</v>
      </c>
      <c r="M850" s="819" t="str">
        <f t="shared" si="187"/>
        <v>N/A</v>
      </c>
      <c r="N850" s="819">
        <f t="shared" si="188"/>
        <v>364</v>
      </c>
      <c r="O850" s="819">
        <f t="shared" si="189"/>
        <v>1007</v>
      </c>
      <c r="P850" s="819" t="str">
        <f t="shared" si="192"/>
        <v>N/A</v>
      </c>
      <c r="Q850" s="819">
        <f t="shared" si="193"/>
        <v>328</v>
      </c>
      <c r="R850" s="819" t="str">
        <f t="shared" si="194"/>
        <v>N/A</v>
      </c>
      <c r="S850" s="819">
        <f t="shared" si="195"/>
        <v>338</v>
      </c>
      <c r="T850" s="819">
        <f t="shared" si="196"/>
        <v>985</v>
      </c>
      <c r="U850" s="819">
        <f t="shared" si="197"/>
        <v>1651</v>
      </c>
      <c r="V850" s="819">
        <f t="shared" si="198"/>
        <v>81</v>
      </c>
      <c r="W850" s="379">
        <f t="shared" si="199"/>
        <v>81</v>
      </c>
      <c r="X850" s="819" t="str">
        <f t="shared" si="200"/>
        <v/>
      </c>
      <c r="Y850" s="837"/>
      <c r="Z850" s="839"/>
      <c r="AA850" s="838"/>
      <c r="AB850" s="839"/>
    </row>
    <row r="851" spans="1:28" ht="14.45">
      <c r="A851" s="816"/>
      <c r="B851" s="819" t="s">
        <v>2114</v>
      </c>
      <c r="C851" s="819" t="s">
        <v>2115</v>
      </c>
      <c r="D851" s="379" t="s">
        <v>336</v>
      </c>
      <c r="E851" s="818" t="s">
        <v>441</v>
      </c>
      <c r="F851" s="820">
        <v>1.3950590039999999</v>
      </c>
      <c r="G851" s="821">
        <v>0</v>
      </c>
      <c r="H851" s="822">
        <v>37329080.087549798</v>
      </c>
      <c r="I851" s="819"/>
      <c r="J851" s="820">
        <v>3.0328499999999998E-4</v>
      </c>
      <c r="K851" s="819">
        <f t="shared" si="190"/>
        <v>945</v>
      </c>
      <c r="L851" s="819">
        <f t="shared" si="191"/>
        <v>1084</v>
      </c>
      <c r="M851" s="819">
        <f t="shared" si="187"/>
        <v>945</v>
      </c>
      <c r="N851" s="819">
        <f t="shared" si="188"/>
        <v>364</v>
      </c>
      <c r="O851" s="819">
        <f t="shared" si="189"/>
        <v>234</v>
      </c>
      <c r="P851" s="819">
        <f t="shared" si="192"/>
        <v>453</v>
      </c>
      <c r="Q851" s="819">
        <f t="shared" si="193"/>
        <v>661</v>
      </c>
      <c r="R851" s="819">
        <f t="shared" si="194"/>
        <v>863</v>
      </c>
      <c r="S851" s="819">
        <f t="shared" si="195"/>
        <v>338</v>
      </c>
      <c r="T851" s="819">
        <f t="shared" si="196"/>
        <v>212</v>
      </c>
      <c r="U851" s="819">
        <f t="shared" si="197"/>
        <v>2527</v>
      </c>
      <c r="V851" s="819">
        <f t="shared" si="198"/>
        <v>258</v>
      </c>
      <c r="W851" s="379">
        <f t="shared" si="199"/>
        <v>258</v>
      </c>
      <c r="X851" s="819" t="str">
        <f t="shared" si="200"/>
        <v/>
      </c>
      <c r="Y851" s="837"/>
      <c r="Z851" s="839"/>
      <c r="AA851" s="838"/>
      <c r="AB851" s="839"/>
    </row>
    <row r="852" spans="1:28" ht="13.15">
      <c r="B852" s="819" t="s">
        <v>2116</v>
      </c>
      <c r="C852" s="819" t="s">
        <v>2117</v>
      </c>
      <c r="D852" s="379" t="s">
        <v>336</v>
      </c>
      <c r="E852" s="818" t="s">
        <v>1832</v>
      </c>
      <c r="F852" s="820"/>
      <c r="G852" s="821"/>
      <c r="H852" s="822">
        <v>16002968.3536826</v>
      </c>
      <c r="I852" s="819"/>
      <c r="J852" s="820">
        <v>0</v>
      </c>
      <c r="K852" s="819">
        <f t="shared" si="190"/>
        <v>1150</v>
      </c>
      <c r="L852" s="819">
        <f t="shared" si="191"/>
        <v>1084</v>
      </c>
      <c r="M852" s="819">
        <f t="shared" si="187"/>
        <v>1150</v>
      </c>
      <c r="N852" s="819">
        <f t="shared" si="188"/>
        <v>364</v>
      </c>
      <c r="O852" s="819">
        <f t="shared" si="189"/>
        <v>492</v>
      </c>
      <c r="P852" s="819">
        <f t="shared" si="192"/>
        <v>248</v>
      </c>
      <c r="Q852" s="819">
        <f t="shared" si="193"/>
        <v>661</v>
      </c>
      <c r="R852" s="819">
        <f t="shared" si="194"/>
        <v>1068</v>
      </c>
      <c r="S852" s="819">
        <f t="shared" si="195"/>
        <v>338</v>
      </c>
      <c r="T852" s="819">
        <f t="shared" si="196"/>
        <v>470</v>
      </c>
      <c r="U852" s="819">
        <f t="shared" si="197"/>
        <v>2785</v>
      </c>
      <c r="V852" s="819">
        <f t="shared" si="198"/>
        <v>463</v>
      </c>
      <c r="W852" s="379">
        <f t="shared" si="199"/>
        <v>463</v>
      </c>
      <c r="X852" s="819" t="str">
        <f t="shared" si="200"/>
        <v/>
      </c>
      <c r="Y852" s="837"/>
      <c r="Z852" s="839"/>
      <c r="AA852" s="838"/>
      <c r="AB852" s="839"/>
    </row>
    <row r="853" spans="1:28" ht="14.45">
      <c r="A853" s="816"/>
      <c r="B853" s="819" t="s">
        <v>2118</v>
      </c>
      <c r="C853" s="819" t="s">
        <v>2119</v>
      </c>
      <c r="D853" s="379" t="s">
        <v>336</v>
      </c>
      <c r="E853" s="818" t="s">
        <v>337</v>
      </c>
      <c r="F853" s="820">
        <v>0.72041576299999999</v>
      </c>
      <c r="G853" s="821">
        <v>-1.52889666</v>
      </c>
      <c r="H853" s="822">
        <v>13709983.085999999</v>
      </c>
      <c r="I853" s="819"/>
      <c r="J853" s="820">
        <v>6.6621300000000005E-5</v>
      </c>
      <c r="K853" s="819">
        <f t="shared" si="190"/>
        <v>1185</v>
      </c>
      <c r="L853" s="819">
        <f t="shared" si="191"/>
        <v>1325</v>
      </c>
      <c r="M853" s="819">
        <f t="shared" si="187"/>
        <v>1185</v>
      </c>
      <c r="N853" s="819">
        <f t="shared" si="188"/>
        <v>364</v>
      </c>
      <c r="O853" s="819">
        <f t="shared" si="189"/>
        <v>323</v>
      </c>
      <c r="P853" s="819">
        <f t="shared" si="192"/>
        <v>213</v>
      </c>
      <c r="Q853" s="819">
        <f t="shared" si="193"/>
        <v>902</v>
      </c>
      <c r="R853" s="819">
        <f t="shared" si="194"/>
        <v>1103</v>
      </c>
      <c r="S853" s="819">
        <f t="shared" si="195"/>
        <v>338</v>
      </c>
      <c r="T853" s="819">
        <f t="shared" si="196"/>
        <v>301</v>
      </c>
      <c r="U853" s="819">
        <f t="shared" si="197"/>
        <v>2857</v>
      </c>
      <c r="V853" s="819">
        <f t="shared" si="198"/>
        <v>736</v>
      </c>
      <c r="W853" s="379">
        <f t="shared" si="199"/>
        <v>736</v>
      </c>
      <c r="X853" s="819" t="str">
        <f t="shared" si="200"/>
        <v/>
      </c>
      <c r="Y853" s="837"/>
      <c r="Z853" s="839"/>
      <c r="AA853" s="838"/>
      <c r="AB853" s="839"/>
    </row>
    <row r="854" spans="1:28" ht="13.15">
      <c r="B854" s="819" t="s">
        <v>2120</v>
      </c>
      <c r="C854" s="819" t="s">
        <v>2121</v>
      </c>
      <c r="D854" s="379" t="s">
        <v>336</v>
      </c>
      <c r="E854" s="818" t="s">
        <v>481</v>
      </c>
      <c r="F854" s="820">
        <v>1.7969893589999999</v>
      </c>
      <c r="G854" s="821">
        <v>17.45306072</v>
      </c>
      <c r="H854" s="822"/>
      <c r="I854" s="819"/>
      <c r="J854" s="820">
        <v>-1.2633100000000001E-4</v>
      </c>
      <c r="K854" s="819" t="str">
        <f t="shared" si="190"/>
        <v>N/A</v>
      </c>
      <c r="L854" s="819">
        <f t="shared" si="191"/>
        <v>103</v>
      </c>
      <c r="M854" s="819" t="str">
        <f t="shared" si="187"/>
        <v>N/A</v>
      </c>
      <c r="N854" s="819">
        <f t="shared" si="188"/>
        <v>364</v>
      </c>
      <c r="O854" s="819">
        <f t="shared" si="189"/>
        <v>1033</v>
      </c>
      <c r="P854" s="819" t="str">
        <f t="shared" si="192"/>
        <v>N/A</v>
      </c>
      <c r="Q854" s="819">
        <f t="shared" si="193"/>
        <v>320</v>
      </c>
      <c r="R854" s="819" t="str">
        <f t="shared" si="194"/>
        <v>N/A</v>
      </c>
      <c r="S854" s="819">
        <f t="shared" si="195"/>
        <v>338</v>
      </c>
      <c r="T854" s="819">
        <f t="shared" si="196"/>
        <v>1011</v>
      </c>
      <c r="U854" s="819">
        <f t="shared" si="197"/>
        <v>1669</v>
      </c>
      <c r="V854" s="819">
        <f t="shared" si="198"/>
        <v>83</v>
      </c>
      <c r="W854" s="379">
        <f t="shared" si="199"/>
        <v>83</v>
      </c>
      <c r="X854" s="819" t="str">
        <f t="shared" si="200"/>
        <v/>
      </c>
      <c r="Y854" s="837"/>
      <c r="Z854" s="839"/>
      <c r="AA854" s="838"/>
      <c r="AB854" s="839"/>
    </row>
    <row r="855" spans="1:28" ht="14.45">
      <c r="A855" s="816"/>
      <c r="B855" s="819" t="s">
        <v>2122</v>
      </c>
      <c r="C855" s="819" t="s">
        <v>2123</v>
      </c>
      <c r="D855" s="379" t="s">
        <v>336</v>
      </c>
      <c r="E855" s="818" t="s">
        <v>600</v>
      </c>
      <c r="F855" s="820">
        <v>2.7259162E-2</v>
      </c>
      <c r="G855" s="821">
        <v>-0.285120875</v>
      </c>
      <c r="H855" s="822">
        <v>4451774.8282130901</v>
      </c>
      <c r="I855" s="819"/>
      <c r="J855" s="820">
        <v>1.8835429999999999E-3</v>
      </c>
      <c r="K855" s="819">
        <f t="shared" si="190"/>
        <v>1381</v>
      </c>
      <c r="L855" s="819">
        <f t="shared" si="191"/>
        <v>1253</v>
      </c>
      <c r="M855" s="819">
        <f t="shared" si="187"/>
        <v>1381</v>
      </c>
      <c r="N855" s="819">
        <f t="shared" si="188"/>
        <v>364</v>
      </c>
      <c r="O855" s="819">
        <f t="shared" si="189"/>
        <v>166</v>
      </c>
      <c r="P855" s="819">
        <f t="shared" si="192"/>
        <v>17</v>
      </c>
      <c r="Q855" s="819">
        <f t="shared" si="193"/>
        <v>830</v>
      </c>
      <c r="R855" s="819">
        <f t="shared" si="194"/>
        <v>1299</v>
      </c>
      <c r="S855" s="819">
        <f t="shared" si="195"/>
        <v>338</v>
      </c>
      <c r="T855" s="819">
        <f t="shared" si="196"/>
        <v>144</v>
      </c>
      <c r="U855" s="819">
        <f t="shared" si="197"/>
        <v>2628</v>
      </c>
      <c r="V855" s="819">
        <f t="shared" si="198"/>
        <v>301</v>
      </c>
      <c r="W855" s="379">
        <f t="shared" si="199"/>
        <v>301</v>
      </c>
      <c r="X855" s="819" t="str">
        <f t="shared" si="200"/>
        <v/>
      </c>
      <c r="Y855" s="837"/>
      <c r="Z855" s="839"/>
      <c r="AA855" s="838"/>
      <c r="AB855" s="839"/>
    </row>
    <row r="856" spans="1:28" ht="13.15">
      <c r="B856" s="819" t="s">
        <v>2124</v>
      </c>
      <c r="C856" s="819" t="s">
        <v>2125</v>
      </c>
      <c r="D856" s="379" t="s">
        <v>336</v>
      </c>
      <c r="E856" s="818" t="s">
        <v>1832</v>
      </c>
      <c r="F856" s="820">
        <v>1.9045735690000001</v>
      </c>
      <c r="G856" s="821">
        <v>0.77554273299999998</v>
      </c>
      <c r="H856" s="822">
        <v>32146944.068530899</v>
      </c>
      <c r="I856" s="819">
        <v>0.17</v>
      </c>
      <c r="J856" s="820">
        <v>-1.542256E-2</v>
      </c>
      <c r="K856" s="819">
        <f t="shared" si="190"/>
        <v>984</v>
      </c>
      <c r="L856" s="819">
        <f t="shared" si="191"/>
        <v>855</v>
      </c>
      <c r="M856" s="819">
        <f t="shared" si="187"/>
        <v>984</v>
      </c>
      <c r="N856" s="819">
        <f t="shared" si="188"/>
        <v>224</v>
      </c>
      <c r="O856" s="819">
        <f t="shared" si="189"/>
        <v>1677</v>
      </c>
      <c r="P856" s="819">
        <f t="shared" si="192"/>
        <v>414</v>
      </c>
      <c r="Q856" s="819">
        <f t="shared" si="193"/>
        <v>432</v>
      </c>
      <c r="R856" s="819">
        <f t="shared" si="194"/>
        <v>902</v>
      </c>
      <c r="S856" s="819">
        <f t="shared" si="195"/>
        <v>198</v>
      </c>
      <c r="T856" s="819">
        <f t="shared" si="196"/>
        <v>1655</v>
      </c>
      <c r="U856" s="819">
        <f t="shared" si="197"/>
        <v>3601</v>
      </c>
      <c r="V856" s="819">
        <f t="shared" si="198"/>
        <v>1622</v>
      </c>
      <c r="W856" s="379">
        <f t="shared" si="199"/>
        <v>1622</v>
      </c>
      <c r="X856" s="819" t="str">
        <f t="shared" si="200"/>
        <v/>
      </c>
      <c r="Y856" s="837"/>
      <c r="Z856" s="839"/>
      <c r="AA856" s="838"/>
      <c r="AB856" s="839"/>
    </row>
    <row r="857" spans="1:28" ht="14.45">
      <c r="A857" s="816"/>
      <c r="B857" s="819" t="s">
        <v>2126</v>
      </c>
      <c r="C857" s="819" t="s">
        <v>2127</v>
      </c>
      <c r="D857" s="379" t="s">
        <v>336</v>
      </c>
      <c r="E857" s="818" t="s">
        <v>941</v>
      </c>
      <c r="F857" s="820">
        <v>2.0908105410000002</v>
      </c>
      <c r="G857" s="821">
        <v>7.3167870329999998</v>
      </c>
      <c r="H857" s="822">
        <v>157593320.10974899</v>
      </c>
      <c r="I857" s="819"/>
      <c r="J857" s="820">
        <v>-1.52676E-4</v>
      </c>
      <c r="K857" s="819">
        <f t="shared" si="190"/>
        <v>617</v>
      </c>
      <c r="L857" s="819">
        <f t="shared" si="191"/>
        <v>278</v>
      </c>
      <c r="M857" s="819">
        <f t="shared" si="187"/>
        <v>617</v>
      </c>
      <c r="N857" s="819">
        <f t="shared" si="188"/>
        <v>364</v>
      </c>
      <c r="O857" s="819">
        <f t="shared" si="189"/>
        <v>1063</v>
      </c>
      <c r="P857" s="819">
        <f t="shared" si="192"/>
        <v>781</v>
      </c>
      <c r="Q857" s="819">
        <f t="shared" si="193"/>
        <v>145</v>
      </c>
      <c r="R857" s="819">
        <f t="shared" si="194"/>
        <v>535</v>
      </c>
      <c r="S857" s="819">
        <f t="shared" si="195"/>
        <v>338</v>
      </c>
      <c r="T857" s="819">
        <f t="shared" si="196"/>
        <v>1041</v>
      </c>
      <c r="U857" s="819">
        <f t="shared" si="197"/>
        <v>2840</v>
      </c>
      <c r="V857" s="819">
        <f t="shared" si="198"/>
        <v>700</v>
      </c>
      <c r="W857" s="379">
        <f t="shared" si="199"/>
        <v>700</v>
      </c>
      <c r="X857" s="819" t="str">
        <f t="shared" si="200"/>
        <v/>
      </c>
      <c r="Y857" s="837"/>
      <c r="Z857" s="839"/>
      <c r="AA857" s="838"/>
      <c r="AB857" s="839"/>
    </row>
    <row r="858" spans="1:28" ht="13.15">
      <c r="B858" s="819" t="s">
        <v>2128</v>
      </c>
      <c r="C858" s="819" t="s">
        <v>2129</v>
      </c>
      <c r="D858" s="379" t="s">
        <v>336</v>
      </c>
      <c r="E858" s="818" t="s">
        <v>1832</v>
      </c>
      <c r="F858" s="820">
        <v>1.5373897299999999</v>
      </c>
      <c r="G858" s="821">
        <v>-4.2524812010000002</v>
      </c>
      <c r="H858" s="822">
        <v>5399004911.2879105</v>
      </c>
      <c r="I858" s="819"/>
      <c r="J858" s="820">
        <v>6.8693600000000002E-5</v>
      </c>
      <c r="K858" s="819">
        <f t="shared" si="190"/>
        <v>68</v>
      </c>
      <c r="L858" s="819">
        <f t="shared" si="191"/>
        <v>1394</v>
      </c>
      <c r="M858" s="819">
        <f t="shared" si="187"/>
        <v>68</v>
      </c>
      <c r="N858" s="819">
        <f t="shared" si="188"/>
        <v>364</v>
      </c>
      <c r="O858" s="819">
        <f t="shared" si="189"/>
        <v>321</v>
      </c>
      <c r="P858" s="819">
        <f t="shared" si="192"/>
        <v>1330</v>
      </c>
      <c r="Q858" s="819">
        <f t="shared" si="193"/>
        <v>971</v>
      </c>
      <c r="R858" s="819">
        <f t="shared" si="194"/>
        <v>14</v>
      </c>
      <c r="S858" s="819">
        <f t="shared" si="195"/>
        <v>338</v>
      </c>
      <c r="T858" s="819">
        <f t="shared" si="196"/>
        <v>299</v>
      </c>
      <c r="U858" s="819">
        <f t="shared" si="197"/>
        <v>2952</v>
      </c>
      <c r="V858" s="819">
        <f t="shared" si="198"/>
        <v>867</v>
      </c>
      <c r="W858" s="379">
        <f t="shared" si="199"/>
        <v>867</v>
      </c>
      <c r="X858" s="819" t="str">
        <f t="shared" si="200"/>
        <v/>
      </c>
      <c r="Y858" s="837"/>
      <c r="Z858" s="839"/>
      <c r="AA858" s="838"/>
      <c r="AB858" s="839"/>
    </row>
    <row r="859" spans="1:28" ht="14.45">
      <c r="A859" s="816"/>
      <c r="B859" s="819" t="s">
        <v>2130</v>
      </c>
      <c r="C859" s="819" t="s">
        <v>2131</v>
      </c>
      <c r="D859" s="379" t="s">
        <v>336</v>
      </c>
      <c r="E859" s="818" t="s">
        <v>460</v>
      </c>
      <c r="F859" s="820"/>
      <c r="G859" s="821"/>
      <c r="H859" s="822">
        <v>44437068.987834796</v>
      </c>
      <c r="I859" s="819"/>
      <c r="J859" s="820">
        <v>0</v>
      </c>
      <c r="K859" s="819">
        <f t="shared" si="190"/>
        <v>906</v>
      </c>
      <c r="L859" s="819">
        <f t="shared" si="191"/>
        <v>1084</v>
      </c>
      <c r="M859" s="819">
        <f t="shared" si="187"/>
        <v>906</v>
      </c>
      <c r="N859" s="819">
        <f t="shared" si="188"/>
        <v>364</v>
      </c>
      <c r="O859" s="819">
        <f t="shared" si="189"/>
        <v>492</v>
      </c>
      <c r="P859" s="819">
        <f t="shared" si="192"/>
        <v>492</v>
      </c>
      <c r="Q859" s="819">
        <f t="shared" si="193"/>
        <v>661</v>
      </c>
      <c r="R859" s="819">
        <f t="shared" si="194"/>
        <v>824</v>
      </c>
      <c r="S859" s="819">
        <f t="shared" si="195"/>
        <v>338</v>
      </c>
      <c r="T859" s="819">
        <f t="shared" si="196"/>
        <v>470</v>
      </c>
      <c r="U859" s="819">
        <f t="shared" si="197"/>
        <v>2785</v>
      </c>
      <c r="V859" s="819">
        <f t="shared" si="198"/>
        <v>463</v>
      </c>
      <c r="W859" s="379">
        <f t="shared" si="199"/>
        <v>463</v>
      </c>
      <c r="X859" s="819" t="str">
        <f t="shared" si="200"/>
        <v/>
      </c>
      <c r="Y859" s="837"/>
      <c r="Z859" s="839"/>
      <c r="AA859" s="838"/>
      <c r="AB859" s="839"/>
    </row>
    <row r="860" spans="1:28" ht="13.15">
      <c r="B860" s="819" t="s">
        <v>2132</v>
      </c>
      <c r="C860" s="819" t="s">
        <v>2133</v>
      </c>
      <c r="D860" s="379" t="s">
        <v>336</v>
      </c>
      <c r="E860" s="818" t="s">
        <v>676</v>
      </c>
      <c r="F860" s="820">
        <v>1.2730555180000001</v>
      </c>
      <c r="G860" s="821">
        <v>10.65283464</v>
      </c>
      <c r="H860" s="822">
        <v>9057833.2880803701</v>
      </c>
      <c r="I860" s="819"/>
      <c r="J860" s="820">
        <v>-4.3915499999999999E-4</v>
      </c>
      <c r="K860" s="819">
        <f t="shared" si="190"/>
        <v>1266</v>
      </c>
      <c r="L860" s="819">
        <f t="shared" si="191"/>
        <v>179</v>
      </c>
      <c r="M860" s="819">
        <f t="shared" si="187"/>
        <v>1266</v>
      </c>
      <c r="N860" s="819">
        <f t="shared" si="188"/>
        <v>364</v>
      </c>
      <c r="O860" s="819">
        <f t="shared" si="189"/>
        <v>1246</v>
      </c>
      <c r="P860" s="819">
        <f t="shared" si="192"/>
        <v>132</v>
      </c>
      <c r="Q860" s="819">
        <f t="shared" si="193"/>
        <v>244</v>
      </c>
      <c r="R860" s="819">
        <f t="shared" si="194"/>
        <v>1184</v>
      </c>
      <c r="S860" s="819">
        <f t="shared" si="195"/>
        <v>338</v>
      </c>
      <c r="T860" s="819">
        <f t="shared" si="196"/>
        <v>1224</v>
      </c>
      <c r="U860" s="819">
        <f t="shared" si="197"/>
        <v>3122</v>
      </c>
      <c r="V860" s="819">
        <f t="shared" si="198"/>
        <v>1091</v>
      </c>
      <c r="W860" s="379">
        <f t="shared" si="199"/>
        <v>1091</v>
      </c>
      <c r="X860" s="819" t="str">
        <f t="shared" si="200"/>
        <v/>
      </c>
      <c r="Y860" s="837"/>
      <c r="Z860" s="839"/>
      <c r="AA860" s="838"/>
      <c r="AB860" s="839"/>
    </row>
    <row r="861" spans="1:28" ht="14.45">
      <c r="A861" s="816"/>
      <c r="B861" s="819" t="s">
        <v>2134</v>
      </c>
      <c r="C861" s="819" t="s">
        <v>2135</v>
      </c>
      <c r="D861" s="379" t="s">
        <v>336</v>
      </c>
      <c r="E861" s="818" t="s">
        <v>349</v>
      </c>
      <c r="F861" s="820">
        <v>1.8417507719999999</v>
      </c>
      <c r="G861" s="821">
        <v>2.6132948599999999</v>
      </c>
      <c r="H861" s="822">
        <v>23064507.8657942</v>
      </c>
      <c r="I861" s="819"/>
      <c r="J861" s="820">
        <v>-4.8935700000000005E-4</v>
      </c>
      <c r="K861" s="819">
        <f t="shared" si="190"/>
        <v>1070</v>
      </c>
      <c r="L861" s="819">
        <f t="shared" si="191"/>
        <v>594</v>
      </c>
      <c r="M861" s="819">
        <f t="shared" si="187"/>
        <v>1070</v>
      </c>
      <c r="N861" s="819">
        <f t="shared" si="188"/>
        <v>364</v>
      </c>
      <c r="O861" s="819">
        <f t="shared" si="189"/>
        <v>1265</v>
      </c>
      <c r="P861" s="819">
        <f t="shared" si="192"/>
        <v>328</v>
      </c>
      <c r="Q861" s="819">
        <f t="shared" si="193"/>
        <v>171</v>
      </c>
      <c r="R861" s="819">
        <f t="shared" si="194"/>
        <v>988</v>
      </c>
      <c r="S861" s="819">
        <f t="shared" si="195"/>
        <v>338</v>
      </c>
      <c r="T861" s="819">
        <f t="shared" si="196"/>
        <v>1243</v>
      </c>
      <c r="U861" s="819">
        <f t="shared" si="197"/>
        <v>3068</v>
      </c>
      <c r="V861" s="819">
        <f t="shared" si="198"/>
        <v>1013</v>
      </c>
      <c r="W861" s="379">
        <f t="shared" si="199"/>
        <v>1013</v>
      </c>
      <c r="X861" s="819" t="str">
        <f t="shared" si="200"/>
        <v/>
      </c>
      <c r="Y861" s="837"/>
      <c r="Z861" s="839"/>
      <c r="AA861" s="838"/>
      <c r="AB861" s="839"/>
    </row>
    <row r="862" spans="1:28" ht="13.15">
      <c r="B862" s="819" t="s">
        <v>2136</v>
      </c>
      <c r="C862" s="819" t="s">
        <v>2137</v>
      </c>
      <c r="D862" s="379" t="s">
        <v>336</v>
      </c>
      <c r="E862" s="818" t="s">
        <v>1832</v>
      </c>
      <c r="F862" s="820">
        <v>1.4290220840000001</v>
      </c>
      <c r="G862" s="821">
        <v>0.21168590200000001</v>
      </c>
      <c r="H862" s="822">
        <v>663221942.10318995</v>
      </c>
      <c r="I862" s="819"/>
      <c r="J862" s="820">
        <v>-7.2022099999999995E-4</v>
      </c>
      <c r="K862" s="819">
        <f t="shared" si="190"/>
        <v>294</v>
      </c>
      <c r="L862" s="819">
        <f t="shared" si="191"/>
        <v>982</v>
      </c>
      <c r="M862" s="819">
        <f t="shared" si="187"/>
        <v>294</v>
      </c>
      <c r="N862" s="819">
        <f t="shared" si="188"/>
        <v>364</v>
      </c>
      <c r="O862" s="819">
        <f t="shared" si="189"/>
        <v>1348</v>
      </c>
      <c r="P862" s="819">
        <f t="shared" si="192"/>
        <v>1104</v>
      </c>
      <c r="Q862" s="819">
        <f t="shared" si="193"/>
        <v>559</v>
      </c>
      <c r="R862" s="819">
        <f t="shared" si="194"/>
        <v>212</v>
      </c>
      <c r="S862" s="819">
        <f t="shared" si="195"/>
        <v>338</v>
      </c>
      <c r="T862" s="819">
        <f t="shared" si="196"/>
        <v>1326</v>
      </c>
      <c r="U862" s="819">
        <f t="shared" si="197"/>
        <v>3539</v>
      </c>
      <c r="V862" s="819">
        <f t="shared" si="198"/>
        <v>1586</v>
      </c>
      <c r="W862" s="379">
        <f t="shared" si="199"/>
        <v>1586</v>
      </c>
      <c r="X862" s="819" t="str">
        <f t="shared" si="200"/>
        <v/>
      </c>
      <c r="Y862" s="837"/>
      <c r="Z862" s="839"/>
      <c r="AA862" s="838"/>
      <c r="AB862" s="839"/>
    </row>
    <row r="863" spans="1:28" ht="14.45">
      <c r="A863" s="816"/>
      <c r="B863" s="819" t="s">
        <v>2138</v>
      </c>
      <c r="C863" s="819" t="s">
        <v>2139</v>
      </c>
      <c r="D863" s="379" t="s">
        <v>336</v>
      </c>
      <c r="E863" s="818" t="s">
        <v>2140</v>
      </c>
      <c r="F863" s="820">
        <v>0.47885756699999998</v>
      </c>
      <c r="G863" s="821">
        <v>3.4021762789999999</v>
      </c>
      <c r="H863" s="822">
        <v>44679226.882378303</v>
      </c>
      <c r="I863" s="819"/>
      <c r="J863" s="820">
        <v>-1.1277899999999999E-5</v>
      </c>
      <c r="K863" s="819">
        <f t="shared" si="190"/>
        <v>904</v>
      </c>
      <c r="L863" s="819">
        <f t="shared" si="191"/>
        <v>513</v>
      </c>
      <c r="M863" s="819">
        <f t="shared" si="187"/>
        <v>904</v>
      </c>
      <c r="N863" s="819">
        <f t="shared" si="188"/>
        <v>364</v>
      </c>
      <c r="O863" s="819">
        <f t="shared" si="189"/>
        <v>811</v>
      </c>
      <c r="P863" s="819">
        <f t="shared" si="192"/>
        <v>494</v>
      </c>
      <c r="Q863" s="819">
        <f t="shared" si="193"/>
        <v>90</v>
      </c>
      <c r="R863" s="819">
        <f t="shared" si="194"/>
        <v>822</v>
      </c>
      <c r="S863" s="819">
        <f t="shared" si="195"/>
        <v>338</v>
      </c>
      <c r="T863" s="819">
        <f t="shared" si="196"/>
        <v>789</v>
      </c>
      <c r="U863" s="819">
        <f t="shared" si="197"/>
        <v>2533</v>
      </c>
      <c r="V863" s="819">
        <f t="shared" si="198"/>
        <v>262</v>
      </c>
      <c r="W863" s="379">
        <f t="shared" si="199"/>
        <v>262</v>
      </c>
      <c r="X863" s="819" t="str">
        <f t="shared" si="200"/>
        <v/>
      </c>
      <c r="Y863" s="837"/>
      <c r="Z863" s="839"/>
      <c r="AA863" s="838"/>
      <c r="AB863" s="839"/>
    </row>
    <row r="864" spans="1:28" ht="13.15">
      <c r="B864" s="819" t="s">
        <v>2141</v>
      </c>
      <c r="C864" s="819" t="s">
        <v>2142</v>
      </c>
      <c r="D864" s="379" t="s">
        <v>336</v>
      </c>
      <c r="E864" s="818" t="s">
        <v>2140</v>
      </c>
      <c r="F864" s="820">
        <v>3.5717997270000001</v>
      </c>
      <c r="G864" s="821">
        <v>2.8458783630000002</v>
      </c>
      <c r="H864" s="822">
        <v>139121935.96628401</v>
      </c>
      <c r="I864" s="819"/>
      <c r="J864" s="820">
        <v>-8.6074399999999998E-4</v>
      </c>
      <c r="K864" s="819">
        <f t="shared" si="190"/>
        <v>640</v>
      </c>
      <c r="L864" s="819">
        <f t="shared" si="191"/>
        <v>567</v>
      </c>
      <c r="M864" s="819">
        <f t="shared" si="187"/>
        <v>640</v>
      </c>
      <c r="N864" s="819">
        <f t="shared" si="188"/>
        <v>364</v>
      </c>
      <c r="O864" s="819">
        <f t="shared" si="189"/>
        <v>1373</v>
      </c>
      <c r="P864" s="819">
        <f t="shared" si="192"/>
        <v>758</v>
      </c>
      <c r="Q864" s="819">
        <f t="shared" si="193"/>
        <v>144</v>
      </c>
      <c r="R864" s="819">
        <f t="shared" si="194"/>
        <v>558</v>
      </c>
      <c r="S864" s="819">
        <f t="shared" si="195"/>
        <v>338</v>
      </c>
      <c r="T864" s="819">
        <f t="shared" si="196"/>
        <v>1351</v>
      </c>
      <c r="U864" s="819">
        <f t="shared" si="197"/>
        <v>3149</v>
      </c>
      <c r="V864" s="819">
        <f t="shared" si="198"/>
        <v>1122</v>
      </c>
      <c r="W864" s="379">
        <f t="shared" si="199"/>
        <v>1122</v>
      </c>
      <c r="X864" s="819" t="str">
        <f t="shared" si="200"/>
        <v/>
      </c>
      <c r="Y864" s="837"/>
      <c r="Z864" s="839"/>
      <c r="AA864" s="838"/>
      <c r="AB864" s="839"/>
    </row>
    <row r="865" spans="1:28" ht="14.45">
      <c r="A865" s="816"/>
      <c r="B865" s="819" t="s">
        <v>2143</v>
      </c>
      <c r="C865" s="819" t="s">
        <v>2144</v>
      </c>
      <c r="D865" s="379" t="s">
        <v>336</v>
      </c>
      <c r="E865" s="818" t="s">
        <v>460</v>
      </c>
      <c r="F865" s="820">
        <v>11.2917655</v>
      </c>
      <c r="G865" s="821">
        <v>-1.8640350880000001</v>
      </c>
      <c r="H865" s="822">
        <v>531086.49647295906</v>
      </c>
      <c r="I865" s="819"/>
      <c r="J865" s="820">
        <v>6.9477899999999994E-5</v>
      </c>
      <c r="K865" s="819">
        <f t="shared" si="190"/>
        <v>1598</v>
      </c>
      <c r="L865" s="819">
        <f t="shared" si="191"/>
        <v>1340</v>
      </c>
      <c r="M865" s="819">
        <f t="shared" si="187"/>
        <v>1598</v>
      </c>
      <c r="N865" s="819">
        <f t="shared" si="188"/>
        <v>364</v>
      </c>
      <c r="O865" s="819">
        <f t="shared" si="189"/>
        <v>317</v>
      </c>
      <c r="P865" s="819">
        <f t="shared" si="192"/>
        <v>200</v>
      </c>
      <c r="Q865" s="819">
        <f t="shared" si="193"/>
        <v>917</v>
      </c>
      <c r="R865" s="819">
        <f t="shared" si="194"/>
        <v>1516</v>
      </c>
      <c r="S865" s="819">
        <f t="shared" si="195"/>
        <v>338</v>
      </c>
      <c r="T865" s="819">
        <f t="shared" si="196"/>
        <v>295</v>
      </c>
      <c r="U865" s="819">
        <f t="shared" si="197"/>
        <v>3266</v>
      </c>
      <c r="V865" s="819">
        <f t="shared" si="198"/>
        <v>1294</v>
      </c>
      <c r="W865" s="379">
        <f t="shared" si="199"/>
        <v>1294</v>
      </c>
      <c r="X865" s="819" t="str">
        <f t="shared" si="200"/>
        <v/>
      </c>
      <c r="Y865" s="837"/>
      <c r="Z865" s="839"/>
      <c r="AA865" s="838"/>
      <c r="AB865" s="839"/>
    </row>
    <row r="866" spans="1:28" ht="13.15">
      <c r="B866" s="819" t="s">
        <v>2145</v>
      </c>
      <c r="C866" s="819" t="s">
        <v>2146</v>
      </c>
      <c r="D866" s="379" t="s">
        <v>336</v>
      </c>
      <c r="E866" s="818" t="s">
        <v>460</v>
      </c>
      <c r="F866" s="820">
        <v>2.842551625</v>
      </c>
      <c r="G866" s="821">
        <v>3.3768732520000002</v>
      </c>
      <c r="H866" s="822">
        <v>161676191.57427901</v>
      </c>
      <c r="I866" s="819"/>
      <c r="J866" s="820">
        <v>-1.18811E-5</v>
      </c>
      <c r="K866" s="819">
        <f t="shared" si="190"/>
        <v>613</v>
      </c>
      <c r="L866" s="819">
        <f t="shared" si="191"/>
        <v>516</v>
      </c>
      <c r="M866" s="819">
        <f t="shared" si="187"/>
        <v>613</v>
      </c>
      <c r="N866" s="819">
        <f t="shared" si="188"/>
        <v>364</v>
      </c>
      <c r="O866" s="819">
        <f t="shared" si="189"/>
        <v>814</v>
      </c>
      <c r="P866" s="819">
        <f t="shared" si="192"/>
        <v>785</v>
      </c>
      <c r="Q866" s="819">
        <f t="shared" si="193"/>
        <v>93</v>
      </c>
      <c r="R866" s="819">
        <f t="shared" si="194"/>
        <v>531</v>
      </c>
      <c r="S866" s="819">
        <f t="shared" si="195"/>
        <v>338</v>
      </c>
      <c r="T866" s="819">
        <f t="shared" si="196"/>
        <v>792</v>
      </c>
      <c r="U866" s="819">
        <f t="shared" si="197"/>
        <v>2539</v>
      </c>
      <c r="V866" s="819">
        <f t="shared" si="198"/>
        <v>264</v>
      </c>
      <c r="W866" s="379">
        <f t="shared" si="199"/>
        <v>264</v>
      </c>
      <c r="X866" s="819" t="str">
        <f t="shared" si="200"/>
        <v/>
      </c>
      <c r="Y866" s="837"/>
      <c r="Z866" s="839"/>
      <c r="AA866" s="838"/>
      <c r="AB866" s="839"/>
    </row>
    <row r="867" spans="1:28" ht="14.45">
      <c r="A867" s="816"/>
      <c r="B867" s="819" t="s">
        <v>2147</v>
      </c>
      <c r="C867" s="819" t="s">
        <v>2148</v>
      </c>
      <c r="D867" s="379" t="s">
        <v>336</v>
      </c>
      <c r="E867" s="818" t="s">
        <v>337</v>
      </c>
      <c r="F867" s="820">
        <v>0.74147506799999996</v>
      </c>
      <c r="G867" s="821">
        <v>6.699638663</v>
      </c>
      <c r="H867" s="822">
        <v>235.3229</v>
      </c>
      <c r="I867" s="819">
        <v>0.01</v>
      </c>
      <c r="J867" s="820">
        <v>-9.9330800000000004E-4</v>
      </c>
      <c r="K867" s="819">
        <f t="shared" si="190"/>
        <v>1687</v>
      </c>
      <c r="L867" s="819">
        <f t="shared" si="191"/>
        <v>295</v>
      </c>
      <c r="M867" s="819">
        <f t="shared" si="187"/>
        <v>1687</v>
      </c>
      <c r="N867" s="819">
        <f t="shared" si="188"/>
        <v>344</v>
      </c>
      <c r="O867" s="819">
        <f t="shared" si="189"/>
        <v>1394</v>
      </c>
      <c r="P867" s="819">
        <f t="shared" si="192"/>
        <v>289</v>
      </c>
      <c r="Q867" s="819">
        <f t="shared" si="193"/>
        <v>128</v>
      </c>
      <c r="R867" s="819">
        <f t="shared" si="194"/>
        <v>1605</v>
      </c>
      <c r="S867" s="819">
        <f t="shared" si="195"/>
        <v>318</v>
      </c>
      <c r="T867" s="819">
        <f t="shared" si="196"/>
        <v>1372</v>
      </c>
      <c r="U867" s="819">
        <f t="shared" si="197"/>
        <v>3712</v>
      </c>
      <c r="V867" s="819">
        <f t="shared" si="198"/>
        <v>1681</v>
      </c>
      <c r="W867" s="379">
        <f t="shared" si="199"/>
        <v>1681</v>
      </c>
      <c r="X867" s="819" t="str">
        <f t="shared" si="200"/>
        <v/>
      </c>
      <c r="Y867" s="837"/>
      <c r="Z867" s="839"/>
      <c r="AA867" s="838"/>
      <c r="AB867" s="839"/>
    </row>
    <row r="868" spans="1:28" ht="13.15">
      <c r="B868" s="819" t="s">
        <v>2149</v>
      </c>
      <c r="C868" s="819" t="s">
        <v>2150</v>
      </c>
      <c r="D868" s="379" t="s">
        <v>336</v>
      </c>
      <c r="E868" s="818" t="s">
        <v>1832</v>
      </c>
      <c r="F868" s="820">
        <v>-29.620551599999999</v>
      </c>
      <c r="G868" s="821">
        <v>-208.60596079999999</v>
      </c>
      <c r="H868" s="822">
        <v>8213863.7258763304</v>
      </c>
      <c r="I868" s="819"/>
      <c r="J868" s="820">
        <v>2.3677799999999999E-6</v>
      </c>
      <c r="K868" s="819">
        <f t="shared" si="190"/>
        <v>1293</v>
      </c>
      <c r="L868" s="819">
        <f t="shared" si="191"/>
        <v>1524</v>
      </c>
      <c r="M868" s="819">
        <f t="shared" si="187"/>
        <v>1293</v>
      </c>
      <c r="N868" s="819">
        <f t="shared" si="188"/>
        <v>364</v>
      </c>
      <c r="O868" s="819">
        <f t="shared" si="189"/>
        <v>466</v>
      </c>
      <c r="P868" s="819">
        <f t="shared" si="192"/>
        <v>105</v>
      </c>
      <c r="Q868" s="819">
        <f t="shared" si="193"/>
        <v>1101</v>
      </c>
      <c r="R868" s="819">
        <f t="shared" si="194"/>
        <v>1211</v>
      </c>
      <c r="S868" s="819">
        <f t="shared" si="195"/>
        <v>338</v>
      </c>
      <c r="T868" s="819">
        <f t="shared" si="196"/>
        <v>444</v>
      </c>
      <c r="U868" s="819">
        <f t="shared" si="197"/>
        <v>3199</v>
      </c>
      <c r="V868" s="819">
        <f t="shared" si="198"/>
        <v>1192</v>
      </c>
      <c r="W868" s="379">
        <f t="shared" si="199"/>
        <v>1192</v>
      </c>
      <c r="X868" s="819" t="str">
        <f t="shared" si="200"/>
        <v/>
      </c>
      <c r="Y868" s="837"/>
      <c r="Z868" s="839"/>
      <c r="AA868" s="838"/>
      <c r="AB868" s="839"/>
    </row>
    <row r="869" spans="1:28" ht="14.45">
      <c r="A869" s="816"/>
      <c r="B869" s="819" t="s">
        <v>2151</v>
      </c>
      <c r="C869" s="819" t="s">
        <v>2152</v>
      </c>
      <c r="D869" s="379" t="s">
        <v>336</v>
      </c>
      <c r="E869" s="818" t="s">
        <v>373</v>
      </c>
      <c r="F869" s="820">
        <v>0.60469972100000002</v>
      </c>
      <c r="G869" s="821">
        <v>-11.947732179999999</v>
      </c>
      <c r="H869" s="822">
        <v>119967213.41540401</v>
      </c>
      <c r="I869" s="819">
        <v>0</v>
      </c>
      <c r="J869" s="820">
        <v>2.0777299999999999E-4</v>
      </c>
      <c r="K869" s="819">
        <f t="shared" si="190"/>
        <v>670</v>
      </c>
      <c r="L869" s="819">
        <f t="shared" si="191"/>
        <v>1461</v>
      </c>
      <c r="M869" s="819">
        <f t="shared" si="187"/>
        <v>670</v>
      </c>
      <c r="N869" s="819">
        <f t="shared" si="188"/>
        <v>364</v>
      </c>
      <c r="O869" s="819">
        <f t="shared" si="189"/>
        <v>251</v>
      </c>
      <c r="P869" s="819">
        <f t="shared" si="192"/>
        <v>728</v>
      </c>
      <c r="Q869" s="819">
        <f t="shared" si="193"/>
        <v>1038</v>
      </c>
      <c r="R869" s="819">
        <f t="shared" si="194"/>
        <v>588</v>
      </c>
      <c r="S869" s="819">
        <f t="shared" si="195"/>
        <v>338</v>
      </c>
      <c r="T869" s="819">
        <f t="shared" si="196"/>
        <v>229</v>
      </c>
      <c r="U869" s="819">
        <f t="shared" si="197"/>
        <v>2921</v>
      </c>
      <c r="V869" s="819">
        <f t="shared" si="198"/>
        <v>834</v>
      </c>
      <c r="W869" s="379">
        <f t="shared" si="199"/>
        <v>834</v>
      </c>
      <c r="X869" s="819" t="str">
        <f t="shared" si="200"/>
        <v/>
      </c>
      <c r="Y869" s="837"/>
      <c r="Z869" s="839"/>
      <c r="AA869" s="838"/>
      <c r="AB869" s="839"/>
    </row>
    <row r="870" spans="1:28" ht="13.15">
      <c r="B870" s="819" t="s">
        <v>2153</v>
      </c>
      <c r="C870" s="819" t="s">
        <v>2154</v>
      </c>
      <c r="D870" s="379" t="s">
        <v>336</v>
      </c>
      <c r="E870" s="818" t="s">
        <v>460</v>
      </c>
      <c r="F870" s="820">
        <v>3.4499393700000001</v>
      </c>
      <c r="G870" s="821">
        <v>1.2030635359999999</v>
      </c>
      <c r="H870" s="822">
        <v>28900177.719182599</v>
      </c>
      <c r="I870" s="819"/>
      <c r="J870" s="820">
        <v>-6.2233700000000004E-4</v>
      </c>
      <c r="K870" s="819">
        <f t="shared" si="190"/>
        <v>1010</v>
      </c>
      <c r="L870" s="819">
        <f t="shared" si="191"/>
        <v>783</v>
      </c>
      <c r="M870" s="819">
        <f t="shared" si="187"/>
        <v>1010</v>
      </c>
      <c r="N870" s="819">
        <f t="shared" si="188"/>
        <v>364</v>
      </c>
      <c r="O870" s="819">
        <f t="shared" si="189"/>
        <v>1318</v>
      </c>
      <c r="P870" s="819">
        <f t="shared" si="192"/>
        <v>388</v>
      </c>
      <c r="Q870" s="819">
        <f t="shared" si="193"/>
        <v>360</v>
      </c>
      <c r="R870" s="819">
        <f t="shared" si="194"/>
        <v>928</v>
      </c>
      <c r="S870" s="819">
        <f t="shared" si="195"/>
        <v>338</v>
      </c>
      <c r="T870" s="819">
        <f t="shared" si="196"/>
        <v>1296</v>
      </c>
      <c r="U870" s="819">
        <f t="shared" si="197"/>
        <v>3310</v>
      </c>
      <c r="V870" s="819">
        <f t="shared" si="198"/>
        <v>1358</v>
      </c>
      <c r="W870" s="379">
        <f t="shared" si="199"/>
        <v>1358</v>
      </c>
      <c r="X870" s="819" t="str">
        <f t="shared" si="200"/>
        <v/>
      </c>
      <c r="Y870" s="837"/>
      <c r="Z870" s="839"/>
      <c r="AA870" s="838"/>
      <c r="AB870" s="839"/>
    </row>
    <row r="871" spans="1:28" ht="14.45">
      <c r="A871" s="816"/>
      <c r="B871" s="819" t="s">
        <v>2155</v>
      </c>
      <c r="C871" s="819" t="s">
        <v>2156</v>
      </c>
      <c r="D871" s="379" t="s">
        <v>336</v>
      </c>
      <c r="E871" s="818" t="s">
        <v>600</v>
      </c>
      <c r="F871" s="820">
        <v>4.6770187820000002</v>
      </c>
      <c r="G871" s="821">
        <v>0</v>
      </c>
      <c r="H871" s="822">
        <v>116036668.928719</v>
      </c>
      <c r="I871" s="819"/>
      <c r="J871" s="820">
        <v>-4.6674100000000001E-5</v>
      </c>
      <c r="K871" s="819">
        <f t="shared" si="190"/>
        <v>681</v>
      </c>
      <c r="L871" s="819">
        <f t="shared" si="191"/>
        <v>1084</v>
      </c>
      <c r="M871" s="819">
        <f t="shared" si="187"/>
        <v>681</v>
      </c>
      <c r="N871" s="819">
        <f t="shared" si="188"/>
        <v>364</v>
      </c>
      <c r="O871" s="819">
        <f t="shared" si="189"/>
        <v>917</v>
      </c>
      <c r="P871" s="819">
        <f t="shared" si="192"/>
        <v>717</v>
      </c>
      <c r="Q871" s="819">
        <f t="shared" si="193"/>
        <v>661</v>
      </c>
      <c r="R871" s="819">
        <f t="shared" si="194"/>
        <v>599</v>
      </c>
      <c r="S871" s="819">
        <f t="shared" si="195"/>
        <v>338</v>
      </c>
      <c r="T871" s="819">
        <f t="shared" si="196"/>
        <v>895</v>
      </c>
      <c r="U871" s="819">
        <f t="shared" si="197"/>
        <v>3210</v>
      </c>
      <c r="V871" s="819">
        <f t="shared" si="198"/>
        <v>1213</v>
      </c>
      <c r="W871" s="379">
        <f t="shared" si="199"/>
        <v>1213</v>
      </c>
      <c r="X871" s="819" t="str">
        <f t="shared" si="200"/>
        <v/>
      </c>
      <c r="Y871" s="837"/>
      <c r="Z871" s="839"/>
      <c r="AA871" s="838"/>
      <c r="AB871" s="839"/>
    </row>
    <row r="872" spans="1:28" ht="13.15">
      <c r="B872" s="819" t="s">
        <v>2157</v>
      </c>
      <c r="C872" s="819" t="s">
        <v>2158</v>
      </c>
      <c r="D872" s="379" t="s">
        <v>336</v>
      </c>
      <c r="E872" s="818" t="s">
        <v>1618</v>
      </c>
      <c r="F872" s="820">
        <v>1.5901490060000001</v>
      </c>
      <c r="G872" s="821">
        <v>1.625983162</v>
      </c>
      <c r="H872" s="822">
        <v>69320789.470865995</v>
      </c>
      <c r="I872" s="819"/>
      <c r="J872" s="820">
        <v>-5.4908099999999998E-4</v>
      </c>
      <c r="K872" s="819">
        <f t="shared" si="190"/>
        <v>800</v>
      </c>
      <c r="L872" s="819">
        <f t="shared" si="191"/>
        <v>725</v>
      </c>
      <c r="M872" s="819">
        <f t="shared" si="187"/>
        <v>800</v>
      </c>
      <c r="N872" s="819">
        <f t="shared" si="188"/>
        <v>364</v>
      </c>
      <c r="O872" s="819">
        <f t="shared" si="189"/>
        <v>1288</v>
      </c>
      <c r="P872" s="819">
        <f t="shared" si="192"/>
        <v>598</v>
      </c>
      <c r="Q872" s="819">
        <f t="shared" si="193"/>
        <v>302</v>
      </c>
      <c r="R872" s="819">
        <f t="shared" si="194"/>
        <v>718</v>
      </c>
      <c r="S872" s="819">
        <f t="shared" si="195"/>
        <v>338</v>
      </c>
      <c r="T872" s="819">
        <f t="shared" si="196"/>
        <v>1266</v>
      </c>
      <c r="U872" s="819">
        <f t="shared" si="197"/>
        <v>3222</v>
      </c>
      <c r="V872" s="819">
        <f t="shared" si="198"/>
        <v>1229</v>
      </c>
      <c r="W872" s="379">
        <f t="shared" si="199"/>
        <v>1229</v>
      </c>
      <c r="X872" s="819" t="str">
        <f t="shared" si="200"/>
        <v/>
      </c>
      <c r="Y872" s="837"/>
      <c r="Z872" s="839"/>
      <c r="AA872" s="838"/>
      <c r="AB872" s="839"/>
    </row>
    <row r="873" spans="1:28" ht="14.45">
      <c r="A873" s="816"/>
      <c r="B873" s="819" t="s">
        <v>2159</v>
      </c>
      <c r="C873" s="819" t="s">
        <v>2160</v>
      </c>
      <c r="D873" s="379" t="s">
        <v>336</v>
      </c>
      <c r="E873" s="818" t="s">
        <v>1832</v>
      </c>
      <c r="F873" s="820">
        <v>2.507664782</v>
      </c>
      <c r="G873" s="821">
        <v>2.7141538679999999</v>
      </c>
      <c r="H873" s="822">
        <v>15124064.5923592</v>
      </c>
      <c r="I873" s="819">
        <v>0.21</v>
      </c>
      <c r="J873" s="820">
        <v>-4.1883000000000003E-4</v>
      </c>
      <c r="K873" s="819">
        <f t="shared" si="190"/>
        <v>1161</v>
      </c>
      <c r="L873" s="819">
        <f t="shared" si="191"/>
        <v>580</v>
      </c>
      <c r="M873" s="819">
        <f t="shared" si="187"/>
        <v>1161</v>
      </c>
      <c r="N873" s="819">
        <f t="shared" si="188"/>
        <v>216</v>
      </c>
      <c r="O873" s="819">
        <f t="shared" si="189"/>
        <v>1237</v>
      </c>
      <c r="P873" s="819">
        <f t="shared" si="192"/>
        <v>237</v>
      </c>
      <c r="Q873" s="819">
        <f t="shared" si="193"/>
        <v>157</v>
      </c>
      <c r="R873" s="819">
        <f t="shared" si="194"/>
        <v>1079</v>
      </c>
      <c r="S873" s="819">
        <f t="shared" si="195"/>
        <v>190</v>
      </c>
      <c r="T873" s="819">
        <f t="shared" si="196"/>
        <v>1215</v>
      </c>
      <c r="U873" s="819">
        <f t="shared" si="197"/>
        <v>2878</v>
      </c>
      <c r="V873" s="819">
        <f t="shared" si="198"/>
        <v>769</v>
      </c>
      <c r="W873" s="379">
        <f t="shared" si="199"/>
        <v>769</v>
      </c>
      <c r="X873" s="819" t="str">
        <f t="shared" si="200"/>
        <v/>
      </c>
      <c r="Y873" s="837"/>
      <c r="Z873" s="839"/>
      <c r="AA873" s="838"/>
      <c r="AB873" s="839"/>
    </row>
    <row r="874" spans="1:28" ht="13.15">
      <c r="B874" s="819" t="s">
        <v>2161</v>
      </c>
      <c r="C874" s="819" t="s">
        <v>2162</v>
      </c>
      <c r="D874" s="379" t="s">
        <v>336</v>
      </c>
      <c r="E874" s="818" t="s">
        <v>941</v>
      </c>
      <c r="F874" s="820">
        <v>1.2475786120000001</v>
      </c>
      <c r="G874" s="821">
        <v>10.659593810000001</v>
      </c>
      <c r="H874" s="822">
        <v>49612862.996158801</v>
      </c>
      <c r="I874" s="819"/>
      <c r="J874" s="820">
        <v>-2.3227299999999999E-4</v>
      </c>
      <c r="K874" s="819">
        <f t="shared" si="190"/>
        <v>881</v>
      </c>
      <c r="L874" s="819">
        <f t="shared" si="191"/>
        <v>178</v>
      </c>
      <c r="M874" s="819">
        <f t="shared" si="187"/>
        <v>881</v>
      </c>
      <c r="N874" s="819">
        <f t="shared" si="188"/>
        <v>364</v>
      </c>
      <c r="O874" s="819">
        <f t="shared" si="189"/>
        <v>1134</v>
      </c>
      <c r="P874" s="819">
        <f t="shared" si="192"/>
        <v>517</v>
      </c>
      <c r="Q874" s="819">
        <f t="shared" si="193"/>
        <v>245</v>
      </c>
      <c r="R874" s="819">
        <f t="shared" si="194"/>
        <v>799</v>
      </c>
      <c r="S874" s="819">
        <f t="shared" si="195"/>
        <v>338</v>
      </c>
      <c r="T874" s="819">
        <f t="shared" si="196"/>
        <v>1112</v>
      </c>
      <c r="U874" s="819">
        <f t="shared" si="197"/>
        <v>3011</v>
      </c>
      <c r="V874" s="819">
        <f t="shared" si="198"/>
        <v>940</v>
      </c>
      <c r="W874" s="379">
        <f t="shared" si="199"/>
        <v>940</v>
      </c>
      <c r="X874" s="819" t="str">
        <f t="shared" si="200"/>
        <v/>
      </c>
      <c r="Y874" s="837"/>
      <c r="Z874" s="839"/>
      <c r="AA874" s="838"/>
      <c r="AB874" s="839"/>
    </row>
    <row r="875" spans="1:28" ht="14.45">
      <c r="A875" s="816"/>
      <c r="B875" s="819" t="s">
        <v>2163</v>
      </c>
      <c r="C875" s="819" t="s">
        <v>2164</v>
      </c>
      <c r="D875" s="379" t="s">
        <v>336</v>
      </c>
      <c r="E875" s="818" t="s">
        <v>1832</v>
      </c>
      <c r="F875" s="820">
        <v>1.9496871280000001</v>
      </c>
      <c r="G875" s="821">
        <v>-19.473729540000001</v>
      </c>
      <c r="H875" s="822">
        <v>127223754.10003901</v>
      </c>
      <c r="I875" s="819">
        <v>-1.1299999999999999</v>
      </c>
      <c r="J875" s="820">
        <v>1.38104E-4</v>
      </c>
      <c r="K875" s="819">
        <f t="shared" si="190"/>
        <v>657</v>
      </c>
      <c r="L875" s="819">
        <f t="shared" si="191"/>
        <v>1479</v>
      </c>
      <c r="M875" s="819">
        <f t="shared" si="187"/>
        <v>657</v>
      </c>
      <c r="N875" s="819">
        <f t="shared" si="188"/>
        <v>383</v>
      </c>
      <c r="O875" s="819">
        <f t="shared" si="189"/>
        <v>278</v>
      </c>
      <c r="P875" s="819">
        <f t="shared" si="192"/>
        <v>741</v>
      </c>
      <c r="Q875" s="819">
        <f t="shared" si="193"/>
        <v>1056</v>
      </c>
      <c r="R875" s="819">
        <f t="shared" si="194"/>
        <v>575</v>
      </c>
      <c r="S875" s="819">
        <f t="shared" si="195"/>
        <v>357</v>
      </c>
      <c r="T875" s="819">
        <f t="shared" si="196"/>
        <v>256</v>
      </c>
      <c r="U875" s="819">
        <f t="shared" si="197"/>
        <v>2985</v>
      </c>
      <c r="V875" s="819">
        <f t="shared" si="198"/>
        <v>905</v>
      </c>
      <c r="W875" s="379">
        <f t="shared" si="199"/>
        <v>905</v>
      </c>
      <c r="X875" s="819" t="str">
        <f t="shared" si="200"/>
        <v/>
      </c>
      <c r="Y875" s="837"/>
      <c r="Z875" s="839"/>
      <c r="AA875" s="838"/>
      <c r="AB875" s="839"/>
    </row>
    <row r="876" spans="1:28" ht="13.15">
      <c r="B876" s="819" t="s">
        <v>2165</v>
      </c>
      <c r="C876" s="819" t="s">
        <v>2166</v>
      </c>
      <c r="D876" s="379" t="s">
        <v>336</v>
      </c>
      <c r="E876" s="818" t="s">
        <v>373</v>
      </c>
      <c r="F876" s="820"/>
      <c r="G876" s="821"/>
      <c r="H876" s="822">
        <v>107413843.802609</v>
      </c>
      <c r="I876" s="819"/>
      <c r="J876" s="820">
        <v>0</v>
      </c>
      <c r="K876" s="819">
        <f t="shared" si="190"/>
        <v>704</v>
      </c>
      <c r="L876" s="819">
        <f t="shared" si="191"/>
        <v>1084</v>
      </c>
      <c r="M876" s="819">
        <f t="shared" si="187"/>
        <v>704</v>
      </c>
      <c r="N876" s="819">
        <f t="shared" si="188"/>
        <v>364</v>
      </c>
      <c r="O876" s="819">
        <f t="shared" si="189"/>
        <v>492</v>
      </c>
      <c r="P876" s="819">
        <f t="shared" si="192"/>
        <v>694</v>
      </c>
      <c r="Q876" s="819">
        <f t="shared" si="193"/>
        <v>661</v>
      </c>
      <c r="R876" s="819">
        <f t="shared" si="194"/>
        <v>622</v>
      </c>
      <c r="S876" s="819">
        <f t="shared" si="195"/>
        <v>338</v>
      </c>
      <c r="T876" s="819">
        <f t="shared" si="196"/>
        <v>470</v>
      </c>
      <c r="U876" s="819">
        <f t="shared" si="197"/>
        <v>2785</v>
      </c>
      <c r="V876" s="819">
        <f t="shared" si="198"/>
        <v>463</v>
      </c>
      <c r="W876" s="379">
        <f t="shared" si="199"/>
        <v>463</v>
      </c>
      <c r="X876" s="819" t="str">
        <f t="shared" si="200"/>
        <v/>
      </c>
      <c r="Y876" s="837"/>
      <c r="Z876" s="839"/>
      <c r="AA876" s="838"/>
      <c r="AB876" s="839"/>
    </row>
    <row r="877" spans="1:28" ht="14.45">
      <c r="A877" s="816"/>
      <c r="B877" s="819" t="s">
        <v>2167</v>
      </c>
      <c r="C877" s="819" t="s">
        <v>2168</v>
      </c>
      <c r="D877" s="379" t="s">
        <v>336</v>
      </c>
      <c r="E877" s="818" t="s">
        <v>481</v>
      </c>
      <c r="F877" s="820"/>
      <c r="G877" s="821"/>
      <c r="H877" s="822">
        <v>28359235.584843501</v>
      </c>
      <c r="I877" s="819"/>
      <c r="J877" s="820">
        <v>0</v>
      </c>
      <c r="K877" s="819">
        <f t="shared" si="190"/>
        <v>1018</v>
      </c>
      <c r="L877" s="819">
        <f t="shared" si="191"/>
        <v>1084</v>
      </c>
      <c r="M877" s="819">
        <f t="shared" si="187"/>
        <v>1018</v>
      </c>
      <c r="N877" s="819">
        <f t="shared" si="188"/>
        <v>364</v>
      </c>
      <c r="O877" s="819">
        <f t="shared" si="189"/>
        <v>492</v>
      </c>
      <c r="P877" s="819">
        <f t="shared" si="192"/>
        <v>380</v>
      </c>
      <c r="Q877" s="819">
        <f t="shared" si="193"/>
        <v>661</v>
      </c>
      <c r="R877" s="819">
        <f t="shared" si="194"/>
        <v>936</v>
      </c>
      <c r="S877" s="819">
        <f t="shared" si="195"/>
        <v>338</v>
      </c>
      <c r="T877" s="819">
        <f t="shared" si="196"/>
        <v>470</v>
      </c>
      <c r="U877" s="819">
        <f t="shared" si="197"/>
        <v>2785</v>
      </c>
      <c r="V877" s="819">
        <f t="shared" si="198"/>
        <v>463</v>
      </c>
      <c r="W877" s="379">
        <f t="shared" si="199"/>
        <v>463</v>
      </c>
      <c r="X877" s="819" t="str">
        <f t="shared" si="200"/>
        <v/>
      </c>
      <c r="Y877" s="837"/>
      <c r="Z877" s="839"/>
      <c r="AA877" s="838"/>
      <c r="AB877" s="839"/>
    </row>
    <row r="878" spans="1:28" ht="13.15">
      <c r="B878" s="819" t="s">
        <v>2169</v>
      </c>
      <c r="C878" s="819" t="s">
        <v>2170</v>
      </c>
      <c r="D878" s="379" t="s">
        <v>336</v>
      </c>
      <c r="E878" s="818" t="s">
        <v>2171</v>
      </c>
      <c r="F878" s="820"/>
      <c r="G878" s="821"/>
      <c r="H878" s="822">
        <v>4398762.0269403504</v>
      </c>
      <c r="I878" s="819"/>
      <c r="J878" s="820">
        <v>0</v>
      </c>
      <c r="K878" s="819">
        <f t="shared" si="190"/>
        <v>1386</v>
      </c>
      <c r="L878" s="819">
        <f t="shared" si="191"/>
        <v>1084</v>
      </c>
      <c r="M878" s="819">
        <f t="shared" si="187"/>
        <v>1386</v>
      </c>
      <c r="N878" s="819">
        <f t="shared" si="188"/>
        <v>364</v>
      </c>
      <c r="O878" s="819">
        <f t="shared" si="189"/>
        <v>492</v>
      </c>
      <c r="P878" s="819">
        <f t="shared" si="192"/>
        <v>12</v>
      </c>
      <c r="Q878" s="819">
        <f t="shared" si="193"/>
        <v>661</v>
      </c>
      <c r="R878" s="819">
        <f t="shared" si="194"/>
        <v>1304</v>
      </c>
      <c r="S878" s="819">
        <f t="shared" si="195"/>
        <v>338</v>
      </c>
      <c r="T878" s="819">
        <f t="shared" si="196"/>
        <v>470</v>
      </c>
      <c r="U878" s="819">
        <f t="shared" si="197"/>
        <v>2785</v>
      </c>
      <c r="V878" s="819">
        <f t="shared" si="198"/>
        <v>463</v>
      </c>
      <c r="W878" s="379">
        <f t="shared" si="199"/>
        <v>463</v>
      </c>
      <c r="X878" s="819" t="str">
        <f t="shared" si="200"/>
        <v/>
      </c>
      <c r="Y878" s="837"/>
      <c r="Z878" s="839"/>
      <c r="AA878" s="838"/>
      <c r="AB878" s="839"/>
    </row>
    <row r="879" spans="1:28" ht="14.45">
      <c r="A879" s="816"/>
      <c r="B879" s="819" t="s">
        <v>2172</v>
      </c>
      <c r="C879" s="819" t="s">
        <v>2173</v>
      </c>
      <c r="D879" s="379" t="s">
        <v>336</v>
      </c>
      <c r="E879" s="818" t="s">
        <v>2171</v>
      </c>
      <c r="F879" s="820"/>
      <c r="G879" s="821"/>
      <c r="H879" s="822">
        <v>303765.19431604201</v>
      </c>
      <c r="I879" s="819"/>
      <c r="J879" s="820">
        <v>0</v>
      </c>
      <c r="K879" s="819">
        <f t="shared" si="190"/>
        <v>1625</v>
      </c>
      <c r="L879" s="819">
        <f t="shared" si="191"/>
        <v>1084</v>
      </c>
      <c r="M879" s="819">
        <f t="shared" si="187"/>
        <v>1625</v>
      </c>
      <c r="N879" s="819">
        <f t="shared" si="188"/>
        <v>364</v>
      </c>
      <c r="O879" s="819">
        <f t="shared" si="189"/>
        <v>492</v>
      </c>
      <c r="P879" s="819">
        <f t="shared" si="192"/>
        <v>227</v>
      </c>
      <c r="Q879" s="819">
        <f t="shared" si="193"/>
        <v>661</v>
      </c>
      <c r="R879" s="819">
        <f t="shared" si="194"/>
        <v>1543</v>
      </c>
      <c r="S879" s="819">
        <f t="shared" si="195"/>
        <v>338</v>
      </c>
      <c r="T879" s="819">
        <f t="shared" si="196"/>
        <v>470</v>
      </c>
      <c r="U879" s="819">
        <f t="shared" si="197"/>
        <v>3239</v>
      </c>
      <c r="V879" s="819">
        <f t="shared" si="198"/>
        <v>1255</v>
      </c>
      <c r="W879" s="379">
        <f t="shared" si="199"/>
        <v>1255</v>
      </c>
      <c r="X879" s="819" t="str">
        <f t="shared" si="200"/>
        <v/>
      </c>
      <c r="Y879" s="837"/>
      <c r="Z879" s="839"/>
      <c r="AA879" s="838"/>
      <c r="AB879" s="839"/>
    </row>
    <row r="880" spans="1:28" ht="13.15">
      <c r="B880" s="819" t="s">
        <v>2174</v>
      </c>
      <c r="C880" s="819" t="s">
        <v>2175</v>
      </c>
      <c r="D880" s="379" t="s">
        <v>336</v>
      </c>
      <c r="E880" s="818" t="s">
        <v>2171</v>
      </c>
      <c r="F880" s="820"/>
      <c r="G880" s="821"/>
      <c r="H880" s="822">
        <v>193805.55301017099</v>
      </c>
      <c r="I880" s="819"/>
      <c r="J880" s="820">
        <v>0</v>
      </c>
      <c r="K880" s="819">
        <f t="shared" si="190"/>
        <v>1641</v>
      </c>
      <c r="L880" s="819">
        <f t="shared" si="191"/>
        <v>1084</v>
      </c>
      <c r="M880" s="819">
        <f t="shared" si="187"/>
        <v>1641</v>
      </c>
      <c r="N880" s="819">
        <f t="shared" si="188"/>
        <v>364</v>
      </c>
      <c r="O880" s="819">
        <f t="shared" si="189"/>
        <v>492</v>
      </c>
      <c r="P880" s="819">
        <f t="shared" si="192"/>
        <v>243</v>
      </c>
      <c r="Q880" s="819">
        <f t="shared" si="193"/>
        <v>661</v>
      </c>
      <c r="R880" s="819">
        <f t="shared" si="194"/>
        <v>1559</v>
      </c>
      <c r="S880" s="819">
        <f t="shared" si="195"/>
        <v>338</v>
      </c>
      <c r="T880" s="819">
        <f t="shared" si="196"/>
        <v>470</v>
      </c>
      <c r="U880" s="819">
        <f t="shared" si="197"/>
        <v>3271</v>
      </c>
      <c r="V880" s="819">
        <f t="shared" si="198"/>
        <v>1300</v>
      </c>
      <c r="W880" s="379">
        <f t="shared" si="199"/>
        <v>1300</v>
      </c>
      <c r="X880" s="819" t="str">
        <f t="shared" si="200"/>
        <v/>
      </c>
      <c r="Y880" s="837"/>
      <c r="Z880" s="839"/>
      <c r="AA880" s="838"/>
      <c r="AB880" s="839"/>
    </row>
    <row r="881" spans="1:28" ht="14.45">
      <c r="A881" s="816"/>
      <c r="B881" s="819" t="s">
        <v>2176</v>
      </c>
      <c r="C881" s="819" t="s">
        <v>2177</v>
      </c>
      <c r="D881" s="379" t="s">
        <v>336</v>
      </c>
      <c r="E881" s="818" t="s">
        <v>2171</v>
      </c>
      <c r="F881" s="820"/>
      <c r="G881" s="821"/>
      <c r="H881" s="822"/>
      <c r="I881" s="819"/>
      <c r="J881" s="820">
        <v>0</v>
      </c>
      <c r="K881" s="819" t="str">
        <f t="shared" si="190"/>
        <v>N/A</v>
      </c>
      <c r="L881" s="819">
        <f t="shared" si="191"/>
        <v>1084</v>
      </c>
      <c r="M881" s="819" t="str">
        <f t="shared" si="187"/>
        <v>N/A</v>
      </c>
      <c r="N881" s="819">
        <f t="shared" si="188"/>
        <v>364</v>
      </c>
      <c r="O881" s="819">
        <f t="shared" si="189"/>
        <v>492</v>
      </c>
      <c r="P881" s="819" t="str">
        <f t="shared" si="192"/>
        <v>N/A</v>
      </c>
      <c r="Q881" s="819">
        <f t="shared" si="193"/>
        <v>661</v>
      </c>
      <c r="R881" s="819" t="str">
        <f t="shared" si="194"/>
        <v>N/A</v>
      </c>
      <c r="S881" s="819">
        <f t="shared" si="195"/>
        <v>338</v>
      </c>
      <c r="T881" s="819">
        <f t="shared" si="196"/>
        <v>470</v>
      </c>
      <c r="U881" s="819">
        <f t="shared" si="197"/>
        <v>1469</v>
      </c>
      <c r="V881" s="819">
        <f t="shared" si="198"/>
        <v>22</v>
      </c>
      <c r="W881" s="379">
        <f t="shared" si="199"/>
        <v>22</v>
      </c>
      <c r="X881" s="819" t="str">
        <f t="shared" si="200"/>
        <v/>
      </c>
      <c r="Y881" s="837"/>
      <c r="Z881" s="839"/>
      <c r="AA881" s="838"/>
      <c r="AB881" s="839"/>
    </row>
    <row r="882" spans="1:28" ht="13.15">
      <c r="B882" s="819" t="s">
        <v>2178</v>
      </c>
      <c r="C882" s="819" t="s">
        <v>2179</v>
      </c>
      <c r="D882" s="379" t="s">
        <v>336</v>
      </c>
      <c r="E882" s="818" t="s">
        <v>2171</v>
      </c>
      <c r="F882" s="820"/>
      <c r="G882" s="821"/>
      <c r="H882" s="822">
        <v>226222.58922836999</v>
      </c>
      <c r="I882" s="819"/>
      <c r="J882" s="820">
        <v>0</v>
      </c>
      <c r="K882" s="819">
        <f t="shared" si="190"/>
        <v>1637</v>
      </c>
      <c r="L882" s="819">
        <f t="shared" si="191"/>
        <v>1084</v>
      </c>
      <c r="M882" s="819">
        <f t="shared" si="187"/>
        <v>1637</v>
      </c>
      <c r="N882" s="819">
        <f t="shared" si="188"/>
        <v>364</v>
      </c>
      <c r="O882" s="819">
        <f t="shared" si="189"/>
        <v>492</v>
      </c>
      <c r="P882" s="819">
        <f t="shared" si="192"/>
        <v>239</v>
      </c>
      <c r="Q882" s="819">
        <f t="shared" si="193"/>
        <v>661</v>
      </c>
      <c r="R882" s="819">
        <f t="shared" si="194"/>
        <v>1555</v>
      </c>
      <c r="S882" s="819">
        <f t="shared" si="195"/>
        <v>338</v>
      </c>
      <c r="T882" s="819">
        <f t="shared" si="196"/>
        <v>470</v>
      </c>
      <c r="U882" s="819">
        <f t="shared" si="197"/>
        <v>3263</v>
      </c>
      <c r="V882" s="819">
        <f t="shared" si="198"/>
        <v>1291</v>
      </c>
      <c r="W882" s="379">
        <f t="shared" si="199"/>
        <v>1291</v>
      </c>
      <c r="X882" s="819" t="str">
        <f t="shared" si="200"/>
        <v/>
      </c>
      <c r="Y882" s="837"/>
      <c r="Z882" s="839"/>
      <c r="AA882" s="838"/>
      <c r="AB882" s="839"/>
    </row>
    <row r="883" spans="1:28" ht="14.45">
      <c r="A883" s="816"/>
      <c r="B883" s="819" t="s">
        <v>2180</v>
      </c>
      <c r="C883" s="819" t="s">
        <v>2181</v>
      </c>
      <c r="D883" s="379" t="s">
        <v>336</v>
      </c>
      <c r="E883" s="818" t="s">
        <v>2171</v>
      </c>
      <c r="F883" s="820"/>
      <c r="G883" s="821"/>
      <c r="H883" s="822">
        <v>545264.36360304197</v>
      </c>
      <c r="I883" s="819"/>
      <c r="J883" s="820">
        <v>0</v>
      </c>
      <c r="K883" s="819">
        <f t="shared" si="190"/>
        <v>1595</v>
      </c>
      <c r="L883" s="819">
        <f t="shared" si="191"/>
        <v>1084</v>
      </c>
      <c r="M883" s="819">
        <f t="shared" si="187"/>
        <v>1595</v>
      </c>
      <c r="N883" s="819">
        <f t="shared" si="188"/>
        <v>364</v>
      </c>
      <c r="O883" s="819">
        <f t="shared" si="189"/>
        <v>492</v>
      </c>
      <c r="P883" s="819">
        <f t="shared" si="192"/>
        <v>197</v>
      </c>
      <c r="Q883" s="819">
        <f t="shared" si="193"/>
        <v>661</v>
      </c>
      <c r="R883" s="819">
        <f t="shared" si="194"/>
        <v>1513</v>
      </c>
      <c r="S883" s="819">
        <f t="shared" si="195"/>
        <v>338</v>
      </c>
      <c r="T883" s="819">
        <f t="shared" si="196"/>
        <v>470</v>
      </c>
      <c r="U883" s="819">
        <f t="shared" si="197"/>
        <v>3179</v>
      </c>
      <c r="V883" s="819">
        <f t="shared" si="198"/>
        <v>1169</v>
      </c>
      <c r="W883" s="379">
        <f t="shared" si="199"/>
        <v>1169</v>
      </c>
      <c r="X883" s="819" t="str">
        <f t="shared" si="200"/>
        <v/>
      </c>
      <c r="Y883" s="837"/>
      <c r="Z883" s="839"/>
      <c r="AA883" s="838"/>
      <c r="AB883" s="839"/>
    </row>
    <row r="884" spans="1:28" ht="13.15">
      <c r="B884" s="819" t="s">
        <v>2182</v>
      </c>
      <c r="C884" s="819" t="s">
        <v>2183</v>
      </c>
      <c r="D884" s="379" t="s">
        <v>336</v>
      </c>
      <c r="E884" s="818" t="s">
        <v>2171</v>
      </c>
      <c r="F884" s="820">
        <v>1.326550618</v>
      </c>
      <c r="G884" s="821">
        <v>0.99088420399999999</v>
      </c>
      <c r="H884" s="822">
        <v>786561.89865298301</v>
      </c>
      <c r="I884" s="819">
        <v>0.87</v>
      </c>
      <c r="J884" s="820">
        <v>-3.5091799999999998E-4</v>
      </c>
      <c r="K884" s="819">
        <f t="shared" si="190"/>
        <v>1574</v>
      </c>
      <c r="L884" s="819">
        <f t="shared" si="191"/>
        <v>813</v>
      </c>
      <c r="M884" s="819">
        <f t="shared" si="187"/>
        <v>1574</v>
      </c>
      <c r="N884" s="819">
        <f t="shared" si="188"/>
        <v>138</v>
      </c>
      <c r="O884" s="819">
        <f t="shared" si="189"/>
        <v>1197</v>
      </c>
      <c r="P884" s="819">
        <f t="shared" si="192"/>
        <v>176</v>
      </c>
      <c r="Q884" s="819">
        <f t="shared" si="193"/>
        <v>390</v>
      </c>
      <c r="R884" s="819">
        <f t="shared" si="194"/>
        <v>1492</v>
      </c>
      <c r="S884" s="819">
        <f t="shared" si="195"/>
        <v>112</v>
      </c>
      <c r="T884" s="819">
        <f t="shared" si="196"/>
        <v>1175</v>
      </c>
      <c r="U884" s="819">
        <f t="shared" si="197"/>
        <v>3345</v>
      </c>
      <c r="V884" s="819">
        <f t="shared" si="198"/>
        <v>1398</v>
      </c>
      <c r="W884" s="379">
        <f t="shared" si="199"/>
        <v>1398</v>
      </c>
      <c r="X884" s="819" t="str">
        <f t="shared" si="200"/>
        <v/>
      </c>
      <c r="Y884" s="837"/>
      <c r="Z884" s="839"/>
      <c r="AA884" s="838"/>
      <c r="AB884" s="839"/>
    </row>
    <row r="885" spans="1:28" ht="14.45">
      <c r="A885" s="816"/>
      <c r="B885" s="819" t="s">
        <v>2184</v>
      </c>
      <c r="C885" s="819" t="s">
        <v>2185</v>
      </c>
      <c r="D885" s="379" t="s">
        <v>336</v>
      </c>
      <c r="E885" s="818" t="s">
        <v>2171</v>
      </c>
      <c r="F885" s="820">
        <v>2.2778714510000002</v>
      </c>
      <c r="G885" s="821">
        <v>4.0392670160000002</v>
      </c>
      <c r="H885" s="822">
        <v>236792.852816475</v>
      </c>
      <c r="I885" s="819">
        <v>0.96</v>
      </c>
      <c r="J885" s="820">
        <v>-1.1156141E-2</v>
      </c>
      <c r="K885" s="819">
        <f t="shared" si="190"/>
        <v>1636</v>
      </c>
      <c r="L885" s="819">
        <f t="shared" si="191"/>
        <v>446</v>
      </c>
      <c r="M885" s="819">
        <f t="shared" si="187"/>
        <v>1636</v>
      </c>
      <c r="N885" s="819">
        <f t="shared" si="188"/>
        <v>135</v>
      </c>
      <c r="O885" s="819">
        <f t="shared" si="189"/>
        <v>1651</v>
      </c>
      <c r="P885" s="819">
        <f t="shared" si="192"/>
        <v>238</v>
      </c>
      <c r="Q885" s="819">
        <f t="shared" si="193"/>
        <v>23</v>
      </c>
      <c r="R885" s="819">
        <f t="shared" si="194"/>
        <v>1554</v>
      </c>
      <c r="S885" s="819">
        <f t="shared" si="195"/>
        <v>109</v>
      </c>
      <c r="T885" s="819">
        <f t="shared" si="196"/>
        <v>1629</v>
      </c>
      <c r="U885" s="819">
        <f t="shared" si="197"/>
        <v>3553</v>
      </c>
      <c r="V885" s="819">
        <f t="shared" si="198"/>
        <v>1596</v>
      </c>
      <c r="W885" s="379">
        <f t="shared" si="199"/>
        <v>1596</v>
      </c>
      <c r="X885" s="819" t="str">
        <f t="shared" si="200"/>
        <v/>
      </c>
      <c r="Y885" s="837"/>
      <c r="Z885" s="839"/>
      <c r="AA885" s="838"/>
      <c r="AB885" s="839"/>
    </row>
    <row r="886" spans="1:28" ht="13.15">
      <c r="B886" s="819" t="s">
        <v>2186</v>
      </c>
      <c r="C886" s="819" t="s">
        <v>2187</v>
      </c>
      <c r="D886" s="379" t="s">
        <v>336</v>
      </c>
      <c r="E886" s="818" t="s">
        <v>352</v>
      </c>
      <c r="F886" s="820">
        <v>2.5156447800000001</v>
      </c>
      <c r="G886" s="821">
        <v>2.1216822230000001</v>
      </c>
      <c r="H886" s="822">
        <v>114413754.52724899</v>
      </c>
      <c r="I886" s="819"/>
      <c r="J886" s="820">
        <v>-2.2998279999999999E-3</v>
      </c>
      <c r="K886" s="819">
        <f t="shared" si="190"/>
        <v>685</v>
      </c>
      <c r="L886" s="819">
        <f t="shared" si="191"/>
        <v>656</v>
      </c>
      <c r="M886" s="819">
        <f t="shared" si="187"/>
        <v>685</v>
      </c>
      <c r="N886" s="819">
        <f t="shared" si="188"/>
        <v>364</v>
      </c>
      <c r="O886" s="819">
        <f t="shared" si="189"/>
        <v>1514</v>
      </c>
      <c r="P886" s="819">
        <f t="shared" si="192"/>
        <v>713</v>
      </c>
      <c r="Q886" s="819">
        <f t="shared" si="193"/>
        <v>233</v>
      </c>
      <c r="R886" s="819">
        <f t="shared" si="194"/>
        <v>603</v>
      </c>
      <c r="S886" s="819">
        <f t="shared" si="195"/>
        <v>338</v>
      </c>
      <c r="T886" s="819">
        <f t="shared" si="196"/>
        <v>1492</v>
      </c>
      <c r="U886" s="819">
        <f t="shared" si="197"/>
        <v>3379</v>
      </c>
      <c r="V886" s="819">
        <f t="shared" si="198"/>
        <v>1443</v>
      </c>
      <c r="W886" s="379">
        <f t="shared" si="199"/>
        <v>1443</v>
      </c>
      <c r="X886" s="819" t="str">
        <f t="shared" si="200"/>
        <v/>
      </c>
      <c r="Y886" s="837"/>
      <c r="Z886" s="839"/>
      <c r="AA886" s="838"/>
      <c r="AB886" s="839"/>
    </row>
    <row r="887" spans="1:28" ht="14.45">
      <c r="A887" s="816"/>
      <c r="B887" s="819" t="s">
        <v>2188</v>
      </c>
      <c r="C887" s="819" t="s">
        <v>2189</v>
      </c>
      <c r="D887" s="379" t="s">
        <v>336</v>
      </c>
      <c r="E887" s="818" t="s">
        <v>607</v>
      </c>
      <c r="F887" s="820">
        <v>1.6999967789999999</v>
      </c>
      <c r="G887" s="821">
        <v>11.239979630000001</v>
      </c>
      <c r="H887" s="822">
        <v>1617137500.74787</v>
      </c>
      <c r="I887" s="819"/>
      <c r="J887" s="820">
        <v>-3.9367799999999999E-5</v>
      </c>
      <c r="K887" s="819">
        <f t="shared" si="190"/>
        <v>171</v>
      </c>
      <c r="L887" s="819">
        <f t="shared" si="191"/>
        <v>169</v>
      </c>
      <c r="M887" s="819">
        <f t="shared" si="187"/>
        <v>171</v>
      </c>
      <c r="N887" s="819">
        <f t="shared" si="188"/>
        <v>364</v>
      </c>
      <c r="O887" s="819">
        <f t="shared" si="189"/>
        <v>896</v>
      </c>
      <c r="P887" s="819">
        <f t="shared" si="192"/>
        <v>1227</v>
      </c>
      <c r="Q887" s="819">
        <f t="shared" si="193"/>
        <v>254</v>
      </c>
      <c r="R887" s="819">
        <f t="shared" si="194"/>
        <v>89</v>
      </c>
      <c r="S887" s="819">
        <f t="shared" si="195"/>
        <v>338</v>
      </c>
      <c r="T887" s="819">
        <f t="shared" si="196"/>
        <v>874</v>
      </c>
      <c r="U887" s="819">
        <f t="shared" si="197"/>
        <v>2782</v>
      </c>
      <c r="V887" s="819">
        <f t="shared" si="198"/>
        <v>460</v>
      </c>
      <c r="W887" s="379">
        <f t="shared" si="199"/>
        <v>460</v>
      </c>
      <c r="X887" s="819" t="str">
        <f t="shared" si="200"/>
        <v/>
      </c>
      <c r="Y887" s="837"/>
      <c r="Z887" s="839"/>
      <c r="AA887" s="838"/>
      <c r="AB887" s="839"/>
    </row>
    <row r="888" spans="1:28" ht="13.15">
      <c r="B888" s="819" t="s">
        <v>2190</v>
      </c>
      <c r="C888" s="819" t="s">
        <v>2191</v>
      </c>
      <c r="D888" s="379" t="s">
        <v>336</v>
      </c>
      <c r="E888" s="818" t="s">
        <v>460</v>
      </c>
      <c r="F888" s="820">
        <v>1.7964713779999999</v>
      </c>
      <c r="G888" s="821">
        <v>0</v>
      </c>
      <c r="H888" s="822">
        <v>931446142.11302197</v>
      </c>
      <c r="I888" s="819"/>
      <c r="J888" s="820">
        <v>-8.2069400000000004E-5</v>
      </c>
      <c r="K888" s="819">
        <f t="shared" si="190"/>
        <v>234</v>
      </c>
      <c r="L888" s="819">
        <f t="shared" si="191"/>
        <v>1084</v>
      </c>
      <c r="M888" s="819">
        <f t="shared" si="187"/>
        <v>234</v>
      </c>
      <c r="N888" s="819">
        <f t="shared" si="188"/>
        <v>364</v>
      </c>
      <c r="O888" s="819">
        <f t="shared" si="189"/>
        <v>978</v>
      </c>
      <c r="P888" s="819">
        <f t="shared" si="192"/>
        <v>1164</v>
      </c>
      <c r="Q888" s="819">
        <f t="shared" si="193"/>
        <v>661</v>
      </c>
      <c r="R888" s="819">
        <f t="shared" si="194"/>
        <v>152</v>
      </c>
      <c r="S888" s="819">
        <f t="shared" si="195"/>
        <v>338</v>
      </c>
      <c r="T888" s="819">
        <f t="shared" si="196"/>
        <v>956</v>
      </c>
      <c r="U888" s="819">
        <f t="shared" si="197"/>
        <v>3271</v>
      </c>
      <c r="V888" s="819">
        <f t="shared" si="198"/>
        <v>1300</v>
      </c>
      <c r="W888" s="379">
        <f t="shared" si="199"/>
        <v>1300</v>
      </c>
      <c r="X888" s="819" t="str">
        <f t="shared" si="200"/>
        <v/>
      </c>
      <c r="Y888" s="837"/>
      <c r="Z888" s="839"/>
      <c r="AA888" s="838"/>
      <c r="AB888" s="839"/>
    </row>
    <row r="889" spans="1:28" ht="14.45">
      <c r="A889" s="816"/>
      <c r="B889" s="819" t="s">
        <v>2192</v>
      </c>
      <c r="C889" s="819" t="s">
        <v>2193</v>
      </c>
      <c r="D889" s="379" t="s">
        <v>336</v>
      </c>
      <c r="E889" s="818" t="s">
        <v>1382</v>
      </c>
      <c r="F889" s="820">
        <v>1.704234163</v>
      </c>
      <c r="G889" s="821">
        <v>0.49904237499999998</v>
      </c>
      <c r="H889" s="822">
        <v>13033726.779419299</v>
      </c>
      <c r="I889" s="819"/>
      <c r="J889" s="820">
        <v>-2.72961E-4</v>
      </c>
      <c r="K889" s="819">
        <f t="shared" si="190"/>
        <v>1202</v>
      </c>
      <c r="L889" s="819">
        <f t="shared" si="191"/>
        <v>924</v>
      </c>
      <c r="M889" s="819">
        <f t="shared" si="187"/>
        <v>1202</v>
      </c>
      <c r="N889" s="819">
        <f t="shared" si="188"/>
        <v>364</v>
      </c>
      <c r="O889" s="819">
        <f t="shared" si="189"/>
        <v>1161</v>
      </c>
      <c r="P889" s="819">
        <f t="shared" si="192"/>
        <v>196</v>
      </c>
      <c r="Q889" s="819">
        <f t="shared" si="193"/>
        <v>501</v>
      </c>
      <c r="R889" s="819">
        <f t="shared" si="194"/>
        <v>1120</v>
      </c>
      <c r="S889" s="819">
        <f t="shared" si="195"/>
        <v>338</v>
      </c>
      <c r="T889" s="819">
        <f t="shared" si="196"/>
        <v>1139</v>
      </c>
      <c r="U889" s="819">
        <f t="shared" si="197"/>
        <v>3294</v>
      </c>
      <c r="V889" s="819">
        <f t="shared" si="198"/>
        <v>1331</v>
      </c>
      <c r="W889" s="379">
        <f t="shared" si="199"/>
        <v>1331</v>
      </c>
      <c r="X889" s="819" t="str">
        <f t="shared" si="200"/>
        <v/>
      </c>
      <c r="Y889" s="837"/>
      <c r="Z889" s="839"/>
      <c r="AA889" s="838"/>
      <c r="AB889" s="839"/>
    </row>
    <row r="890" spans="1:28" ht="13.15">
      <c r="B890" s="819" t="s">
        <v>2194</v>
      </c>
      <c r="C890" s="819" t="s">
        <v>2195</v>
      </c>
      <c r="D890" s="379" t="s">
        <v>336</v>
      </c>
      <c r="E890" s="818" t="s">
        <v>1832</v>
      </c>
      <c r="F890" s="820">
        <v>7.5122480180000002</v>
      </c>
      <c r="G890" s="821">
        <v>3.2177155879999999</v>
      </c>
      <c r="H890" s="822">
        <v>20775557.4635683</v>
      </c>
      <c r="I890" s="819"/>
      <c r="J890" s="820">
        <v>-4.6806000000000001E-4</v>
      </c>
      <c r="K890" s="819">
        <f t="shared" si="190"/>
        <v>1095</v>
      </c>
      <c r="L890" s="819">
        <f t="shared" si="191"/>
        <v>530</v>
      </c>
      <c r="M890" s="819">
        <f t="shared" si="187"/>
        <v>1095</v>
      </c>
      <c r="N890" s="819">
        <f t="shared" si="188"/>
        <v>364</v>
      </c>
      <c r="O890" s="819">
        <f t="shared" si="189"/>
        <v>1255</v>
      </c>
      <c r="P890" s="819">
        <f t="shared" si="192"/>
        <v>303</v>
      </c>
      <c r="Q890" s="819">
        <f t="shared" si="193"/>
        <v>107</v>
      </c>
      <c r="R890" s="819">
        <f t="shared" si="194"/>
        <v>1013</v>
      </c>
      <c r="S890" s="819">
        <f t="shared" si="195"/>
        <v>338</v>
      </c>
      <c r="T890" s="819">
        <f t="shared" si="196"/>
        <v>1233</v>
      </c>
      <c r="U890" s="819">
        <f t="shared" si="197"/>
        <v>2994</v>
      </c>
      <c r="V890" s="819">
        <f t="shared" si="198"/>
        <v>920</v>
      </c>
      <c r="W890" s="379">
        <f t="shared" si="199"/>
        <v>920</v>
      </c>
      <c r="X890" s="819" t="str">
        <f t="shared" si="200"/>
        <v/>
      </c>
      <c r="Y890" s="837"/>
      <c r="Z890" s="839"/>
      <c r="AA890" s="838"/>
      <c r="AB890" s="839"/>
    </row>
    <row r="891" spans="1:28" ht="14.45">
      <c r="A891" s="816"/>
      <c r="B891" s="819" t="s">
        <v>2196</v>
      </c>
      <c r="C891" s="819" t="s">
        <v>2197</v>
      </c>
      <c r="D891" s="379" t="s">
        <v>336</v>
      </c>
      <c r="E891" s="818" t="s">
        <v>2049</v>
      </c>
      <c r="F891" s="820">
        <v>1.4254722150000001</v>
      </c>
      <c r="G891" s="821">
        <v>2.366778338</v>
      </c>
      <c r="H891" s="822">
        <v>92245693.986876503</v>
      </c>
      <c r="I891" s="819">
        <v>0.66</v>
      </c>
      <c r="J891" s="820">
        <v>-7.181354E-3</v>
      </c>
      <c r="K891" s="819">
        <f t="shared" si="190"/>
        <v>739</v>
      </c>
      <c r="L891" s="819">
        <f t="shared" si="191"/>
        <v>620</v>
      </c>
      <c r="M891" s="819">
        <f t="shared" si="187"/>
        <v>739</v>
      </c>
      <c r="N891" s="819">
        <f t="shared" si="188"/>
        <v>156</v>
      </c>
      <c r="O891" s="819">
        <f t="shared" si="189"/>
        <v>1629</v>
      </c>
      <c r="P891" s="819">
        <f t="shared" si="192"/>
        <v>659</v>
      </c>
      <c r="Q891" s="819">
        <f t="shared" si="193"/>
        <v>197</v>
      </c>
      <c r="R891" s="819">
        <f t="shared" si="194"/>
        <v>657</v>
      </c>
      <c r="S891" s="819">
        <f t="shared" si="195"/>
        <v>130</v>
      </c>
      <c r="T891" s="819">
        <f t="shared" si="196"/>
        <v>1607</v>
      </c>
      <c r="U891" s="819">
        <f t="shared" si="197"/>
        <v>3250</v>
      </c>
      <c r="V891" s="819">
        <f t="shared" si="198"/>
        <v>1269</v>
      </c>
      <c r="W891" s="379">
        <f t="shared" si="199"/>
        <v>1269</v>
      </c>
      <c r="X891" s="819" t="str">
        <f t="shared" si="200"/>
        <v/>
      </c>
      <c r="Y891" s="837"/>
      <c r="Z891" s="839"/>
      <c r="AA891" s="838"/>
      <c r="AB891" s="839"/>
    </row>
    <row r="892" spans="1:28" ht="13.15">
      <c r="B892" s="819" t="s">
        <v>2198</v>
      </c>
      <c r="C892" s="819" t="s">
        <v>2199</v>
      </c>
      <c r="D892" s="379" t="s">
        <v>336</v>
      </c>
      <c r="E892" s="818" t="s">
        <v>1077</v>
      </c>
      <c r="F892" s="820">
        <v>1.53960393</v>
      </c>
      <c r="G892" s="821">
        <v>0</v>
      </c>
      <c r="H892" s="822">
        <v>21642257.332142301</v>
      </c>
      <c r="I892" s="819"/>
      <c r="J892" s="820">
        <v>-1.1861200000000001E-6</v>
      </c>
      <c r="K892" s="819">
        <f t="shared" si="190"/>
        <v>1086</v>
      </c>
      <c r="L892" s="819">
        <f t="shared" si="191"/>
        <v>1084</v>
      </c>
      <c r="M892" s="819">
        <f t="shared" si="187"/>
        <v>1086</v>
      </c>
      <c r="N892" s="819">
        <f t="shared" si="188"/>
        <v>364</v>
      </c>
      <c r="O892" s="819">
        <f t="shared" si="189"/>
        <v>755</v>
      </c>
      <c r="P892" s="819">
        <f t="shared" si="192"/>
        <v>312</v>
      </c>
      <c r="Q892" s="819">
        <f t="shared" si="193"/>
        <v>661</v>
      </c>
      <c r="R892" s="819">
        <f t="shared" si="194"/>
        <v>1004</v>
      </c>
      <c r="S892" s="819">
        <f t="shared" si="195"/>
        <v>338</v>
      </c>
      <c r="T892" s="819">
        <f t="shared" si="196"/>
        <v>733</v>
      </c>
      <c r="U892" s="819">
        <f t="shared" si="197"/>
        <v>3048</v>
      </c>
      <c r="V892" s="819">
        <f t="shared" si="198"/>
        <v>993</v>
      </c>
      <c r="W892" s="379">
        <f t="shared" si="199"/>
        <v>993</v>
      </c>
      <c r="X892" s="819" t="str">
        <f t="shared" si="200"/>
        <v/>
      </c>
      <c r="Y892" s="837"/>
      <c r="Z892" s="839"/>
      <c r="AA892" s="838"/>
      <c r="AB892" s="839"/>
    </row>
    <row r="893" spans="1:28" ht="14.45">
      <c r="A893" s="816"/>
      <c r="B893" s="819" t="s">
        <v>2200</v>
      </c>
      <c r="C893" s="819" t="s">
        <v>2201</v>
      </c>
      <c r="D893" s="379" t="s">
        <v>336</v>
      </c>
      <c r="E893" s="818" t="s">
        <v>568</v>
      </c>
      <c r="F893" s="820">
        <v>0</v>
      </c>
      <c r="G893" s="821">
        <v>-4.9367526210000001</v>
      </c>
      <c r="H893" s="822">
        <v>2246381546.7689199</v>
      </c>
      <c r="I893" s="819"/>
      <c r="J893" s="820">
        <v>9.3640200000000002E-6</v>
      </c>
      <c r="K893" s="819">
        <f t="shared" si="190"/>
        <v>136</v>
      </c>
      <c r="L893" s="819">
        <f t="shared" si="191"/>
        <v>1405</v>
      </c>
      <c r="M893" s="819">
        <f t="shared" si="187"/>
        <v>136</v>
      </c>
      <c r="N893" s="819">
        <f t="shared" si="188"/>
        <v>364</v>
      </c>
      <c r="O893" s="819">
        <f t="shared" si="189"/>
        <v>421</v>
      </c>
      <c r="P893" s="819">
        <f t="shared" si="192"/>
        <v>1262</v>
      </c>
      <c r="Q893" s="819">
        <f t="shared" si="193"/>
        <v>982</v>
      </c>
      <c r="R893" s="819">
        <f t="shared" si="194"/>
        <v>54</v>
      </c>
      <c r="S893" s="819">
        <f t="shared" si="195"/>
        <v>338</v>
      </c>
      <c r="T893" s="819">
        <f t="shared" si="196"/>
        <v>399</v>
      </c>
      <c r="U893" s="819">
        <f t="shared" si="197"/>
        <v>3035</v>
      </c>
      <c r="V893" s="819">
        <f t="shared" si="198"/>
        <v>976</v>
      </c>
      <c r="W893" s="379">
        <f t="shared" si="199"/>
        <v>976</v>
      </c>
      <c r="X893" s="819" t="str">
        <f t="shared" si="200"/>
        <v/>
      </c>
      <c r="Y893" s="837"/>
      <c r="Z893" s="839"/>
      <c r="AA893" s="838"/>
      <c r="AB893" s="839"/>
    </row>
    <row r="894" spans="1:28" ht="13.15">
      <c r="B894" s="819" t="s">
        <v>2202</v>
      </c>
      <c r="C894" s="819" t="s">
        <v>2203</v>
      </c>
      <c r="D894" s="379" t="s">
        <v>336</v>
      </c>
      <c r="E894" s="818" t="s">
        <v>1720</v>
      </c>
      <c r="F894" s="820">
        <v>19.829970200000002</v>
      </c>
      <c r="G894" s="821">
        <v>2.8052554860000001</v>
      </c>
      <c r="H894" s="822"/>
      <c r="I894" s="819"/>
      <c r="J894" s="820">
        <v>-1.4995589999999999E-3</v>
      </c>
      <c r="K894" s="819" t="str">
        <f t="shared" si="190"/>
        <v>N/A</v>
      </c>
      <c r="L894" s="819">
        <f t="shared" si="191"/>
        <v>568</v>
      </c>
      <c r="M894" s="819" t="str">
        <f t="shared" si="187"/>
        <v>N/A</v>
      </c>
      <c r="N894" s="819">
        <f t="shared" si="188"/>
        <v>364</v>
      </c>
      <c r="O894" s="819">
        <f t="shared" si="189"/>
        <v>1464</v>
      </c>
      <c r="P894" s="819" t="str">
        <f t="shared" si="192"/>
        <v>N/A</v>
      </c>
      <c r="Q894" s="819">
        <f t="shared" si="193"/>
        <v>145</v>
      </c>
      <c r="R894" s="819" t="str">
        <f t="shared" si="194"/>
        <v>N/A</v>
      </c>
      <c r="S894" s="819">
        <f t="shared" si="195"/>
        <v>338</v>
      </c>
      <c r="T894" s="819">
        <f t="shared" si="196"/>
        <v>1442</v>
      </c>
      <c r="U894" s="819">
        <f t="shared" si="197"/>
        <v>1925</v>
      </c>
      <c r="V894" s="819">
        <f t="shared" si="198"/>
        <v>153</v>
      </c>
      <c r="W894" s="379">
        <f t="shared" si="199"/>
        <v>153</v>
      </c>
      <c r="X894" s="819" t="str">
        <f t="shared" si="200"/>
        <v/>
      </c>
      <c r="Y894" s="837"/>
      <c r="Z894" s="839"/>
      <c r="AA894" s="838"/>
      <c r="AB894" s="839"/>
    </row>
    <row r="895" spans="1:28" ht="14.45">
      <c r="A895" s="816"/>
      <c r="B895" s="819" t="s">
        <v>2204</v>
      </c>
      <c r="C895" s="819" t="s">
        <v>2205</v>
      </c>
      <c r="D895" s="379" t="s">
        <v>336</v>
      </c>
      <c r="E895" s="818" t="s">
        <v>1832</v>
      </c>
      <c r="F895" s="820">
        <v>3.055108937</v>
      </c>
      <c r="G895" s="821">
        <v>44.320366370000002</v>
      </c>
      <c r="H895" s="822">
        <v>612366.15202835796</v>
      </c>
      <c r="I895" s="819"/>
      <c r="J895" s="820">
        <v>-4.4387800000000002E-5</v>
      </c>
      <c r="K895" s="819">
        <f t="shared" si="190"/>
        <v>1592</v>
      </c>
      <c r="L895" s="819">
        <f t="shared" si="191"/>
        <v>41</v>
      </c>
      <c r="M895" s="819">
        <f t="shared" si="187"/>
        <v>1592</v>
      </c>
      <c r="N895" s="819">
        <f t="shared" si="188"/>
        <v>364</v>
      </c>
      <c r="O895" s="819">
        <f t="shared" si="189"/>
        <v>910</v>
      </c>
      <c r="P895" s="819">
        <f t="shared" si="192"/>
        <v>194</v>
      </c>
      <c r="Q895" s="819">
        <f t="shared" si="193"/>
        <v>382</v>
      </c>
      <c r="R895" s="819">
        <f t="shared" si="194"/>
        <v>1510</v>
      </c>
      <c r="S895" s="819">
        <f t="shared" si="195"/>
        <v>338</v>
      </c>
      <c r="T895" s="819">
        <f t="shared" si="196"/>
        <v>888</v>
      </c>
      <c r="U895" s="819">
        <f t="shared" si="197"/>
        <v>3312</v>
      </c>
      <c r="V895" s="819">
        <f t="shared" si="198"/>
        <v>1360</v>
      </c>
      <c r="W895" s="379">
        <f t="shared" si="199"/>
        <v>1360</v>
      </c>
      <c r="X895" s="819" t="str">
        <f t="shared" si="200"/>
        <v/>
      </c>
      <c r="Y895" s="837"/>
      <c r="Z895" s="839"/>
      <c r="AA895" s="838"/>
      <c r="AB895" s="839"/>
    </row>
    <row r="896" spans="1:28" ht="13.15">
      <c r="B896" s="819" t="s">
        <v>2206</v>
      </c>
      <c r="C896" s="819" t="s">
        <v>2207</v>
      </c>
      <c r="D896" s="379" t="s">
        <v>336</v>
      </c>
      <c r="E896" s="818" t="s">
        <v>2140</v>
      </c>
      <c r="F896" s="820"/>
      <c r="G896" s="821"/>
      <c r="H896" s="822"/>
      <c r="I896" s="819"/>
      <c r="J896" s="820">
        <v>0</v>
      </c>
      <c r="K896" s="819" t="str">
        <f t="shared" si="190"/>
        <v>N/A</v>
      </c>
      <c r="L896" s="819">
        <f t="shared" si="191"/>
        <v>1084</v>
      </c>
      <c r="M896" s="819" t="str">
        <f t="shared" si="187"/>
        <v>N/A</v>
      </c>
      <c r="N896" s="819">
        <f t="shared" si="188"/>
        <v>364</v>
      </c>
      <c r="O896" s="819">
        <f t="shared" si="189"/>
        <v>492</v>
      </c>
      <c r="P896" s="819" t="str">
        <f t="shared" si="192"/>
        <v>N/A</v>
      </c>
      <c r="Q896" s="819">
        <f t="shared" si="193"/>
        <v>661</v>
      </c>
      <c r="R896" s="819" t="str">
        <f t="shared" si="194"/>
        <v>N/A</v>
      </c>
      <c r="S896" s="819">
        <f t="shared" si="195"/>
        <v>338</v>
      </c>
      <c r="T896" s="819">
        <f t="shared" si="196"/>
        <v>470</v>
      </c>
      <c r="U896" s="819">
        <f t="shared" si="197"/>
        <v>1469</v>
      </c>
      <c r="V896" s="819">
        <f t="shared" si="198"/>
        <v>22</v>
      </c>
      <c r="W896" s="379">
        <f t="shared" si="199"/>
        <v>22</v>
      </c>
      <c r="X896" s="819" t="str">
        <f t="shared" si="200"/>
        <v/>
      </c>
      <c r="Y896" s="837"/>
      <c r="Z896" s="839"/>
      <c r="AA896" s="838"/>
      <c r="AB896" s="839"/>
    </row>
    <row r="897" spans="1:28" ht="14.45">
      <c r="A897" s="816"/>
      <c r="B897" s="819" t="s">
        <v>2208</v>
      </c>
      <c r="C897" s="819" t="s">
        <v>2209</v>
      </c>
      <c r="D897" s="379" t="s">
        <v>336</v>
      </c>
      <c r="E897" s="818" t="s">
        <v>441</v>
      </c>
      <c r="F897" s="820"/>
      <c r="G897" s="821"/>
      <c r="H897" s="822">
        <v>10806105.4437006</v>
      </c>
      <c r="I897" s="819"/>
      <c r="J897" s="820">
        <v>0</v>
      </c>
      <c r="K897" s="819">
        <f t="shared" si="190"/>
        <v>1237</v>
      </c>
      <c r="L897" s="819">
        <f t="shared" si="191"/>
        <v>1084</v>
      </c>
      <c r="M897" s="819">
        <f t="shared" si="187"/>
        <v>1237</v>
      </c>
      <c r="N897" s="819">
        <f t="shared" si="188"/>
        <v>364</v>
      </c>
      <c r="O897" s="819">
        <f t="shared" si="189"/>
        <v>492</v>
      </c>
      <c r="P897" s="819">
        <f t="shared" si="192"/>
        <v>161</v>
      </c>
      <c r="Q897" s="819">
        <f t="shared" si="193"/>
        <v>661</v>
      </c>
      <c r="R897" s="819">
        <f t="shared" si="194"/>
        <v>1155</v>
      </c>
      <c r="S897" s="819">
        <f t="shared" si="195"/>
        <v>338</v>
      </c>
      <c r="T897" s="819">
        <f t="shared" si="196"/>
        <v>470</v>
      </c>
      <c r="U897" s="819">
        <f t="shared" si="197"/>
        <v>2785</v>
      </c>
      <c r="V897" s="819">
        <f t="shared" si="198"/>
        <v>463</v>
      </c>
      <c r="W897" s="379">
        <f t="shared" si="199"/>
        <v>463</v>
      </c>
      <c r="X897" s="819" t="str">
        <f t="shared" si="200"/>
        <v/>
      </c>
      <c r="Y897" s="837"/>
      <c r="Z897" s="839"/>
      <c r="AA897" s="838"/>
      <c r="AB897" s="839"/>
    </row>
    <row r="898" spans="1:28" ht="13.15">
      <c r="B898" s="819" t="s">
        <v>2210</v>
      </c>
      <c r="C898" s="819" t="s">
        <v>2211</v>
      </c>
      <c r="D898" s="379" t="s">
        <v>336</v>
      </c>
      <c r="E898" s="818" t="s">
        <v>460</v>
      </c>
      <c r="F898" s="820">
        <v>0.47889916999999999</v>
      </c>
      <c r="G898" s="821">
        <v>0.79826183500000003</v>
      </c>
      <c r="H898" s="822"/>
      <c r="I898" s="819"/>
      <c r="J898" s="820">
        <v>-2.3094399999999999E-4</v>
      </c>
      <c r="K898" s="819" t="str">
        <f t="shared" si="190"/>
        <v>N/A</v>
      </c>
      <c r="L898" s="819">
        <f t="shared" si="191"/>
        <v>851</v>
      </c>
      <c r="M898" s="819" t="str">
        <f t="shared" si="187"/>
        <v>N/A</v>
      </c>
      <c r="N898" s="819">
        <f t="shared" si="188"/>
        <v>364</v>
      </c>
      <c r="O898" s="819">
        <f t="shared" si="189"/>
        <v>1132</v>
      </c>
      <c r="P898" s="819" t="str">
        <f t="shared" si="192"/>
        <v>N/A</v>
      </c>
      <c r="Q898" s="819">
        <f t="shared" si="193"/>
        <v>428</v>
      </c>
      <c r="R898" s="819" t="str">
        <f t="shared" si="194"/>
        <v>N/A</v>
      </c>
      <c r="S898" s="819">
        <f t="shared" si="195"/>
        <v>338</v>
      </c>
      <c r="T898" s="819">
        <f t="shared" si="196"/>
        <v>1110</v>
      </c>
      <c r="U898" s="819">
        <f t="shared" si="197"/>
        <v>1876</v>
      </c>
      <c r="V898" s="819">
        <f t="shared" si="198"/>
        <v>137</v>
      </c>
      <c r="W898" s="379">
        <f t="shared" si="199"/>
        <v>137</v>
      </c>
      <c r="X898" s="819" t="str">
        <f t="shared" si="200"/>
        <v/>
      </c>
      <c r="Y898" s="837"/>
      <c r="Z898" s="839"/>
      <c r="AA898" s="838"/>
      <c r="AB898" s="839"/>
    </row>
    <row r="899" spans="1:28" ht="14.45">
      <c r="A899" s="816"/>
      <c r="B899" s="819" t="s">
        <v>2212</v>
      </c>
      <c r="C899" s="819" t="s">
        <v>2213</v>
      </c>
      <c r="D899" s="379" t="s">
        <v>336</v>
      </c>
      <c r="E899" s="818" t="s">
        <v>460</v>
      </c>
      <c r="F899" s="820"/>
      <c r="G899" s="821"/>
      <c r="H899" s="822">
        <v>503468.68820039497</v>
      </c>
      <c r="I899" s="819"/>
      <c r="J899" s="820">
        <v>0</v>
      </c>
      <c r="K899" s="819">
        <f t="shared" si="190"/>
        <v>1600</v>
      </c>
      <c r="L899" s="819">
        <f t="shared" si="191"/>
        <v>1084</v>
      </c>
      <c r="M899" s="819">
        <f t="shared" si="187"/>
        <v>1600</v>
      </c>
      <c r="N899" s="819">
        <f t="shared" si="188"/>
        <v>364</v>
      </c>
      <c r="O899" s="819">
        <f t="shared" si="189"/>
        <v>492</v>
      </c>
      <c r="P899" s="819">
        <f t="shared" si="192"/>
        <v>202</v>
      </c>
      <c r="Q899" s="819">
        <f t="shared" si="193"/>
        <v>661</v>
      </c>
      <c r="R899" s="819">
        <f t="shared" si="194"/>
        <v>1518</v>
      </c>
      <c r="S899" s="819">
        <f t="shared" si="195"/>
        <v>338</v>
      </c>
      <c r="T899" s="819">
        <f t="shared" si="196"/>
        <v>470</v>
      </c>
      <c r="U899" s="819">
        <f t="shared" si="197"/>
        <v>3189</v>
      </c>
      <c r="V899" s="819">
        <f t="shared" si="198"/>
        <v>1181</v>
      </c>
      <c r="W899" s="379">
        <f t="shared" si="199"/>
        <v>1181</v>
      </c>
      <c r="X899" s="819" t="str">
        <f t="shared" si="200"/>
        <v/>
      </c>
      <c r="Y899" s="837"/>
      <c r="Z899" s="839"/>
      <c r="AA899" s="838"/>
      <c r="AB899" s="839"/>
    </row>
    <row r="900" spans="1:28" ht="13.15">
      <c r="B900" s="819" t="s">
        <v>2214</v>
      </c>
      <c r="C900" s="819" t="s">
        <v>2215</v>
      </c>
      <c r="D900" s="379" t="s">
        <v>336</v>
      </c>
      <c r="E900" s="818" t="s">
        <v>1720</v>
      </c>
      <c r="F900" s="820"/>
      <c r="G900" s="821"/>
      <c r="H900" s="822"/>
      <c r="I900" s="819"/>
      <c r="J900" s="820">
        <v>0</v>
      </c>
      <c r="K900" s="819" t="str">
        <f t="shared" si="190"/>
        <v>N/A</v>
      </c>
      <c r="L900" s="819">
        <f t="shared" si="191"/>
        <v>1084</v>
      </c>
      <c r="M900" s="819" t="str">
        <f t="shared" ref="M900:M963" si="201">IFERROR(_xlfn.RANK.EQ(H900,H$3:H$1787),"N/A")</f>
        <v>N/A</v>
      </c>
      <c r="N900" s="819">
        <f t="shared" ref="N900:N963" si="202">IFERROR(_xlfn.RANK.EQ(I900,I$3:I$1787),"N/A")</f>
        <v>364</v>
      </c>
      <c r="O900" s="819">
        <f t="shared" ref="O900:O963" si="203">IFERROR(_xlfn.RANK.EQ(J900,J$3:J$1787),"N/A")</f>
        <v>492</v>
      </c>
      <c r="P900" s="819" t="str">
        <f t="shared" si="192"/>
        <v>N/A</v>
      </c>
      <c r="Q900" s="819">
        <f t="shared" si="193"/>
        <v>661</v>
      </c>
      <c r="R900" s="819" t="str">
        <f t="shared" si="194"/>
        <v>N/A</v>
      </c>
      <c r="S900" s="819">
        <f t="shared" si="195"/>
        <v>338</v>
      </c>
      <c r="T900" s="819">
        <f t="shared" si="196"/>
        <v>470</v>
      </c>
      <c r="U900" s="819">
        <f t="shared" si="197"/>
        <v>1469</v>
      </c>
      <c r="V900" s="819">
        <f t="shared" si="198"/>
        <v>22</v>
      </c>
      <c r="W900" s="379">
        <f t="shared" si="199"/>
        <v>22</v>
      </c>
      <c r="X900" s="819" t="str">
        <f t="shared" si="200"/>
        <v/>
      </c>
      <c r="Y900" s="837"/>
      <c r="Z900" s="839"/>
      <c r="AA900" s="838"/>
      <c r="AB900" s="839"/>
    </row>
    <row r="901" spans="1:28" ht="14.45">
      <c r="A901" s="816"/>
      <c r="B901" s="819" t="s">
        <v>2216</v>
      </c>
      <c r="C901" s="819" t="s">
        <v>2217</v>
      </c>
      <c r="D901" s="379" t="s">
        <v>336</v>
      </c>
      <c r="E901" s="818" t="s">
        <v>2218</v>
      </c>
      <c r="F901" s="820">
        <v>2.871350568</v>
      </c>
      <c r="G901" s="821">
        <v>2.849906528</v>
      </c>
      <c r="H901" s="822">
        <v>37532898.160676897</v>
      </c>
      <c r="I901" s="819"/>
      <c r="J901" s="820">
        <v>-7.1244900000000006E-5</v>
      </c>
      <c r="K901" s="819">
        <f t="shared" ref="K901:K964" si="204">IFERROR(_xlfn.RANK.EQ(H901,H$3:H$1787),"N/A")</f>
        <v>942</v>
      </c>
      <c r="L901" s="819">
        <f t="shared" ref="L901:L964" si="205">IFERROR(_xlfn.RANK.EQ(G901,G$3:G$1787),"N/A")</f>
        <v>564</v>
      </c>
      <c r="M901" s="819">
        <f t="shared" si="201"/>
        <v>942</v>
      </c>
      <c r="N901" s="819">
        <f t="shared" si="202"/>
        <v>364</v>
      </c>
      <c r="O901" s="819">
        <f t="shared" si="203"/>
        <v>957</v>
      </c>
      <c r="P901" s="819">
        <f t="shared" ref="P901:P964" si="206">IFERROR(ABS(K$3-K901),"N/A")</f>
        <v>456</v>
      </c>
      <c r="Q901" s="819">
        <f t="shared" ref="Q901:Q964" si="207">IFERROR(ABS(L$3-L901),"N/A")</f>
        <v>141</v>
      </c>
      <c r="R901" s="819">
        <f t="shared" ref="R901:R964" si="208">IFERROR(ABS(M$3-M901),"N/A")</f>
        <v>860</v>
      </c>
      <c r="S901" s="819">
        <f t="shared" ref="S901:S964" si="209">IFERROR(ABS(N$3-N901),"N/A")</f>
        <v>338</v>
      </c>
      <c r="T901" s="819">
        <f t="shared" ref="T901:T964" si="210">IFERROR(ABS(O$3-O901),"N/A")</f>
        <v>935</v>
      </c>
      <c r="U901" s="819">
        <f t="shared" ref="U901:U964" si="211">SUM(P901:T901)</f>
        <v>2730</v>
      </c>
      <c r="V901" s="819">
        <f t="shared" ref="V901:V964" si="212">_xlfn.RANK.EQ(U901,$U$4:$U$1787,1)</f>
        <v>397</v>
      </c>
      <c r="W901" s="379">
        <f t="shared" ref="W901:W964" si="213">IF(Y901="Not suitable","-",V901)</f>
        <v>397</v>
      </c>
      <c r="X901" s="819" t="str">
        <f t="shared" si="200"/>
        <v/>
      </c>
      <c r="Y901" s="837"/>
      <c r="Z901" s="839"/>
      <c r="AA901" s="838"/>
      <c r="AB901" s="839"/>
    </row>
    <row r="902" spans="1:28" ht="13.15">
      <c r="B902" s="819" t="s">
        <v>2219</v>
      </c>
      <c r="C902" s="819" t="s">
        <v>2220</v>
      </c>
      <c r="D902" s="379" t="s">
        <v>336</v>
      </c>
      <c r="E902" s="818" t="s">
        <v>460</v>
      </c>
      <c r="F902" s="820">
        <v>20.207862840000001</v>
      </c>
      <c r="G902" s="821">
        <v>12.27436041</v>
      </c>
      <c r="H902" s="822">
        <v>1585365.8536585399</v>
      </c>
      <c r="I902" s="819"/>
      <c r="J902" s="820">
        <v>-6.0098E-5</v>
      </c>
      <c r="K902" s="819">
        <f t="shared" si="204"/>
        <v>1526</v>
      </c>
      <c r="L902" s="819">
        <f t="shared" si="205"/>
        <v>159</v>
      </c>
      <c r="M902" s="819">
        <f t="shared" si="201"/>
        <v>1526</v>
      </c>
      <c r="N902" s="819">
        <f t="shared" si="202"/>
        <v>364</v>
      </c>
      <c r="O902" s="819">
        <f t="shared" si="203"/>
        <v>937</v>
      </c>
      <c r="P902" s="819">
        <f t="shared" si="206"/>
        <v>128</v>
      </c>
      <c r="Q902" s="819">
        <f t="shared" si="207"/>
        <v>264</v>
      </c>
      <c r="R902" s="819">
        <f t="shared" si="208"/>
        <v>1444</v>
      </c>
      <c r="S902" s="819">
        <f t="shared" si="209"/>
        <v>338</v>
      </c>
      <c r="T902" s="819">
        <f t="shared" si="210"/>
        <v>915</v>
      </c>
      <c r="U902" s="819">
        <f t="shared" si="211"/>
        <v>3089</v>
      </c>
      <c r="V902" s="819">
        <f t="shared" si="212"/>
        <v>1054</v>
      </c>
      <c r="W902" s="379">
        <f t="shared" si="213"/>
        <v>1054</v>
      </c>
      <c r="X902" s="819" t="str">
        <f t="shared" ref="X902:X965" si="214">IF(L902="N/A","Y","")</f>
        <v/>
      </c>
      <c r="Y902" s="837"/>
      <c r="Z902" s="839"/>
      <c r="AA902" s="838"/>
      <c r="AB902" s="839"/>
    </row>
    <row r="903" spans="1:28" ht="14.45">
      <c r="A903" s="816"/>
      <c r="B903" s="819" t="s">
        <v>2221</v>
      </c>
      <c r="C903" s="819" t="s">
        <v>2222</v>
      </c>
      <c r="D903" s="379" t="s">
        <v>336</v>
      </c>
      <c r="E903" s="818" t="s">
        <v>728</v>
      </c>
      <c r="F903" s="820"/>
      <c r="G903" s="821"/>
      <c r="H903" s="822">
        <v>12654819.1511604</v>
      </c>
      <c r="I903" s="819"/>
      <c r="J903" s="820">
        <v>0</v>
      </c>
      <c r="K903" s="819">
        <f t="shared" si="204"/>
        <v>1208</v>
      </c>
      <c r="L903" s="819">
        <f t="shared" si="205"/>
        <v>1084</v>
      </c>
      <c r="M903" s="819">
        <f t="shared" si="201"/>
        <v>1208</v>
      </c>
      <c r="N903" s="819">
        <f t="shared" si="202"/>
        <v>364</v>
      </c>
      <c r="O903" s="819">
        <f t="shared" si="203"/>
        <v>492</v>
      </c>
      <c r="P903" s="819">
        <f t="shared" si="206"/>
        <v>190</v>
      </c>
      <c r="Q903" s="819">
        <f t="shared" si="207"/>
        <v>661</v>
      </c>
      <c r="R903" s="819">
        <f t="shared" si="208"/>
        <v>1126</v>
      </c>
      <c r="S903" s="819">
        <f t="shared" si="209"/>
        <v>338</v>
      </c>
      <c r="T903" s="819">
        <f t="shared" si="210"/>
        <v>470</v>
      </c>
      <c r="U903" s="819">
        <f t="shared" si="211"/>
        <v>2785</v>
      </c>
      <c r="V903" s="819">
        <f t="shared" si="212"/>
        <v>463</v>
      </c>
      <c r="W903" s="379">
        <f t="shared" si="213"/>
        <v>463</v>
      </c>
      <c r="X903" s="819" t="str">
        <f t="shared" si="214"/>
        <v/>
      </c>
      <c r="Y903" s="837"/>
      <c r="Z903" s="839"/>
      <c r="AA903" s="838"/>
      <c r="AB903" s="839"/>
    </row>
    <row r="904" spans="1:28" ht="13.15">
      <c r="B904" s="819" t="s">
        <v>2223</v>
      </c>
      <c r="C904" s="819" t="s">
        <v>2224</v>
      </c>
      <c r="D904" s="379" t="s">
        <v>336</v>
      </c>
      <c r="E904" s="818" t="s">
        <v>1720</v>
      </c>
      <c r="F904" s="820"/>
      <c r="G904" s="821"/>
      <c r="H904" s="822"/>
      <c r="I904" s="819"/>
      <c r="J904" s="820">
        <v>0</v>
      </c>
      <c r="K904" s="819" t="str">
        <f t="shared" si="204"/>
        <v>N/A</v>
      </c>
      <c r="L904" s="819">
        <f t="shared" si="205"/>
        <v>1084</v>
      </c>
      <c r="M904" s="819" t="str">
        <f t="shared" si="201"/>
        <v>N/A</v>
      </c>
      <c r="N904" s="819">
        <f t="shared" si="202"/>
        <v>364</v>
      </c>
      <c r="O904" s="819">
        <f t="shared" si="203"/>
        <v>492</v>
      </c>
      <c r="P904" s="819" t="str">
        <f t="shared" si="206"/>
        <v>N/A</v>
      </c>
      <c r="Q904" s="819">
        <f t="shared" si="207"/>
        <v>661</v>
      </c>
      <c r="R904" s="819" t="str">
        <f t="shared" si="208"/>
        <v>N/A</v>
      </c>
      <c r="S904" s="819">
        <f t="shared" si="209"/>
        <v>338</v>
      </c>
      <c r="T904" s="819">
        <f t="shared" si="210"/>
        <v>470</v>
      </c>
      <c r="U904" s="819">
        <f t="shared" si="211"/>
        <v>1469</v>
      </c>
      <c r="V904" s="819">
        <f t="shared" si="212"/>
        <v>22</v>
      </c>
      <c r="W904" s="379">
        <f t="shared" si="213"/>
        <v>22</v>
      </c>
      <c r="X904" s="819" t="str">
        <f t="shared" si="214"/>
        <v/>
      </c>
      <c r="Y904" s="837"/>
      <c r="Z904" s="839"/>
      <c r="AA904" s="838"/>
      <c r="AB904" s="839"/>
    </row>
    <row r="905" spans="1:28" ht="14.45">
      <c r="A905" s="816"/>
      <c r="B905" s="819" t="s">
        <v>2225</v>
      </c>
      <c r="C905" s="819" t="s">
        <v>2226</v>
      </c>
      <c r="D905" s="379" t="s">
        <v>336</v>
      </c>
      <c r="E905" s="818" t="s">
        <v>1832</v>
      </c>
      <c r="F905" s="820">
        <v>6.0708501789999998</v>
      </c>
      <c r="G905" s="821">
        <v>330.01701939999998</v>
      </c>
      <c r="H905" s="822">
        <v>3938558.48759354</v>
      </c>
      <c r="I905" s="819"/>
      <c r="J905" s="820">
        <v>-8.5438800000000001E-7</v>
      </c>
      <c r="K905" s="819">
        <f t="shared" si="204"/>
        <v>1411</v>
      </c>
      <c r="L905" s="819">
        <f t="shared" si="205"/>
        <v>5</v>
      </c>
      <c r="M905" s="819">
        <f t="shared" si="201"/>
        <v>1411</v>
      </c>
      <c r="N905" s="819">
        <f t="shared" si="202"/>
        <v>364</v>
      </c>
      <c r="O905" s="819">
        <f t="shared" si="203"/>
        <v>752</v>
      </c>
      <c r="P905" s="819">
        <f t="shared" si="206"/>
        <v>13</v>
      </c>
      <c r="Q905" s="819">
        <f t="shared" si="207"/>
        <v>418</v>
      </c>
      <c r="R905" s="819">
        <f t="shared" si="208"/>
        <v>1329</v>
      </c>
      <c r="S905" s="819">
        <f t="shared" si="209"/>
        <v>338</v>
      </c>
      <c r="T905" s="819">
        <f t="shared" si="210"/>
        <v>730</v>
      </c>
      <c r="U905" s="819">
        <f t="shared" si="211"/>
        <v>2828</v>
      </c>
      <c r="V905" s="819">
        <f t="shared" si="212"/>
        <v>678</v>
      </c>
      <c r="W905" s="379">
        <f t="shared" si="213"/>
        <v>678</v>
      </c>
      <c r="X905" s="819" t="str">
        <f t="shared" si="214"/>
        <v/>
      </c>
      <c r="Y905" s="837"/>
      <c r="Z905" s="839"/>
      <c r="AA905" s="838"/>
      <c r="AB905" s="839"/>
    </row>
    <row r="906" spans="1:28" ht="13.15">
      <c r="B906" s="819" t="s">
        <v>2227</v>
      </c>
      <c r="C906" s="819" t="s">
        <v>2228</v>
      </c>
      <c r="D906" s="379" t="s">
        <v>336</v>
      </c>
      <c r="E906" s="818" t="s">
        <v>2171</v>
      </c>
      <c r="F906" s="820">
        <v>5.6520317909999997</v>
      </c>
      <c r="G906" s="821">
        <v>4.0354976489999999</v>
      </c>
      <c r="H906" s="822">
        <v>3684248.87748557</v>
      </c>
      <c r="I906" s="819"/>
      <c r="J906" s="820">
        <v>-2.42222E-4</v>
      </c>
      <c r="K906" s="819">
        <f t="shared" si="204"/>
        <v>1419</v>
      </c>
      <c r="L906" s="819">
        <f t="shared" si="205"/>
        <v>448</v>
      </c>
      <c r="M906" s="819">
        <f t="shared" si="201"/>
        <v>1419</v>
      </c>
      <c r="N906" s="819">
        <f t="shared" si="202"/>
        <v>364</v>
      </c>
      <c r="O906" s="819">
        <f t="shared" si="203"/>
        <v>1141</v>
      </c>
      <c r="P906" s="819">
        <f t="shared" si="206"/>
        <v>21</v>
      </c>
      <c r="Q906" s="819">
        <f t="shared" si="207"/>
        <v>25</v>
      </c>
      <c r="R906" s="819">
        <f t="shared" si="208"/>
        <v>1337</v>
      </c>
      <c r="S906" s="819">
        <f t="shared" si="209"/>
        <v>338</v>
      </c>
      <c r="T906" s="819">
        <f t="shared" si="210"/>
        <v>1119</v>
      </c>
      <c r="U906" s="819">
        <f t="shared" si="211"/>
        <v>2840</v>
      </c>
      <c r="V906" s="819">
        <f t="shared" si="212"/>
        <v>700</v>
      </c>
      <c r="W906" s="379">
        <f t="shared" si="213"/>
        <v>700</v>
      </c>
      <c r="X906" s="819" t="str">
        <f t="shared" si="214"/>
        <v/>
      </c>
      <c r="Y906" s="837"/>
      <c r="Z906" s="839"/>
      <c r="AA906" s="838"/>
      <c r="AB906" s="839"/>
    </row>
    <row r="907" spans="1:28" ht="14.45">
      <c r="A907" s="816"/>
      <c r="B907" s="819" t="s">
        <v>2229</v>
      </c>
      <c r="C907" s="819" t="s">
        <v>2230</v>
      </c>
      <c r="D907" s="379" t="s">
        <v>336</v>
      </c>
      <c r="E907" s="818" t="s">
        <v>1832</v>
      </c>
      <c r="F907" s="820">
        <v>1.806962731</v>
      </c>
      <c r="G907" s="821">
        <v>-76.621663479999995</v>
      </c>
      <c r="H907" s="822">
        <v>3781016.1480898</v>
      </c>
      <c r="I907" s="819"/>
      <c r="J907" s="820">
        <v>6.1753099999999998E-6</v>
      </c>
      <c r="K907" s="819">
        <f t="shared" si="204"/>
        <v>1418</v>
      </c>
      <c r="L907" s="819">
        <f t="shared" si="205"/>
        <v>1517</v>
      </c>
      <c r="M907" s="819">
        <f t="shared" si="201"/>
        <v>1418</v>
      </c>
      <c r="N907" s="819">
        <f t="shared" si="202"/>
        <v>364</v>
      </c>
      <c r="O907" s="819">
        <f t="shared" si="203"/>
        <v>436</v>
      </c>
      <c r="P907" s="819">
        <f t="shared" si="206"/>
        <v>20</v>
      </c>
      <c r="Q907" s="819">
        <f t="shared" si="207"/>
        <v>1094</v>
      </c>
      <c r="R907" s="819">
        <f t="shared" si="208"/>
        <v>1336</v>
      </c>
      <c r="S907" s="819">
        <f t="shared" si="209"/>
        <v>338</v>
      </c>
      <c r="T907" s="819">
        <f t="shared" si="210"/>
        <v>414</v>
      </c>
      <c r="U907" s="819">
        <f t="shared" si="211"/>
        <v>3202</v>
      </c>
      <c r="V907" s="819">
        <f t="shared" si="212"/>
        <v>1196</v>
      </c>
      <c r="W907" s="379">
        <f t="shared" si="213"/>
        <v>1196</v>
      </c>
      <c r="X907" s="819" t="str">
        <f t="shared" si="214"/>
        <v/>
      </c>
      <c r="Y907" s="837"/>
      <c r="Z907" s="839"/>
      <c r="AA907" s="838"/>
      <c r="AB907" s="839"/>
    </row>
    <row r="908" spans="1:28" ht="13.15">
      <c r="B908" s="819" t="s">
        <v>2231</v>
      </c>
      <c r="C908" s="819" t="s">
        <v>2232</v>
      </c>
      <c r="D908" s="379" t="s">
        <v>336</v>
      </c>
      <c r="E908" s="818" t="s">
        <v>2049</v>
      </c>
      <c r="F908" s="820">
        <v>8.2927027330000005</v>
      </c>
      <c r="G908" s="821"/>
      <c r="H908" s="822">
        <v>68739490.038499206</v>
      </c>
      <c r="I908" s="819"/>
      <c r="J908" s="820">
        <v>0</v>
      </c>
      <c r="K908" s="819">
        <f t="shared" si="204"/>
        <v>804</v>
      </c>
      <c r="L908" s="819">
        <f t="shared" si="205"/>
        <v>1084</v>
      </c>
      <c r="M908" s="819">
        <f t="shared" si="201"/>
        <v>804</v>
      </c>
      <c r="N908" s="819">
        <f t="shared" si="202"/>
        <v>364</v>
      </c>
      <c r="O908" s="819">
        <f t="shared" si="203"/>
        <v>492</v>
      </c>
      <c r="P908" s="819">
        <f t="shared" si="206"/>
        <v>594</v>
      </c>
      <c r="Q908" s="819">
        <f t="shared" si="207"/>
        <v>661</v>
      </c>
      <c r="R908" s="819">
        <f t="shared" si="208"/>
        <v>722</v>
      </c>
      <c r="S908" s="819">
        <f t="shared" si="209"/>
        <v>338</v>
      </c>
      <c r="T908" s="819">
        <f t="shared" si="210"/>
        <v>470</v>
      </c>
      <c r="U908" s="819">
        <f t="shared" si="211"/>
        <v>2785</v>
      </c>
      <c r="V908" s="819">
        <f t="shared" si="212"/>
        <v>463</v>
      </c>
      <c r="W908" s="379">
        <f t="shared" si="213"/>
        <v>463</v>
      </c>
      <c r="X908" s="819" t="str">
        <f t="shared" si="214"/>
        <v/>
      </c>
      <c r="Y908" s="837"/>
      <c r="Z908" s="839"/>
      <c r="AA908" s="838"/>
      <c r="AB908" s="839"/>
    </row>
    <row r="909" spans="1:28" ht="14.45">
      <c r="A909" s="816"/>
      <c r="B909" s="819" t="s">
        <v>2233</v>
      </c>
      <c r="C909" s="819" t="s">
        <v>2234</v>
      </c>
      <c r="D909" s="379" t="s">
        <v>336</v>
      </c>
      <c r="E909" s="818" t="s">
        <v>645</v>
      </c>
      <c r="F909" s="820">
        <v>3.7979258040000001</v>
      </c>
      <c r="G909" s="821">
        <v>112.8138331</v>
      </c>
      <c r="H909" s="822">
        <v>18480635.229012299</v>
      </c>
      <c r="I909" s="819"/>
      <c r="J909" s="820">
        <v>-2.4795799999999998E-6</v>
      </c>
      <c r="K909" s="819">
        <f t="shared" si="204"/>
        <v>1115</v>
      </c>
      <c r="L909" s="819">
        <f t="shared" si="205"/>
        <v>12</v>
      </c>
      <c r="M909" s="819">
        <f t="shared" si="201"/>
        <v>1115</v>
      </c>
      <c r="N909" s="819">
        <f t="shared" si="202"/>
        <v>364</v>
      </c>
      <c r="O909" s="819">
        <f t="shared" si="203"/>
        <v>768</v>
      </c>
      <c r="P909" s="819">
        <f t="shared" si="206"/>
        <v>283</v>
      </c>
      <c r="Q909" s="819">
        <f t="shared" si="207"/>
        <v>411</v>
      </c>
      <c r="R909" s="819">
        <f t="shared" si="208"/>
        <v>1033</v>
      </c>
      <c r="S909" s="819">
        <f t="shared" si="209"/>
        <v>338</v>
      </c>
      <c r="T909" s="819">
        <f t="shared" si="210"/>
        <v>746</v>
      </c>
      <c r="U909" s="819">
        <f t="shared" si="211"/>
        <v>2811</v>
      </c>
      <c r="V909" s="819">
        <f t="shared" si="212"/>
        <v>648</v>
      </c>
      <c r="W909" s="379">
        <f t="shared" si="213"/>
        <v>648</v>
      </c>
      <c r="X909" s="819" t="str">
        <f t="shared" si="214"/>
        <v/>
      </c>
      <c r="Y909" s="837"/>
      <c r="Z909" s="839"/>
      <c r="AA909" s="838"/>
      <c r="AB909" s="839"/>
    </row>
    <row r="910" spans="1:28" ht="13.15">
      <c r="B910" s="819" t="s">
        <v>2235</v>
      </c>
      <c r="C910" s="819" t="s">
        <v>2236</v>
      </c>
      <c r="D910" s="379" t="s">
        <v>336</v>
      </c>
      <c r="E910" s="818" t="s">
        <v>418</v>
      </c>
      <c r="F910" s="820">
        <v>2.104639878</v>
      </c>
      <c r="G910" s="821">
        <v>28.54706032</v>
      </c>
      <c r="H910" s="822">
        <v>39786441.380203299</v>
      </c>
      <c r="I910" s="819">
        <v>-0.15</v>
      </c>
      <c r="J910" s="820">
        <v>-1.273225E-3</v>
      </c>
      <c r="K910" s="819">
        <f t="shared" si="204"/>
        <v>929</v>
      </c>
      <c r="L910" s="819">
        <f t="shared" si="205"/>
        <v>65</v>
      </c>
      <c r="M910" s="819">
        <f t="shared" si="201"/>
        <v>929</v>
      </c>
      <c r="N910" s="819">
        <f t="shared" si="202"/>
        <v>379</v>
      </c>
      <c r="O910" s="819">
        <f t="shared" si="203"/>
        <v>1433</v>
      </c>
      <c r="P910" s="819">
        <f t="shared" si="206"/>
        <v>469</v>
      </c>
      <c r="Q910" s="819">
        <f t="shared" si="207"/>
        <v>358</v>
      </c>
      <c r="R910" s="819">
        <f t="shared" si="208"/>
        <v>847</v>
      </c>
      <c r="S910" s="819">
        <f t="shared" si="209"/>
        <v>353</v>
      </c>
      <c r="T910" s="819">
        <f t="shared" si="210"/>
        <v>1411</v>
      </c>
      <c r="U910" s="819">
        <f t="shared" si="211"/>
        <v>3438</v>
      </c>
      <c r="V910" s="819">
        <f t="shared" si="212"/>
        <v>1496</v>
      </c>
      <c r="W910" s="379">
        <f t="shared" si="213"/>
        <v>1496</v>
      </c>
      <c r="X910" s="819" t="str">
        <f t="shared" si="214"/>
        <v/>
      </c>
      <c r="Y910" s="837"/>
      <c r="Z910" s="839"/>
      <c r="AA910" s="838"/>
      <c r="AB910" s="839"/>
    </row>
    <row r="911" spans="1:28" ht="14.45">
      <c r="A911" s="816"/>
      <c r="B911" s="819" t="s">
        <v>2237</v>
      </c>
      <c r="C911" s="819" t="s">
        <v>2238</v>
      </c>
      <c r="D911" s="379" t="s">
        <v>336</v>
      </c>
      <c r="E911" s="818" t="s">
        <v>1720</v>
      </c>
      <c r="F911" s="820">
        <v>0.57580770999999997</v>
      </c>
      <c r="G911" s="821">
        <v>63.208472729999997</v>
      </c>
      <c r="H911" s="822"/>
      <c r="I911" s="819"/>
      <c r="J911" s="820">
        <v>-6.0123300000000002E-7</v>
      </c>
      <c r="K911" s="819" t="str">
        <f t="shared" si="204"/>
        <v>N/A</v>
      </c>
      <c r="L911" s="819">
        <f t="shared" si="205"/>
        <v>23</v>
      </c>
      <c r="M911" s="819" t="str">
        <f t="shared" si="201"/>
        <v>N/A</v>
      </c>
      <c r="N911" s="819">
        <f t="shared" si="202"/>
        <v>364</v>
      </c>
      <c r="O911" s="819">
        <f t="shared" si="203"/>
        <v>751</v>
      </c>
      <c r="P911" s="819" t="str">
        <f t="shared" si="206"/>
        <v>N/A</v>
      </c>
      <c r="Q911" s="819">
        <f t="shared" si="207"/>
        <v>400</v>
      </c>
      <c r="R911" s="819" t="str">
        <f t="shared" si="208"/>
        <v>N/A</v>
      </c>
      <c r="S911" s="819">
        <f t="shared" si="209"/>
        <v>338</v>
      </c>
      <c r="T911" s="819">
        <f t="shared" si="210"/>
        <v>729</v>
      </c>
      <c r="U911" s="819">
        <f t="shared" si="211"/>
        <v>1467</v>
      </c>
      <c r="V911" s="819">
        <f t="shared" si="212"/>
        <v>21</v>
      </c>
      <c r="W911" s="379">
        <f t="shared" si="213"/>
        <v>21</v>
      </c>
      <c r="X911" s="819" t="str">
        <f t="shared" si="214"/>
        <v/>
      </c>
      <c r="Y911" s="837"/>
      <c r="Z911" s="839"/>
      <c r="AA911" s="838"/>
      <c r="AB911" s="839"/>
    </row>
    <row r="912" spans="1:28" ht="13.15">
      <c r="B912" s="819" t="s">
        <v>2239</v>
      </c>
      <c r="C912" s="819" t="s">
        <v>2240</v>
      </c>
      <c r="D912" s="379" t="s">
        <v>336</v>
      </c>
      <c r="E912" s="818" t="s">
        <v>441</v>
      </c>
      <c r="F912" s="820">
        <v>4.480386384</v>
      </c>
      <c r="G912" s="821">
        <v>0</v>
      </c>
      <c r="H912" s="822">
        <v>1368687392.3158801</v>
      </c>
      <c r="I912" s="819"/>
      <c r="J912" s="820">
        <v>-8.2626000000000005E-5</v>
      </c>
      <c r="K912" s="819">
        <f t="shared" si="204"/>
        <v>183</v>
      </c>
      <c r="L912" s="819">
        <f t="shared" si="205"/>
        <v>1084</v>
      </c>
      <c r="M912" s="819">
        <f t="shared" si="201"/>
        <v>183</v>
      </c>
      <c r="N912" s="819">
        <f t="shared" si="202"/>
        <v>364</v>
      </c>
      <c r="O912" s="819">
        <f t="shared" si="203"/>
        <v>981</v>
      </c>
      <c r="P912" s="819">
        <f t="shared" si="206"/>
        <v>1215</v>
      </c>
      <c r="Q912" s="819">
        <f t="shared" si="207"/>
        <v>661</v>
      </c>
      <c r="R912" s="819">
        <f t="shared" si="208"/>
        <v>101</v>
      </c>
      <c r="S912" s="819">
        <f t="shared" si="209"/>
        <v>338</v>
      </c>
      <c r="T912" s="819">
        <f t="shared" si="210"/>
        <v>959</v>
      </c>
      <c r="U912" s="819">
        <f t="shared" si="211"/>
        <v>3274</v>
      </c>
      <c r="V912" s="819">
        <f t="shared" si="212"/>
        <v>1304</v>
      </c>
      <c r="W912" s="379">
        <f t="shared" si="213"/>
        <v>1304</v>
      </c>
      <c r="X912" s="819" t="str">
        <f t="shared" si="214"/>
        <v/>
      </c>
      <c r="Y912" s="837"/>
      <c r="Z912" s="839"/>
      <c r="AA912" s="838"/>
      <c r="AB912" s="839"/>
    </row>
    <row r="913" spans="1:28" ht="14.45">
      <c r="A913" s="816"/>
      <c r="B913" s="819" t="s">
        <v>2241</v>
      </c>
      <c r="C913" s="819" t="s">
        <v>2242</v>
      </c>
      <c r="D913" s="379" t="s">
        <v>336</v>
      </c>
      <c r="E913" s="818" t="s">
        <v>1832</v>
      </c>
      <c r="F913" s="820">
        <v>2.7582176039999999</v>
      </c>
      <c r="G913" s="821">
        <v>9.4342424139999999</v>
      </c>
      <c r="H913" s="822">
        <v>3026467.1130366302</v>
      </c>
      <c r="I913" s="819"/>
      <c r="J913" s="820">
        <v>-1.240861E-3</v>
      </c>
      <c r="K913" s="819">
        <f t="shared" si="204"/>
        <v>1447</v>
      </c>
      <c r="L913" s="819">
        <f t="shared" si="205"/>
        <v>212</v>
      </c>
      <c r="M913" s="819">
        <f t="shared" si="201"/>
        <v>1447</v>
      </c>
      <c r="N913" s="819">
        <f t="shared" si="202"/>
        <v>364</v>
      </c>
      <c r="O913" s="819">
        <f t="shared" si="203"/>
        <v>1432</v>
      </c>
      <c r="P913" s="819">
        <f t="shared" si="206"/>
        <v>49</v>
      </c>
      <c r="Q913" s="819">
        <f t="shared" si="207"/>
        <v>211</v>
      </c>
      <c r="R913" s="819">
        <f t="shared" si="208"/>
        <v>1365</v>
      </c>
      <c r="S913" s="819">
        <f t="shared" si="209"/>
        <v>338</v>
      </c>
      <c r="T913" s="819">
        <f t="shared" si="210"/>
        <v>1410</v>
      </c>
      <c r="U913" s="819">
        <f t="shared" si="211"/>
        <v>3373</v>
      </c>
      <c r="V913" s="819">
        <f t="shared" si="212"/>
        <v>1436</v>
      </c>
      <c r="W913" s="379">
        <f t="shared" si="213"/>
        <v>1436</v>
      </c>
      <c r="X913" s="819" t="str">
        <f t="shared" si="214"/>
        <v/>
      </c>
      <c r="Y913" s="837"/>
      <c r="Z913" s="839"/>
      <c r="AA913" s="838"/>
      <c r="AB913" s="839"/>
    </row>
    <row r="914" spans="1:28" ht="13.15">
      <c r="B914" s="819" t="s">
        <v>2243</v>
      </c>
      <c r="C914" s="819" t="s">
        <v>2244</v>
      </c>
      <c r="D914" s="379" t="s">
        <v>336</v>
      </c>
      <c r="E914" s="818" t="s">
        <v>1832</v>
      </c>
      <c r="F914" s="820">
        <v>1.543016709</v>
      </c>
      <c r="G914" s="821">
        <v>1.9218182290000001</v>
      </c>
      <c r="H914" s="822">
        <v>23770545.844820801</v>
      </c>
      <c r="I914" s="819"/>
      <c r="J914" s="820">
        <v>-6.0328499999999997E-5</v>
      </c>
      <c r="K914" s="819">
        <f t="shared" si="204"/>
        <v>1063</v>
      </c>
      <c r="L914" s="819">
        <f t="shared" si="205"/>
        <v>686</v>
      </c>
      <c r="M914" s="819">
        <f t="shared" si="201"/>
        <v>1063</v>
      </c>
      <c r="N914" s="819">
        <f t="shared" si="202"/>
        <v>364</v>
      </c>
      <c r="O914" s="819">
        <f t="shared" si="203"/>
        <v>939</v>
      </c>
      <c r="P914" s="819">
        <f t="shared" si="206"/>
        <v>335</v>
      </c>
      <c r="Q914" s="819">
        <f t="shared" si="207"/>
        <v>263</v>
      </c>
      <c r="R914" s="819">
        <f t="shared" si="208"/>
        <v>981</v>
      </c>
      <c r="S914" s="819">
        <f t="shared" si="209"/>
        <v>338</v>
      </c>
      <c r="T914" s="819">
        <f t="shared" si="210"/>
        <v>917</v>
      </c>
      <c r="U914" s="819">
        <f t="shared" si="211"/>
        <v>2834</v>
      </c>
      <c r="V914" s="819">
        <f t="shared" si="212"/>
        <v>692</v>
      </c>
      <c r="W914" s="379">
        <f t="shared" si="213"/>
        <v>692</v>
      </c>
      <c r="X914" s="819" t="str">
        <f t="shared" si="214"/>
        <v/>
      </c>
      <c r="Y914" s="837"/>
      <c r="Z914" s="839"/>
      <c r="AA914" s="838"/>
      <c r="AB914" s="839"/>
    </row>
    <row r="915" spans="1:28" ht="14.45">
      <c r="A915" s="816"/>
      <c r="B915" s="819" t="s">
        <v>2245</v>
      </c>
      <c r="C915" s="819" t="s">
        <v>2246</v>
      </c>
      <c r="D915" s="379" t="s">
        <v>336</v>
      </c>
      <c r="E915" s="818" t="s">
        <v>1832</v>
      </c>
      <c r="F915" s="820">
        <v>2.0227071529999998</v>
      </c>
      <c r="G915" s="821">
        <v>-37.787110140000003</v>
      </c>
      <c r="H915" s="822">
        <v>179769605.651831</v>
      </c>
      <c r="I915" s="819">
        <v>0.03</v>
      </c>
      <c r="J915" s="820">
        <v>1.337E-4</v>
      </c>
      <c r="K915" s="819">
        <f t="shared" si="204"/>
        <v>596</v>
      </c>
      <c r="L915" s="819">
        <f t="shared" si="205"/>
        <v>1500</v>
      </c>
      <c r="M915" s="819">
        <f t="shared" si="201"/>
        <v>596</v>
      </c>
      <c r="N915" s="819">
        <f t="shared" si="202"/>
        <v>323</v>
      </c>
      <c r="O915" s="819">
        <f t="shared" si="203"/>
        <v>281</v>
      </c>
      <c r="P915" s="819">
        <f t="shared" si="206"/>
        <v>802</v>
      </c>
      <c r="Q915" s="819">
        <f t="shared" si="207"/>
        <v>1077</v>
      </c>
      <c r="R915" s="819">
        <f t="shared" si="208"/>
        <v>514</v>
      </c>
      <c r="S915" s="819">
        <f t="shared" si="209"/>
        <v>297</v>
      </c>
      <c r="T915" s="819">
        <f t="shared" si="210"/>
        <v>259</v>
      </c>
      <c r="U915" s="819">
        <f t="shared" si="211"/>
        <v>2949</v>
      </c>
      <c r="V915" s="819">
        <f t="shared" si="212"/>
        <v>860</v>
      </c>
      <c r="W915" s="379">
        <f t="shared" si="213"/>
        <v>860</v>
      </c>
      <c r="X915" s="819" t="str">
        <f t="shared" si="214"/>
        <v/>
      </c>
      <c r="Y915" s="837"/>
      <c r="Z915" s="839"/>
      <c r="AA915" s="838"/>
      <c r="AB915" s="839"/>
    </row>
    <row r="916" spans="1:28" ht="13.15">
      <c r="B916" s="819" t="s">
        <v>2247</v>
      </c>
      <c r="C916" s="819" t="s">
        <v>2248</v>
      </c>
      <c r="D916" s="379" t="s">
        <v>336</v>
      </c>
      <c r="E916" s="818" t="s">
        <v>1832</v>
      </c>
      <c r="F916" s="820">
        <v>4.6610793800000003</v>
      </c>
      <c r="G916" s="821">
        <v>40.789275009999997</v>
      </c>
      <c r="H916" s="822">
        <v>6853091.7684127605</v>
      </c>
      <c r="I916" s="819"/>
      <c r="J916" s="820">
        <v>-2.25069E-5</v>
      </c>
      <c r="K916" s="819">
        <f t="shared" si="204"/>
        <v>1325</v>
      </c>
      <c r="L916" s="819">
        <f t="shared" si="205"/>
        <v>44</v>
      </c>
      <c r="M916" s="819">
        <f t="shared" si="201"/>
        <v>1325</v>
      </c>
      <c r="N916" s="819">
        <f t="shared" si="202"/>
        <v>364</v>
      </c>
      <c r="O916" s="819">
        <f t="shared" si="203"/>
        <v>858</v>
      </c>
      <c r="P916" s="819">
        <f t="shared" si="206"/>
        <v>73</v>
      </c>
      <c r="Q916" s="819">
        <f t="shared" si="207"/>
        <v>379</v>
      </c>
      <c r="R916" s="819">
        <f t="shared" si="208"/>
        <v>1243</v>
      </c>
      <c r="S916" s="819">
        <f t="shared" si="209"/>
        <v>338</v>
      </c>
      <c r="T916" s="819">
        <f t="shared" si="210"/>
        <v>836</v>
      </c>
      <c r="U916" s="819">
        <f t="shared" si="211"/>
        <v>2869</v>
      </c>
      <c r="V916" s="819">
        <f t="shared" si="212"/>
        <v>753</v>
      </c>
      <c r="W916" s="379">
        <f t="shared" si="213"/>
        <v>753</v>
      </c>
      <c r="X916" s="819" t="str">
        <f t="shared" si="214"/>
        <v/>
      </c>
      <c r="Y916" s="837"/>
      <c r="Z916" s="839"/>
      <c r="AA916" s="838"/>
      <c r="AB916" s="839"/>
    </row>
    <row r="917" spans="1:28" ht="14.45">
      <c r="A917" s="816"/>
      <c r="B917" s="819" t="s">
        <v>2249</v>
      </c>
      <c r="C917" s="819" t="s">
        <v>2250</v>
      </c>
      <c r="D917" s="379" t="s">
        <v>336</v>
      </c>
      <c r="E917" s="818" t="s">
        <v>1832</v>
      </c>
      <c r="F917" s="820"/>
      <c r="G917" s="821"/>
      <c r="H917" s="822">
        <v>258296641.19732201</v>
      </c>
      <c r="I917" s="819"/>
      <c r="J917" s="820">
        <v>0</v>
      </c>
      <c r="K917" s="819">
        <f t="shared" si="204"/>
        <v>508</v>
      </c>
      <c r="L917" s="819">
        <f t="shared" si="205"/>
        <v>1084</v>
      </c>
      <c r="M917" s="819">
        <f t="shared" si="201"/>
        <v>508</v>
      </c>
      <c r="N917" s="819">
        <f t="shared" si="202"/>
        <v>364</v>
      </c>
      <c r="O917" s="819">
        <f t="shared" si="203"/>
        <v>492</v>
      </c>
      <c r="P917" s="819">
        <f t="shared" si="206"/>
        <v>890</v>
      </c>
      <c r="Q917" s="819">
        <f t="shared" si="207"/>
        <v>661</v>
      </c>
      <c r="R917" s="819">
        <f t="shared" si="208"/>
        <v>426</v>
      </c>
      <c r="S917" s="819">
        <f t="shared" si="209"/>
        <v>338</v>
      </c>
      <c r="T917" s="819">
        <f t="shared" si="210"/>
        <v>470</v>
      </c>
      <c r="U917" s="819">
        <f t="shared" si="211"/>
        <v>2785</v>
      </c>
      <c r="V917" s="819">
        <f t="shared" si="212"/>
        <v>463</v>
      </c>
      <c r="W917" s="379">
        <f t="shared" si="213"/>
        <v>463</v>
      </c>
      <c r="X917" s="819" t="str">
        <f t="shared" si="214"/>
        <v/>
      </c>
      <c r="Y917" s="837"/>
      <c r="Z917" s="839"/>
      <c r="AA917" s="838"/>
      <c r="AB917" s="839"/>
    </row>
    <row r="918" spans="1:28" ht="13.15">
      <c r="B918" s="819" t="s">
        <v>2251</v>
      </c>
      <c r="C918" s="819" t="s">
        <v>2252</v>
      </c>
      <c r="D918" s="379" t="s">
        <v>336</v>
      </c>
      <c r="E918" s="818" t="s">
        <v>1832</v>
      </c>
      <c r="F918" s="820">
        <v>0.32646982000000002</v>
      </c>
      <c r="G918" s="821">
        <v>-3.8512600000000001E-5</v>
      </c>
      <c r="H918" s="822">
        <v>10544278.912957899</v>
      </c>
      <c r="I918" s="819"/>
      <c r="J918" s="820">
        <v>3.4904999999999999E-5</v>
      </c>
      <c r="K918" s="819">
        <f t="shared" si="204"/>
        <v>1245</v>
      </c>
      <c r="L918" s="819">
        <f t="shared" si="205"/>
        <v>1189</v>
      </c>
      <c r="M918" s="819">
        <f t="shared" si="201"/>
        <v>1245</v>
      </c>
      <c r="N918" s="819">
        <f t="shared" si="202"/>
        <v>364</v>
      </c>
      <c r="O918" s="819">
        <f t="shared" si="203"/>
        <v>371</v>
      </c>
      <c r="P918" s="819">
        <f t="shared" si="206"/>
        <v>153</v>
      </c>
      <c r="Q918" s="819">
        <f t="shared" si="207"/>
        <v>766</v>
      </c>
      <c r="R918" s="819">
        <f t="shared" si="208"/>
        <v>1163</v>
      </c>
      <c r="S918" s="819">
        <f t="shared" si="209"/>
        <v>338</v>
      </c>
      <c r="T918" s="819">
        <f t="shared" si="210"/>
        <v>349</v>
      </c>
      <c r="U918" s="819">
        <f t="shared" si="211"/>
        <v>2769</v>
      </c>
      <c r="V918" s="819">
        <f t="shared" si="212"/>
        <v>444</v>
      </c>
      <c r="W918" s="379">
        <f t="shared" si="213"/>
        <v>444</v>
      </c>
      <c r="X918" s="819" t="str">
        <f t="shared" si="214"/>
        <v/>
      </c>
      <c r="Y918" s="837"/>
      <c r="Z918" s="839"/>
      <c r="AA918" s="838"/>
      <c r="AB918" s="839"/>
    </row>
    <row r="919" spans="1:28" ht="14.45">
      <c r="A919" s="816"/>
      <c r="B919" s="819" t="s">
        <v>2253</v>
      </c>
      <c r="C919" s="819" t="s">
        <v>2254</v>
      </c>
      <c r="D919" s="379" t="s">
        <v>336</v>
      </c>
      <c r="E919" s="818" t="s">
        <v>2171</v>
      </c>
      <c r="F919" s="820">
        <v>5.0348863530000001</v>
      </c>
      <c r="G919" s="821">
        <v>-9.1074249609999995</v>
      </c>
      <c r="H919" s="822"/>
      <c r="I919" s="819"/>
      <c r="J919" s="820">
        <v>9.8592300000000008E-6</v>
      </c>
      <c r="K919" s="819" t="str">
        <f t="shared" si="204"/>
        <v>N/A</v>
      </c>
      <c r="L919" s="819">
        <f t="shared" si="205"/>
        <v>1443</v>
      </c>
      <c r="M919" s="819" t="str">
        <f t="shared" si="201"/>
        <v>N/A</v>
      </c>
      <c r="N919" s="819">
        <f t="shared" si="202"/>
        <v>364</v>
      </c>
      <c r="O919" s="819">
        <f t="shared" si="203"/>
        <v>419</v>
      </c>
      <c r="P919" s="819" t="str">
        <f t="shared" si="206"/>
        <v>N/A</v>
      </c>
      <c r="Q919" s="819">
        <f t="shared" si="207"/>
        <v>1020</v>
      </c>
      <c r="R919" s="819" t="str">
        <f t="shared" si="208"/>
        <v>N/A</v>
      </c>
      <c r="S919" s="819">
        <f t="shared" si="209"/>
        <v>338</v>
      </c>
      <c r="T919" s="819">
        <f t="shared" si="210"/>
        <v>397</v>
      </c>
      <c r="U919" s="819">
        <f t="shared" si="211"/>
        <v>1755</v>
      </c>
      <c r="V919" s="819">
        <f t="shared" si="212"/>
        <v>103</v>
      </c>
      <c r="W919" s="379">
        <f t="shared" si="213"/>
        <v>103</v>
      </c>
      <c r="X919" s="819" t="str">
        <f t="shared" si="214"/>
        <v/>
      </c>
      <c r="Y919" s="837"/>
      <c r="Z919" s="839"/>
      <c r="AA919" s="838"/>
      <c r="AB919" s="839"/>
    </row>
    <row r="920" spans="1:28" ht="13.15">
      <c r="B920" s="819" t="s">
        <v>2255</v>
      </c>
      <c r="C920" s="819" t="s">
        <v>2256</v>
      </c>
      <c r="D920" s="379" t="s">
        <v>336</v>
      </c>
      <c r="E920" s="818" t="s">
        <v>367</v>
      </c>
      <c r="F920" s="820">
        <v>1.12096737</v>
      </c>
      <c r="G920" s="821">
        <v>4.6546717659999999</v>
      </c>
      <c r="H920" s="822">
        <v>28645519.390819401</v>
      </c>
      <c r="I920" s="819">
        <v>0.56999999999999995</v>
      </c>
      <c r="J920" s="820">
        <v>-1.2844041E-2</v>
      </c>
      <c r="K920" s="819">
        <f t="shared" si="204"/>
        <v>1013</v>
      </c>
      <c r="L920" s="819">
        <f t="shared" si="205"/>
        <v>404</v>
      </c>
      <c r="M920" s="819">
        <f t="shared" si="201"/>
        <v>1013</v>
      </c>
      <c r="N920" s="819">
        <f t="shared" si="202"/>
        <v>161</v>
      </c>
      <c r="O920" s="819">
        <f t="shared" si="203"/>
        <v>1661</v>
      </c>
      <c r="P920" s="819">
        <f t="shared" si="206"/>
        <v>385</v>
      </c>
      <c r="Q920" s="819">
        <f t="shared" si="207"/>
        <v>19</v>
      </c>
      <c r="R920" s="819">
        <f t="shared" si="208"/>
        <v>931</v>
      </c>
      <c r="S920" s="819">
        <f t="shared" si="209"/>
        <v>135</v>
      </c>
      <c r="T920" s="819">
        <f t="shared" si="210"/>
        <v>1639</v>
      </c>
      <c r="U920" s="819">
        <f t="shared" si="211"/>
        <v>3109</v>
      </c>
      <c r="V920" s="819">
        <f t="shared" si="212"/>
        <v>1077</v>
      </c>
      <c r="W920" s="379">
        <f t="shared" si="213"/>
        <v>1077</v>
      </c>
      <c r="X920" s="819" t="str">
        <f t="shared" si="214"/>
        <v/>
      </c>
      <c r="Y920" s="837"/>
      <c r="Z920" s="839"/>
      <c r="AA920" s="838"/>
      <c r="AB920" s="839"/>
    </row>
    <row r="921" spans="1:28" ht="14.45">
      <c r="A921" s="816"/>
      <c r="B921" s="819" t="s">
        <v>2257</v>
      </c>
      <c r="C921" s="819" t="s">
        <v>2258</v>
      </c>
      <c r="D921" s="379" t="s">
        <v>336</v>
      </c>
      <c r="E921" s="818" t="s">
        <v>998</v>
      </c>
      <c r="F921" s="820">
        <v>2.4736233589999999</v>
      </c>
      <c r="G921" s="821">
        <v>0</v>
      </c>
      <c r="H921" s="822">
        <v>10669246.2716647</v>
      </c>
      <c r="I921" s="819"/>
      <c r="J921" s="820">
        <v>-1.4426400000000001E-4</v>
      </c>
      <c r="K921" s="819">
        <f t="shared" si="204"/>
        <v>1240</v>
      </c>
      <c r="L921" s="819">
        <f t="shared" si="205"/>
        <v>1084</v>
      </c>
      <c r="M921" s="819">
        <f t="shared" si="201"/>
        <v>1240</v>
      </c>
      <c r="N921" s="819">
        <f t="shared" si="202"/>
        <v>364</v>
      </c>
      <c r="O921" s="819">
        <f t="shared" si="203"/>
        <v>1057</v>
      </c>
      <c r="P921" s="819">
        <f t="shared" si="206"/>
        <v>158</v>
      </c>
      <c r="Q921" s="819">
        <f t="shared" si="207"/>
        <v>661</v>
      </c>
      <c r="R921" s="819">
        <f t="shared" si="208"/>
        <v>1158</v>
      </c>
      <c r="S921" s="819">
        <f t="shared" si="209"/>
        <v>338</v>
      </c>
      <c r="T921" s="819">
        <f t="shared" si="210"/>
        <v>1035</v>
      </c>
      <c r="U921" s="819">
        <f t="shared" si="211"/>
        <v>3350</v>
      </c>
      <c r="V921" s="819">
        <f t="shared" si="212"/>
        <v>1407</v>
      </c>
      <c r="W921" s="379">
        <f t="shared" si="213"/>
        <v>1407</v>
      </c>
      <c r="X921" s="819" t="str">
        <f t="shared" si="214"/>
        <v/>
      </c>
      <c r="Y921" s="837"/>
      <c r="Z921" s="839"/>
      <c r="AA921" s="838"/>
      <c r="AB921" s="839"/>
    </row>
    <row r="922" spans="1:28" ht="13.15">
      <c r="B922" s="819" t="s">
        <v>2259</v>
      </c>
      <c r="C922" s="819" t="s">
        <v>2260</v>
      </c>
      <c r="D922" s="379" t="s">
        <v>336</v>
      </c>
      <c r="E922" s="818" t="s">
        <v>568</v>
      </c>
      <c r="F922" s="820">
        <v>-3.2670725730000001</v>
      </c>
      <c r="G922" s="821">
        <v>-0.213688554</v>
      </c>
      <c r="H922" s="822">
        <v>1923891793.4263301</v>
      </c>
      <c r="I922" s="819"/>
      <c r="J922" s="820">
        <v>1.50474E-4</v>
      </c>
      <c r="K922" s="819">
        <f t="shared" si="204"/>
        <v>151</v>
      </c>
      <c r="L922" s="819">
        <f t="shared" si="205"/>
        <v>1243</v>
      </c>
      <c r="M922" s="819">
        <f t="shared" si="201"/>
        <v>151</v>
      </c>
      <c r="N922" s="819">
        <f t="shared" si="202"/>
        <v>364</v>
      </c>
      <c r="O922" s="819">
        <f t="shared" si="203"/>
        <v>272</v>
      </c>
      <c r="P922" s="819">
        <f t="shared" si="206"/>
        <v>1247</v>
      </c>
      <c r="Q922" s="819">
        <f t="shared" si="207"/>
        <v>820</v>
      </c>
      <c r="R922" s="819">
        <f t="shared" si="208"/>
        <v>69</v>
      </c>
      <c r="S922" s="819">
        <f t="shared" si="209"/>
        <v>338</v>
      </c>
      <c r="T922" s="819">
        <f t="shared" si="210"/>
        <v>250</v>
      </c>
      <c r="U922" s="819">
        <f t="shared" si="211"/>
        <v>2724</v>
      </c>
      <c r="V922" s="819">
        <f t="shared" si="212"/>
        <v>389</v>
      </c>
      <c r="W922" s="379">
        <f t="shared" si="213"/>
        <v>389</v>
      </c>
      <c r="X922" s="819" t="str">
        <f t="shared" si="214"/>
        <v/>
      </c>
      <c r="Y922" s="837"/>
      <c r="Z922" s="839"/>
      <c r="AA922" s="838"/>
      <c r="AB922" s="839"/>
    </row>
    <row r="923" spans="1:28" ht="14.45">
      <c r="A923" s="816"/>
      <c r="B923" s="819" t="s">
        <v>2261</v>
      </c>
      <c r="C923" s="819" t="s">
        <v>2262</v>
      </c>
      <c r="D923" s="379" t="s">
        <v>336</v>
      </c>
      <c r="E923" s="818" t="s">
        <v>1382</v>
      </c>
      <c r="F923" s="820">
        <v>1.616631785</v>
      </c>
      <c r="G923" s="821">
        <v>2.6287703680000001</v>
      </c>
      <c r="H923" s="822">
        <v>106157303.342971</v>
      </c>
      <c r="I923" s="819">
        <v>0.16</v>
      </c>
      <c r="J923" s="820">
        <v>-1.6256136000000001E-2</v>
      </c>
      <c r="K923" s="819">
        <f t="shared" si="204"/>
        <v>708</v>
      </c>
      <c r="L923" s="819">
        <f t="shared" si="205"/>
        <v>591</v>
      </c>
      <c r="M923" s="819">
        <f t="shared" si="201"/>
        <v>708</v>
      </c>
      <c r="N923" s="819">
        <f t="shared" si="202"/>
        <v>230</v>
      </c>
      <c r="O923" s="819">
        <f t="shared" si="203"/>
        <v>1680</v>
      </c>
      <c r="P923" s="819">
        <f t="shared" si="206"/>
        <v>690</v>
      </c>
      <c r="Q923" s="819">
        <f t="shared" si="207"/>
        <v>168</v>
      </c>
      <c r="R923" s="819">
        <f t="shared" si="208"/>
        <v>626</v>
      </c>
      <c r="S923" s="819">
        <f t="shared" si="209"/>
        <v>204</v>
      </c>
      <c r="T923" s="819">
        <f t="shared" si="210"/>
        <v>1658</v>
      </c>
      <c r="U923" s="819">
        <f t="shared" si="211"/>
        <v>3346</v>
      </c>
      <c r="V923" s="819">
        <f t="shared" si="212"/>
        <v>1401</v>
      </c>
      <c r="W923" s="379">
        <f t="shared" si="213"/>
        <v>1401</v>
      </c>
      <c r="X923" s="819" t="str">
        <f t="shared" si="214"/>
        <v/>
      </c>
      <c r="Y923" s="837"/>
      <c r="Z923" s="839"/>
      <c r="AA923" s="838"/>
      <c r="AB923" s="839"/>
    </row>
    <row r="924" spans="1:28" ht="13.15">
      <c r="B924" s="819" t="s">
        <v>2263</v>
      </c>
      <c r="C924" s="819" t="s">
        <v>2264</v>
      </c>
      <c r="D924" s="379" t="s">
        <v>336</v>
      </c>
      <c r="E924" s="818" t="s">
        <v>337</v>
      </c>
      <c r="F924" s="820">
        <v>0.39982396799999997</v>
      </c>
      <c r="G924" s="821">
        <v>-6.8669939109999998</v>
      </c>
      <c r="H924" s="822">
        <v>1373926.6089999999</v>
      </c>
      <c r="I924" s="819"/>
      <c r="J924" s="820">
        <v>2.1507900000000001E-5</v>
      </c>
      <c r="K924" s="819">
        <f t="shared" si="204"/>
        <v>1536</v>
      </c>
      <c r="L924" s="819">
        <f t="shared" si="205"/>
        <v>1428</v>
      </c>
      <c r="M924" s="819">
        <f t="shared" si="201"/>
        <v>1536</v>
      </c>
      <c r="N924" s="819">
        <f t="shared" si="202"/>
        <v>364</v>
      </c>
      <c r="O924" s="819">
        <f t="shared" si="203"/>
        <v>399</v>
      </c>
      <c r="P924" s="819">
        <f t="shared" si="206"/>
        <v>138</v>
      </c>
      <c r="Q924" s="819">
        <f t="shared" si="207"/>
        <v>1005</v>
      </c>
      <c r="R924" s="819">
        <f t="shared" si="208"/>
        <v>1454</v>
      </c>
      <c r="S924" s="819">
        <f t="shared" si="209"/>
        <v>338</v>
      </c>
      <c r="T924" s="819">
        <f t="shared" si="210"/>
        <v>377</v>
      </c>
      <c r="U924" s="819">
        <f t="shared" si="211"/>
        <v>3312</v>
      </c>
      <c r="V924" s="819">
        <f t="shared" si="212"/>
        <v>1360</v>
      </c>
      <c r="W924" s="379">
        <f t="shared" si="213"/>
        <v>1360</v>
      </c>
      <c r="X924" s="819" t="str">
        <f t="shared" si="214"/>
        <v/>
      </c>
      <c r="Y924" s="837"/>
      <c r="Z924" s="839"/>
      <c r="AA924" s="838"/>
      <c r="AB924" s="839"/>
    </row>
    <row r="925" spans="1:28" ht="14.45">
      <c r="A925" s="816"/>
      <c r="B925" s="819" t="s">
        <v>2265</v>
      </c>
      <c r="C925" s="819" t="s">
        <v>2266</v>
      </c>
      <c r="D925" s="379" t="s">
        <v>336</v>
      </c>
      <c r="E925" s="818" t="s">
        <v>441</v>
      </c>
      <c r="F925" s="820"/>
      <c r="G925" s="821"/>
      <c r="H925" s="822">
        <v>1824602043.8440001</v>
      </c>
      <c r="I925" s="819"/>
      <c r="J925" s="820">
        <v>0</v>
      </c>
      <c r="K925" s="819">
        <f t="shared" si="204"/>
        <v>159</v>
      </c>
      <c r="L925" s="819">
        <f t="shared" si="205"/>
        <v>1084</v>
      </c>
      <c r="M925" s="819">
        <f t="shared" si="201"/>
        <v>159</v>
      </c>
      <c r="N925" s="819">
        <f t="shared" si="202"/>
        <v>364</v>
      </c>
      <c r="O925" s="819">
        <f t="shared" si="203"/>
        <v>492</v>
      </c>
      <c r="P925" s="819">
        <f t="shared" si="206"/>
        <v>1239</v>
      </c>
      <c r="Q925" s="819">
        <f t="shared" si="207"/>
        <v>661</v>
      </c>
      <c r="R925" s="819">
        <f t="shared" si="208"/>
        <v>77</v>
      </c>
      <c r="S925" s="819">
        <f t="shared" si="209"/>
        <v>338</v>
      </c>
      <c r="T925" s="819">
        <f t="shared" si="210"/>
        <v>470</v>
      </c>
      <c r="U925" s="819">
        <f t="shared" si="211"/>
        <v>2785</v>
      </c>
      <c r="V925" s="819">
        <f t="shared" si="212"/>
        <v>463</v>
      </c>
      <c r="W925" s="379">
        <f t="shared" si="213"/>
        <v>463</v>
      </c>
      <c r="X925" s="819" t="str">
        <f t="shared" si="214"/>
        <v/>
      </c>
      <c r="Y925" s="837"/>
      <c r="Z925" s="839"/>
      <c r="AA925" s="838"/>
      <c r="AB925" s="839"/>
    </row>
    <row r="926" spans="1:28" ht="13.15">
      <c r="B926" s="819" t="s">
        <v>2267</v>
      </c>
      <c r="C926" s="819" t="s">
        <v>2268</v>
      </c>
      <c r="D926" s="379" t="s">
        <v>336</v>
      </c>
      <c r="E926" s="818" t="s">
        <v>425</v>
      </c>
      <c r="F926" s="820">
        <v>1.5602943970000001</v>
      </c>
      <c r="G926" s="821">
        <v>2.336440187</v>
      </c>
      <c r="H926" s="822">
        <v>31537505.3695632</v>
      </c>
      <c r="I926" s="819"/>
      <c r="J926" s="820">
        <v>-1.55398E-5</v>
      </c>
      <c r="K926" s="819">
        <f t="shared" si="204"/>
        <v>989</v>
      </c>
      <c r="L926" s="819">
        <f t="shared" si="205"/>
        <v>621</v>
      </c>
      <c r="M926" s="819">
        <f t="shared" si="201"/>
        <v>989</v>
      </c>
      <c r="N926" s="819">
        <f t="shared" si="202"/>
        <v>364</v>
      </c>
      <c r="O926" s="819">
        <f t="shared" si="203"/>
        <v>833</v>
      </c>
      <c r="P926" s="819">
        <f t="shared" si="206"/>
        <v>409</v>
      </c>
      <c r="Q926" s="819">
        <f t="shared" si="207"/>
        <v>198</v>
      </c>
      <c r="R926" s="819">
        <f t="shared" si="208"/>
        <v>907</v>
      </c>
      <c r="S926" s="819">
        <f t="shared" si="209"/>
        <v>338</v>
      </c>
      <c r="T926" s="819">
        <f t="shared" si="210"/>
        <v>811</v>
      </c>
      <c r="U926" s="819">
        <f t="shared" si="211"/>
        <v>2663</v>
      </c>
      <c r="V926" s="819">
        <f t="shared" si="212"/>
        <v>327</v>
      </c>
      <c r="W926" s="379">
        <f t="shared" si="213"/>
        <v>327</v>
      </c>
      <c r="X926" s="819" t="str">
        <f t="shared" si="214"/>
        <v/>
      </c>
      <c r="Y926" s="837"/>
      <c r="Z926" s="839"/>
      <c r="AA926" s="838"/>
      <c r="AB926" s="839"/>
    </row>
    <row r="927" spans="1:28" ht="14.45">
      <c r="A927" s="816"/>
      <c r="B927" s="819" t="s">
        <v>2269</v>
      </c>
      <c r="C927" s="819" t="s">
        <v>2270</v>
      </c>
      <c r="D927" s="379" t="s">
        <v>336</v>
      </c>
      <c r="E927" s="818" t="s">
        <v>728</v>
      </c>
      <c r="F927" s="820">
        <v>-3.1883874799999998</v>
      </c>
      <c r="G927" s="821">
        <v>-6.0972709829999996</v>
      </c>
      <c r="H927" s="822"/>
      <c r="I927" s="819"/>
      <c r="J927" s="820">
        <v>3.5407300000000002E-5</v>
      </c>
      <c r="K927" s="819" t="str">
        <f t="shared" si="204"/>
        <v>N/A</v>
      </c>
      <c r="L927" s="819">
        <f t="shared" si="205"/>
        <v>1421</v>
      </c>
      <c r="M927" s="819" t="str">
        <f t="shared" si="201"/>
        <v>N/A</v>
      </c>
      <c r="N927" s="819">
        <f t="shared" si="202"/>
        <v>364</v>
      </c>
      <c r="O927" s="819">
        <f t="shared" si="203"/>
        <v>370</v>
      </c>
      <c r="P927" s="819" t="str">
        <f t="shared" si="206"/>
        <v>N/A</v>
      </c>
      <c r="Q927" s="819">
        <f t="shared" si="207"/>
        <v>998</v>
      </c>
      <c r="R927" s="819" t="str">
        <f t="shared" si="208"/>
        <v>N/A</v>
      </c>
      <c r="S927" s="819">
        <f t="shared" si="209"/>
        <v>338</v>
      </c>
      <c r="T927" s="819">
        <f t="shared" si="210"/>
        <v>348</v>
      </c>
      <c r="U927" s="819">
        <f t="shared" si="211"/>
        <v>1684</v>
      </c>
      <c r="V927" s="819">
        <f t="shared" si="212"/>
        <v>85</v>
      </c>
      <c r="W927" s="379">
        <f t="shared" si="213"/>
        <v>85</v>
      </c>
      <c r="X927" s="819" t="str">
        <f t="shared" si="214"/>
        <v/>
      </c>
      <c r="Y927" s="837"/>
      <c r="Z927" s="839"/>
      <c r="AA927" s="838"/>
      <c r="AB927" s="839"/>
    </row>
    <row r="928" spans="1:28" ht="13.15">
      <c r="B928" s="819" t="s">
        <v>2271</v>
      </c>
      <c r="C928" s="819" t="s">
        <v>2272</v>
      </c>
      <c r="D928" s="379" t="s">
        <v>336</v>
      </c>
      <c r="E928" s="818" t="s">
        <v>728</v>
      </c>
      <c r="F928" s="820">
        <v>5.5685443619999999</v>
      </c>
      <c r="G928" s="821">
        <v>5.0189718379999997</v>
      </c>
      <c r="H928" s="822">
        <v>11235521.6391386</v>
      </c>
      <c r="I928" s="819"/>
      <c r="J928" s="820">
        <v>-2.8896360000000001E-3</v>
      </c>
      <c r="K928" s="819">
        <f t="shared" si="204"/>
        <v>1226</v>
      </c>
      <c r="L928" s="819">
        <f t="shared" si="205"/>
        <v>376</v>
      </c>
      <c r="M928" s="819">
        <f t="shared" si="201"/>
        <v>1226</v>
      </c>
      <c r="N928" s="819">
        <f t="shared" si="202"/>
        <v>364</v>
      </c>
      <c r="O928" s="819">
        <f t="shared" si="203"/>
        <v>1543</v>
      </c>
      <c r="P928" s="819">
        <f t="shared" si="206"/>
        <v>172</v>
      </c>
      <c r="Q928" s="819">
        <f t="shared" si="207"/>
        <v>47</v>
      </c>
      <c r="R928" s="819">
        <f t="shared" si="208"/>
        <v>1144</v>
      </c>
      <c r="S928" s="819">
        <f t="shared" si="209"/>
        <v>338</v>
      </c>
      <c r="T928" s="819">
        <f t="shared" si="210"/>
        <v>1521</v>
      </c>
      <c r="U928" s="819">
        <f t="shared" si="211"/>
        <v>3222</v>
      </c>
      <c r="V928" s="819">
        <f t="shared" si="212"/>
        <v>1229</v>
      </c>
      <c r="W928" s="379">
        <f t="shared" si="213"/>
        <v>1229</v>
      </c>
      <c r="X928" s="819" t="str">
        <f t="shared" si="214"/>
        <v/>
      </c>
      <c r="Y928" s="837"/>
      <c r="Z928" s="839"/>
      <c r="AA928" s="838"/>
      <c r="AB928" s="839"/>
    </row>
    <row r="929" spans="1:28" ht="14.45">
      <c r="A929" s="816"/>
      <c r="B929" s="819" t="s">
        <v>2273</v>
      </c>
      <c r="C929" s="819" t="s">
        <v>2274</v>
      </c>
      <c r="D929" s="379" t="s">
        <v>336</v>
      </c>
      <c r="E929" s="818" t="s">
        <v>2275</v>
      </c>
      <c r="F929" s="820">
        <v>8.3923178350000001</v>
      </c>
      <c r="G929" s="821">
        <v>19.764058810000002</v>
      </c>
      <c r="H929" s="822">
        <v>867779.255813953</v>
      </c>
      <c r="I929" s="819">
        <v>0.51</v>
      </c>
      <c r="J929" s="820">
        <v>-3.4110592000000002E-2</v>
      </c>
      <c r="K929" s="819">
        <f t="shared" si="204"/>
        <v>1568</v>
      </c>
      <c r="L929" s="819">
        <f t="shared" si="205"/>
        <v>95</v>
      </c>
      <c r="M929" s="819">
        <f t="shared" si="201"/>
        <v>1568</v>
      </c>
      <c r="N929" s="819">
        <f t="shared" si="202"/>
        <v>164</v>
      </c>
      <c r="O929" s="819">
        <f t="shared" si="203"/>
        <v>1719</v>
      </c>
      <c r="P929" s="819">
        <f t="shared" si="206"/>
        <v>170</v>
      </c>
      <c r="Q929" s="819">
        <f t="shared" si="207"/>
        <v>328</v>
      </c>
      <c r="R929" s="819">
        <f t="shared" si="208"/>
        <v>1486</v>
      </c>
      <c r="S929" s="819">
        <f t="shared" si="209"/>
        <v>138</v>
      </c>
      <c r="T929" s="819">
        <f t="shared" si="210"/>
        <v>1697</v>
      </c>
      <c r="U929" s="819">
        <f t="shared" si="211"/>
        <v>3819</v>
      </c>
      <c r="V929" s="819">
        <f t="shared" si="212"/>
        <v>1721</v>
      </c>
      <c r="W929" s="379">
        <f t="shared" si="213"/>
        <v>1721</v>
      </c>
      <c r="X929" s="819" t="str">
        <f t="shared" si="214"/>
        <v/>
      </c>
      <c r="Y929" s="837"/>
      <c r="Z929" s="839"/>
      <c r="AA929" s="838"/>
      <c r="AB929" s="839"/>
    </row>
    <row r="930" spans="1:28" ht="13.15">
      <c r="B930" s="819" t="s">
        <v>2276</v>
      </c>
      <c r="C930" s="819" t="s">
        <v>2277</v>
      </c>
      <c r="D930" s="379" t="s">
        <v>336</v>
      </c>
      <c r="E930" s="818" t="s">
        <v>711</v>
      </c>
      <c r="F930" s="820"/>
      <c r="G930" s="821"/>
      <c r="H930" s="822">
        <v>373851004.17764598</v>
      </c>
      <c r="I930" s="819"/>
      <c r="J930" s="820">
        <v>0</v>
      </c>
      <c r="K930" s="819">
        <f t="shared" si="204"/>
        <v>421</v>
      </c>
      <c r="L930" s="819">
        <f t="shared" si="205"/>
        <v>1084</v>
      </c>
      <c r="M930" s="819">
        <f t="shared" si="201"/>
        <v>421</v>
      </c>
      <c r="N930" s="819">
        <f t="shared" si="202"/>
        <v>364</v>
      </c>
      <c r="O930" s="819">
        <f t="shared" si="203"/>
        <v>492</v>
      </c>
      <c r="P930" s="819">
        <f t="shared" si="206"/>
        <v>977</v>
      </c>
      <c r="Q930" s="819">
        <f t="shared" si="207"/>
        <v>661</v>
      </c>
      <c r="R930" s="819">
        <f t="shared" si="208"/>
        <v>339</v>
      </c>
      <c r="S930" s="819">
        <f t="shared" si="209"/>
        <v>338</v>
      </c>
      <c r="T930" s="819">
        <f t="shared" si="210"/>
        <v>470</v>
      </c>
      <c r="U930" s="819">
        <f t="shared" si="211"/>
        <v>2785</v>
      </c>
      <c r="V930" s="819">
        <f t="shared" si="212"/>
        <v>463</v>
      </c>
      <c r="W930" s="379">
        <f t="shared" si="213"/>
        <v>463</v>
      </c>
      <c r="X930" s="819" t="str">
        <f t="shared" si="214"/>
        <v/>
      </c>
      <c r="Y930" s="837"/>
      <c r="Z930" s="839"/>
      <c r="AA930" s="838"/>
      <c r="AB930" s="839"/>
    </row>
    <row r="931" spans="1:28" ht="14.45">
      <c r="A931" s="816"/>
      <c r="B931" s="819" t="s">
        <v>2278</v>
      </c>
      <c r="C931" s="819" t="s">
        <v>2279</v>
      </c>
      <c r="D931" s="379" t="s">
        <v>336</v>
      </c>
      <c r="E931" s="818" t="s">
        <v>568</v>
      </c>
      <c r="F931" s="820">
        <v>1.417968946</v>
      </c>
      <c r="G931" s="821">
        <v>1.849571042</v>
      </c>
      <c r="H931" s="822">
        <v>10358702825.484699</v>
      </c>
      <c r="I931" s="819">
        <v>3.49</v>
      </c>
      <c r="J931" s="820">
        <v>-2.5903240000000001E-2</v>
      </c>
      <c r="K931" s="819">
        <f t="shared" si="204"/>
        <v>35</v>
      </c>
      <c r="L931" s="819">
        <f t="shared" si="205"/>
        <v>694</v>
      </c>
      <c r="M931" s="819">
        <f t="shared" si="201"/>
        <v>35</v>
      </c>
      <c r="N931" s="819">
        <f t="shared" si="202"/>
        <v>59</v>
      </c>
      <c r="O931" s="819">
        <f t="shared" si="203"/>
        <v>1706</v>
      </c>
      <c r="P931" s="819">
        <f t="shared" si="206"/>
        <v>1363</v>
      </c>
      <c r="Q931" s="819">
        <f t="shared" si="207"/>
        <v>271</v>
      </c>
      <c r="R931" s="819">
        <f t="shared" si="208"/>
        <v>47</v>
      </c>
      <c r="S931" s="819">
        <f t="shared" si="209"/>
        <v>33</v>
      </c>
      <c r="T931" s="819">
        <f t="shared" si="210"/>
        <v>1684</v>
      </c>
      <c r="U931" s="819">
        <f t="shared" si="211"/>
        <v>3398</v>
      </c>
      <c r="V931" s="819">
        <f t="shared" si="212"/>
        <v>1461</v>
      </c>
      <c r="W931" s="379">
        <f t="shared" si="213"/>
        <v>1461</v>
      </c>
      <c r="X931" s="819" t="str">
        <f t="shared" si="214"/>
        <v/>
      </c>
      <c r="Y931" s="837"/>
      <c r="Z931" s="839"/>
      <c r="AA931" s="838"/>
      <c r="AB931" s="839"/>
    </row>
    <row r="932" spans="1:28" ht="13.15">
      <c r="B932" s="819" t="s">
        <v>2280</v>
      </c>
      <c r="C932" s="819" t="s">
        <v>2281</v>
      </c>
      <c r="D932" s="379" t="s">
        <v>336</v>
      </c>
      <c r="E932" s="818" t="s">
        <v>2171</v>
      </c>
      <c r="F932" s="820">
        <v>2.8467241620000001</v>
      </c>
      <c r="G932" s="821">
        <v>0.72617625299999999</v>
      </c>
      <c r="H932" s="822"/>
      <c r="I932" s="819"/>
      <c r="J932" s="820">
        <v>-1.3770899999999999E-4</v>
      </c>
      <c r="K932" s="819" t="str">
        <f t="shared" si="204"/>
        <v>N/A</v>
      </c>
      <c r="L932" s="819">
        <f t="shared" si="205"/>
        <v>867</v>
      </c>
      <c r="M932" s="819" t="str">
        <f t="shared" si="201"/>
        <v>N/A</v>
      </c>
      <c r="N932" s="819">
        <f t="shared" si="202"/>
        <v>364</v>
      </c>
      <c r="O932" s="819">
        <f t="shared" si="203"/>
        <v>1049</v>
      </c>
      <c r="P932" s="819" t="str">
        <f t="shared" si="206"/>
        <v>N/A</v>
      </c>
      <c r="Q932" s="819">
        <f t="shared" si="207"/>
        <v>444</v>
      </c>
      <c r="R932" s="819" t="str">
        <f t="shared" si="208"/>
        <v>N/A</v>
      </c>
      <c r="S932" s="819">
        <f t="shared" si="209"/>
        <v>338</v>
      </c>
      <c r="T932" s="819">
        <f t="shared" si="210"/>
        <v>1027</v>
      </c>
      <c r="U932" s="819">
        <f t="shared" si="211"/>
        <v>1809</v>
      </c>
      <c r="V932" s="819">
        <f t="shared" si="212"/>
        <v>116</v>
      </c>
      <c r="W932" s="379">
        <f t="shared" si="213"/>
        <v>116</v>
      </c>
      <c r="X932" s="819" t="str">
        <f t="shared" si="214"/>
        <v/>
      </c>
      <c r="Y932" s="837"/>
      <c r="Z932" s="839"/>
      <c r="AA932" s="838"/>
      <c r="AB932" s="839"/>
    </row>
    <row r="933" spans="1:28" ht="14.45">
      <c r="A933" s="816"/>
      <c r="B933" s="819" t="s">
        <v>2282</v>
      </c>
      <c r="C933" s="819" t="s">
        <v>2283</v>
      </c>
      <c r="D933" s="379" t="s">
        <v>336</v>
      </c>
      <c r="E933" s="818" t="s">
        <v>607</v>
      </c>
      <c r="F933" s="820">
        <v>3.4885796010000001</v>
      </c>
      <c r="G933" s="821">
        <v>-0.419144662</v>
      </c>
      <c r="H933" s="822">
        <v>7983642874.36658</v>
      </c>
      <c r="I933" s="819"/>
      <c r="J933" s="820">
        <v>5.2479699999999998E-5</v>
      </c>
      <c r="K933" s="819">
        <f t="shared" si="204"/>
        <v>47</v>
      </c>
      <c r="L933" s="819">
        <f t="shared" si="205"/>
        <v>1259</v>
      </c>
      <c r="M933" s="819">
        <f t="shared" si="201"/>
        <v>47</v>
      </c>
      <c r="N933" s="819">
        <f t="shared" si="202"/>
        <v>364</v>
      </c>
      <c r="O933" s="819">
        <f t="shared" si="203"/>
        <v>343</v>
      </c>
      <c r="P933" s="819">
        <f t="shared" si="206"/>
        <v>1351</v>
      </c>
      <c r="Q933" s="819">
        <f t="shared" si="207"/>
        <v>836</v>
      </c>
      <c r="R933" s="819">
        <f t="shared" si="208"/>
        <v>35</v>
      </c>
      <c r="S933" s="819">
        <f t="shared" si="209"/>
        <v>338</v>
      </c>
      <c r="T933" s="819">
        <f t="shared" si="210"/>
        <v>321</v>
      </c>
      <c r="U933" s="819">
        <f t="shared" si="211"/>
        <v>2881</v>
      </c>
      <c r="V933" s="819">
        <f t="shared" si="212"/>
        <v>776</v>
      </c>
      <c r="W933" s="379">
        <f t="shared" si="213"/>
        <v>776</v>
      </c>
      <c r="X933" s="819" t="str">
        <f t="shared" si="214"/>
        <v/>
      </c>
      <c r="Y933" s="837"/>
      <c r="Z933" s="839"/>
      <c r="AA933" s="838"/>
      <c r="AB933" s="839"/>
    </row>
    <row r="934" spans="1:28" ht="13.15">
      <c r="B934" s="819" t="s">
        <v>2284</v>
      </c>
      <c r="C934" s="819" t="s">
        <v>2285</v>
      </c>
      <c r="D934" s="379" t="s">
        <v>336</v>
      </c>
      <c r="E934" s="818" t="s">
        <v>1077</v>
      </c>
      <c r="F934" s="820">
        <v>2.4097703859999999</v>
      </c>
      <c r="G934" s="821">
        <v>13.995507419999999</v>
      </c>
      <c r="H934" s="822">
        <v>22275569.4506476</v>
      </c>
      <c r="I934" s="819"/>
      <c r="J934" s="820">
        <v>-3.4771299999999997E-5</v>
      </c>
      <c r="K934" s="819">
        <f t="shared" si="204"/>
        <v>1080</v>
      </c>
      <c r="L934" s="819">
        <f t="shared" si="205"/>
        <v>140</v>
      </c>
      <c r="M934" s="819">
        <f t="shared" si="201"/>
        <v>1080</v>
      </c>
      <c r="N934" s="819">
        <f t="shared" si="202"/>
        <v>364</v>
      </c>
      <c r="O934" s="819">
        <f t="shared" si="203"/>
        <v>883</v>
      </c>
      <c r="P934" s="819">
        <f t="shared" si="206"/>
        <v>318</v>
      </c>
      <c r="Q934" s="819">
        <f t="shared" si="207"/>
        <v>283</v>
      </c>
      <c r="R934" s="819">
        <f t="shared" si="208"/>
        <v>998</v>
      </c>
      <c r="S934" s="819">
        <f t="shared" si="209"/>
        <v>338</v>
      </c>
      <c r="T934" s="819">
        <f t="shared" si="210"/>
        <v>861</v>
      </c>
      <c r="U934" s="819">
        <f t="shared" si="211"/>
        <v>2798</v>
      </c>
      <c r="V934" s="819">
        <f t="shared" si="212"/>
        <v>623</v>
      </c>
      <c r="W934" s="379">
        <f t="shared" si="213"/>
        <v>623</v>
      </c>
      <c r="X934" s="819" t="str">
        <f t="shared" si="214"/>
        <v/>
      </c>
      <c r="Y934" s="837"/>
      <c r="Z934" s="839"/>
      <c r="AA934" s="838"/>
      <c r="AB934" s="839"/>
    </row>
    <row r="935" spans="1:28" ht="14.45">
      <c r="A935" s="816"/>
      <c r="B935" s="819" t="s">
        <v>2286</v>
      </c>
      <c r="C935" s="819" t="s">
        <v>2287</v>
      </c>
      <c r="D935" s="379" t="s">
        <v>336</v>
      </c>
      <c r="E935" s="818" t="s">
        <v>1957</v>
      </c>
      <c r="F935" s="820">
        <v>2.9633551140000001</v>
      </c>
      <c r="G935" s="821">
        <v>0.65060093200000002</v>
      </c>
      <c r="H935" s="822">
        <v>2188122.3372208299</v>
      </c>
      <c r="I935" s="819"/>
      <c r="J935" s="820">
        <v>-1.8490999999999999E-4</v>
      </c>
      <c r="K935" s="819">
        <f t="shared" si="204"/>
        <v>1484</v>
      </c>
      <c r="L935" s="819">
        <f t="shared" si="205"/>
        <v>890</v>
      </c>
      <c r="M935" s="819">
        <f t="shared" si="201"/>
        <v>1484</v>
      </c>
      <c r="N935" s="819">
        <f t="shared" si="202"/>
        <v>364</v>
      </c>
      <c r="O935" s="819">
        <f t="shared" si="203"/>
        <v>1095</v>
      </c>
      <c r="P935" s="819">
        <f t="shared" si="206"/>
        <v>86</v>
      </c>
      <c r="Q935" s="819">
        <f t="shared" si="207"/>
        <v>467</v>
      </c>
      <c r="R935" s="819">
        <f t="shared" si="208"/>
        <v>1402</v>
      </c>
      <c r="S935" s="819">
        <f t="shared" si="209"/>
        <v>338</v>
      </c>
      <c r="T935" s="819">
        <f t="shared" si="210"/>
        <v>1073</v>
      </c>
      <c r="U935" s="819">
        <f t="shared" si="211"/>
        <v>3366</v>
      </c>
      <c r="V935" s="819">
        <f t="shared" si="212"/>
        <v>1426</v>
      </c>
      <c r="W935" s="379">
        <f t="shared" si="213"/>
        <v>1426</v>
      </c>
      <c r="X935" s="819" t="str">
        <f t="shared" si="214"/>
        <v/>
      </c>
      <c r="Y935" s="837"/>
      <c r="Z935" s="839"/>
      <c r="AA935" s="838"/>
      <c r="AB935" s="839"/>
    </row>
    <row r="936" spans="1:28" ht="13.15">
      <c r="B936" s="819" t="s">
        <v>2288</v>
      </c>
      <c r="C936" s="819" t="s">
        <v>2289</v>
      </c>
      <c r="D936" s="379" t="s">
        <v>336</v>
      </c>
      <c r="E936" s="818" t="s">
        <v>1811</v>
      </c>
      <c r="F936" s="820">
        <v>2.4684671850000002</v>
      </c>
      <c r="G936" s="821">
        <v>25.452741270000001</v>
      </c>
      <c r="H936" s="822">
        <v>2370982.7691450999</v>
      </c>
      <c r="I936" s="819">
        <v>0.87</v>
      </c>
      <c r="J936" s="820">
        <v>-2.4646310000000001E-3</v>
      </c>
      <c r="K936" s="819">
        <f t="shared" si="204"/>
        <v>1475</v>
      </c>
      <c r="L936" s="819">
        <f t="shared" si="205"/>
        <v>73</v>
      </c>
      <c r="M936" s="819">
        <f t="shared" si="201"/>
        <v>1475</v>
      </c>
      <c r="N936" s="819">
        <f t="shared" si="202"/>
        <v>138</v>
      </c>
      <c r="O936" s="819">
        <f t="shared" si="203"/>
        <v>1525</v>
      </c>
      <c r="P936" s="819">
        <f t="shared" si="206"/>
        <v>77</v>
      </c>
      <c r="Q936" s="819">
        <f t="shared" si="207"/>
        <v>350</v>
      </c>
      <c r="R936" s="819">
        <f t="shared" si="208"/>
        <v>1393</v>
      </c>
      <c r="S936" s="819">
        <f t="shared" si="209"/>
        <v>112</v>
      </c>
      <c r="T936" s="819">
        <f t="shared" si="210"/>
        <v>1503</v>
      </c>
      <c r="U936" s="819">
        <f t="shared" si="211"/>
        <v>3435</v>
      </c>
      <c r="V936" s="819">
        <f t="shared" si="212"/>
        <v>1492</v>
      </c>
      <c r="W936" s="379">
        <f t="shared" si="213"/>
        <v>1492</v>
      </c>
      <c r="X936" s="819" t="str">
        <f t="shared" si="214"/>
        <v/>
      </c>
      <c r="Y936" s="837"/>
      <c r="Z936" s="839"/>
      <c r="AA936" s="838"/>
      <c r="AB936" s="839"/>
    </row>
    <row r="937" spans="1:28" ht="14.45">
      <c r="A937" s="816"/>
      <c r="B937" s="819" t="s">
        <v>2290</v>
      </c>
      <c r="C937" s="819" t="s">
        <v>2291</v>
      </c>
      <c r="D937" s="379" t="s">
        <v>336</v>
      </c>
      <c r="E937" s="818" t="s">
        <v>1077</v>
      </c>
      <c r="F937" s="820">
        <v>12.85660837</v>
      </c>
      <c r="G937" s="821">
        <v>5.727385666</v>
      </c>
      <c r="H937" s="822">
        <v>30767703.8360379</v>
      </c>
      <c r="I937" s="819">
        <v>0.74</v>
      </c>
      <c r="J937" s="820">
        <v>-3.3554890000000001E-3</v>
      </c>
      <c r="K937" s="819">
        <f t="shared" si="204"/>
        <v>996</v>
      </c>
      <c r="L937" s="819">
        <f t="shared" si="205"/>
        <v>336</v>
      </c>
      <c r="M937" s="819">
        <f t="shared" si="201"/>
        <v>996</v>
      </c>
      <c r="N937" s="819">
        <f t="shared" si="202"/>
        <v>147</v>
      </c>
      <c r="O937" s="819">
        <f t="shared" si="203"/>
        <v>1563</v>
      </c>
      <c r="P937" s="819">
        <f t="shared" si="206"/>
        <v>402</v>
      </c>
      <c r="Q937" s="819">
        <f t="shared" si="207"/>
        <v>87</v>
      </c>
      <c r="R937" s="819">
        <f t="shared" si="208"/>
        <v>914</v>
      </c>
      <c r="S937" s="819">
        <f t="shared" si="209"/>
        <v>121</v>
      </c>
      <c r="T937" s="819">
        <f t="shared" si="210"/>
        <v>1541</v>
      </c>
      <c r="U937" s="819">
        <f t="shared" si="211"/>
        <v>3065</v>
      </c>
      <c r="V937" s="819">
        <f t="shared" si="212"/>
        <v>1008</v>
      </c>
      <c r="W937" s="379">
        <f t="shared" si="213"/>
        <v>1008</v>
      </c>
      <c r="X937" s="819" t="str">
        <f t="shared" si="214"/>
        <v/>
      </c>
      <c r="Y937" s="837"/>
      <c r="Z937" s="839"/>
      <c r="AA937" s="838"/>
      <c r="AB937" s="839"/>
    </row>
    <row r="938" spans="1:28" ht="13.15">
      <c r="B938" s="819" t="s">
        <v>2292</v>
      </c>
      <c r="C938" s="819" t="s">
        <v>2293</v>
      </c>
      <c r="D938" s="379" t="s">
        <v>336</v>
      </c>
      <c r="E938" s="818" t="s">
        <v>337</v>
      </c>
      <c r="F938" s="820">
        <v>2.6760336499999999</v>
      </c>
      <c r="G938" s="821">
        <v>0.94117115500000004</v>
      </c>
      <c r="H938" s="822">
        <v>901187008.79999995</v>
      </c>
      <c r="I938" s="819"/>
      <c r="J938" s="820">
        <v>-2.3180400000000001E-4</v>
      </c>
      <c r="K938" s="819">
        <f t="shared" si="204"/>
        <v>239</v>
      </c>
      <c r="L938" s="819">
        <f t="shared" si="205"/>
        <v>826</v>
      </c>
      <c r="M938" s="819">
        <f t="shared" si="201"/>
        <v>239</v>
      </c>
      <c r="N938" s="819">
        <f t="shared" si="202"/>
        <v>364</v>
      </c>
      <c r="O938" s="819">
        <f t="shared" si="203"/>
        <v>1133</v>
      </c>
      <c r="P938" s="819">
        <f t="shared" si="206"/>
        <v>1159</v>
      </c>
      <c r="Q938" s="819">
        <f t="shared" si="207"/>
        <v>403</v>
      </c>
      <c r="R938" s="819">
        <f t="shared" si="208"/>
        <v>157</v>
      </c>
      <c r="S938" s="819">
        <f t="shared" si="209"/>
        <v>338</v>
      </c>
      <c r="T938" s="819">
        <f t="shared" si="210"/>
        <v>1111</v>
      </c>
      <c r="U938" s="819">
        <f t="shared" si="211"/>
        <v>3168</v>
      </c>
      <c r="V938" s="819">
        <f t="shared" si="212"/>
        <v>1153</v>
      </c>
      <c r="W938" s="379">
        <f t="shared" si="213"/>
        <v>1153</v>
      </c>
      <c r="X938" s="819" t="str">
        <f t="shared" si="214"/>
        <v/>
      </c>
      <c r="Y938" s="837"/>
      <c r="Z938" s="839"/>
      <c r="AA938" s="838"/>
      <c r="AB938" s="839"/>
    </row>
    <row r="939" spans="1:28" ht="14.45">
      <c r="A939" s="816"/>
      <c r="B939" s="819" t="s">
        <v>2294</v>
      </c>
      <c r="C939" s="819" t="s">
        <v>2295</v>
      </c>
      <c r="D939" s="379" t="s">
        <v>336</v>
      </c>
      <c r="E939" s="818" t="s">
        <v>189</v>
      </c>
      <c r="F939" s="820">
        <v>17.325697349999999</v>
      </c>
      <c r="G939" s="821">
        <v>52.60538717</v>
      </c>
      <c r="H939" s="822">
        <v>1041468968.33667</v>
      </c>
      <c r="I939" s="819">
        <v>0.04</v>
      </c>
      <c r="J939" s="820">
        <v>-6.6760329999999996E-3</v>
      </c>
      <c r="K939" s="819">
        <f t="shared" si="204"/>
        <v>216</v>
      </c>
      <c r="L939" s="819">
        <f t="shared" si="205"/>
        <v>34</v>
      </c>
      <c r="M939" s="819">
        <f t="shared" si="201"/>
        <v>216</v>
      </c>
      <c r="N939" s="819">
        <f t="shared" si="202"/>
        <v>309</v>
      </c>
      <c r="O939" s="819">
        <f t="shared" si="203"/>
        <v>1623</v>
      </c>
      <c r="P939" s="819">
        <f t="shared" si="206"/>
        <v>1182</v>
      </c>
      <c r="Q939" s="819">
        <f t="shared" si="207"/>
        <v>389</v>
      </c>
      <c r="R939" s="819">
        <f t="shared" si="208"/>
        <v>134</v>
      </c>
      <c r="S939" s="819">
        <f t="shared" si="209"/>
        <v>283</v>
      </c>
      <c r="T939" s="819">
        <f t="shared" si="210"/>
        <v>1601</v>
      </c>
      <c r="U939" s="819">
        <f t="shared" si="211"/>
        <v>3589</v>
      </c>
      <c r="V939" s="819">
        <f t="shared" si="212"/>
        <v>1619</v>
      </c>
      <c r="W939" s="379">
        <f t="shared" si="213"/>
        <v>1619</v>
      </c>
      <c r="X939" s="819" t="str">
        <f t="shared" si="214"/>
        <v/>
      </c>
      <c r="Y939" s="837"/>
      <c r="Z939" s="839"/>
      <c r="AA939" s="838"/>
      <c r="AB939" s="839"/>
    </row>
    <row r="940" spans="1:28" ht="13.15">
      <c r="B940" s="819" t="s">
        <v>2296</v>
      </c>
      <c r="C940" s="819" t="s">
        <v>2297</v>
      </c>
      <c r="D940" s="379" t="s">
        <v>336</v>
      </c>
      <c r="E940" s="818" t="s">
        <v>1077</v>
      </c>
      <c r="F940" s="820">
        <v>154.21357499999999</v>
      </c>
      <c r="G940" s="821">
        <v>10.52818021</v>
      </c>
      <c r="H940" s="822">
        <v>56156383.181976102</v>
      </c>
      <c r="I940" s="819">
        <v>0.26</v>
      </c>
      <c r="J940" s="820">
        <v>-1.2880861E-2</v>
      </c>
      <c r="K940" s="819">
        <f t="shared" si="204"/>
        <v>849</v>
      </c>
      <c r="L940" s="819">
        <f t="shared" si="205"/>
        <v>184</v>
      </c>
      <c r="M940" s="819">
        <f t="shared" si="201"/>
        <v>849</v>
      </c>
      <c r="N940" s="819">
        <f t="shared" si="202"/>
        <v>203</v>
      </c>
      <c r="O940" s="819">
        <f t="shared" si="203"/>
        <v>1663</v>
      </c>
      <c r="P940" s="819">
        <f t="shared" si="206"/>
        <v>549</v>
      </c>
      <c r="Q940" s="819">
        <f t="shared" si="207"/>
        <v>239</v>
      </c>
      <c r="R940" s="819">
        <f t="shared" si="208"/>
        <v>767</v>
      </c>
      <c r="S940" s="819">
        <f t="shared" si="209"/>
        <v>177</v>
      </c>
      <c r="T940" s="819">
        <f t="shared" si="210"/>
        <v>1641</v>
      </c>
      <c r="U940" s="819">
        <f t="shared" si="211"/>
        <v>3373</v>
      </c>
      <c r="V940" s="819">
        <f t="shared" si="212"/>
        <v>1436</v>
      </c>
      <c r="W940" s="379">
        <f t="shared" si="213"/>
        <v>1436</v>
      </c>
      <c r="X940" s="819" t="str">
        <f t="shared" si="214"/>
        <v/>
      </c>
      <c r="Y940" s="837"/>
      <c r="Z940" s="839"/>
      <c r="AA940" s="838"/>
      <c r="AB940" s="839"/>
    </row>
    <row r="941" spans="1:28" ht="14.45">
      <c r="A941" s="816"/>
      <c r="B941" s="819" t="s">
        <v>2298</v>
      </c>
      <c r="C941" s="819" t="s">
        <v>2299</v>
      </c>
      <c r="D941" s="379" t="s">
        <v>336</v>
      </c>
      <c r="E941" s="818" t="s">
        <v>568</v>
      </c>
      <c r="F941" s="820"/>
      <c r="G941" s="821"/>
      <c r="H941" s="822">
        <v>1734063741.1226101</v>
      </c>
      <c r="I941" s="819"/>
      <c r="J941" s="820">
        <v>0</v>
      </c>
      <c r="K941" s="819">
        <f t="shared" si="204"/>
        <v>165</v>
      </c>
      <c r="L941" s="819">
        <f t="shared" si="205"/>
        <v>1084</v>
      </c>
      <c r="M941" s="819">
        <f t="shared" si="201"/>
        <v>165</v>
      </c>
      <c r="N941" s="819">
        <f t="shared" si="202"/>
        <v>364</v>
      </c>
      <c r="O941" s="819">
        <f t="shared" si="203"/>
        <v>492</v>
      </c>
      <c r="P941" s="819">
        <f t="shared" si="206"/>
        <v>1233</v>
      </c>
      <c r="Q941" s="819">
        <f t="shared" si="207"/>
        <v>661</v>
      </c>
      <c r="R941" s="819">
        <f t="shared" si="208"/>
        <v>83</v>
      </c>
      <c r="S941" s="819">
        <f t="shared" si="209"/>
        <v>338</v>
      </c>
      <c r="T941" s="819">
        <f t="shared" si="210"/>
        <v>470</v>
      </c>
      <c r="U941" s="819">
        <f t="shared" si="211"/>
        <v>2785</v>
      </c>
      <c r="V941" s="819">
        <f t="shared" si="212"/>
        <v>463</v>
      </c>
      <c r="W941" s="379">
        <f t="shared" si="213"/>
        <v>463</v>
      </c>
      <c r="X941" s="819" t="str">
        <f t="shared" si="214"/>
        <v/>
      </c>
      <c r="Y941" s="837"/>
      <c r="Z941" s="839"/>
      <c r="AA941" s="838"/>
      <c r="AB941" s="839"/>
    </row>
    <row r="942" spans="1:28" ht="13.15">
      <c r="B942" s="819" t="s">
        <v>2300</v>
      </c>
      <c r="C942" s="819" t="s">
        <v>2301</v>
      </c>
      <c r="D942" s="379" t="s">
        <v>336</v>
      </c>
      <c r="E942" s="818" t="s">
        <v>568</v>
      </c>
      <c r="F942" s="820">
        <v>1.0745749449999999</v>
      </c>
      <c r="G942" s="821">
        <v>3.0438590680000002</v>
      </c>
      <c r="H942" s="822">
        <v>721188402.26361203</v>
      </c>
      <c r="I942" s="819"/>
      <c r="J942" s="820">
        <v>-1.849634E-3</v>
      </c>
      <c r="K942" s="819">
        <f t="shared" si="204"/>
        <v>278</v>
      </c>
      <c r="L942" s="819">
        <f t="shared" si="205"/>
        <v>542</v>
      </c>
      <c r="M942" s="819">
        <f t="shared" si="201"/>
        <v>278</v>
      </c>
      <c r="N942" s="819">
        <f t="shared" si="202"/>
        <v>364</v>
      </c>
      <c r="O942" s="819">
        <f t="shared" si="203"/>
        <v>1484</v>
      </c>
      <c r="P942" s="819">
        <f t="shared" si="206"/>
        <v>1120</v>
      </c>
      <c r="Q942" s="819">
        <f t="shared" si="207"/>
        <v>119</v>
      </c>
      <c r="R942" s="819">
        <f t="shared" si="208"/>
        <v>196</v>
      </c>
      <c r="S942" s="819">
        <f t="shared" si="209"/>
        <v>338</v>
      </c>
      <c r="T942" s="819">
        <f t="shared" si="210"/>
        <v>1462</v>
      </c>
      <c r="U942" s="819">
        <f t="shared" si="211"/>
        <v>3235</v>
      </c>
      <c r="V942" s="819">
        <f t="shared" si="212"/>
        <v>1250</v>
      </c>
      <c r="W942" s="379">
        <f t="shared" si="213"/>
        <v>1250</v>
      </c>
      <c r="X942" s="819" t="str">
        <f t="shared" si="214"/>
        <v/>
      </c>
      <c r="Y942" s="837"/>
      <c r="Z942" s="839"/>
      <c r="AA942" s="838"/>
      <c r="AB942" s="839"/>
    </row>
    <row r="943" spans="1:28" ht="14.45">
      <c r="A943" s="816"/>
      <c r="B943" s="819" t="s">
        <v>2302</v>
      </c>
      <c r="C943" s="819" t="s">
        <v>2303</v>
      </c>
      <c r="D943" s="379" t="s">
        <v>336</v>
      </c>
      <c r="E943" s="818" t="s">
        <v>2171</v>
      </c>
      <c r="F943" s="820">
        <v>1.5573013179999999</v>
      </c>
      <c r="G943" s="821">
        <v>38.611436750000003</v>
      </c>
      <c r="H943" s="822">
        <v>19308544.854760401</v>
      </c>
      <c r="I943" s="819">
        <v>0.08</v>
      </c>
      <c r="J943" s="820">
        <v>-6.2514499999999999E-5</v>
      </c>
      <c r="K943" s="819">
        <f t="shared" si="204"/>
        <v>1109</v>
      </c>
      <c r="L943" s="819">
        <f t="shared" si="205"/>
        <v>48</v>
      </c>
      <c r="M943" s="819">
        <f t="shared" si="201"/>
        <v>1109</v>
      </c>
      <c r="N943" s="819">
        <f t="shared" si="202"/>
        <v>283</v>
      </c>
      <c r="O943" s="819">
        <f t="shared" si="203"/>
        <v>942</v>
      </c>
      <c r="P943" s="819">
        <f t="shared" si="206"/>
        <v>289</v>
      </c>
      <c r="Q943" s="819">
        <f t="shared" si="207"/>
        <v>375</v>
      </c>
      <c r="R943" s="819">
        <f t="shared" si="208"/>
        <v>1027</v>
      </c>
      <c r="S943" s="819">
        <f t="shared" si="209"/>
        <v>257</v>
      </c>
      <c r="T943" s="819">
        <f t="shared" si="210"/>
        <v>920</v>
      </c>
      <c r="U943" s="819">
        <f t="shared" si="211"/>
        <v>2868</v>
      </c>
      <c r="V943" s="819">
        <f t="shared" si="212"/>
        <v>750</v>
      </c>
      <c r="W943" s="379">
        <f t="shared" si="213"/>
        <v>750</v>
      </c>
      <c r="X943" s="819" t="str">
        <f t="shared" si="214"/>
        <v/>
      </c>
      <c r="Y943" s="837"/>
      <c r="Z943" s="839"/>
      <c r="AA943" s="838"/>
      <c r="AB943" s="839"/>
    </row>
    <row r="944" spans="1:28" ht="13.15">
      <c r="B944" s="819" t="s">
        <v>2304</v>
      </c>
      <c r="C944" s="819" t="s">
        <v>2305</v>
      </c>
      <c r="D944" s="379" t="s">
        <v>336</v>
      </c>
      <c r="E944" s="818" t="s">
        <v>625</v>
      </c>
      <c r="F944" s="820">
        <v>0.86927835099999995</v>
      </c>
      <c r="G944" s="821">
        <v>3.1455214499999999</v>
      </c>
      <c r="H944" s="822">
        <v>224236766.996292</v>
      </c>
      <c r="I944" s="819"/>
      <c r="J944" s="820">
        <v>-5.3039799999999996E-4</v>
      </c>
      <c r="K944" s="819">
        <f t="shared" si="204"/>
        <v>534</v>
      </c>
      <c r="L944" s="819">
        <f t="shared" si="205"/>
        <v>534</v>
      </c>
      <c r="M944" s="819">
        <f t="shared" si="201"/>
        <v>534</v>
      </c>
      <c r="N944" s="819">
        <f t="shared" si="202"/>
        <v>364</v>
      </c>
      <c r="O944" s="819">
        <f t="shared" si="203"/>
        <v>1281</v>
      </c>
      <c r="P944" s="819">
        <f t="shared" si="206"/>
        <v>864</v>
      </c>
      <c r="Q944" s="819">
        <f t="shared" si="207"/>
        <v>111</v>
      </c>
      <c r="R944" s="819">
        <f t="shared" si="208"/>
        <v>452</v>
      </c>
      <c r="S944" s="819">
        <f t="shared" si="209"/>
        <v>338</v>
      </c>
      <c r="T944" s="819">
        <f t="shared" si="210"/>
        <v>1259</v>
      </c>
      <c r="U944" s="819">
        <f t="shared" si="211"/>
        <v>3024</v>
      </c>
      <c r="V944" s="819">
        <f t="shared" si="212"/>
        <v>955</v>
      </c>
      <c r="W944" s="379">
        <f t="shared" si="213"/>
        <v>955</v>
      </c>
      <c r="X944" s="819" t="str">
        <f t="shared" si="214"/>
        <v/>
      </c>
      <c r="Y944" s="837"/>
      <c r="Z944" s="839"/>
      <c r="AA944" s="838"/>
      <c r="AB944" s="839"/>
    </row>
    <row r="945" spans="1:28" ht="14.45">
      <c r="A945" s="816"/>
      <c r="B945" s="819" t="s">
        <v>2306</v>
      </c>
      <c r="C945" s="819" t="s">
        <v>2307</v>
      </c>
      <c r="D945" s="379" t="s">
        <v>336</v>
      </c>
      <c r="E945" s="818" t="s">
        <v>1832</v>
      </c>
      <c r="F945" s="820">
        <v>5.0421664020000003</v>
      </c>
      <c r="G945" s="821">
        <v>-8.5104370150000008</v>
      </c>
      <c r="H945" s="822">
        <v>152842755.267822</v>
      </c>
      <c r="I945" s="819"/>
      <c r="J945" s="820">
        <v>6.8821399999999998E-5</v>
      </c>
      <c r="K945" s="819">
        <f t="shared" si="204"/>
        <v>621</v>
      </c>
      <c r="L945" s="819">
        <f t="shared" si="205"/>
        <v>1438</v>
      </c>
      <c r="M945" s="819">
        <f t="shared" si="201"/>
        <v>621</v>
      </c>
      <c r="N945" s="819">
        <f t="shared" si="202"/>
        <v>364</v>
      </c>
      <c r="O945" s="819">
        <f t="shared" si="203"/>
        <v>320</v>
      </c>
      <c r="P945" s="819">
        <f t="shared" si="206"/>
        <v>777</v>
      </c>
      <c r="Q945" s="819">
        <f t="shared" si="207"/>
        <v>1015</v>
      </c>
      <c r="R945" s="819">
        <f t="shared" si="208"/>
        <v>539</v>
      </c>
      <c r="S945" s="819">
        <f t="shared" si="209"/>
        <v>338</v>
      </c>
      <c r="T945" s="819">
        <f t="shared" si="210"/>
        <v>298</v>
      </c>
      <c r="U945" s="819">
        <f t="shared" si="211"/>
        <v>2967</v>
      </c>
      <c r="V945" s="819">
        <f t="shared" si="212"/>
        <v>888</v>
      </c>
      <c r="W945" s="379">
        <f t="shared" si="213"/>
        <v>888</v>
      </c>
      <c r="X945" s="819" t="str">
        <f t="shared" si="214"/>
        <v/>
      </c>
      <c r="Y945" s="837"/>
      <c r="Z945" s="839"/>
      <c r="AA945" s="838"/>
      <c r="AB945" s="839"/>
    </row>
    <row r="946" spans="1:28" ht="13.15">
      <c r="B946" s="819" t="s">
        <v>2308</v>
      </c>
      <c r="C946" s="819" t="s">
        <v>2309</v>
      </c>
      <c r="D946" s="379" t="s">
        <v>336</v>
      </c>
      <c r="E946" s="818" t="s">
        <v>1720</v>
      </c>
      <c r="F946" s="820">
        <v>1.397374484</v>
      </c>
      <c r="G946" s="821">
        <v>56.829393879999998</v>
      </c>
      <c r="H946" s="822"/>
      <c r="I946" s="819"/>
      <c r="J946" s="820">
        <v>-1.7614799999999999E-5</v>
      </c>
      <c r="K946" s="819" t="str">
        <f t="shared" si="204"/>
        <v>N/A</v>
      </c>
      <c r="L946" s="819">
        <f t="shared" si="205"/>
        <v>32</v>
      </c>
      <c r="M946" s="819" t="str">
        <f t="shared" si="201"/>
        <v>N/A</v>
      </c>
      <c r="N946" s="819">
        <f t="shared" si="202"/>
        <v>364</v>
      </c>
      <c r="O946" s="819">
        <f t="shared" si="203"/>
        <v>841</v>
      </c>
      <c r="P946" s="819" t="str">
        <f t="shared" si="206"/>
        <v>N/A</v>
      </c>
      <c r="Q946" s="819">
        <f t="shared" si="207"/>
        <v>391</v>
      </c>
      <c r="R946" s="819" t="str">
        <f t="shared" si="208"/>
        <v>N/A</v>
      </c>
      <c r="S946" s="819">
        <f t="shared" si="209"/>
        <v>338</v>
      </c>
      <c r="T946" s="819">
        <f t="shared" si="210"/>
        <v>819</v>
      </c>
      <c r="U946" s="819">
        <f t="shared" si="211"/>
        <v>1548</v>
      </c>
      <c r="V946" s="819">
        <f t="shared" si="212"/>
        <v>58</v>
      </c>
      <c r="W946" s="379">
        <f t="shared" si="213"/>
        <v>58</v>
      </c>
      <c r="X946" s="819" t="str">
        <f t="shared" si="214"/>
        <v/>
      </c>
      <c r="Y946" s="837"/>
      <c r="Z946" s="839"/>
      <c r="AA946" s="838"/>
      <c r="AB946" s="839"/>
    </row>
    <row r="947" spans="1:28" ht="14.45">
      <c r="A947" s="816"/>
      <c r="B947" s="819" t="s">
        <v>2310</v>
      </c>
      <c r="C947" s="819" t="s">
        <v>2311</v>
      </c>
      <c r="D947" s="379" t="s">
        <v>336</v>
      </c>
      <c r="E947" s="818" t="s">
        <v>941</v>
      </c>
      <c r="F947" s="820">
        <v>-5.1553100999999997E-2</v>
      </c>
      <c r="G947" s="821">
        <v>-2.0176157E-2</v>
      </c>
      <c r="H947" s="822">
        <v>13291347.155661199</v>
      </c>
      <c r="I947" s="819"/>
      <c r="J947" s="820">
        <v>3.18645E-5</v>
      </c>
      <c r="K947" s="819">
        <f t="shared" si="204"/>
        <v>1195</v>
      </c>
      <c r="L947" s="819">
        <f t="shared" si="205"/>
        <v>1199</v>
      </c>
      <c r="M947" s="819">
        <f t="shared" si="201"/>
        <v>1195</v>
      </c>
      <c r="N947" s="819">
        <f t="shared" si="202"/>
        <v>364</v>
      </c>
      <c r="O947" s="819">
        <f t="shared" si="203"/>
        <v>375</v>
      </c>
      <c r="P947" s="819">
        <f t="shared" si="206"/>
        <v>203</v>
      </c>
      <c r="Q947" s="819">
        <f t="shared" si="207"/>
        <v>776</v>
      </c>
      <c r="R947" s="819">
        <f t="shared" si="208"/>
        <v>1113</v>
      </c>
      <c r="S947" s="819">
        <f t="shared" si="209"/>
        <v>338</v>
      </c>
      <c r="T947" s="819">
        <f t="shared" si="210"/>
        <v>353</v>
      </c>
      <c r="U947" s="819">
        <f t="shared" si="211"/>
        <v>2783</v>
      </c>
      <c r="V947" s="819">
        <f t="shared" si="212"/>
        <v>461</v>
      </c>
      <c r="W947" s="379">
        <f t="shared" si="213"/>
        <v>461</v>
      </c>
      <c r="X947" s="819" t="str">
        <f t="shared" si="214"/>
        <v/>
      </c>
      <c r="Y947" s="837"/>
      <c r="Z947" s="839"/>
      <c r="AA947" s="838"/>
      <c r="AB947" s="839"/>
    </row>
    <row r="948" spans="1:28" ht="13.15">
      <c r="B948" s="819" t="s">
        <v>2312</v>
      </c>
      <c r="C948" s="819" t="s">
        <v>2313</v>
      </c>
      <c r="D948" s="379" t="s">
        <v>336</v>
      </c>
      <c r="E948" s="818" t="s">
        <v>1832</v>
      </c>
      <c r="F948" s="820">
        <v>0.76238340699999996</v>
      </c>
      <c r="G948" s="821">
        <v>0.13916787999999999</v>
      </c>
      <c r="H948" s="822">
        <v>24496724.5214651</v>
      </c>
      <c r="I948" s="819"/>
      <c r="J948" s="820">
        <v>-5.4634699999999998E-4</v>
      </c>
      <c r="K948" s="819">
        <f t="shared" si="204"/>
        <v>1049</v>
      </c>
      <c r="L948" s="819">
        <f t="shared" si="205"/>
        <v>1000</v>
      </c>
      <c r="M948" s="819">
        <f t="shared" si="201"/>
        <v>1049</v>
      </c>
      <c r="N948" s="819">
        <f t="shared" si="202"/>
        <v>364</v>
      </c>
      <c r="O948" s="819">
        <f t="shared" si="203"/>
        <v>1286</v>
      </c>
      <c r="P948" s="819">
        <f t="shared" si="206"/>
        <v>349</v>
      </c>
      <c r="Q948" s="819">
        <f t="shared" si="207"/>
        <v>577</v>
      </c>
      <c r="R948" s="819">
        <f t="shared" si="208"/>
        <v>967</v>
      </c>
      <c r="S948" s="819">
        <f t="shared" si="209"/>
        <v>338</v>
      </c>
      <c r="T948" s="819">
        <f t="shared" si="210"/>
        <v>1264</v>
      </c>
      <c r="U948" s="819">
        <f t="shared" si="211"/>
        <v>3495</v>
      </c>
      <c r="V948" s="819">
        <f t="shared" si="212"/>
        <v>1550</v>
      </c>
      <c r="W948" s="379">
        <f t="shared" si="213"/>
        <v>1550</v>
      </c>
      <c r="X948" s="819" t="str">
        <f t="shared" si="214"/>
        <v/>
      </c>
      <c r="Y948" s="837"/>
      <c r="Z948" s="839"/>
      <c r="AA948" s="838"/>
      <c r="AB948" s="839"/>
    </row>
    <row r="949" spans="1:28" ht="14.45">
      <c r="A949" s="816"/>
      <c r="B949" s="819" t="s">
        <v>2314</v>
      </c>
      <c r="C949" s="819" t="s">
        <v>2315</v>
      </c>
      <c r="D949" s="379" t="s">
        <v>336</v>
      </c>
      <c r="E949" s="818" t="s">
        <v>191</v>
      </c>
      <c r="F949" s="820">
        <v>4.058348659</v>
      </c>
      <c r="G949" s="821">
        <v>8.5212789569999998</v>
      </c>
      <c r="H949" s="822">
        <v>2066066.87290726</v>
      </c>
      <c r="I949" s="819">
        <v>25.31</v>
      </c>
      <c r="J949" s="820">
        <v>-3.0558127000000001E-2</v>
      </c>
      <c r="K949" s="819">
        <f t="shared" si="204"/>
        <v>1493</v>
      </c>
      <c r="L949" s="819">
        <f t="shared" si="205"/>
        <v>242</v>
      </c>
      <c r="M949" s="819">
        <f t="shared" si="201"/>
        <v>1493</v>
      </c>
      <c r="N949" s="819">
        <f t="shared" si="202"/>
        <v>23</v>
      </c>
      <c r="O949" s="819">
        <f t="shared" si="203"/>
        <v>1713</v>
      </c>
      <c r="P949" s="819">
        <f t="shared" si="206"/>
        <v>95</v>
      </c>
      <c r="Q949" s="819">
        <f t="shared" si="207"/>
        <v>181</v>
      </c>
      <c r="R949" s="819">
        <f t="shared" si="208"/>
        <v>1411</v>
      </c>
      <c r="S949" s="819">
        <f t="shared" si="209"/>
        <v>3</v>
      </c>
      <c r="T949" s="819">
        <f t="shared" si="210"/>
        <v>1691</v>
      </c>
      <c r="U949" s="819">
        <f t="shared" si="211"/>
        <v>3381</v>
      </c>
      <c r="V949" s="819">
        <f t="shared" si="212"/>
        <v>1444</v>
      </c>
      <c r="W949" s="379">
        <f t="shared" si="213"/>
        <v>1444</v>
      </c>
      <c r="X949" s="819" t="str">
        <f t="shared" si="214"/>
        <v/>
      </c>
      <c r="Y949" s="837"/>
      <c r="Z949" s="839"/>
      <c r="AA949" s="838"/>
      <c r="AB949" s="839"/>
    </row>
    <row r="950" spans="1:28" ht="13.15">
      <c r="B950" s="819" t="s">
        <v>2316</v>
      </c>
      <c r="C950" s="819" t="s">
        <v>2317</v>
      </c>
      <c r="D950" s="379" t="s">
        <v>336</v>
      </c>
      <c r="E950" s="818" t="s">
        <v>373</v>
      </c>
      <c r="F950" s="820">
        <v>3.1539550410000001</v>
      </c>
      <c r="G950" s="821">
        <v>8.6496340329999999</v>
      </c>
      <c r="H950" s="822">
        <v>127272727.272727</v>
      </c>
      <c r="I950" s="819"/>
      <c r="J950" s="820">
        <v>-9.4682300000000007E-5</v>
      </c>
      <c r="K950" s="819">
        <f t="shared" si="204"/>
        <v>656</v>
      </c>
      <c r="L950" s="819">
        <f t="shared" si="205"/>
        <v>235</v>
      </c>
      <c r="M950" s="819">
        <f t="shared" si="201"/>
        <v>656</v>
      </c>
      <c r="N950" s="819">
        <f t="shared" si="202"/>
        <v>364</v>
      </c>
      <c r="O950" s="819">
        <f t="shared" si="203"/>
        <v>1002</v>
      </c>
      <c r="P950" s="819">
        <f t="shared" si="206"/>
        <v>742</v>
      </c>
      <c r="Q950" s="819">
        <f t="shared" si="207"/>
        <v>188</v>
      </c>
      <c r="R950" s="819">
        <f t="shared" si="208"/>
        <v>574</v>
      </c>
      <c r="S950" s="819">
        <f t="shared" si="209"/>
        <v>338</v>
      </c>
      <c r="T950" s="819">
        <f t="shared" si="210"/>
        <v>980</v>
      </c>
      <c r="U950" s="819">
        <f t="shared" si="211"/>
        <v>2822</v>
      </c>
      <c r="V950" s="819">
        <f t="shared" si="212"/>
        <v>666</v>
      </c>
      <c r="W950" s="379">
        <f t="shared" si="213"/>
        <v>666</v>
      </c>
      <c r="X950" s="819" t="str">
        <f t="shared" si="214"/>
        <v/>
      </c>
      <c r="Y950" s="837"/>
      <c r="Z950" s="839"/>
      <c r="AA950" s="838"/>
      <c r="AB950" s="839"/>
    </row>
    <row r="951" spans="1:28" ht="14.45">
      <c r="A951" s="816"/>
      <c r="B951" s="819" t="s">
        <v>2318</v>
      </c>
      <c r="C951" s="819" t="s">
        <v>2319</v>
      </c>
      <c r="D951" s="379" t="s">
        <v>336</v>
      </c>
      <c r="E951" s="818" t="s">
        <v>941</v>
      </c>
      <c r="F951" s="820">
        <v>2.7278779100000001</v>
      </c>
      <c r="G951" s="821">
        <v>60.066859139999998</v>
      </c>
      <c r="H951" s="822">
        <v>3886468065.1911502</v>
      </c>
      <c r="I951" s="819"/>
      <c r="J951" s="820">
        <v>-3.4327900000000001E-6</v>
      </c>
      <c r="K951" s="819">
        <f t="shared" si="204"/>
        <v>87</v>
      </c>
      <c r="L951" s="819">
        <f t="shared" si="205"/>
        <v>28</v>
      </c>
      <c r="M951" s="819">
        <f t="shared" si="201"/>
        <v>87</v>
      </c>
      <c r="N951" s="819">
        <f t="shared" si="202"/>
        <v>364</v>
      </c>
      <c r="O951" s="819">
        <f t="shared" si="203"/>
        <v>777</v>
      </c>
      <c r="P951" s="819">
        <f t="shared" si="206"/>
        <v>1311</v>
      </c>
      <c r="Q951" s="819">
        <f t="shared" si="207"/>
        <v>395</v>
      </c>
      <c r="R951" s="819">
        <f t="shared" si="208"/>
        <v>5</v>
      </c>
      <c r="S951" s="819">
        <f t="shared" si="209"/>
        <v>338</v>
      </c>
      <c r="T951" s="819">
        <f t="shared" si="210"/>
        <v>755</v>
      </c>
      <c r="U951" s="819">
        <f t="shared" si="211"/>
        <v>2804</v>
      </c>
      <c r="V951" s="819">
        <f t="shared" si="212"/>
        <v>637</v>
      </c>
      <c r="W951" s="379">
        <f t="shared" si="213"/>
        <v>637</v>
      </c>
      <c r="X951" s="819" t="str">
        <f t="shared" si="214"/>
        <v/>
      </c>
      <c r="Y951" s="837"/>
      <c r="Z951" s="839"/>
      <c r="AA951" s="838"/>
      <c r="AB951" s="839"/>
    </row>
    <row r="952" spans="1:28" ht="13.15">
      <c r="B952" s="819" t="s">
        <v>2320</v>
      </c>
      <c r="C952" s="819" t="s">
        <v>2321</v>
      </c>
      <c r="D952" s="379" t="s">
        <v>336</v>
      </c>
      <c r="E952" s="818" t="s">
        <v>2322</v>
      </c>
      <c r="F952" s="820">
        <v>1.904807701</v>
      </c>
      <c r="G952" s="821">
        <v>-4.2027747570000002</v>
      </c>
      <c r="H952" s="822">
        <v>12996412.6984127</v>
      </c>
      <c r="I952" s="819"/>
      <c r="J952" s="820">
        <v>7.6919E-5</v>
      </c>
      <c r="K952" s="819">
        <f t="shared" si="204"/>
        <v>1203</v>
      </c>
      <c r="L952" s="819">
        <f t="shared" si="205"/>
        <v>1392</v>
      </c>
      <c r="M952" s="819">
        <f t="shared" si="201"/>
        <v>1203</v>
      </c>
      <c r="N952" s="819">
        <f t="shared" si="202"/>
        <v>364</v>
      </c>
      <c r="O952" s="819">
        <f t="shared" si="203"/>
        <v>313</v>
      </c>
      <c r="P952" s="819">
        <f t="shared" si="206"/>
        <v>195</v>
      </c>
      <c r="Q952" s="819">
        <f t="shared" si="207"/>
        <v>969</v>
      </c>
      <c r="R952" s="819">
        <f t="shared" si="208"/>
        <v>1121</v>
      </c>
      <c r="S952" s="819">
        <f t="shared" si="209"/>
        <v>338</v>
      </c>
      <c r="T952" s="819">
        <f t="shared" si="210"/>
        <v>291</v>
      </c>
      <c r="U952" s="819">
        <f t="shared" si="211"/>
        <v>2914</v>
      </c>
      <c r="V952" s="819">
        <f t="shared" si="212"/>
        <v>824</v>
      </c>
      <c r="W952" s="379">
        <f t="shared" si="213"/>
        <v>824</v>
      </c>
      <c r="X952" s="819" t="str">
        <f t="shared" si="214"/>
        <v/>
      </c>
      <c r="Y952" s="837"/>
      <c r="Z952" s="839"/>
      <c r="AA952" s="838"/>
      <c r="AB952" s="839"/>
    </row>
    <row r="953" spans="1:28" ht="14.45">
      <c r="A953" s="816"/>
      <c r="B953" s="819" t="s">
        <v>2323</v>
      </c>
      <c r="C953" s="819" t="s">
        <v>2324</v>
      </c>
      <c r="D953" s="379" t="s">
        <v>336</v>
      </c>
      <c r="E953" s="818" t="s">
        <v>2322</v>
      </c>
      <c r="F953" s="820"/>
      <c r="G953" s="821"/>
      <c r="H953" s="822">
        <v>1143183.67346939</v>
      </c>
      <c r="I953" s="819"/>
      <c r="J953" s="820">
        <v>0</v>
      </c>
      <c r="K953" s="819">
        <f t="shared" si="204"/>
        <v>1549</v>
      </c>
      <c r="L953" s="819">
        <f t="shared" si="205"/>
        <v>1084</v>
      </c>
      <c r="M953" s="819">
        <f t="shared" si="201"/>
        <v>1549</v>
      </c>
      <c r="N953" s="819">
        <f t="shared" si="202"/>
        <v>364</v>
      </c>
      <c r="O953" s="819">
        <f t="shared" si="203"/>
        <v>492</v>
      </c>
      <c r="P953" s="819">
        <f t="shared" si="206"/>
        <v>151</v>
      </c>
      <c r="Q953" s="819">
        <f t="shared" si="207"/>
        <v>661</v>
      </c>
      <c r="R953" s="819">
        <f t="shared" si="208"/>
        <v>1467</v>
      </c>
      <c r="S953" s="819">
        <f t="shared" si="209"/>
        <v>338</v>
      </c>
      <c r="T953" s="819">
        <f t="shared" si="210"/>
        <v>470</v>
      </c>
      <c r="U953" s="819">
        <f t="shared" si="211"/>
        <v>3087</v>
      </c>
      <c r="V953" s="819">
        <f t="shared" si="212"/>
        <v>1048</v>
      </c>
      <c r="W953" s="379">
        <f t="shared" si="213"/>
        <v>1048</v>
      </c>
      <c r="X953" s="819" t="str">
        <f t="shared" si="214"/>
        <v/>
      </c>
      <c r="Y953" s="837"/>
      <c r="Z953" s="839"/>
      <c r="AA953" s="838"/>
      <c r="AB953" s="839"/>
    </row>
    <row r="954" spans="1:28" ht="13.15">
      <c r="B954" s="819" t="s">
        <v>2325</v>
      </c>
      <c r="C954" s="819" t="s">
        <v>2326</v>
      </c>
      <c r="D954" s="379" t="s">
        <v>336</v>
      </c>
      <c r="E954" s="818" t="s">
        <v>460</v>
      </c>
      <c r="F954" s="820">
        <v>27.18134169</v>
      </c>
      <c r="G954" s="821">
        <v>-5.4598823730000001</v>
      </c>
      <c r="H954" s="822">
        <v>17240966.021453802</v>
      </c>
      <c r="I954" s="819"/>
      <c r="J954" s="820">
        <v>2.22919E-4</v>
      </c>
      <c r="K954" s="819">
        <f t="shared" si="204"/>
        <v>1133</v>
      </c>
      <c r="L954" s="819">
        <f t="shared" si="205"/>
        <v>1413</v>
      </c>
      <c r="M954" s="819">
        <f t="shared" si="201"/>
        <v>1133</v>
      </c>
      <c r="N954" s="819">
        <f t="shared" si="202"/>
        <v>364</v>
      </c>
      <c r="O954" s="819">
        <f t="shared" si="203"/>
        <v>247</v>
      </c>
      <c r="P954" s="819">
        <f t="shared" si="206"/>
        <v>265</v>
      </c>
      <c r="Q954" s="819">
        <f t="shared" si="207"/>
        <v>990</v>
      </c>
      <c r="R954" s="819">
        <f t="shared" si="208"/>
        <v>1051</v>
      </c>
      <c r="S954" s="819">
        <f t="shared" si="209"/>
        <v>338</v>
      </c>
      <c r="T954" s="819">
        <f t="shared" si="210"/>
        <v>225</v>
      </c>
      <c r="U954" s="819">
        <f t="shared" si="211"/>
        <v>2869</v>
      </c>
      <c r="V954" s="819">
        <f t="shared" si="212"/>
        <v>753</v>
      </c>
      <c r="W954" s="379">
        <f t="shared" si="213"/>
        <v>753</v>
      </c>
      <c r="X954" s="819" t="str">
        <f t="shared" si="214"/>
        <v/>
      </c>
      <c r="Y954" s="837"/>
      <c r="Z954" s="839"/>
      <c r="AA954" s="838"/>
      <c r="AB954" s="839"/>
    </row>
    <row r="955" spans="1:28" ht="14.45">
      <c r="A955" s="816"/>
      <c r="B955" s="819" t="s">
        <v>2327</v>
      </c>
      <c r="C955" s="819" t="s">
        <v>2328</v>
      </c>
      <c r="D955" s="379" t="s">
        <v>336</v>
      </c>
      <c r="E955" s="818" t="s">
        <v>2171</v>
      </c>
      <c r="F955" s="820">
        <v>0.47704090500000002</v>
      </c>
      <c r="G955" s="821">
        <v>6.3739733620000001</v>
      </c>
      <c r="H955" s="822"/>
      <c r="I955" s="819"/>
      <c r="J955" s="820">
        <v>-4.9593499999999997E-4</v>
      </c>
      <c r="K955" s="819" t="str">
        <f t="shared" si="204"/>
        <v>N/A</v>
      </c>
      <c r="L955" s="819">
        <f t="shared" si="205"/>
        <v>306</v>
      </c>
      <c r="M955" s="819" t="str">
        <f t="shared" si="201"/>
        <v>N/A</v>
      </c>
      <c r="N955" s="819">
        <f t="shared" si="202"/>
        <v>364</v>
      </c>
      <c r="O955" s="819">
        <f t="shared" si="203"/>
        <v>1269</v>
      </c>
      <c r="P955" s="819" t="str">
        <f t="shared" si="206"/>
        <v>N/A</v>
      </c>
      <c r="Q955" s="819">
        <f t="shared" si="207"/>
        <v>117</v>
      </c>
      <c r="R955" s="819" t="str">
        <f t="shared" si="208"/>
        <v>N/A</v>
      </c>
      <c r="S955" s="819">
        <f t="shared" si="209"/>
        <v>338</v>
      </c>
      <c r="T955" s="819">
        <f t="shared" si="210"/>
        <v>1247</v>
      </c>
      <c r="U955" s="819">
        <f t="shared" si="211"/>
        <v>1702</v>
      </c>
      <c r="V955" s="819">
        <f t="shared" si="212"/>
        <v>92</v>
      </c>
      <c r="W955" s="379">
        <f t="shared" si="213"/>
        <v>92</v>
      </c>
      <c r="X955" s="819" t="str">
        <f t="shared" si="214"/>
        <v/>
      </c>
      <c r="Y955" s="837"/>
      <c r="Z955" s="839"/>
      <c r="AA955" s="838"/>
      <c r="AB955" s="839"/>
    </row>
    <row r="956" spans="1:28" ht="13.15">
      <c r="B956" s="819" t="s">
        <v>2329</v>
      </c>
      <c r="C956" s="819" t="s">
        <v>2330</v>
      </c>
      <c r="D956" s="379" t="s">
        <v>336</v>
      </c>
      <c r="E956" s="818" t="s">
        <v>1832</v>
      </c>
      <c r="F956" s="820">
        <v>3.604496803</v>
      </c>
      <c r="G956" s="821">
        <v>3.9903823520000001</v>
      </c>
      <c r="H956" s="822">
        <v>3053643.1666010199</v>
      </c>
      <c r="I956" s="819"/>
      <c r="J956" s="820">
        <v>-1.7347389999999999E-3</v>
      </c>
      <c r="K956" s="819">
        <f t="shared" si="204"/>
        <v>1446</v>
      </c>
      <c r="L956" s="819">
        <f t="shared" si="205"/>
        <v>451</v>
      </c>
      <c r="M956" s="819">
        <f t="shared" si="201"/>
        <v>1446</v>
      </c>
      <c r="N956" s="819">
        <f t="shared" si="202"/>
        <v>364</v>
      </c>
      <c r="O956" s="819">
        <f t="shared" si="203"/>
        <v>1476</v>
      </c>
      <c r="P956" s="819">
        <f t="shared" si="206"/>
        <v>48</v>
      </c>
      <c r="Q956" s="819">
        <f t="shared" si="207"/>
        <v>28</v>
      </c>
      <c r="R956" s="819">
        <f t="shared" si="208"/>
        <v>1364</v>
      </c>
      <c r="S956" s="819">
        <f t="shared" si="209"/>
        <v>338</v>
      </c>
      <c r="T956" s="819">
        <f t="shared" si="210"/>
        <v>1454</v>
      </c>
      <c r="U956" s="819">
        <f t="shared" si="211"/>
        <v>3232</v>
      </c>
      <c r="V956" s="819">
        <f t="shared" si="212"/>
        <v>1239</v>
      </c>
      <c r="W956" s="379">
        <f t="shared" si="213"/>
        <v>1239</v>
      </c>
      <c r="X956" s="819" t="str">
        <f t="shared" si="214"/>
        <v/>
      </c>
      <c r="Y956" s="837"/>
      <c r="Z956" s="839"/>
      <c r="AA956" s="838"/>
      <c r="AB956" s="839"/>
    </row>
    <row r="957" spans="1:28" ht="14.45">
      <c r="A957" s="816"/>
      <c r="B957" s="819" t="s">
        <v>2331</v>
      </c>
      <c r="C957" s="819" t="s">
        <v>2332</v>
      </c>
      <c r="D957" s="379" t="s">
        <v>336</v>
      </c>
      <c r="E957" s="818" t="s">
        <v>441</v>
      </c>
      <c r="F957" s="820">
        <v>-1.1726120170000001</v>
      </c>
      <c r="G957" s="821">
        <v>-4.3351712610000002</v>
      </c>
      <c r="H957" s="822">
        <v>804388493.59772098</v>
      </c>
      <c r="I957" s="819"/>
      <c r="J957" s="820">
        <v>3.8843500000000002E-4</v>
      </c>
      <c r="K957" s="819">
        <f t="shared" si="204"/>
        <v>253</v>
      </c>
      <c r="L957" s="819">
        <f t="shared" si="205"/>
        <v>1398</v>
      </c>
      <c r="M957" s="819">
        <f t="shared" si="201"/>
        <v>253</v>
      </c>
      <c r="N957" s="819">
        <f t="shared" si="202"/>
        <v>364</v>
      </c>
      <c r="O957" s="819">
        <f t="shared" si="203"/>
        <v>218</v>
      </c>
      <c r="P957" s="819">
        <f t="shared" si="206"/>
        <v>1145</v>
      </c>
      <c r="Q957" s="819">
        <f t="shared" si="207"/>
        <v>975</v>
      </c>
      <c r="R957" s="819">
        <f t="shared" si="208"/>
        <v>171</v>
      </c>
      <c r="S957" s="819">
        <f t="shared" si="209"/>
        <v>338</v>
      </c>
      <c r="T957" s="819">
        <f t="shared" si="210"/>
        <v>196</v>
      </c>
      <c r="U957" s="819">
        <f t="shared" si="211"/>
        <v>2825</v>
      </c>
      <c r="V957" s="819">
        <f t="shared" si="212"/>
        <v>668</v>
      </c>
      <c r="W957" s="379">
        <f t="shared" si="213"/>
        <v>668</v>
      </c>
      <c r="X957" s="819" t="str">
        <f t="shared" si="214"/>
        <v/>
      </c>
      <c r="Y957" s="837"/>
      <c r="Z957" s="839"/>
      <c r="AA957" s="838"/>
      <c r="AB957" s="839"/>
    </row>
    <row r="958" spans="1:28" ht="13.15">
      <c r="B958" s="819" t="s">
        <v>2333</v>
      </c>
      <c r="C958" s="819" t="s">
        <v>2334</v>
      </c>
      <c r="D958" s="379" t="s">
        <v>336</v>
      </c>
      <c r="E958" s="818" t="s">
        <v>1870</v>
      </c>
      <c r="F958" s="820">
        <v>3.2217599460000002</v>
      </c>
      <c r="G958" s="821">
        <v>3.5522004190000001</v>
      </c>
      <c r="H958" s="822">
        <v>241368659.95364401</v>
      </c>
      <c r="I958" s="819"/>
      <c r="J958" s="820">
        <v>-6.6052299999999999E-4</v>
      </c>
      <c r="K958" s="819">
        <f t="shared" si="204"/>
        <v>522</v>
      </c>
      <c r="L958" s="819">
        <f t="shared" si="205"/>
        <v>495</v>
      </c>
      <c r="M958" s="819">
        <f t="shared" si="201"/>
        <v>522</v>
      </c>
      <c r="N958" s="819">
        <f t="shared" si="202"/>
        <v>364</v>
      </c>
      <c r="O958" s="819">
        <f t="shared" si="203"/>
        <v>1334</v>
      </c>
      <c r="P958" s="819">
        <f t="shared" si="206"/>
        <v>876</v>
      </c>
      <c r="Q958" s="819">
        <f t="shared" si="207"/>
        <v>72</v>
      </c>
      <c r="R958" s="819">
        <f t="shared" si="208"/>
        <v>440</v>
      </c>
      <c r="S958" s="819">
        <f t="shared" si="209"/>
        <v>338</v>
      </c>
      <c r="T958" s="819">
        <f t="shared" si="210"/>
        <v>1312</v>
      </c>
      <c r="U958" s="819">
        <f t="shared" si="211"/>
        <v>3038</v>
      </c>
      <c r="V958" s="819">
        <f t="shared" si="212"/>
        <v>980</v>
      </c>
      <c r="W958" s="379">
        <f t="shared" si="213"/>
        <v>980</v>
      </c>
      <c r="X958" s="819" t="str">
        <f t="shared" si="214"/>
        <v/>
      </c>
      <c r="Y958" s="837"/>
      <c r="Z958" s="839"/>
      <c r="AA958" s="838"/>
      <c r="AB958" s="839"/>
    </row>
    <row r="959" spans="1:28" ht="14.45">
      <c r="A959" s="816"/>
      <c r="B959" s="819" t="s">
        <v>2335</v>
      </c>
      <c r="C959" s="819" t="s">
        <v>2336</v>
      </c>
      <c r="D959" s="379" t="s">
        <v>336</v>
      </c>
      <c r="E959" s="818" t="s">
        <v>378</v>
      </c>
      <c r="F959" s="820"/>
      <c r="G959" s="821"/>
      <c r="H959" s="822">
        <v>15055502.1951438</v>
      </c>
      <c r="I959" s="819"/>
      <c r="J959" s="820">
        <v>0</v>
      </c>
      <c r="K959" s="819">
        <f t="shared" si="204"/>
        <v>1164</v>
      </c>
      <c r="L959" s="819">
        <f t="shared" si="205"/>
        <v>1084</v>
      </c>
      <c r="M959" s="819">
        <f t="shared" si="201"/>
        <v>1164</v>
      </c>
      <c r="N959" s="819">
        <f t="shared" si="202"/>
        <v>364</v>
      </c>
      <c r="O959" s="819">
        <f t="shared" si="203"/>
        <v>492</v>
      </c>
      <c r="P959" s="819">
        <f t="shared" si="206"/>
        <v>234</v>
      </c>
      <c r="Q959" s="819">
        <f t="shared" si="207"/>
        <v>661</v>
      </c>
      <c r="R959" s="819">
        <f t="shared" si="208"/>
        <v>1082</v>
      </c>
      <c r="S959" s="819">
        <f t="shared" si="209"/>
        <v>338</v>
      </c>
      <c r="T959" s="819">
        <f t="shared" si="210"/>
        <v>470</v>
      </c>
      <c r="U959" s="819">
        <f t="shared" si="211"/>
        <v>2785</v>
      </c>
      <c r="V959" s="819">
        <f t="shared" si="212"/>
        <v>463</v>
      </c>
      <c r="W959" s="379">
        <f t="shared" si="213"/>
        <v>463</v>
      </c>
      <c r="X959" s="819" t="str">
        <f t="shared" si="214"/>
        <v/>
      </c>
      <c r="Y959" s="837"/>
      <c r="Z959" s="839"/>
      <c r="AA959" s="838"/>
      <c r="AB959" s="839"/>
    </row>
    <row r="960" spans="1:28" ht="13.15">
      <c r="B960" s="819" t="s">
        <v>2337</v>
      </c>
      <c r="C960" s="819" t="s">
        <v>2338</v>
      </c>
      <c r="D960" s="379" t="s">
        <v>336</v>
      </c>
      <c r="E960" s="818" t="s">
        <v>378</v>
      </c>
      <c r="F960" s="820"/>
      <c r="G960" s="821"/>
      <c r="H960" s="822">
        <v>135220393.28413999</v>
      </c>
      <c r="I960" s="819"/>
      <c r="J960" s="820">
        <v>0</v>
      </c>
      <c r="K960" s="819">
        <f t="shared" si="204"/>
        <v>644</v>
      </c>
      <c r="L960" s="819">
        <f t="shared" si="205"/>
        <v>1084</v>
      </c>
      <c r="M960" s="819">
        <f t="shared" si="201"/>
        <v>644</v>
      </c>
      <c r="N960" s="819">
        <f t="shared" si="202"/>
        <v>364</v>
      </c>
      <c r="O960" s="819">
        <f t="shared" si="203"/>
        <v>492</v>
      </c>
      <c r="P960" s="819">
        <f t="shared" si="206"/>
        <v>754</v>
      </c>
      <c r="Q960" s="819">
        <f t="shared" si="207"/>
        <v>661</v>
      </c>
      <c r="R960" s="819">
        <f t="shared" si="208"/>
        <v>562</v>
      </c>
      <c r="S960" s="819">
        <f t="shared" si="209"/>
        <v>338</v>
      </c>
      <c r="T960" s="819">
        <f t="shared" si="210"/>
        <v>470</v>
      </c>
      <c r="U960" s="819">
        <f t="shared" si="211"/>
        <v>2785</v>
      </c>
      <c r="V960" s="819">
        <f t="shared" si="212"/>
        <v>463</v>
      </c>
      <c r="W960" s="379">
        <f t="shared" si="213"/>
        <v>463</v>
      </c>
      <c r="X960" s="819" t="str">
        <f t="shared" si="214"/>
        <v/>
      </c>
      <c r="Y960" s="837"/>
      <c r="Z960" s="839"/>
      <c r="AA960" s="838"/>
      <c r="AB960" s="839"/>
    </row>
    <row r="961" spans="1:28" ht="14.45">
      <c r="A961" s="816"/>
      <c r="B961" s="819" t="s">
        <v>2339</v>
      </c>
      <c r="C961" s="819" t="s">
        <v>2340</v>
      </c>
      <c r="D961" s="379" t="s">
        <v>336</v>
      </c>
      <c r="E961" s="818" t="s">
        <v>2171</v>
      </c>
      <c r="F961" s="820">
        <v>1.949252848</v>
      </c>
      <c r="G961" s="821">
        <v>2.6501986749999999</v>
      </c>
      <c r="H961" s="822"/>
      <c r="I961" s="819"/>
      <c r="J961" s="820">
        <v>-2.2390999999999999E-4</v>
      </c>
      <c r="K961" s="819" t="str">
        <f t="shared" si="204"/>
        <v>N/A</v>
      </c>
      <c r="L961" s="819">
        <f t="shared" si="205"/>
        <v>585</v>
      </c>
      <c r="M961" s="819" t="str">
        <f t="shared" si="201"/>
        <v>N/A</v>
      </c>
      <c r="N961" s="819">
        <f t="shared" si="202"/>
        <v>364</v>
      </c>
      <c r="O961" s="819">
        <f t="shared" si="203"/>
        <v>1128</v>
      </c>
      <c r="P961" s="819" t="str">
        <f t="shared" si="206"/>
        <v>N/A</v>
      </c>
      <c r="Q961" s="819">
        <f t="shared" si="207"/>
        <v>162</v>
      </c>
      <c r="R961" s="819" t="str">
        <f t="shared" si="208"/>
        <v>N/A</v>
      </c>
      <c r="S961" s="819">
        <f t="shared" si="209"/>
        <v>338</v>
      </c>
      <c r="T961" s="819">
        <f t="shared" si="210"/>
        <v>1106</v>
      </c>
      <c r="U961" s="819">
        <f t="shared" si="211"/>
        <v>1606</v>
      </c>
      <c r="V961" s="819">
        <f t="shared" si="212"/>
        <v>71</v>
      </c>
      <c r="W961" s="379">
        <f t="shared" si="213"/>
        <v>71</v>
      </c>
      <c r="X961" s="819" t="str">
        <f t="shared" si="214"/>
        <v/>
      </c>
      <c r="Y961" s="837"/>
      <c r="Z961" s="839"/>
      <c r="AA961" s="838"/>
      <c r="AB961" s="839"/>
    </row>
    <row r="962" spans="1:28" ht="13.15">
      <c r="B962" s="819" t="s">
        <v>2341</v>
      </c>
      <c r="C962" s="819" t="s">
        <v>2342</v>
      </c>
      <c r="D962" s="379" t="s">
        <v>336</v>
      </c>
      <c r="E962" s="818" t="s">
        <v>2171</v>
      </c>
      <c r="F962" s="820">
        <v>0.237161963</v>
      </c>
      <c r="G962" s="821">
        <v>63.058230709999997</v>
      </c>
      <c r="H962" s="822">
        <v>625577.31376975204</v>
      </c>
      <c r="I962" s="819"/>
      <c r="J962" s="820">
        <v>-7.5287600000000004E-6</v>
      </c>
      <c r="K962" s="819">
        <f t="shared" si="204"/>
        <v>1591</v>
      </c>
      <c r="L962" s="819">
        <f t="shared" si="205"/>
        <v>24</v>
      </c>
      <c r="M962" s="819">
        <f t="shared" si="201"/>
        <v>1591</v>
      </c>
      <c r="N962" s="819">
        <f t="shared" si="202"/>
        <v>364</v>
      </c>
      <c r="O962" s="819">
        <f t="shared" si="203"/>
        <v>792</v>
      </c>
      <c r="P962" s="819">
        <f t="shared" si="206"/>
        <v>193</v>
      </c>
      <c r="Q962" s="819">
        <f t="shared" si="207"/>
        <v>399</v>
      </c>
      <c r="R962" s="819">
        <f t="shared" si="208"/>
        <v>1509</v>
      </c>
      <c r="S962" s="819">
        <f t="shared" si="209"/>
        <v>338</v>
      </c>
      <c r="T962" s="819">
        <f t="shared" si="210"/>
        <v>770</v>
      </c>
      <c r="U962" s="819">
        <f t="shared" si="211"/>
        <v>3209</v>
      </c>
      <c r="V962" s="819">
        <f t="shared" si="212"/>
        <v>1208</v>
      </c>
      <c r="W962" s="379">
        <f t="shared" si="213"/>
        <v>1208</v>
      </c>
      <c r="X962" s="819" t="str">
        <f t="shared" si="214"/>
        <v/>
      </c>
      <c r="Y962" s="837"/>
      <c r="Z962" s="839"/>
      <c r="AA962" s="838"/>
      <c r="AB962" s="839"/>
    </row>
    <row r="963" spans="1:28" ht="14.45">
      <c r="A963" s="816"/>
      <c r="B963" s="819" t="s">
        <v>2343</v>
      </c>
      <c r="C963" s="819" t="s">
        <v>2344</v>
      </c>
      <c r="D963" s="379" t="s">
        <v>336</v>
      </c>
      <c r="E963" s="818" t="s">
        <v>337</v>
      </c>
      <c r="F963" s="820">
        <v>8.7204619589999997</v>
      </c>
      <c r="G963" s="821">
        <v>9.4694106340000008</v>
      </c>
      <c r="H963" s="822">
        <v>129210572.09999999</v>
      </c>
      <c r="I963" s="819"/>
      <c r="J963" s="820">
        <v>-2.2423900000000001E-5</v>
      </c>
      <c r="K963" s="819">
        <f t="shared" si="204"/>
        <v>654</v>
      </c>
      <c r="L963" s="819">
        <f t="shared" si="205"/>
        <v>210</v>
      </c>
      <c r="M963" s="819">
        <f t="shared" si="201"/>
        <v>654</v>
      </c>
      <c r="N963" s="819">
        <f t="shared" si="202"/>
        <v>364</v>
      </c>
      <c r="O963" s="819">
        <f t="shared" si="203"/>
        <v>857</v>
      </c>
      <c r="P963" s="819">
        <f t="shared" si="206"/>
        <v>744</v>
      </c>
      <c r="Q963" s="819">
        <f t="shared" si="207"/>
        <v>213</v>
      </c>
      <c r="R963" s="819">
        <f t="shared" si="208"/>
        <v>572</v>
      </c>
      <c r="S963" s="819">
        <f t="shared" si="209"/>
        <v>338</v>
      </c>
      <c r="T963" s="819">
        <f t="shared" si="210"/>
        <v>835</v>
      </c>
      <c r="U963" s="819">
        <f t="shared" si="211"/>
        <v>2702</v>
      </c>
      <c r="V963" s="819">
        <f t="shared" si="212"/>
        <v>358</v>
      </c>
      <c r="W963" s="379">
        <f t="shared" si="213"/>
        <v>358</v>
      </c>
      <c r="X963" s="819" t="str">
        <f t="shared" si="214"/>
        <v/>
      </c>
      <c r="Y963" s="837"/>
      <c r="Z963" s="839"/>
      <c r="AA963" s="838"/>
      <c r="AB963" s="839"/>
    </row>
    <row r="964" spans="1:28" ht="13.15">
      <c r="B964" s="819" t="s">
        <v>2345</v>
      </c>
      <c r="C964" s="819" t="s">
        <v>2346</v>
      </c>
      <c r="D964" s="379" t="s">
        <v>336</v>
      </c>
      <c r="E964" s="818" t="s">
        <v>1832</v>
      </c>
      <c r="F964" s="820">
        <v>2.2774903910000002</v>
      </c>
      <c r="G964" s="821">
        <v>4.2079844179999997</v>
      </c>
      <c r="H964" s="822">
        <v>23260211.697518699</v>
      </c>
      <c r="I964" s="819"/>
      <c r="J964" s="820">
        <v>-1.3493500000000001E-4</v>
      </c>
      <c r="K964" s="819">
        <f t="shared" si="204"/>
        <v>1068</v>
      </c>
      <c r="L964" s="819">
        <f t="shared" si="205"/>
        <v>432</v>
      </c>
      <c r="M964" s="819">
        <f t="shared" ref="M964:M1027" si="215">IFERROR(_xlfn.RANK.EQ(H964,H$3:H$1787),"N/A")</f>
        <v>1068</v>
      </c>
      <c r="N964" s="819">
        <f t="shared" ref="N964:N1027" si="216">IFERROR(_xlfn.RANK.EQ(I964,I$3:I$1787),"N/A")</f>
        <v>364</v>
      </c>
      <c r="O964" s="819">
        <f t="shared" ref="O964:O1027" si="217">IFERROR(_xlfn.RANK.EQ(J964,J$3:J$1787),"N/A")</f>
        <v>1047</v>
      </c>
      <c r="P964" s="819">
        <f t="shared" si="206"/>
        <v>330</v>
      </c>
      <c r="Q964" s="819">
        <f t="shared" si="207"/>
        <v>9</v>
      </c>
      <c r="R964" s="819">
        <f t="shared" si="208"/>
        <v>986</v>
      </c>
      <c r="S964" s="819">
        <f t="shared" si="209"/>
        <v>338</v>
      </c>
      <c r="T964" s="819">
        <f t="shared" si="210"/>
        <v>1025</v>
      </c>
      <c r="U964" s="819">
        <f t="shared" si="211"/>
        <v>2688</v>
      </c>
      <c r="V964" s="819">
        <f t="shared" si="212"/>
        <v>344</v>
      </c>
      <c r="W964" s="379">
        <f t="shared" si="213"/>
        <v>344</v>
      </c>
      <c r="X964" s="819" t="str">
        <f t="shared" si="214"/>
        <v/>
      </c>
      <c r="Y964" s="837"/>
      <c r="Z964" s="839"/>
      <c r="AA964" s="838"/>
      <c r="AB964" s="839"/>
    </row>
    <row r="965" spans="1:28" ht="14.45">
      <c r="A965" s="816"/>
      <c r="B965" s="819" t="s">
        <v>2347</v>
      </c>
      <c r="C965" s="819" t="s">
        <v>2348</v>
      </c>
      <c r="D965" s="379" t="s">
        <v>336</v>
      </c>
      <c r="E965" s="818" t="s">
        <v>1720</v>
      </c>
      <c r="F965" s="820">
        <v>1.44906844</v>
      </c>
      <c r="G965" s="821">
        <v>0</v>
      </c>
      <c r="H965" s="822"/>
      <c r="I965" s="819"/>
      <c r="J965" s="820">
        <v>-1.1637399999999999E-4</v>
      </c>
      <c r="K965" s="819" t="str">
        <f t="shared" ref="K965:K1028" si="218">IFERROR(_xlfn.RANK.EQ(H965,H$3:H$1787),"N/A")</f>
        <v>N/A</v>
      </c>
      <c r="L965" s="819">
        <f t="shared" ref="L965:L1028" si="219">IFERROR(_xlfn.RANK.EQ(G965,G$3:G$1787),"N/A")</f>
        <v>1084</v>
      </c>
      <c r="M965" s="819" t="str">
        <f t="shared" si="215"/>
        <v>N/A</v>
      </c>
      <c r="N965" s="819">
        <f t="shared" si="216"/>
        <v>364</v>
      </c>
      <c r="O965" s="819">
        <f t="shared" si="217"/>
        <v>1025</v>
      </c>
      <c r="P965" s="819" t="str">
        <f t="shared" ref="P965:P1028" si="220">IFERROR(ABS(K$3-K965),"N/A")</f>
        <v>N/A</v>
      </c>
      <c r="Q965" s="819">
        <f t="shared" ref="Q965:Q1028" si="221">IFERROR(ABS(L$3-L965),"N/A")</f>
        <v>661</v>
      </c>
      <c r="R965" s="819" t="str">
        <f t="shared" ref="R965:R1028" si="222">IFERROR(ABS(M$3-M965),"N/A")</f>
        <v>N/A</v>
      </c>
      <c r="S965" s="819">
        <f t="shared" ref="S965:S1028" si="223">IFERROR(ABS(N$3-N965),"N/A")</f>
        <v>338</v>
      </c>
      <c r="T965" s="819">
        <f t="shared" ref="T965:T1028" si="224">IFERROR(ABS(O$3-O965),"N/A")</f>
        <v>1003</v>
      </c>
      <c r="U965" s="819">
        <f t="shared" ref="U965:U1028" si="225">SUM(P965:T965)</f>
        <v>2002</v>
      </c>
      <c r="V965" s="819">
        <f t="shared" ref="V965:V1028" si="226">_xlfn.RANK.EQ(U965,$U$4:$U$1787,1)</f>
        <v>171</v>
      </c>
      <c r="W965" s="379">
        <f t="shared" ref="W965:W1028" si="227">IF(Y965="Not suitable","-",V965)</f>
        <v>171</v>
      </c>
      <c r="X965" s="819" t="str">
        <f t="shared" si="214"/>
        <v/>
      </c>
      <c r="Y965" s="837"/>
      <c r="Z965" s="839"/>
      <c r="AA965" s="838"/>
      <c r="AB965" s="839"/>
    </row>
    <row r="966" spans="1:28" ht="13.15">
      <c r="B966" s="819" t="s">
        <v>2349</v>
      </c>
      <c r="C966" s="819" t="s">
        <v>2350</v>
      </c>
      <c r="D966" s="379" t="s">
        <v>336</v>
      </c>
      <c r="E966" s="818" t="s">
        <v>1720</v>
      </c>
      <c r="F966" s="820">
        <v>5.2167450219999996</v>
      </c>
      <c r="G966" s="821">
        <v>0</v>
      </c>
      <c r="H966" s="822"/>
      <c r="I966" s="819"/>
      <c r="J966" s="820">
        <v>-1.11485E-7</v>
      </c>
      <c r="K966" s="819" t="str">
        <f t="shared" si="218"/>
        <v>N/A</v>
      </c>
      <c r="L966" s="819">
        <f t="shared" si="219"/>
        <v>1084</v>
      </c>
      <c r="M966" s="819" t="str">
        <f t="shared" si="215"/>
        <v>N/A</v>
      </c>
      <c r="N966" s="819">
        <f t="shared" si="216"/>
        <v>364</v>
      </c>
      <c r="O966" s="819">
        <f t="shared" si="217"/>
        <v>746</v>
      </c>
      <c r="P966" s="819" t="str">
        <f t="shared" si="220"/>
        <v>N/A</v>
      </c>
      <c r="Q966" s="819">
        <f t="shared" si="221"/>
        <v>661</v>
      </c>
      <c r="R966" s="819" t="str">
        <f t="shared" si="222"/>
        <v>N/A</v>
      </c>
      <c r="S966" s="819">
        <f t="shared" si="223"/>
        <v>338</v>
      </c>
      <c r="T966" s="819">
        <f t="shared" si="224"/>
        <v>724</v>
      </c>
      <c r="U966" s="819">
        <f t="shared" si="225"/>
        <v>1723</v>
      </c>
      <c r="V966" s="819">
        <f t="shared" si="226"/>
        <v>99</v>
      </c>
      <c r="W966" s="379">
        <f t="shared" si="227"/>
        <v>99</v>
      </c>
      <c r="X966" s="819" t="str">
        <f t="shared" ref="X966:X1029" si="228">IF(L966="N/A","Y","")</f>
        <v/>
      </c>
      <c r="Y966" s="837"/>
      <c r="Z966" s="839"/>
      <c r="AA966" s="838"/>
      <c r="AB966" s="839"/>
    </row>
    <row r="967" spans="1:28" ht="14.45">
      <c r="A967" s="816"/>
      <c r="B967" s="819" t="s">
        <v>2351</v>
      </c>
      <c r="C967" s="819" t="s">
        <v>2352</v>
      </c>
      <c r="D967" s="379" t="s">
        <v>336</v>
      </c>
      <c r="E967" s="818" t="s">
        <v>1720</v>
      </c>
      <c r="F967" s="820">
        <v>2.2638576829999999</v>
      </c>
      <c r="G967" s="821">
        <v>1.1911268049999999</v>
      </c>
      <c r="H967" s="822"/>
      <c r="I967" s="819"/>
      <c r="J967" s="820">
        <v>-2.34448E-4</v>
      </c>
      <c r="K967" s="819" t="str">
        <f t="shared" si="218"/>
        <v>N/A</v>
      </c>
      <c r="L967" s="819">
        <f t="shared" si="219"/>
        <v>786</v>
      </c>
      <c r="M967" s="819" t="str">
        <f t="shared" si="215"/>
        <v>N/A</v>
      </c>
      <c r="N967" s="819">
        <f t="shared" si="216"/>
        <v>364</v>
      </c>
      <c r="O967" s="819">
        <f t="shared" si="217"/>
        <v>1136</v>
      </c>
      <c r="P967" s="819" t="str">
        <f t="shared" si="220"/>
        <v>N/A</v>
      </c>
      <c r="Q967" s="819">
        <f t="shared" si="221"/>
        <v>363</v>
      </c>
      <c r="R967" s="819" t="str">
        <f t="shared" si="222"/>
        <v>N/A</v>
      </c>
      <c r="S967" s="819">
        <f t="shared" si="223"/>
        <v>338</v>
      </c>
      <c r="T967" s="819">
        <f t="shared" si="224"/>
        <v>1114</v>
      </c>
      <c r="U967" s="819">
        <f t="shared" si="225"/>
        <v>1815</v>
      </c>
      <c r="V967" s="819">
        <f t="shared" si="226"/>
        <v>119</v>
      </c>
      <c r="W967" s="379">
        <f t="shared" si="227"/>
        <v>119</v>
      </c>
      <c r="X967" s="819" t="str">
        <f t="shared" si="228"/>
        <v/>
      </c>
      <c r="Y967" s="837"/>
      <c r="Z967" s="839"/>
      <c r="AA967" s="838"/>
      <c r="AB967" s="839"/>
    </row>
    <row r="968" spans="1:28" ht="13.15">
      <c r="B968" s="819" t="s">
        <v>2353</v>
      </c>
      <c r="C968" s="819" t="s">
        <v>2354</v>
      </c>
      <c r="D968" s="379" t="s">
        <v>336</v>
      </c>
      <c r="E968" s="818" t="s">
        <v>1720</v>
      </c>
      <c r="F968" s="820">
        <v>2.2760411810000001</v>
      </c>
      <c r="G968" s="821">
        <v>33.503471330000004</v>
      </c>
      <c r="H968" s="822"/>
      <c r="I968" s="819"/>
      <c r="J968" s="820">
        <v>-3.89873E-4</v>
      </c>
      <c r="K968" s="819" t="str">
        <f t="shared" si="218"/>
        <v>N/A</v>
      </c>
      <c r="L968" s="819">
        <f t="shared" si="219"/>
        <v>52</v>
      </c>
      <c r="M968" s="819" t="str">
        <f t="shared" si="215"/>
        <v>N/A</v>
      </c>
      <c r="N968" s="819">
        <f t="shared" si="216"/>
        <v>364</v>
      </c>
      <c r="O968" s="819">
        <f t="shared" si="217"/>
        <v>1217</v>
      </c>
      <c r="P968" s="819" t="str">
        <f t="shared" si="220"/>
        <v>N/A</v>
      </c>
      <c r="Q968" s="819">
        <f t="shared" si="221"/>
        <v>371</v>
      </c>
      <c r="R968" s="819" t="str">
        <f t="shared" si="222"/>
        <v>N/A</v>
      </c>
      <c r="S968" s="819">
        <f t="shared" si="223"/>
        <v>338</v>
      </c>
      <c r="T968" s="819">
        <f t="shared" si="224"/>
        <v>1195</v>
      </c>
      <c r="U968" s="819">
        <f t="shared" si="225"/>
        <v>1904</v>
      </c>
      <c r="V968" s="819">
        <f t="shared" si="226"/>
        <v>147</v>
      </c>
      <c r="W968" s="379">
        <f t="shared" si="227"/>
        <v>147</v>
      </c>
      <c r="X968" s="819" t="str">
        <f t="shared" si="228"/>
        <v/>
      </c>
      <c r="Y968" s="837"/>
      <c r="Z968" s="839"/>
      <c r="AA968" s="838"/>
      <c r="AB968" s="839"/>
    </row>
    <row r="969" spans="1:28" ht="14.45">
      <c r="A969" s="816"/>
      <c r="B969" s="819" t="s">
        <v>2355</v>
      </c>
      <c r="C969" s="819" t="s">
        <v>2356</v>
      </c>
      <c r="D969" s="379" t="s">
        <v>336</v>
      </c>
      <c r="E969" s="818" t="s">
        <v>1171</v>
      </c>
      <c r="F969" s="820">
        <v>0.75232775100000004</v>
      </c>
      <c r="G969" s="821">
        <v>1.200290825</v>
      </c>
      <c r="H969" s="822">
        <v>113501965.109928</v>
      </c>
      <c r="I969" s="819">
        <v>0.12</v>
      </c>
      <c r="J969" s="820">
        <v>-5.8136500000000001E-3</v>
      </c>
      <c r="K969" s="819">
        <f t="shared" si="218"/>
        <v>689</v>
      </c>
      <c r="L969" s="819">
        <f t="shared" si="219"/>
        <v>784</v>
      </c>
      <c r="M969" s="819">
        <f t="shared" si="215"/>
        <v>689</v>
      </c>
      <c r="N969" s="819">
        <f t="shared" si="216"/>
        <v>250</v>
      </c>
      <c r="O969" s="819">
        <f t="shared" si="217"/>
        <v>1613</v>
      </c>
      <c r="P969" s="819">
        <f t="shared" si="220"/>
        <v>709</v>
      </c>
      <c r="Q969" s="819">
        <f t="shared" si="221"/>
        <v>361</v>
      </c>
      <c r="R969" s="819">
        <f t="shared" si="222"/>
        <v>607</v>
      </c>
      <c r="S969" s="819">
        <f t="shared" si="223"/>
        <v>224</v>
      </c>
      <c r="T969" s="819">
        <f t="shared" si="224"/>
        <v>1591</v>
      </c>
      <c r="U969" s="819">
        <f t="shared" si="225"/>
        <v>3492</v>
      </c>
      <c r="V969" s="819">
        <f t="shared" si="226"/>
        <v>1545</v>
      </c>
      <c r="W969" s="379">
        <f t="shared" si="227"/>
        <v>1545</v>
      </c>
      <c r="X969" s="819" t="str">
        <f t="shared" si="228"/>
        <v/>
      </c>
      <c r="Y969" s="837"/>
      <c r="Z969" s="839"/>
      <c r="AA969" s="838"/>
      <c r="AB969" s="839"/>
    </row>
    <row r="970" spans="1:28" ht="13.15">
      <c r="B970" s="819" t="s">
        <v>2357</v>
      </c>
      <c r="C970" s="819" t="s">
        <v>2358</v>
      </c>
      <c r="D970" s="379" t="s">
        <v>336</v>
      </c>
      <c r="E970" s="818" t="s">
        <v>1832</v>
      </c>
      <c r="F970" s="820">
        <v>9.5575031399999997</v>
      </c>
      <c r="G970" s="821">
        <v>8.8340321070000005</v>
      </c>
      <c r="H970" s="822">
        <v>145797332.493108</v>
      </c>
      <c r="I970" s="819"/>
      <c r="J970" s="820">
        <v>-1.71657E-4</v>
      </c>
      <c r="K970" s="819">
        <f t="shared" si="218"/>
        <v>630</v>
      </c>
      <c r="L970" s="819">
        <f t="shared" si="219"/>
        <v>231</v>
      </c>
      <c r="M970" s="819">
        <f t="shared" si="215"/>
        <v>630</v>
      </c>
      <c r="N970" s="819">
        <f t="shared" si="216"/>
        <v>364</v>
      </c>
      <c r="O970" s="819">
        <f t="shared" si="217"/>
        <v>1085</v>
      </c>
      <c r="P970" s="819">
        <f t="shared" si="220"/>
        <v>768</v>
      </c>
      <c r="Q970" s="819">
        <f t="shared" si="221"/>
        <v>192</v>
      </c>
      <c r="R970" s="819">
        <f t="shared" si="222"/>
        <v>548</v>
      </c>
      <c r="S970" s="819">
        <f t="shared" si="223"/>
        <v>338</v>
      </c>
      <c r="T970" s="819">
        <f t="shared" si="224"/>
        <v>1063</v>
      </c>
      <c r="U970" s="819">
        <f t="shared" si="225"/>
        <v>2909</v>
      </c>
      <c r="V970" s="819">
        <f t="shared" si="226"/>
        <v>817</v>
      </c>
      <c r="W970" s="379">
        <f t="shared" si="227"/>
        <v>817</v>
      </c>
      <c r="X970" s="819" t="str">
        <f t="shared" si="228"/>
        <v/>
      </c>
      <c r="Y970" s="837"/>
      <c r="Z970" s="839"/>
      <c r="AA970" s="838"/>
      <c r="AB970" s="839"/>
    </row>
    <row r="971" spans="1:28" ht="14.45">
      <c r="A971" s="816"/>
      <c r="B971" s="819" t="s">
        <v>2359</v>
      </c>
      <c r="C971" s="819" t="s">
        <v>2360</v>
      </c>
      <c r="D971" s="379" t="s">
        <v>336</v>
      </c>
      <c r="E971" s="818" t="s">
        <v>444</v>
      </c>
      <c r="F971" s="820">
        <v>1.445128435</v>
      </c>
      <c r="G971" s="821">
        <v>2.321829261</v>
      </c>
      <c r="H971" s="822">
        <v>1672616366.88326</v>
      </c>
      <c r="I971" s="819"/>
      <c r="J971" s="820">
        <v>-7.76422E-5</v>
      </c>
      <c r="K971" s="819">
        <f t="shared" si="218"/>
        <v>168</v>
      </c>
      <c r="L971" s="819">
        <f t="shared" si="219"/>
        <v>623</v>
      </c>
      <c r="M971" s="819">
        <f t="shared" si="215"/>
        <v>168</v>
      </c>
      <c r="N971" s="819">
        <f t="shared" si="216"/>
        <v>364</v>
      </c>
      <c r="O971" s="819">
        <f t="shared" si="217"/>
        <v>969</v>
      </c>
      <c r="P971" s="819">
        <f t="shared" si="220"/>
        <v>1230</v>
      </c>
      <c r="Q971" s="819">
        <f t="shared" si="221"/>
        <v>200</v>
      </c>
      <c r="R971" s="819">
        <f t="shared" si="222"/>
        <v>86</v>
      </c>
      <c r="S971" s="819">
        <f t="shared" si="223"/>
        <v>338</v>
      </c>
      <c r="T971" s="819">
        <f t="shared" si="224"/>
        <v>947</v>
      </c>
      <c r="U971" s="819">
        <f t="shared" si="225"/>
        <v>2801</v>
      </c>
      <c r="V971" s="819">
        <f t="shared" si="226"/>
        <v>630</v>
      </c>
      <c r="W971" s="379">
        <f t="shared" si="227"/>
        <v>630</v>
      </c>
      <c r="X971" s="819" t="str">
        <f t="shared" si="228"/>
        <v/>
      </c>
      <c r="Y971" s="837"/>
      <c r="Z971" s="839"/>
      <c r="AA971" s="838"/>
      <c r="AB971" s="839"/>
    </row>
    <row r="972" spans="1:28" ht="13.15">
      <c r="B972" s="819" t="s">
        <v>2361</v>
      </c>
      <c r="C972" s="819" t="s">
        <v>2362</v>
      </c>
      <c r="D972" s="379" t="s">
        <v>336</v>
      </c>
      <c r="E972" s="818" t="s">
        <v>460</v>
      </c>
      <c r="F972" s="820">
        <v>2.2170507810000002</v>
      </c>
      <c r="G972" s="821">
        <v>4.9831915850000001</v>
      </c>
      <c r="H972" s="822">
        <v>48230919.278480299</v>
      </c>
      <c r="I972" s="819"/>
      <c r="J972" s="820">
        <v>-1.441842E-3</v>
      </c>
      <c r="K972" s="819">
        <f t="shared" si="218"/>
        <v>884</v>
      </c>
      <c r="L972" s="819">
        <f t="shared" si="219"/>
        <v>377</v>
      </c>
      <c r="M972" s="819">
        <f t="shared" si="215"/>
        <v>884</v>
      </c>
      <c r="N972" s="819">
        <f t="shared" si="216"/>
        <v>364</v>
      </c>
      <c r="O972" s="819">
        <f t="shared" si="217"/>
        <v>1455</v>
      </c>
      <c r="P972" s="819">
        <f t="shared" si="220"/>
        <v>514</v>
      </c>
      <c r="Q972" s="819">
        <f t="shared" si="221"/>
        <v>46</v>
      </c>
      <c r="R972" s="819">
        <f t="shared" si="222"/>
        <v>802</v>
      </c>
      <c r="S972" s="819">
        <f t="shared" si="223"/>
        <v>338</v>
      </c>
      <c r="T972" s="819">
        <f t="shared" si="224"/>
        <v>1433</v>
      </c>
      <c r="U972" s="819">
        <f t="shared" si="225"/>
        <v>3133</v>
      </c>
      <c r="V972" s="819">
        <f t="shared" si="226"/>
        <v>1104</v>
      </c>
      <c r="W972" s="379">
        <f t="shared" si="227"/>
        <v>1104</v>
      </c>
      <c r="X972" s="819" t="str">
        <f t="shared" si="228"/>
        <v/>
      </c>
      <c r="Y972" s="837"/>
      <c r="Z972" s="839"/>
      <c r="AA972" s="838"/>
      <c r="AB972" s="839"/>
    </row>
    <row r="973" spans="1:28" ht="14.45">
      <c r="A973" s="816"/>
      <c r="B973" s="819" t="s">
        <v>2363</v>
      </c>
      <c r="C973" s="819" t="s">
        <v>2364</v>
      </c>
      <c r="D973" s="379" t="s">
        <v>336</v>
      </c>
      <c r="E973" s="818" t="s">
        <v>1832</v>
      </c>
      <c r="F973" s="820">
        <v>0.82914808100000004</v>
      </c>
      <c r="G973" s="821">
        <v>14.68419725</v>
      </c>
      <c r="H973" s="822">
        <v>53240547.459629796</v>
      </c>
      <c r="I973" s="819"/>
      <c r="J973" s="820">
        <v>-3.9594400000000002E-5</v>
      </c>
      <c r="K973" s="819">
        <f t="shared" si="218"/>
        <v>858</v>
      </c>
      <c r="L973" s="819">
        <f t="shared" si="219"/>
        <v>129</v>
      </c>
      <c r="M973" s="819">
        <f t="shared" si="215"/>
        <v>858</v>
      </c>
      <c r="N973" s="819">
        <f t="shared" si="216"/>
        <v>364</v>
      </c>
      <c r="O973" s="819">
        <f t="shared" si="217"/>
        <v>898</v>
      </c>
      <c r="P973" s="819">
        <f t="shared" si="220"/>
        <v>540</v>
      </c>
      <c r="Q973" s="819">
        <f t="shared" si="221"/>
        <v>294</v>
      </c>
      <c r="R973" s="819">
        <f t="shared" si="222"/>
        <v>776</v>
      </c>
      <c r="S973" s="819">
        <f t="shared" si="223"/>
        <v>338</v>
      </c>
      <c r="T973" s="819">
        <f t="shared" si="224"/>
        <v>876</v>
      </c>
      <c r="U973" s="819">
        <f t="shared" si="225"/>
        <v>2824</v>
      </c>
      <c r="V973" s="819">
        <f t="shared" si="226"/>
        <v>667</v>
      </c>
      <c r="W973" s="379">
        <f t="shared" si="227"/>
        <v>667</v>
      </c>
      <c r="X973" s="819" t="str">
        <f t="shared" si="228"/>
        <v/>
      </c>
      <c r="Y973" s="837"/>
      <c r="Z973" s="839"/>
      <c r="AA973" s="838"/>
      <c r="AB973" s="839"/>
    </row>
    <row r="974" spans="1:28" ht="13.15">
      <c r="B974" s="819" t="s">
        <v>2365</v>
      </c>
      <c r="C974" s="819" t="s">
        <v>2366</v>
      </c>
      <c r="D974" s="379" t="s">
        <v>336</v>
      </c>
      <c r="E974" s="818" t="s">
        <v>1171</v>
      </c>
      <c r="F974" s="820">
        <v>3.1935133929999999</v>
      </c>
      <c r="G974" s="821">
        <v>26.71071199</v>
      </c>
      <c r="H974" s="822">
        <v>806982083.76615703</v>
      </c>
      <c r="I974" s="819"/>
      <c r="J974" s="820">
        <v>-1.1039999999999999E-5</v>
      </c>
      <c r="K974" s="819">
        <f t="shared" si="218"/>
        <v>252</v>
      </c>
      <c r="L974" s="819">
        <f t="shared" si="219"/>
        <v>72</v>
      </c>
      <c r="M974" s="819">
        <f t="shared" si="215"/>
        <v>252</v>
      </c>
      <c r="N974" s="819">
        <f t="shared" si="216"/>
        <v>364</v>
      </c>
      <c r="O974" s="819">
        <f t="shared" si="217"/>
        <v>810</v>
      </c>
      <c r="P974" s="819">
        <f t="shared" si="220"/>
        <v>1146</v>
      </c>
      <c r="Q974" s="819">
        <f t="shared" si="221"/>
        <v>351</v>
      </c>
      <c r="R974" s="819">
        <f t="shared" si="222"/>
        <v>170</v>
      </c>
      <c r="S974" s="819">
        <f t="shared" si="223"/>
        <v>338</v>
      </c>
      <c r="T974" s="819">
        <f t="shared" si="224"/>
        <v>788</v>
      </c>
      <c r="U974" s="819">
        <f t="shared" si="225"/>
        <v>2793</v>
      </c>
      <c r="V974" s="819">
        <f t="shared" si="226"/>
        <v>616</v>
      </c>
      <c r="W974" s="379">
        <f t="shared" si="227"/>
        <v>616</v>
      </c>
      <c r="X974" s="819" t="str">
        <f t="shared" si="228"/>
        <v/>
      </c>
      <c r="Y974" s="837"/>
      <c r="Z974" s="839"/>
      <c r="AA974" s="838"/>
      <c r="AB974" s="839"/>
    </row>
    <row r="975" spans="1:28" ht="14.45">
      <c r="A975" s="816"/>
      <c r="B975" s="819" t="s">
        <v>2367</v>
      </c>
      <c r="C975" s="819" t="s">
        <v>2368</v>
      </c>
      <c r="D975" s="379" t="s">
        <v>336</v>
      </c>
      <c r="E975" s="818" t="s">
        <v>1171</v>
      </c>
      <c r="F975" s="820">
        <v>0.27689671199999999</v>
      </c>
      <c r="G975" s="821">
        <v>6.6074298980000004</v>
      </c>
      <c r="H975" s="822">
        <v>29803751.314535402</v>
      </c>
      <c r="I975" s="819"/>
      <c r="J975" s="820">
        <v>-9.2052000000000006E-5</v>
      </c>
      <c r="K975" s="819">
        <f t="shared" si="218"/>
        <v>1004</v>
      </c>
      <c r="L975" s="819">
        <f t="shared" si="219"/>
        <v>300</v>
      </c>
      <c r="M975" s="819">
        <f t="shared" si="215"/>
        <v>1004</v>
      </c>
      <c r="N975" s="819">
        <f t="shared" si="216"/>
        <v>364</v>
      </c>
      <c r="O975" s="819">
        <f t="shared" si="217"/>
        <v>998</v>
      </c>
      <c r="P975" s="819">
        <f t="shared" si="220"/>
        <v>394</v>
      </c>
      <c r="Q975" s="819">
        <f t="shared" si="221"/>
        <v>123</v>
      </c>
      <c r="R975" s="819">
        <f t="shared" si="222"/>
        <v>922</v>
      </c>
      <c r="S975" s="819">
        <f t="shared" si="223"/>
        <v>338</v>
      </c>
      <c r="T975" s="819">
        <f t="shared" si="224"/>
        <v>976</v>
      </c>
      <c r="U975" s="819">
        <f t="shared" si="225"/>
        <v>2753</v>
      </c>
      <c r="V975" s="819">
        <f t="shared" si="226"/>
        <v>424</v>
      </c>
      <c r="W975" s="379">
        <f t="shared" si="227"/>
        <v>424</v>
      </c>
      <c r="X975" s="819" t="str">
        <f t="shared" si="228"/>
        <v/>
      </c>
      <c r="Y975" s="837"/>
      <c r="Z975" s="839"/>
      <c r="AA975" s="838"/>
      <c r="AB975" s="839"/>
    </row>
    <row r="976" spans="1:28" ht="13.15">
      <c r="B976" s="819" t="s">
        <v>2369</v>
      </c>
      <c r="C976" s="819" t="s">
        <v>2370</v>
      </c>
      <c r="D976" s="379" t="s">
        <v>336</v>
      </c>
      <c r="E976" s="818" t="s">
        <v>1171</v>
      </c>
      <c r="F976" s="820">
        <v>1.201914497</v>
      </c>
      <c r="G976" s="821">
        <v>2.026815692</v>
      </c>
      <c r="H976" s="822">
        <v>7581559.0229066499</v>
      </c>
      <c r="I976" s="819">
        <v>0.27</v>
      </c>
      <c r="J976" s="820">
        <v>-1.336736E-3</v>
      </c>
      <c r="K976" s="819">
        <f t="shared" si="218"/>
        <v>1306</v>
      </c>
      <c r="L976" s="819">
        <f t="shared" si="219"/>
        <v>669</v>
      </c>
      <c r="M976" s="819">
        <f t="shared" si="215"/>
        <v>1306</v>
      </c>
      <c r="N976" s="819">
        <f t="shared" si="216"/>
        <v>199</v>
      </c>
      <c r="O976" s="819">
        <f t="shared" si="217"/>
        <v>1440</v>
      </c>
      <c r="P976" s="819">
        <f t="shared" si="220"/>
        <v>92</v>
      </c>
      <c r="Q976" s="819">
        <f t="shared" si="221"/>
        <v>246</v>
      </c>
      <c r="R976" s="819">
        <f t="shared" si="222"/>
        <v>1224</v>
      </c>
      <c r="S976" s="819">
        <f t="shared" si="223"/>
        <v>173</v>
      </c>
      <c r="T976" s="819">
        <f t="shared" si="224"/>
        <v>1418</v>
      </c>
      <c r="U976" s="819">
        <f t="shared" si="225"/>
        <v>3153</v>
      </c>
      <c r="V976" s="819">
        <f t="shared" si="226"/>
        <v>1129</v>
      </c>
      <c r="W976" s="379">
        <f t="shared" si="227"/>
        <v>1129</v>
      </c>
      <c r="X976" s="819" t="str">
        <f t="shared" si="228"/>
        <v/>
      </c>
      <c r="Y976" s="837"/>
      <c r="Z976" s="839"/>
      <c r="AA976" s="838"/>
      <c r="AB976" s="839"/>
    </row>
    <row r="977" spans="1:28" ht="14.45">
      <c r="A977" s="816"/>
      <c r="B977" s="819" t="s">
        <v>2371</v>
      </c>
      <c r="C977" s="819" t="s">
        <v>2372</v>
      </c>
      <c r="D977" s="379" t="s">
        <v>336</v>
      </c>
      <c r="E977" s="818" t="s">
        <v>1861</v>
      </c>
      <c r="F977" s="820"/>
      <c r="G977" s="821"/>
      <c r="H977" s="822">
        <v>13399921.0360508</v>
      </c>
      <c r="I977" s="819"/>
      <c r="J977" s="820">
        <v>0</v>
      </c>
      <c r="K977" s="819">
        <f t="shared" si="218"/>
        <v>1191</v>
      </c>
      <c r="L977" s="819">
        <f t="shared" si="219"/>
        <v>1084</v>
      </c>
      <c r="M977" s="819">
        <f t="shared" si="215"/>
        <v>1191</v>
      </c>
      <c r="N977" s="819">
        <f t="shared" si="216"/>
        <v>364</v>
      </c>
      <c r="O977" s="819">
        <f t="shared" si="217"/>
        <v>492</v>
      </c>
      <c r="P977" s="819">
        <f t="shared" si="220"/>
        <v>207</v>
      </c>
      <c r="Q977" s="819">
        <f t="shared" si="221"/>
        <v>661</v>
      </c>
      <c r="R977" s="819">
        <f t="shared" si="222"/>
        <v>1109</v>
      </c>
      <c r="S977" s="819">
        <f t="shared" si="223"/>
        <v>338</v>
      </c>
      <c r="T977" s="819">
        <f t="shared" si="224"/>
        <v>470</v>
      </c>
      <c r="U977" s="819">
        <f t="shared" si="225"/>
        <v>2785</v>
      </c>
      <c r="V977" s="819">
        <f t="shared" si="226"/>
        <v>463</v>
      </c>
      <c r="W977" s="379">
        <f t="shared" si="227"/>
        <v>463</v>
      </c>
      <c r="X977" s="819" t="str">
        <f t="shared" si="228"/>
        <v/>
      </c>
      <c r="Y977" s="837"/>
      <c r="Z977" s="839"/>
      <c r="AA977" s="838"/>
      <c r="AB977" s="839"/>
    </row>
    <row r="978" spans="1:28" ht="13.15">
      <c r="B978" s="819" t="s">
        <v>2373</v>
      </c>
      <c r="C978" s="819" t="s">
        <v>2374</v>
      </c>
      <c r="D978" s="379" t="s">
        <v>336</v>
      </c>
      <c r="E978" s="818" t="s">
        <v>1832</v>
      </c>
      <c r="F978" s="820"/>
      <c r="G978" s="821"/>
      <c r="H978" s="822">
        <v>659480333.25718796</v>
      </c>
      <c r="I978" s="819"/>
      <c r="J978" s="820">
        <v>0</v>
      </c>
      <c r="K978" s="819">
        <f t="shared" si="218"/>
        <v>296</v>
      </c>
      <c r="L978" s="819">
        <f t="shared" si="219"/>
        <v>1084</v>
      </c>
      <c r="M978" s="819">
        <f t="shared" si="215"/>
        <v>296</v>
      </c>
      <c r="N978" s="819">
        <f t="shared" si="216"/>
        <v>364</v>
      </c>
      <c r="O978" s="819">
        <f t="shared" si="217"/>
        <v>492</v>
      </c>
      <c r="P978" s="819">
        <f t="shared" si="220"/>
        <v>1102</v>
      </c>
      <c r="Q978" s="819">
        <f t="shared" si="221"/>
        <v>661</v>
      </c>
      <c r="R978" s="819">
        <f t="shared" si="222"/>
        <v>214</v>
      </c>
      <c r="S978" s="819">
        <f t="shared" si="223"/>
        <v>338</v>
      </c>
      <c r="T978" s="819">
        <f t="shared" si="224"/>
        <v>470</v>
      </c>
      <c r="U978" s="819">
        <f t="shared" si="225"/>
        <v>2785</v>
      </c>
      <c r="V978" s="819">
        <f t="shared" si="226"/>
        <v>463</v>
      </c>
      <c r="W978" s="379">
        <f t="shared" si="227"/>
        <v>463</v>
      </c>
      <c r="X978" s="819" t="str">
        <f t="shared" si="228"/>
        <v/>
      </c>
      <c r="Y978" s="837"/>
      <c r="Z978" s="839"/>
      <c r="AA978" s="838"/>
      <c r="AB978" s="839"/>
    </row>
    <row r="979" spans="1:28" ht="14.45">
      <c r="A979" s="816"/>
      <c r="B979" s="819" t="s">
        <v>2375</v>
      </c>
      <c r="C979" s="819" t="s">
        <v>2376</v>
      </c>
      <c r="D979" s="379" t="s">
        <v>336</v>
      </c>
      <c r="E979" s="818" t="s">
        <v>2377</v>
      </c>
      <c r="F979" s="820"/>
      <c r="G979" s="821"/>
      <c r="H979" s="822">
        <v>17541552.5114155</v>
      </c>
      <c r="I979" s="819"/>
      <c r="J979" s="820">
        <v>0</v>
      </c>
      <c r="K979" s="819">
        <f t="shared" si="218"/>
        <v>1132</v>
      </c>
      <c r="L979" s="819">
        <f t="shared" si="219"/>
        <v>1084</v>
      </c>
      <c r="M979" s="819">
        <f t="shared" si="215"/>
        <v>1132</v>
      </c>
      <c r="N979" s="819">
        <f t="shared" si="216"/>
        <v>364</v>
      </c>
      <c r="O979" s="819">
        <f t="shared" si="217"/>
        <v>492</v>
      </c>
      <c r="P979" s="819">
        <f t="shared" si="220"/>
        <v>266</v>
      </c>
      <c r="Q979" s="819">
        <f t="shared" si="221"/>
        <v>661</v>
      </c>
      <c r="R979" s="819">
        <f t="shared" si="222"/>
        <v>1050</v>
      </c>
      <c r="S979" s="819">
        <f t="shared" si="223"/>
        <v>338</v>
      </c>
      <c r="T979" s="819">
        <f t="shared" si="224"/>
        <v>470</v>
      </c>
      <c r="U979" s="819">
        <f t="shared" si="225"/>
        <v>2785</v>
      </c>
      <c r="V979" s="819">
        <f t="shared" si="226"/>
        <v>463</v>
      </c>
      <c r="W979" s="379">
        <f t="shared" si="227"/>
        <v>463</v>
      </c>
      <c r="X979" s="819" t="str">
        <f t="shared" si="228"/>
        <v/>
      </c>
      <c r="Y979" s="837"/>
      <c r="Z979" s="839"/>
      <c r="AA979" s="838"/>
      <c r="AB979" s="839"/>
    </row>
    <row r="980" spans="1:28" ht="13.15">
      <c r="B980" s="819" t="s">
        <v>2378</v>
      </c>
      <c r="C980" s="819" t="s">
        <v>2379</v>
      </c>
      <c r="D980" s="379" t="s">
        <v>336</v>
      </c>
      <c r="E980" s="818" t="s">
        <v>2377</v>
      </c>
      <c r="F980" s="820"/>
      <c r="G980" s="821"/>
      <c r="H980" s="822">
        <v>3492237.44292237</v>
      </c>
      <c r="I980" s="819"/>
      <c r="J980" s="820">
        <v>0</v>
      </c>
      <c r="K980" s="819">
        <f t="shared" si="218"/>
        <v>1429</v>
      </c>
      <c r="L980" s="819">
        <f t="shared" si="219"/>
        <v>1084</v>
      </c>
      <c r="M980" s="819">
        <f t="shared" si="215"/>
        <v>1429</v>
      </c>
      <c r="N980" s="819">
        <f t="shared" si="216"/>
        <v>364</v>
      </c>
      <c r="O980" s="819">
        <f t="shared" si="217"/>
        <v>492</v>
      </c>
      <c r="P980" s="819">
        <f t="shared" si="220"/>
        <v>31</v>
      </c>
      <c r="Q980" s="819">
        <f t="shared" si="221"/>
        <v>661</v>
      </c>
      <c r="R980" s="819">
        <f t="shared" si="222"/>
        <v>1347</v>
      </c>
      <c r="S980" s="819">
        <f t="shared" si="223"/>
        <v>338</v>
      </c>
      <c r="T980" s="819">
        <f t="shared" si="224"/>
        <v>470</v>
      </c>
      <c r="U980" s="819">
        <f t="shared" si="225"/>
        <v>2847</v>
      </c>
      <c r="V980" s="819">
        <f t="shared" si="226"/>
        <v>713</v>
      </c>
      <c r="W980" s="379">
        <f t="shared" si="227"/>
        <v>713</v>
      </c>
      <c r="X980" s="819" t="str">
        <f t="shared" si="228"/>
        <v/>
      </c>
      <c r="Y980" s="837"/>
      <c r="Z980" s="839"/>
      <c r="AA980" s="838"/>
      <c r="AB980" s="839"/>
    </row>
    <row r="981" spans="1:28" ht="14.45">
      <c r="A981" s="816"/>
      <c r="B981" s="819" t="s">
        <v>2380</v>
      </c>
      <c r="C981" s="819" t="s">
        <v>2381</v>
      </c>
      <c r="D981" s="379" t="s">
        <v>336</v>
      </c>
      <c r="E981" s="818" t="s">
        <v>2377</v>
      </c>
      <c r="F981" s="820">
        <v>2.5730583469999999</v>
      </c>
      <c r="G981" s="821">
        <v>0.98059613400000001</v>
      </c>
      <c r="H981" s="822">
        <v>12142465.7534247</v>
      </c>
      <c r="I981" s="819">
        <v>0.09</v>
      </c>
      <c r="J981" s="820">
        <v>-5.8976000000000005E-4</v>
      </c>
      <c r="K981" s="819">
        <f t="shared" si="218"/>
        <v>1214</v>
      </c>
      <c r="L981" s="819">
        <f t="shared" si="219"/>
        <v>819</v>
      </c>
      <c r="M981" s="819">
        <f t="shared" si="215"/>
        <v>1214</v>
      </c>
      <c r="N981" s="819">
        <f t="shared" si="216"/>
        <v>275</v>
      </c>
      <c r="O981" s="819">
        <f t="shared" si="217"/>
        <v>1307</v>
      </c>
      <c r="P981" s="819">
        <f t="shared" si="220"/>
        <v>184</v>
      </c>
      <c r="Q981" s="819">
        <f t="shared" si="221"/>
        <v>396</v>
      </c>
      <c r="R981" s="819">
        <f t="shared" si="222"/>
        <v>1132</v>
      </c>
      <c r="S981" s="819">
        <f t="shared" si="223"/>
        <v>249</v>
      </c>
      <c r="T981" s="819">
        <f t="shared" si="224"/>
        <v>1285</v>
      </c>
      <c r="U981" s="819">
        <f t="shared" si="225"/>
        <v>3246</v>
      </c>
      <c r="V981" s="819">
        <f t="shared" si="226"/>
        <v>1262</v>
      </c>
      <c r="W981" s="379">
        <f t="shared" si="227"/>
        <v>1262</v>
      </c>
      <c r="X981" s="819" t="str">
        <f t="shared" si="228"/>
        <v/>
      </c>
      <c r="Y981" s="837"/>
      <c r="Z981" s="839"/>
      <c r="AA981" s="838"/>
      <c r="AB981" s="839"/>
    </row>
    <row r="982" spans="1:28" ht="13.15">
      <c r="B982" s="819" t="s">
        <v>2382</v>
      </c>
      <c r="C982" s="819" t="s">
        <v>2383</v>
      </c>
      <c r="D982" s="379" t="s">
        <v>336</v>
      </c>
      <c r="E982" s="818" t="s">
        <v>2377</v>
      </c>
      <c r="F982" s="820"/>
      <c r="G982" s="821"/>
      <c r="H982" s="822">
        <v>8200913.2420091303</v>
      </c>
      <c r="I982" s="819"/>
      <c r="J982" s="820">
        <v>0</v>
      </c>
      <c r="K982" s="819">
        <f t="shared" si="218"/>
        <v>1294</v>
      </c>
      <c r="L982" s="819">
        <f t="shared" si="219"/>
        <v>1084</v>
      </c>
      <c r="M982" s="819">
        <f t="shared" si="215"/>
        <v>1294</v>
      </c>
      <c r="N982" s="819">
        <f t="shared" si="216"/>
        <v>364</v>
      </c>
      <c r="O982" s="819">
        <f t="shared" si="217"/>
        <v>492</v>
      </c>
      <c r="P982" s="819">
        <f t="shared" si="220"/>
        <v>104</v>
      </c>
      <c r="Q982" s="819">
        <f t="shared" si="221"/>
        <v>661</v>
      </c>
      <c r="R982" s="819">
        <f t="shared" si="222"/>
        <v>1212</v>
      </c>
      <c r="S982" s="819">
        <f t="shared" si="223"/>
        <v>338</v>
      </c>
      <c r="T982" s="819">
        <f t="shared" si="224"/>
        <v>470</v>
      </c>
      <c r="U982" s="819">
        <f t="shared" si="225"/>
        <v>2785</v>
      </c>
      <c r="V982" s="819">
        <f t="shared" si="226"/>
        <v>463</v>
      </c>
      <c r="W982" s="379">
        <f t="shared" si="227"/>
        <v>463</v>
      </c>
      <c r="X982" s="819" t="str">
        <f t="shared" si="228"/>
        <v/>
      </c>
      <c r="Y982" s="837"/>
      <c r="Z982" s="839"/>
      <c r="AA982" s="838"/>
      <c r="AB982" s="839"/>
    </row>
    <row r="983" spans="1:28" ht="14.45">
      <c r="A983" s="816"/>
      <c r="B983" s="819" t="s">
        <v>2384</v>
      </c>
      <c r="C983" s="819" t="s">
        <v>2385</v>
      </c>
      <c r="D983" s="379" t="s">
        <v>336</v>
      </c>
      <c r="E983" s="818" t="s">
        <v>2377</v>
      </c>
      <c r="F983" s="820"/>
      <c r="G983" s="821"/>
      <c r="H983" s="822">
        <v>258551107.37534201</v>
      </c>
      <c r="I983" s="819"/>
      <c r="J983" s="820">
        <v>0</v>
      </c>
      <c r="K983" s="819">
        <f t="shared" si="218"/>
        <v>507</v>
      </c>
      <c r="L983" s="819">
        <f t="shared" si="219"/>
        <v>1084</v>
      </c>
      <c r="M983" s="819">
        <f t="shared" si="215"/>
        <v>507</v>
      </c>
      <c r="N983" s="819">
        <f t="shared" si="216"/>
        <v>364</v>
      </c>
      <c r="O983" s="819">
        <f t="shared" si="217"/>
        <v>492</v>
      </c>
      <c r="P983" s="819">
        <f t="shared" si="220"/>
        <v>891</v>
      </c>
      <c r="Q983" s="819">
        <f t="shared" si="221"/>
        <v>661</v>
      </c>
      <c r="R983" s="819">
        <f t="shared" si="222"/>
        <v>425</v>
      </c>
      <c r="S983" s="819">
        <f t="shared" si="223"/>
        <v>338</v>
      </c>
      <c r="T983" s="819">
        <f t="shared" si="224"/>
        <v>470</v>
      </c>
      <c r="U983" s="819">
        <f t="shared" si="225"/>
        <v>2785</v>
      </c>
      <c r="V983" s="819">
        <f t="shared" si="226"/>
        <v>463</v>
      </c>
      <c r="W983" s="379">
        <f t="shared" si="227"/>
        <v>463</v>
      </c>
      <c r="X983" s="819" t="str">
        <f t="shared" si="228"/>
        <v/>
      </c>
      <c r="Y983" s="837"/>
      <c r="Z983" s="839"/>
      <c r="AA983" s="838"/>
      <c r="AB983" s="839"/>
    </row>
    <row r="984" spans="1:28" ht="13.15">
      <c r="B984" s="819" t="s">
        <v>2386</v>
      </c>
      <c r="C984" s="819" t="s">
        <v>2387</v>
      </c>
      <c r="D984" s="379" t="s">
        <v>336</v>
      </c>
      <c r="E984" s="818" t="s">
        <v>2377</v>
      </c>
      <c r="F984" s="820"/>
      <c r="G984" s="821"/>
      <c r="H984" s="822">
        <v>13352469.041095899</v>
      </c>
      <c r="I984" s="819"/>
      <c r="J984" s="820">
        <v>0</v>
      </c>
      <c r="K984" s="819">
        <f t="shared" si="218"/>
        <v>1192</v>
      </c>
      <c r="L984" s="819">
        <f t="shared" si="219"/>
        <v>1084</v>
      </c>
      <c r="M984" s="819">
        <f t="shared" si="215"/>
        <v>1192</v>
      </c>
      <c r="N984" s="819">
        <f t="shared" si="216"/>
        <v>364</v>
      </c>
      <c r="O984" s="819">
        <f t="shared" si="217"/>
        <v>492</v>
      </c>
      <c r="P984" s="819">
        <f t="shared" si="220"/>
        <v>206</v>
      </c>
      <c r="Q984" s="819">
        <f t="shared" si="221"/>
        <v>661</v>
      </c>
      <c r="R984" s="819">
        <f t="shared" si="222"/>
        <v>1110</v>
      </c>
      <c r="S984" s="819">
        <f t="shared" si="223"/>
        <v>338</v>
      </c>
      <c r="T984" s="819">
        <f t="shared" si="224"/>
        <v>470</v>
      </c>
      <c r="U984" s="819">
        <f t="shared" si="225"/>
        <v>2785</v>
      </c>
      <c r="V984" s="819">
        <f t="shared" si="226"/>
        <v>463</v>
      </c>
      <c r="W984" s="379">
        <f t="shared" si="227"/>
        <v>463</v>
      </c>
      <c r="X984" s="819" t="str">
        <f t="shared" si="228"/>
        <v/>
      </c>
      <c r="Y984" s="837"/>
      <c r="Z984" s="839"/>
      <c r="AA984" s="838"/>
      <c r="AB984" s="839"/>
    </row>
    <row r="985" spans="1:28" ht="14.45">
      <c r="A985" s="816"/>
      <c r="B985" s="819" t="s">
        <v>2388</v>
      </c>
      <c r="C985" s="819" t="s">
        <v>2389</v>
      </c>
      <c r="D985" s="379" t="s">
        <v>336</v>
      </c>
      <c r="E985" s="818" t="s">
        <v>2377</v>
      </c>
      <c r="F985" s="820">
        <v>-3.0133756749999998</v>
      </c>
      <c r="G985" s="821">
        <v>-5.4807142659999997</v>
      </c>
      <c r="H985" s="822">
        <v>7917095.0602739695</v>
      </c>
      <c r="I985" s="819"/>
      <c r="J985" s="820">
        <v>1.3706600000000001E-4</v>
      </c>
      <c r="K985" s="819">
        <f t="shared" si="218"/>
        <v>1300</v>
      </c>
      <c r="L985" s="819">
        <f t="shared" si="219"/>
        <v>1414</v>
      </c>
      <c r="M985" s="819">
        <f t="shared" si="215"/>
        <v>1300</v>
      </c>
      <c r="N985" s="819">
        <f t="shared" si="216"/>
        <v>364</v>
      </c>
      <c r="O985" s="819">
        <f t="shared" si="217"/>
        <v>279</v>
      </c>
      <c r="P985" s="819">
        <f t="shared" si="220"/>
        <v>98</v>
      </c>
      <c r="Q985" s="819">
        <f t="shared" si="221"/>
        <v>991</v>
      </c>
      <c r="R985" s="819">
        <f t="shared" si="222"/>
        <v>1218</v>
      </c>
      <c r="S985" s="819">
        <f t="shared" si="223"/>
        <v>338</v>
      </c>
      <c r="T985" s="819">
        <f t="shared" si="224"/>
        <v>257</v>
      </c>
      <c r="U985" s="819">
        <f t="shared" si="225"/>
        <v>2902</v>
      </c>
      <c r="V985" s="819">
        <f t="shared" si="226"/>
        <v>805</v>
      </c>
      <c r="W985" s="379">
        <f t="shared" si="227"/>
        <v>805</v>
      </c>
      <c r="X985" s="819" t="str">
        <f t="shared" si="228"/>
        <v/>
      </c>
      <c r="Y985" s="837"/>
      <c r="Z985" s="839"/>
      <c r="AA985" s="838"/>
      <c r="AB985" s="839"/>
    </row>
    <row r="986" spans="1:28" ht="13.15">
      <c r="B986" s="819" t="s">
        <v>2390</v>
      </c>
      <c r="C986" s="819" t="s">
        <v>2391</v>
      </c>
      <c r="D986" s="379" t="s">
        <v>336</v>
      </c>
      <c r="E986" s="818" t="s">
        <v>2377</v>
      </c>
      <c r="F986" s="820"/>
      <c r="G986" s="821"/>
      <c r="H986" s="822">
        <v>31174186.890411001</v>
      </c>
      <c r="I986" s="819"/>
      <c r="J986" s="820">
        <v>0</v>
      </c>
      <c r="K986" s="819">
        <f t="shared" si="218"/>
        <v>994</v>
      </c>
      <c r="L986" s="819">
        <f t="shared" si="219"/>
        <v>1084</v>
      </c>
      <c r="M986" s="819">
        <f t="shared" si="215"/>
        <v>994</v>
      </c>
      <c r="N986" s="819">
        <f t="shared" si="216"/>
        <v>364</v>
      </c>
      <c r="O986" s="819">
        <f t="shared" si="217"/>
        <v>492</v>
      </c>
      <c r="P986" s="819">
        <f t="shared" si="220"/>
        <v>404</v>
      </c>
      <c r="Q986" s="819">
        <f t="shared" si="221"/>
        <v>661</v>
      </c>
      <c r="R986" s="819">
        <f t="shared" si="222"/>
        <v>912</v>
      </c>
      <c r="S986" s="819">
        <f t="shared" si="223"/>
        <v>338</v>
      </c>
      <c r="T986" s="819">
        <f t="shared" si="224"/>
        <v>470</v>
      </c>
      <c r="U986" s="819">
        <f t="shared" si="225"/>
        <v>2785</v>
      </c>
      <c r="V986" s="819">
        <f t="shared" si="226"/>
        <v>463</v>
      </c>
      <c r="W986" s="379">
        <f t="shared" si="227"/>
        <v>463</v>
      </c>
      <c r="X986" s="819" t="str">
        <f t="shared" si="228"/>
        <v/>
      </c>
      <c r="Y986" s="837"/>
      <c r="Z986" s="839"/>
      <c r="AA986" s="838"/>
      <c r="AB986" s="839"/>
    </row>
    <row r="987" spans="1:28" ht="14.45">
      <c r="A987" s="816"/>
      <c r="B987" s="819" t="s">
        <v>2392</v>
      </c>
      <c r="C987" s="819" t="s">
        <v>2393</v>
      </c>
      <c r="D987" s="379" t="s">
        <v>336</v>
      </c>
      <c r="E987" s="818" t="s">
        <v>2377</v>
      </c>
      <c r="F987" s="820">
        <v>1.0641339160000001</v>
      </c>
      <c r="G987" s="821">
        <v>0</v>
      </c>
      <c r="H987" s="822">
        <v>24200000</v>
      </c>
      <c r="I987" s="819"/>
      <c r="J987" s="820">
        <v>-6.5815100000000003E-6</v>
      </c>
      <c r="K987" s="819">
        <f t="shared" si="218"/>
        <v>1053</v>
      </c>
      <c r="L987" s="819">
        <f t="shared" si="219"/>
        <v>1084</v>
      </c>
      <c r="M987" s="819">
        <f t="shared" si="215"/>
        <v>1053</v>
      </c>
      <c r="N987" s="819">
        <f t="shared" si="216"/>
        <v>364</v>
      </c>
      <c r="O987" s="819">
        <f t="shared" si="217"/>
        <v>788</v>
      </c>
      <c r="P987" s="819">
        <f t="shared" si="220"/>
        <v>345</v>
      </c>
      <c r="Q987" s="819">
        <f t="shared" si="221"/>
        <v>661</v>
      </c>
      <c r="R987" s="819">
        <f t="shared" si="222"/>
        <v>971</v>
      </c>
      <c r="S987" s="819">
        <f t="shared" si="223"/>
        <v>338</v>
      </c>
      <c r="T987" s="819">
        <f t="shared" si="224"/>
        <v>766</v>
      </c>
      <c r="U987" s="819">
        <f t="shared" si="225"/>
        <v>3081</v>
      </c>
      <c r="V987" s="819">
        <f t="shared" si="226"/>
        <v>1031</v>
      </c>
      <c r="W987" s="379">
        <f t="shared" si="227"/>
        <v>1031</v>
      </c>
      <c r="X987" s="819" t="str">
        <f t="shared" si="228"/>
        <v/>
      </c>
      <c r="Y987" s="837"/>
      <c r="Z987" s="839"/>
      <c r="AA987" s="838"/>
      <c r="AB987" s="839"/>
    </row>
    <row r="988" spans="1:28" ht="13.15">
      <c r="B988" s="819" t="s">
        <v>2394</v>
      </c>
      <c r="C988" s="819" t="s">
        <v>2395</v>
      </c>
      <c r="D988" s="379" t="s">
        <v>336</v>
      </c>
      <c r="E988" s="818" t="s">
        <v>2377</v>
      </c>
      <c r="F988" s="820"/>
      <c r="G988" s="821"/>
      <c r="H988" s="822">
        <v>6005479.4520547902</v>
      </c>
      <c r="I988" s="819"/>
      <c r="J988" s="820">
        <v>0</v>
      </c>
      <c r="K988" s="819">
        <f t="shared" si="218"/>
        <v>1344</v>
      </c>
      <c r="L988" s="819">
        <f t="shared" si="219"/>
        <v>1084</v>
      </c>
      <c r="M988" s="819">
        <f t="shared" si="215"/>
        <v>1344</v>
      </c>
      <c r="N988" s="819">
        <f t="shared" si="216"/>
        <v>364</v>
      </c>
      <c r="O988" s="819">
        <f t="shared" si="217"/>
        <v>492</v>
      </c>
      <c r="P988" s="819">
        <f t="shared" si="220"/>
        <v>54</v>
      </c>
      <c r="Q988" s="819">
        <f t="shared" si="221"/>
        <v>661</v>
      </c>
      <c r="R988" s="819">
        <f t="shared" si="222"/>
        <v>1262</v>
      </c>
      <c r="S988" s="819">
        <f t="shared" si="223"/>
        <v>338</v>
      </c>
      <c r="T988" s="819">
        <f t="shared" si="224"/>
        <v>470</v>
      </c>
      <c r="U988" s="819">
        <f t="shared" si="225"/>
        <v>2785</v>
      </c>
      <c r="V988" s="819">
        <f t="shared" si="226"/>
        <v>463</v>
      </c>
      <c r="W988" s="379">
        <f t="shared" si="227"/>
        <v>463</v>
      </c>
      <c r="X988" s="819" t="str">
        <f t="shared" si="228"/>
        <v/>
      </c>
      <c r="Y988" s="837"/>
      <c r="Z988" s="839"/>
      <c r="AA988" s="838"/>
      <c r="AB988" s="839"/>
    </row>
    <row r="989" spans="1:28" ht="14.45">
      <c r="A989" s="816"/>
      <c r="B989" s="819" t="s">
        <v>2396</v>
      </c>
      <c r="C989" s="819" t="s">
        <v>2397</v>
      </c>
      <c r="D989" s="379" t="s">
        <v>336</v>
      </c>
      <c r="E989" s="818" t="s">
        <v>2377</v>
      </c>
      <c r="F989" s="820"/>
      <c r="G989" s="821"/>
      <c r="H989" s="822">
        <v>25041346.301369902</v>
      </c>
      <c r="I989" s="819"/>
      <c r="J989" s="820">
        <v>0</v>
      </c>
      <c r="K989" s="819">
        <f t="shared" si="218"/>
        <v>1043</v>
      </c>
      <c r="L989" s="819">
        <f t="shared" si="219"/>
        <v>1084</v>
      </c>
      <c r="M989" s="819">
        <f t="shared" si="215"/>
        <v>1043</v>
      </c>
      <c r="N989" s="819">
        <f t="shared" si="216"/>
        <v>364</v>
      </c>
      <c r="O989" s="819">
        <f t="shared" si="217"/>
        <v>492</v>
      </c>
      <c r="P989" s="819">
        <f t="shared" si="220"/>
        <v>355</v>
      </c>
      <c r="Q989" s="819">
        <f t="shared" si="221"/>
        <v>661</v>
      </c>
      <c r="R989" s="819">
        <f t="shared" si="222"/>
        <v>961</v>
      </c>
      <c r="S989" s="819">
        <f t="shared" si="223"/>
        <v>338</v>
      </c>
      <c r="T989" s="819">
        <f t="shared" si="224"/>
        <v>470</v>
      </c>
      <c r="U989" s="819">
        <f t="shared" si="225"/>
        <v>2785</v>
      </c>
      <c r="V989" s="819">
        <f t="shared" si="226"/>
        <v>463</v>
      </c>
      <c r="W989" s="379">
        <f t="shared" si="227"/>
        <v>463</v>
      </c>
      <c r="X989" s="819" t="str">
        <f t="shared" si="228"/>
        <v/>
      </c>
      <c r="Y989" s="837"/>
      <c r="Z989" s="839"/>
      <c r="AA989" s="838"/>
      <c r="AB989" s="839"/>
    </row>
    <row r="990" spans="1:28" ht="13.15">
      <c r="B990" s="819" t="s">
        <v>2398</v>
      </c>
      <c r="C990" s="819" t="s">
        <v>2399</v>
      </c>
      <c r="D990" s="379" t="s">
        <v>336</v>
      </c>
      <c r="E990" s="818" t="s">
        <v>2377</v>
      </c>
      <c r="F990" s="820">
        <v>1.1128316119999999</v>
      </c>
      <c r="G990" s="821">
        <v>17.220478920000001</v>
      </c>
      <c r="H990" s="822">
        <v>27532681.088584501</v>
      </c>
      <c r="I990" s="819"/>
      <c r="J990" s="820">
        <v>-4.6092199999999999E-5</v>
      </c>
      <c r="K990" s="819">
        <f t="shared" si="218"/>
        <v>1027</v>
      </c>
      <c r="L990" s="819">
        <f t="shared" si="219"/>
        <v>104</v>
      </c>
      <c r="M990" s="819">
        <f t="shared" si="215"/>
        <v>1027</v>
      </c>
      <c r="N990" s="819">
        <f t="shared" si="216"/>
        <v>364</v>
      </c>
      <c r="O990" s="819">
        <f t="shared" si="217"/>
        <v>915</v>
      </c>
      <c r="P990" s="819">
        <f t="shared" si="220"/>
        <v>371</v>
      </c>
      <c r="Q990" s="819">
        <f t="shared" si="221"/>
        <v>319</v>
      </c>
      <c r="R990" s="819">
        <f t="shared" si="222"/>
        <v>945</v>
      </c>
      <c r="S990" s="819">
        <f t="shared" si="223"/>
        <v>338</v>
      </c>
      <c r="T990" s="819">
        <f t="shared" si="224"/>
        <v>893</v>
      </c>
      <c r="U990" s="819">
        <f t="shared" si="225"/>
        <v>2866</v>
      </c>
      <c r="V990" s="819">
        <f t="shared" si="226"/>
        <v>748</v>
      </c>
      <c r="W990" s="379">
        <f t="shared" si="227"/>
        <v>748</v>
      </c>
      <c r="X990" s="819" t="str">
        <f t="shared" si="228"/>
        <v/>
      </c>
      <c r="Y990" s="837"/>
      <c r="Z990" s="839"/>
      <c r="AA990" s="838"/>
      <c r="AB990" s="839"/>
    </row>
    <row r="991" spans="1:28" ht="14.45">
      <c r="A991" s="816"/>
      <c r="B991" s="819" t="s">
        <v>2400</v>
      </c>
      <c r="C991" s="819" t="s">
        <v>2401</v>
      </c>
      <c r="D991" s="379" t="s">
        <v>336</v>
      </c>
      <c r="E991" s="818" t="s">
        <v>2377</v>
      </c>
      <c r="F991" s="820">
        <v>2.0714660000000001E-3</v>
      </c>
      <c r="G991" s="821">
        <v>0</v>
      </c>
      <c r="H991" s="822">
        <v>22792162.144292202</v>
      </c>
      <c r="I991" s="819"/>
      <c r="J991" s="820">
        <v>9.2895399999999992E-6</v>
      </c>
      <c r="K991" s="819">
        <f t="shared" si="218"/>
        <v>1073</v>
      </c>
      <c r="L991" s="819">
        <f t="shared" si="219"/>
        <v>1084</v>
      </c>
      <c r="M991" s="819">
        <f t="shared" si="215"/>
        <v>1073</v>
      </c>
      <c r="N991" s="819">
        <f t="shared" si="216"/>
        <v>364</v>
      </c>
      <c r="O991" s="819">
        <f t="shared" si="217"/>
        <v>422</v>
      </c>
      <c r="P991" s="819">
        <f t="shared" si="220"/>
        <v>325</v>
      </c>
      <c r="Q991" s="819">
        <f t="shared" si="221"/>
        <v>661</v>
      </c>
      <c r="R991" s="819">
        <f t="shared" si="222"/>
        <v>991</v>
      </c>
      <c r="S991" s="819">
        <f t="shared" si="223"/>
        <v>338</v>
      </c>
      <c r="T991" s="819">
        <f t="shared" si="224"/>
        <v>400</v>
      </c>
      <c r="U991" s="819">
        <f t="shared" si="225"/>
        <v>2715</v>
      </c>
      <c r="V991" s="819">
        <f t="shared" si="226"/>
        <v>372</v>
      </c>
      <c r="W991" s="379">
        <f t="shared" si="227"/>
        <v>372</v>
      </c>
      <c r="X991" s="819" t="str">
        <f t="shared" si="228"/>
        <v/>
      </c>
      <c r="Y991" s="837"/>
      <c r="Z991" s="839"/>
      <c r="AA991" s="838"/>
      <c r="AB991" s="839"/>
    </row>
    <row r="992" spans="1:28" ht="13.15">
      <c r="B992" s="819" t="s">
        <v>2402</v>
      </c>
      <c r="C992" s="819" t="s">
        <v>2403</v>
      </c>
      <c r="D992" s="379" t="s">
        <v>336</v>
      </c>
      <c r="E992" s="818" t="s">
        <v>1832</v>
      </c>
      <c r="F992" s="820">
        <v>1.9160968739999999</v>
      </c>
      <c r="G992" s="821">
        <v>0.35082561899999998</v>
      </c>
      <c r="H992" s="822">
        <v>33139741.453328099</v>
      </c>
      <c r="I992" s="819">
        <v>0.12</v>
      </c>
      <c r="J992" s="820">
        <v>-4.219609E-3</v>
      </c>
      <c r="K992" s="819">
        <f t="shared" si="218"/>
        <v>969</v>
      </c>
      <c r="L992" s="819">
        <f t="shared" si="219"/>
        <v>951</v>
      </c>
      <c r="M992" s="819">
        <f t="shared" si="215"/>
        <v>969</v>
      </c>
      <c r="N992" s="819">
        <f t="shared" si="216"/>
        <v>250</v>
      </c>
      <c r="O992" s="819">
        <f t="shared" si="217"/>
        <v>1589</v>
      </c>
      <c r="P992" s="819">
        <f t="shared" si="220"/>
        <v>429</v>
      </c>
      <c r="Q992" s="819">
        <f t="shared" si="221"/>
        <v>528</v>
      </c>
      <c r="R992" s="819">
        <f t="shared" si="222"/>
        <v>887</v>
      </c>
      <c r="S992" s="819">
        <f t="shared" si="223"/>
        <v>224</v>
      </c>
      <c r="T992" s="819">
        <f t="shared" si="224"/>
        <v>1567</v>
      </c>
      <c r="U992" s="819">
        <f t="shared" si="225"/>
        <v>3635</v>
      </c>
      <c r="V992" s="819">
        <f t="shared" si="226"/>
        <v>1644</v>
      </c>
      <c r="W992" s="379">
        <f t="shared" si="227"/>
        <v>1644</v>
      </c>
      <c r="X992" s="819" t="str">
        <f t="shared" si="228"/>
        <v/>
      </c>
      <c r="Y992" s="837"/>
      <c r="Z992" s="839"/>
      <c r="AA992" s="838"/>
      <c r="AB992" s="839"/>
    </row>
    <row r="993" spans="1:28" ht="14.45">
      <c r="A993" s="816"/>
      <c r="B993" s="819" t="s">
        <v>2404</v>
      </c>
      <c r="C993" s="819" t="s">
        <v>2405</v>
      </c>
      <c r="D993" s="379" t="s">
        <v>336</v>
      </c>
      <c r="E993" s="818" t="s">
        <v>418</v>
      </c>
      <c r="F993" s="820"/>
      <c r="G993" s="821"/>
      <c r="H993" s="822">
        <v>959883.10398000001</v>
      </c>
      <c r="I993" s="819"/>
      <c r="J993" s="820">
        <v>0</v>
      </c>
      <c r="K993" s="819">
        <f t="shared" si="218"/>
        <v>1559</v>
      </c>
      <c r="L993" s="819">
        <f t="shared" si="219"/>
        <v>1084</v>
      </c>
      <c r="M993" s="819">
        <f t="shared" si="215"/>
        <v>1559</v>
      </c>
      <c r="N993" s="819">
        <f t="shared" si="216"/>
        <v>364</v>
      </c>
      <c r="O993" s="819">
        <f t="shared" si="217"/>
        <v>492</v>
      </c>
      <c r="P993" s="819">
        <f t="shared" si="220"/>
        <v>161</v>
      </c>
      <c r="Q993" s="819">
        <f t="shared" si="221"/>
        <v>661</v>
      </c>
      <c r="R993" s="819">
        <f t="shared" si="222"/>
        <v>1477</v>
      </c>
      <c r="S993" s="819">
        <f t="shared" si="223"/>
        <v>338</v>
      </c>
      <c r="T993" s="819">
        <f t="shared" si="224"/>
        <v>470</v>
      </c>
      <c r="U993" s="819">
        <f t="shared" si="225"/>
        <v>3107</v>
      </c>
      <c r="V993" s="819">
        <f t="shared" si="226"/>
        <v>1074</v>
      </c>
      <c r="W993" s="379">
        <f t="shared" si="227"/>
        <v>1074</v>
      </c>
      <c r="X993" s="819" t="str">
        <f t="shared" si="228"/>
        <v/>
      </c>
      <c r="Y993" s="837"/>
      <c r="Z993" s="839"/>
      <c r="AA993" s="838"/>
      <c r="AB993" s="839"/>
    </row>
    <row r="994" spans="1:28" ht="13.15">
      <c r="B994" s="819" t="s">
        <v>2406</v>
      </c>
      <c r="C994" s="819" t="s">
        <v>2407</v>
      </c>
      <c r="D994" s="379" t="s">
        <v>336</v>
      </c>
      <c r="E994" s="818" t="s">
        <v>441</v>
      </c>
      <c r="F994" s="820">
        <v>-2.1055025000000002E-2</v>
      </c>
      <c r="G994" s="821">
        <v>-2.388322252</v>
      </c>
      <c r="H994" s="822">
        <v>1523978923.2745399</v>
      </c>
      <c r="I994" s="819"/>
      <c r="J994" s="820">
        <v>1.1952500000000001E-4</v>
      </c>
      <c r="K994" s="819">
        <f t="shared" si="218"/>
        <v>179</v>
      </c>
      <c r="L994" s="819">
        <f t="shared" si="219"/>
        <v>1355</v>
      </c>
      <c r="M994" s="819">
        <f t="shared" si="215"/>
        <v>179</v>
      </c>
      <c r="N994" s="819">
        <f t="shared" si="216"/>
        <v>364</v>
      </c>
      <c r="O994" s="819">
        <f t="shared" si="217"/>
        <v>287</v>
      </c>
      <c r="P994" s="819">
        <f t="shared" si="220"/>
        <v>1219</v>
      </c>
      <c r="Q994" s="819">
        <f t="shared" si="221"/>
        <v>932</v>
      </c>
      <c r="R994" s="819">
        <f t="shared" si="222"/>
        <v>97</v>
      </c>
      <c r="S994" s="819">
        <f t="shared" si="223"/>
        <v>338</v>
      </c>
      <c r="T994" s="819">
        <f t="shared" si="224"/>
        <v>265</v>
      </c>
      <c r="U994" s="819">
        <f t="shared" si="225"/>
        <v>2851</v>
      </c>
      <c r="V994" s="819">
        <f t="shared" si="226"/>
        <v>724</v>
      </c>
      <c r="W994" s="379">
        <f t="shared" si="227"/>
        <v>724</v>
      </c>
      <c r="X994" s="819" t="str">
        <f t="shared" si="228"/>
        <v/>
      </c>
      <c r="Y994" s="837"/>
      <c r="Z994" s="839"/>
      <c r="AA994" s="838"/>
      <c r="AB994" s="839"/>
    </row>
    <row r="995" spans="1:28" ht="14.45">
      <c r="A995" s="816"/>
      <c r="B995" s="819" t="s">
        <v>2408</v>
      </c>
      <c r="C995" s="819" t="s">
        <v>2409</v>
      </c>
      <c r="D995" s="379" t="s">
        <v>336</v>
      </c>
      <c r="E995" s="818" t="s">
        <v>2171</v>
      </c>
      <c r="F995" s="820">
        <v>0.831782303</v>
      </c>
      <c r="G995" s="821">
        <v>0</v>
      </c>
      <c r="H995" s="822">
        <v>2292565.9472422102</v>
      </c>
      <c r="I995" s="819"/>
      <c r="J995" s="820">
        <v>9.5486399999999998E-6</v>
      </c>
      <c r="K995" s="819">
        <f t="shared" si="218"/>
        <v>1477</v>
      </c>
      <c r="L995" s="819">
        <f t="shared" si="219"/>
        <v>1084</v>
      </c>
      <c r="M995" s="819">
        <f t="shared" si="215"/>
        <v>1477</v>
      </c>
      <c r="N995" s="819">
        <f t="shared" si="216"/>
        <v>364</v>
      </c>
      <c r="O995" s="819">
        <f t="shared" si="217"/>
        <v>420</v>
      </c>
      <c r="P995" s="819">
        <f t="shared" si="220"/>
        <v>79</v>
      </c>
      <c r="Q995" s="819">
        <f t="shared" si="221"/>
        <v>661</v>
      </c>
      <c r="R995" s="819">
        <f t="shared" si="222"/>
        <v>1395</v>
      </c>
      <c r="S995" s="819">
        <f t="shared" si="223"/>
        <v>338</v>
      </c>
      <c r="T995" s="819">
        <f t="shared" si="224"/>
        <v>398</v>
      </c>
      <c r="U995" s="819">
        <f t="shared" si="225"/>
        <v>2871</v>
      </c>
      <c r="V995" s="819">
        <f t="shared" si="226"/>
        <v>757</v>
      </c>
      <c r="W995" s="379">
        <f t="shared" si="227"/>
        <v>757</v>
      </c>
      <c r="X995" s="819" t="str">
        <f t="shared" si="228"/>
        <v/>
      </c>
      <c r="Y995" s="837"/>
      <c r="Z995" s="839"/>
      <c r="AA995" s="838"/>
      <c r="AB995" s="839"/>
    </row>
    <row r="996" spans="1:28" ht="13.15">
      <c r="B996" s="819" t="s">
        <v>2410</v>
      </c>
      <c r="C996" s="819" t="s">
        <v>2411</v>
      </c>
      <c r="D996" s="379" t="s">
        <v>336</v>
      </c>
      <c r="E996" s="818" t="s">
        <v>337</v>
      </c>
      <c r="F996" s="820">
        <v>2.6253393630000001</v>
      </c>
      <c r="G996" s="821">
        <v>16.310634199999999</v>
      </c>
      <c r="H996" s="822">
        <v>73.953106000000005</v>
      </c>
      <c r="I996" s="819">
        <v>0.03</v>
      </c>
      <c r="J996" s="820">
        <v>-8.6236699999999995E-4</v>
      </c>
      <c r="K996" s="819">
        <f t="shared" si="218"/>
        <v>1692</v>
      </c>
      <c r="L996" s="819">
        <f t="shared" si="219"/>
        <v>113</v>
      </c>
      <c r="M996" s="819">
        <f t="shared" si="215"/>
        <v>1692</v>
      </c>
      <c r="N996" s="819">
        <f t="shared" si="216"/>
        <v>323</v>
      </c>
      <c r="O996" s="819">
        <f t="shared" si="217"/>
        <v>1374</v>
      </c>
      <c r="P996" s="819">
        <f t="shared" si="220"/>
        <v>294</v>
      </c>
      <c r="Q996" s="819">
        <f t="shared" si="221"/>
        <v>310</v>
      </c>
      <c r="R996" s="819">
        <f t="shared" si="222"/>
        <v>1610</v>
      </c>
      <c r="S996" s="819">
        <f t="shared" si="223"/>
        <v>297</v>
      </c>
      <c r="T996" s="819">
        <f t="shared" si="224"/>
        <v>1352</v>
      </c>
      <c r="U996" s="819">
        <f t="shared" si="225"/>
        <v>3863</v>
      </c>
      <c r="V996" s="819">
        <f t="shared" si="226"/>
        <v>1731</v>
      </c>
      <c r="W996" s="379">
        <f t="shared" si="227"/>
        <v>1731</v>
      </c>
      <c r="X996" s="819" t="str">
        <f t="shared" si="228"/>
        <v/>
      </c>
      <c r="Y996" s="837"/>
      <c r="Z996" s="839"/>
      <c r="AA996" s="838"/>
      <c r="AB996" s="839"/>
    </row>
    <row r="997" spans="1:28" ht="14.45">
      <c r="A997" s="816"/>
      <c r="B997" s="819" t="s">
        <v>2412</v>
      </c>
      <c r="C997" s="819" t="s">
        <v>2413</v>
      </c>
      <c r="D997" s="379" t="s">
        <v>336</v>
      </c>
      <c r="E997" s="818" t="s">
        <v>337</v>
      </c>
      <c r="F997" s="820">
        <v>1.858197882</v>
      </c>
      <c r="G997" s="821">
        <v>1.800607031</v>
      </c>
      <c r="H997" s="822">
        <v>6558112.5075000003</v>
      </c>
      <c r="I997" s="819"/>
      <c r="J997" s="820">
        <v>-1.3304699999999999E-4</v>
      </c>
      <c r="K997" s="819">
        <f t="shared" si="218"/>
        <v>1329</v>
      </c>
      <c r="L997" s="819">
        <f t="shared" si="219"/>
        <v>702</v>
      </c>
      <c r="M997" s="819">
        <f t="shared" si="215"/>
        <v>1329</v>
      </c>
      <c r="N997" s="819">
        <f t="shared" si="216"/>
        <v>364</v>
      </c>
      <c r="O997" s="819">
        <f t="shared" si="217"/>
        <v>1044</v>
      </c>
      <c r="P997" s="819">
        <f t="shared" si="220"/>
        <v>69</v>
      </c>
      <c r="Q997" s="819">
        <f t="shared" si="221"/>
        <v>279</v>
      </c>
      <c r="R997" s="819">
        <f t="shared" si="222"/>
        <v>1247</v>
      </c>
      <c r="S997" s="819">
        <f t="shared" si="223"/>
        <v>338</v>
      </c>
      <c r="T997" s="819">
        <f t="shared" si="224"/>
        <v>1022</v>
      </c>
      <c r="U997" s="819">
        <f t="shared" si="225"/>
        <v>2955</v>
      </c>
      <c r="V997" s="819">
        <f t="shared" si="226"/>
        <v>874</v>
      </c>
      <c r="W997" s="379">
        <f t="shared" si="227"/>
        <v>874</v>
      </c>
      <c r="X997" s="819" t="str">
        <f t="shared" si="228"/>
        <v/>
      </c>
      <c r="Y997" s="837"/>
      <c r="Z997" s="839"/>
      <c r="AA997" s="838"/>
      <c r="AB997" s="839"/>
    </row>
    <row r="998" spans="1:28" ht="13.15">
      <c r="B998" s="819" t="s">
        <v>2414</v>
      </c>
      <c r="C998" s="819" t="s">
        <v>2415</v>
      </c>
      <c r="D998" s="379" t="s">
        <v>336</v>
      </c>
      <c r="E998" s="818" t="s">
        <v>1832</v>
      </c>
      <c r="F998" s="820">
        <v>1.5648767560000001</v>
      </c>
      <c r="G998" s="821">
        <v>1.1571061279999999</v>
      </c>
      <c r="H998" s="822">
        <v>325190471.52225298</v>
      </c>
      <c r="I998" s="819">
        <v>0.05</v>
      </c>
      <c r="J998" s="820">
        <v>-1.9974638999999999E-2</v>
      </c>
      <c r="K998" s="819">
        <f t="shared" si="218"/>
        <v>454</v>
      </c>
      <c r="L998" s="819">
        <f t="shared" si="219"/>
        <v>789</v>
      </c>
      <c r="M998" s="819">
        <f t="shared" si="215"/>
        <v>454</v>
      </c>
      <c r="N998" s="819">
        <f t="shared" si="216"/>
        <v>305</v>
      </c>
      <c r="O998" s="819">
        <f t="shared" si="217"/>
        <v>1694</v>
      </c>
      <c r="P998" s="819">
        <f t="shared" si="220"/>
        <v>944</v>
      </c>
      <c r="Q998" s="819">
        <f t="shared" si="221"/>
        <v>366</v>
      </c>
      <c r="R998" s="819">
        <f t="shared" si="222"/>
        <v>372</v>
      </c>
      <c r="S998" s="819">
        <f t="shared" si="223"/>
        <v>279</v>
      </c>
      <c r="T998" s="819">
        <f t="shared" si="224"/>
        <v>1672</v>
      </c>
      <c r="U998" s="819">
        <f t="shared" si="225"/>
        <v>3633</v>
      </c>
      <c r="V998" s="819">
        <f t="shared" si="226"/>
        <v>1642</v>
      </c>
      <c r="W998" s="379">
        <f t="shared" si="227"/>
        <v>1642</v>
      </c>
      <c r="X998" s="819" t="str">
        <f t="shared" si="228"/>
        <v/>
      </c>
      <c r="Y998" s="837"/>
      <c r="Z998" s="839"/>
      <c r="AA998" s="838"/>
      <c r="AB998" s="839"/>
    </row>
    <row r="999" spans="1:28" ht="14.45">
      <c r="A999" s="816"/>
      <c r="B999" s="819" t="s">
        <v>2416</v>
      </c>
      <c r="C999" s="819" t="s">
        <v>2417</v>
      </c>
      <c r="D999" s="379" t="s">
        <v>336</v>
      </c>
      <c r="E999" s="818" t="s">
        <v>685</v>
      </c>
      <c r="F999" s="820">
        <v>1.2423715099999999</v>
      </c>
      <c r="G999" s="821">
        <v>1.440993162</v>
      </c>
      <c r="H999" s="822">
        <v>9521182.69417312</v>
      </c>
      <c r="I999" s="819"/>
      <c r="J999" s="820">
        <v>-3.8675599999999998E-4</v>
      </c>
      <c r="K999" s="819">
        <f t="shared" si="218"/>
        <v>1260</v>
      </c>
      <c r="L999" s="819">
        <f t="shared" si="219"/>
        <v>750</v>
      </c>
      <c r="M999" s="819">
        <f t="shared" si="215"/>
        <v>1260</v>
      </c>
      <c r="N999" s="819">
        <f t="shared" si="216"/>
        <v>364</v>
      </c>
      <c r="O999" s="819">
        <f t="shared" si="217"/>
        <v>1214</v>
      </c>
      <c r="P999" s="819">
        <f t="shared" si="220"/>
        <v>138</v>
      </c>
      <c r="Q999" s="819">
        <f t="shared" si="221"/>
        <v>327</v>
      </c>
      <c r="R999" s="819">
        <f t="shared" si="222"/>
        <v>1178</v>
      </c>
      <c r="S999" s="819">
        <f t="shared" si="223"/>
        <v>338</v>
      </c>
      <c r="T999" s="819">
        <f t="shared" si="224"/>
        <v>1192</v>
      </c>
      <c r="U999" s="819">
        <f t="shared" si="225"/>
        <v>3173</v>
      </c>
      <c r="V999" s="819">
        <f t="shared" si="226"/>
        <v>1162</v>
      </c>
      <c r="W999" s="379">
        <f t="shared" si="227"/>
        <v>1162</v>
      </c>
      <c r="X999" s="819" t="str">
        <f t="shared" si="228"/>
        <v/>
      </c>
      <c r="Y999" s="837"/>
      <c r="Z999" s="839"/>
      <c r="AA999" s="838"/>
      <c r="AB999" s="839"/>
    </row>
    <row r="1000" spans="1:28" ht="13.15">
      <c r="B1000" s="819" t="s">
        <v>2418</v>
      </c>
      <c r="C1000" s="819" t="s">
        <v>2419</v>
      </c>
      <c r="D1000" s="379" t="s">
        <v>336</v>
      </c>
      <c r="E1000" s="818" t="s">
        <v>441</v>
      </c>
      <c r="F1000" s="820">
        <v>1.441392091</v>
      </c>
      <c r="G1000" s="821">
        <v>16.05251865</v>
      </c>
      <c r="H1000" s="822">
        <v>6833744033.4583397</v>
      </c>
      <c r="I1000" s="819"/>
      <c r="J1000" s="820">
        <v>-3.7636699999999998E-5</v>
      </c>
      <c r="K1000" s="819">
        <f t="shared" si="218"/>
        <v>55</v>
      </c>
      <c r="L1000" s="819">
        <f t="shared" si="219"/>
        <v>114</v>
      </c>
      <c r="M1000" s="819">
        <f t="shared" si="215"/>
        <v>55</v>
      </c>
      <c r="N1000" s="819">
        <f t="shared" si="216"/>
        <v>364</v>
      </c>
      <c r="O1000" s="819">
        <f t="shared" si="217"/>
        <v>893</v>
      </c>
      <c r="P1000" s="819">
        <f t="shared" si="220"/>
        <v>1343</v>
      </c>
      <c r="Q1000" s="819">
        <f t="shared" si="221"/>
        <v>309</v>
      </c>
      <c r="R1000" s="819">
        <f t="shared" si="222"/>
        <v>27</v>
      </c>
      <c r="S1000" s="819">
        <f t="shared" si="223"/>
        <v>338</v>
      </c>
      <c r="T1000" s="819">
        <f t="shared" si="224"/>
        <v>871</v>
      </c>
      <c r="U1000" s="819">
        <f t="shared" si="225"/>
        <v>2888</v>
      </c>
      <c r="V1000" s="819">
        <f t="shared" si="226"/>
        <v>789</v>
      </c>
      <c r="W1000" s="379">
        <f t="shared" si="227"/>
        <v>789</v>
      </c>
      <c r="X1000" s="819" t="str">
        <f t="shared" si="228"/>
        <v/>
      </c>
      <c r="Y1000" s="837"/>
      <c r="Z1000" s="839"/>
      <c r="AA1000" s="838"/>
      <c r="AB1000" s="839"/>
    </row>
    <row r="1001" spans="1:28" ht="14.45">
      <c r="A1001" s="816"/>
      <c r="B1001" s="819" t="s">
        <v>2420</v>
      </c>
      <c r="C1001" s="819" t="s">
        <v>2421</v>
      </c>
      <c r="D1001" s="379" t="s">
        <v>336</v>
      </c>
      <c r="E1001" s="818" t="s">
        <v>337</v>
      </c>
      <c r="F1001" s="820">
        <v>2.8734143799999998</v>
      </c>
      <c r="G1001" s="821">
        <v>3.8483202109999999</v>
      </c>
      <c r="H1001" s="822">
        <v>25412.045999999998</v>
      </c>
      <c r="I1001" s="819"/>
      <c r="J1001" s="820">
        <v>-6.7089500000000002E-5</v>
      </c>
      <c r="K1001" s="819">
        <f t="shared" si="218"/>
        <v>1662</v>
      </c>
      <c r="L1001" s="819">
        <f t="shared" si="219"/>
        <v>464</v>
      </c>
      <c r="M1001" s="819">
        <f t="shared" si="215"/>
        <v>1662</v>
      </c>
      <c r="N1001" s="819">
        <f t="shared" si="216"/>
        <v>364</v>
      </c>
      <c r="O1001" s="819">
        <f t="shared" si="217"/>
        <v>952</v>
      </c>
      <c r="P1001" s="819">
        <f t="shared" si="220"/>
        <v>264</v>
      </c>
      <c r="Q1001" s="819">
        <f t="shared" si="221"/>
        <v>41</v>
      </c>
      <c r="R1001" s="819">
        <f t="shared" si="222"/>
        <v>1580</v>
      </c>
      <c r="S1001" s="819">
        <f t="shared" si="223"/>
        <v>338</v>
      </c>
      <c r="T1001" s="819">
        <f t="shared" si="224"/>
        <v>930</v>
      </c>
      <c r="U1001" s="819">
        <f t="shared" si="225"/>
        <v>3153</v>
      </c>
      <c r="V1001" s="819">
        <f t="shared" si="226"/>
        <v>1129</v>
      </c>
      <c r="W1001" s="379">
        <f t="shared" si="227"/>
        <v>1129</v>
      </c>
      <c r="X1001" s="819" t="str">
        <f t="shared" si="228"/>
        <v/>
      </c>
      <c r="Y1001" s="837"/>
      <c r="Z1001" s="839"/>
      <c r="AA1001" s="838"/>
      <c r="AB1001" s="839"/>
    </row>
    <row r="1002" spans="1:28" ht="13.15">
      <c r="B1002" s="819" t="s">
        <v>2422</v>
      </c>
      <c r="C1002" s="819" t="s">
        <v>2423</v>
      </c>
      <c r="D1002" s="379" t="s">
        <v>336</v>
      </c>
      <c r="E1002" s="818" t="s">
        <v>460</v>
      </c>
      <c r="F1002" s="820"/>
      <c r="G1002" s="821"/>
      <c r="H1002" s="822">
        <v>41396040.472823203</v>
      </c>
      <c r="I1002" s="819"/>
      <c r="J1002" s="820">
        <v>0</v>
      </c>
      <c r="K1002" s="819">
        <f t="shared" si="218"/>
        <v>923</v>
      </c>
      <c r="L1002" s="819">
        <f t="shared" si="219"/>
        <v>1084</v>
      </c>
      <c r="M1002" s="819">
        <f t="shared" si="215"/>
        <v>923</v>
      </c>
      <c r="N1002" s="819">
        <f t="shared" si="216"/>
        <v>364</v>
      </c>
      <c r="O1002" s="819">
        <f t="shared" si="217"/>
        <v>492</v>
      </c>
      <c r="P1002" s="819">
        <f t="shared" si="220"/>
        <v>475</v>
      </c>
      <c r="Q1002" s="819">
        <f t="shared" si="221"/>
        <v>661</v>
      </c>
      <c r="R1002" s="819">
        <f t="shared" si="222"/>
        <v>841</v>
      </c>
      <c r="S1002" s="819">
        <f t="shared" si="223"/>
        <v>338</v>
      </c>
      <c r="T1002" s="819">
        <f t="shared" si="224"/>
        <v>470</v>
      </c>
      <c r="U1002" s="819">
        <f t="shared" si="225"/>
        <v>2785</v>
      </c>
      <c r="V1002" s="819">
        <f t="shared" si="226"/>
        <v>463</v>
      </c>
      <c r="W1002" s="379">
        <f t="shared" si="227"/>
        <v>463</v>
      </c>
      <c r="X1002" s="819" t="str">
        <f t="shared" si="228"/>
        <v/>
      </c>
      <c r="Y1002" s="837"/>
      <c r="Z1002" s="839"/>
      <c r="AA1002" s="838"/>
      <c r="AB1002" s="839"/>
    </row>
    <row r="1003" spans="1:28" ht="14.45">
      <c r="A1003" s="816"/>
      <c r="B1003" s="819" t="s">
        <v>2424</v>
      </c>
      <c r="C1003" s="819" t="s">
        <v>2425</v>
      </c>
      <c r="D1003" s="379" t="s">
        <v>336</v>
      </c>
      <c r="E1003" s="818" t="s">
        <v>460</v>
      </c>
      <c r="F1003" s="820">
        <v>3.7451177260000001</v>
      </c>
      <c r="G1003" s="821">
        <v>4.8434424859999998</v>
      </c>
      <c r="H1003" s="822">
        <v>13168444.3506922</v>
      </c>
      <c r="I1003" s="819"/>
      <c r="J1003" s="820">
        <v>-6.1583500000000001E-6</v>
      </c>
      <c r="K1003" s="819">
        <f t="shared" si="218"/>
        <v>1197</v>
      </c>
      <c r="L1003" s="819">
        <f t="shared" si="219"/>
        <v>388</v>
      </c>
      <c r="M1003" s="819">
        <f t="shared" si="215"/>
        <v>1197</v>
      </c>
      <c r="N1003" s="819">
        <f t="shared" si="216"/>
        <v>364</v>
      </c>
      <c r="O1003" s="819">
        <f t="shared" si="217"/>
        <v>786</v>
      </c>
      <c r="P1003" s="819">
        <f t="shared" si="220"/>
        <v>201</v>
      </c>
      <c r="Q1003" s="819">
        <f t="shared" si="221"/>
        <v>35</v>
      </c>
      <c r="R1003" s="819">
        <f t="shared" si="222"/>
        <v>1115</v>
      </c>
      <c r="S1003" s="819">
        <f t="shared" si="223"/>
        <v>338</v>
      </c>
      <c r="T1003" s="819">
        <f t="shared" si="224"/>
        <v>764</v>
      </c>
      <c r="U1003" s="819">
        <f t="shared" si="225"/>
        <v>2453</v>
      </c>
      <c r="V1003" s="819">
        <f t="shared" si="226"/>
        <v>235</v>
      </c>
      <c r="W1003" s="379">
        <f t="shared" si="227"/>
        <v>235</v>
      </c>
      <c r="X1003" s="819" t="str">
        <f t="shared" si="228"/>
        <v/>
      </c>
      <c r="Y1003" s="837"/>
      <c r="Z1003" s="839"/>
      <c r="AA1003" s="838"/>
      <c r="AB1003" s="839"/>
    </row>
    <row r="1004" spans="1:28" ht="13.15">
      <c r="B1004" s="819" t="s">
        <v>2426</v>
      </c>
      <c r="C1004" s="819" t="s">
        <v>2427</v>
      </c>
      <c r="D1004" s="379" t="s">
        <v>336</v>
      </c>
      <c r="E1004" s="818" t="s">
        <v>460</v>
      </c>
      <c r="F1004" s="820">
        <v>-13.3092013</v>
      </c>
      <c r="G1004" s="821">
        <v>-7.2229090090000003</v>
      </c>
      <c r="H1004" s="822">
        <v>344980.94324923598</v>
      </c>
      <c r="I1004" s="819"/>
      <c r="J1004" s="820">
        <v>7.38147E-6</v>
      </c>
      <c r="K1004" s="819">
        <f t="shared" si="218"/>
        <v>1618</v>
      </c>
      <c r="L1004" s="819">
        <f t="shared" si="219"/>
        <v>1430</v>
      </c>
      <c r="M1004" s="819">
        <f t="shared" si="215"/>
        <v>1618</v>
      </c>
      <c r="N1004" s="819">
        <f t="shared" si="216"/>
        <v>364</v>
      </c>
      <c r="O1004" s="819">
        <f t="shared" si="217"/>
        <v>432</v>
      </c>
      <c r="P1004" s="819">
        <f t="shared" si="220"/>
        <v>220</v>
      </c>
      <c r="Q1004" s="819">
        <f t="shared" si="221"/>
        <v>1007</v>
      </c>
      <c r="R1004" s="819">
        <f t="shared" si="222"/>
        <v>1536</v>
      </c>
      <c r="S1004" s="819">
        <f t="shared" si="223"/>
        <v>338</v>
      </c>
      <c r="T1004" s="819">
        <f t="shared" si="224"/>
        <v>410</v>
      </c>
      <c r="U1004" s="819">
        <f t="shared" si="225"/>
        <v>3511</v>
      </c>
      <c r="V1004" s="819">
        <f t="shared" si="226"/>
        <v>1562</v>
      </c>
      <c r="W1004" s="379">
        <f t="shared" si="227"/>
        <v>1562</v>
      </c>
      <c r="X1004" s="819" t="str">
        <f t="shared" si="228"/>
        <v/>
      </c>
      <c r="Y1004" s="837"/>
      <c r="Z1004" s="839"/>
      <c r="AA1004" s="838"/>
      <c r="AB1004" s="839"/>
    </row>
    <row r="1005" spans="1:28" ht="14.45">
      <c r="A1005" s="816"/>
      <c r="B1005" s="819" t="s">
        <v>2428</v>
      </c>
      <c r="C1005" s="819" t="s">
        <v>2429</v>
      </c>
      <c r="D1005" s="379" t="s">
        <v>336</v>
      </c>
      <c r="E1005" s="818" t="s">
        <v>460</v>
      </c>
      <c r="F1005" s="820">
        <v>0.663016037</v>
      </c>
      <c r="G1005" s="821">
        <v>11.080234600000001</v>
      </c>
      <c r="H1005" s="822">
        <v>10695851.585066199</v>
      </c>
      <c r="I1005" s="819"/>
      <c r="J1005" s="820">
        <v>-7.6762500000000002E-5</v>
      </c>
      <c r="K1005" s="819">
        <f t="shared" si="218"/>
        <v>1239</v>
      </c>
      <c r="L1005" s="819">
        <f t="shared" si="219"/>
        <v>171</v>
      </c>
      <c r="M1005" s="819">
        <f t="shared" si="215"/>
        <v>1239</v>
      </c>
      <c r="N1005" s="819">
        <f t="shared" si="216"/>
        <v>364</v>
      </c>
      <c r="O1005" s="819">
        <f t="shared" si="217"/>
        <v>966</v>
      </c>
      <c r="P1005" s="819">
        <f t="shared" si="220"/>
        <v>159</v>
      </c>
      <c r="Q1005" s="819">
        <f t="shared" si="221"/>
        <v>252</v>
      </c>
      <c r="R1005" s="819">
        <f t="shared" si="222"/>
        <v>1157</v>
      </c>
      <c r="S1005" s="819">
        <f t="shared" si="223"/>
        <v>338</v>
      </c>
      <c r="T1005" s="819">
        <f t="shared" si="224"/>
        <v>944</v>
      </c>
      <c r="U1005" s="819">
        <f t="shared" si="225"/>
        <v>2850</v>
      </c>
      <c r="V1005" s="819">
        <f t="shared" si="226"/>
        <v>723</v>
      </c>
      <c r="W1005" s="379">
        <f t="shared" si="227"/>
        <v>723</v>
      </c>
      <c r="X1005" s="819" t="str">
        <f t="shared" si="228"/>
        <v/>
      </c>
      <c r="Y1005" s="837"/>
      <c r="Z1005" s="839"/>
      <c r="AA1005" s="838"/>
      <c r="AB1005" s="839"/>
    </row>
    <row r="1006" spans="1:28" ht="13.15">
      <c r="B1006" s="819" t="s">
        <v>2430</v>
      </c>
      <c r="C1006" s="819" t="s">
        <v>2431</v>
      </c>
      <c r="D1006" s="379" t="s">
        <v>336</v>
      </c>
      <c r="E1006" s="818" t="s">
        <v>1832</v>
      </c>
      <c r="F1006" s="820">
        <v>-7.0122437079999997</v>
      </c>
      <c r="G1006" s="821">
        <v>-1.0837526580000001</v>
      </c>
      <c r="H1006" s="822">
        <v>181162.189838519</v>
      </c>
      <c r="I1006" s="819"/>
      <c r="J1006" s="820">
        <v>1.71423E-4</v>
      </c>
      <c r="K1006" s="819">
        <f t="shared" si="218"/>
        <v>1643</v>
      </c>
      <c r="L1006" s="819">
        <f t="shared" si="219"/>
        <v>1299</v>
      </c>
      <c r="M1006" s="819">
        <f t="shared" si="215"/>
        <v>1643</v>
      </c>
      <c r="N1006" s="819">
        <f t="shared" si="216"/>
        <v>364</v>
      </c>
      <c r="O1006" s="819">
        <f t="shared" si="217"/>
        <v>263</v>
      </c>
      <c r="P1006" s="819">
        <f t="shared" si="220"/>
        <v>245</v>
      </c>
      <c r="Q1006" s="819">
        <f t="shared" si="221"/>
        <v>876</v>
      </c>
      <c r="R1006" s="819">
        <f t="shared" si="222"/>
        <v>1561</v>
      </c>
      <c r="S1006" s="819">
        <f t="shared" si="223"/>
        <v>338</v>
      </c>
      <c r="T1006" s="819">
        <f t="shared" si="224"/>
        <v>241</v>
      </c>
      <c r="U1006" s="819">
        <f t="shared" si="225"/>
        <v>3261</v>
      </c>
      <c r="V1006" s="819">
        <f t="shared" si="226"/>
        <v>1290</v>
      </c>
      <c r="W1006" s="379">
        <f t="shared" si="227"/>
        <v>1290</v>
      </c>
      <c r="X1006" s="819" t="str">
        <f t="shared" si="228"/>
        <v/>
      </c>
      <c r="Y1006" s="837"/>
      <c r="Z1006" s="839"/>
      <c r="AA1006" s="838"/>
      <c r="AB1006" s="839"/>
    </row>
    <row r="1007" spans="1:28" ht="14.45">
      <c r="A1007" s="816"/>
      <c r="B1007" s="819" t="s">
        <v>2432</v>
      </c>
      <c r="C1007" s="819" t="s">
        <v>2433</v>
      </c>
      <c r="D1007" s="379" t="s">
        <v>336</v>
      </c>
      <c r="E1007" s="818" t="s">
        <v>625</v>
      </c>
      <c r="F1007" s="820">
        <v>2.8974670580000002</v>
      </c>
      <c r="G1007" s="821">
        <v>-6.7706974110000004</v>
      </c>
      <c r="H1007" s="822">
        <v>30037082.818294201</v>
      </c>
      <c r="I1007" s="819">
        <v>1.22</v>
      </c>
      <c r="J1007" s="820">
        <v>4.20171E-4</v>
      </c>
      <c r="K1007" s="819">
        <f t="shared" si="218"/>
        <v>1003</v>
      </c>
      <c r="L1007" s="819">
        <f t="shared" si="219"/>
        <v>1426</v>
      </c>
      <c r="M1007" s="819">
        <f t="shared" si="215"/>
        <v>1003</v>
      </c>
      <c r="N1007" s="819">
        <f t="shared" si="216"/>
        <v>112</v>
      </c>
      <c r="O1007" s="819">
        <f t="shared" si="217"/>
        <v>216</v>
      </c>
      <c r="P1007" s="819">
        <f t="shared" si="220"/>
        <v>395</v>
      </c>
      <c r="Q1007" s="819">
        <f t="shared" si="221"/>
        <v>1003</v>
      </c>
      <c r="R1007" s="819">
        <f t="shared" si="222"/>
        <v>921</v>
      </c>
      <c r="S1007" s="819">
        <f t="shared" si="223"/>
        <v>86</v>
      </c>
      <c r="T1007" s="819">
        <f t="shared" si="224"/>
        <v>194</v>
      </c>
      <c r="U1007" s="819">
        <f t="shared" si="225"/>
        <v>2599</v>
      </c>
      <c r="V1007" s="819">
        <f t="shared" si="226"/>
        <v>282</v>
      </c>
      <c r="W1007" s="379">
        <f t="shared" si="227"/>
        <v>282</v>
      </c>
      <c r="X1007" s="819" t="str">
        <f t="shared" si="228"/>
        <v/>
      </c>
      <c r="Y1007" s="837"/>
      <c r="Z1007" s="839"/>
      <c r="AA1007" s="838"/>
      <c r="AB1007" s="839"/>
    </row>
    <row r="1008" spans="1:28" ht="13.15">
      <c r="B1008" s="819" t="s">
        <v>2434</v>
      </c>
      <c r="C1008" s="819" t="s">
        <v>2435</v>
      </c>
      <c r="D1008" s="379" t="s">
        <v>336</v>
      </c>
      <c r="E1008" s="818" t="s">
        <v>191</v>
      </c>
      <c r="F1008" s="820">
        <v>1.896271413</v>
      </c>
      <c r="G1008" s="821">
        <v>-0.176464915</v>
      </c>
      <c r="H1008" s="822">
        <v>1767588.05502984</v>
      </c>
      <c r="I1008" s="819"/>
      <c r="J1008" s="820">
        <v>3.7688699999999997E-5</v>
      </c>
      <c r="K1008" s="819">
        <f t="shared" si="218"/>
        <v>1514</v>
      </c>
      <c r="L1008" s="819">
        <f t="shared" si="219"/>
        <v>1234</v>
      </c>
      <c r="M1008" s="819">
        <f t="shared" si="215"/>
        <v>1514</v>
      </c>
      <c r="N1008" s="819">
        <f t="shared" si="216"/>
        <v>364</v>
      </c>
      <c r="O1008" s="819">
        <f t="shared" si="217"/>
        <v>366</v>
      </c>
      <c r="P1008" s="819">
        <f t="shared" si="220"/>
        <v>116</v>
      </c>
      <c r="Q1008" s="819">
        <f t="shared" si="221"/>
        <v>811</v>
      </c>
      <c r="R1008" s="819">
        <f t="shared" si="222"/>
        <v>1432</v>
      </c>
      <c r="S1008" s="819">
        <f t="shared" si="223"/>
        <v>338</v>
      </c>
      <c r="T1008" s="819">
        <f t="shared" si="224"/>
        <v>344</v>
      </c>
      <c r="U1008" s="819">
        <f t="shared" si="225"/>
        <v>3041</v>
      </c>
      <c r="V1008" s="819">
        <f t="shared" si="226"/>
        <v>985</v>
      </c>
      <c r="W1008" s="379">
        <f t="shared" si="227"/>
        <v>985</v>
      </c>
      <c r="X1008" s="819" t="str">
        <f t="shared" si="228"/>
        <v/>
      </c>
      <c r="Y1008" s="837"/>
      <c r="Z1008" s="839"/>
      <c r="AA1008" s="838"/>
      <c r="AB1008" s="839"/>
    </row>
    <row r="1009" spans="1:28" ht="14.45">
      <c r="A1009" s="816"/>
      <c r="B1009" s="819" t="s">
        <v>2436</v>
      </c>
      <c r="C1009" s="819" t="s">
        <v>2437</v>
      </c>
      <c r="D1009" s="379" t="s">
        <v>336</v>
      </c>
      <c r="E1009" s="818" t="s">
        <v>887</v>
      </c>
      <c r="F1009" s="820">
        <v>0.637854264</v>
      </c>
      <c r="G1009" s="821">
        <v>-31.417281169999999</v>
      </c>
      <c r="H1009" s="822">
        <v>480805886.03882301</v>
      </c>
      <c r="I1009" s="819"/>
      <c r="J1009" s="820">
        <v>3.9177699999999996E-6</v>
      </c>
      <c r="K1009" s="819">
        <f t="shared" si="218"/>
        <v>364</v>
      </c>
      <c r="L1009" s="819">
        <f t="shared" si="219"/>
        <v>1497</v>
      </c>
      <c r="M1009" s="819">
        <f t="shared" si="215"/>
        <v>364</v>
      </c>
      <c r="N1009" s="819">
        <f t="shared" si="216"/>
        <v>364</v>
      </c>
      <c r="O1009" s="819">
        <f t="shared" si="217"/>
        <v>452</v>
      </c>
      <c r="P1009" s="819">
        <f t="shared" si="220"/>
        <v>1034</v>
      </c>
      <c r="Q1009" s="819">
        <f t="shared" si="221"/>
        <v>1074</v>
      </c>
      <c r="R1009" s="819">
        <f t="shared" si="222"/>
        <v>282</v>
      </c>
      <c r="S1009" s="819">
        <f t="shared" si="223"/>
        <v>338</v>
      </c>
      <c r="T1009" s="819">
        <f t="shared" si="224"/>
        <v>430</v>
      </c>
      <c r="U1009" s="819">
        <f t="shared" si="225"/>
        <v>3158</v>
      </c>
      <c r="V1009" s="819">
        <f t="shared" si="226"/>
        <v>1138</v>
      </c>
      <c r="W1009" s="379">
        <f t="shared" si="227"/>
        <v>1138</v>
      </c>
      <c r="X1009" s="819" t="str">
        <f t="shared" si="228"/>
        <v/>
      </c>
      <c r="Y1009" s="837"/>
      <c r="Z1009" s="839"/>
      <c r="AA1009" s="838"/>
      <c r="AB1009" s="839"/>
    </row>
    <row r="1010" spans="1:28" ht="13.15">
      <c r="B1010" s="819" t="s">
        <v>2438</v>
      </c>
      <c r="C1010" s="819" t="s">
        <v>2439</v>
      </c>
      <c r="D1010" s="379" t="s">
        <v>336</v>
      </c>
      <c r="E1010" s="818" t="s">
        <v>337</v>
      </c>
      <c r="F1010" s="820">
        <v>0.899343907</v>
      </c>
      <c r="G1010" s="821">
        <v>-10.472834860000001</v>
      </c>
      <c r="H1010" s="822">
        <v>4747.9953800000003</v>
      </c>
      <c r="I1010" s="819"/>
      <c r="J1010" s="820">
        <v>1.7669800000000001E-5</v>
      </c>
      <c r="K1010" s="819">
        <f t="shared" si="218"/>
        <v>1675</v>
      </c>
      <c r="L1010" s="819">
        <f t="shared" si="219"/>
        <v>1451</v>
      </c>
      <c r="M1010" s="819">
        <f t="shared" si="215"/>
        <v>1675</v>
      </c>
      <c r="N1010" s="819">
        <f t="shared" si="216"/>
        <v>364</v>
      </c>
      <c r="O1010" s="819">
        <f t="shared" si="217"/>
        <v>409</v>
      </c>
      <c r="P1010" s="819">
        <f t="shared" si="220"/>
        <v>277</v>
      </c>
      <c r="Q1010" s="819">
        <f t="shared" si="221"/>
        <v>1028</v>
      </c>
      <c r="R1010" s="819">
        <f t="shared" si="222"/>
        <v>1593</v>
      </c>
      <c r="S1010" s="819">
        <f t="shared" si="223"/>
        <v>338</v>
      </c>
      <c r="T1010" s="819">
        <f t="shared" si="224"/>
        <v>387</v>
      </c>
      <c r="U1010" s="819">
        <f t="shared" si="225"/>
        <v>3623</v>
      </c>
      <c r="V1010" s="819">
        <f t="shared" si="226"/>
        <v>1637</v>
      </c>
      <c r="W1010" s="379">
        <f t="shared" si="227"/>
        <v>1637</v>
      </c>
      <c r="X1010" s="819" t="str">
        <f t="shared" si="228"/>
        <v/>
      </c>
      <c r="Y1010" s="837"/>
      <c r="Z1010" s="839"/>
      <c r="AA1010" s="838"/>
      <c r="AB1010" s="839"/>
    </row>
    <row r="1011" spans="1:28" ht="14.45">
      <c r="A1011" s="816"/>
      <c r="B1011" s="819" t="s">
        <v>2440</v>
      </c>
      <c r="C1011" s="819" t="s">
        <v>2441</v>
      </c>
      <c r="D1011" s="379" t="s">
        <v>336</v>
      </c>
      <c r="E1011" s="818" t="s">
        <v>460</v>
      </c>
      <c r="F1011" s="820">
        <v>4.9667336659999997</v>
      </c>
      <c r="G1011" s="821">
        <v>-45.48244622</v>
      </c>
      <c r="H1011" s="822">
        <v>7503041.8888955498</v>
      </c>
      <c r="I1011" s="819"/>
      <c r="J1011" s="820">
        <v>4.5270099999999999E-6</v>
      </c>
      <c r="K1011" s="819">
        <f t="shared" si="218"/>
        <v>1310</v>
      </c>
      <c r="L1011" s="819">
        <f t="shared" si="219"/>
        <v>1504</v>
      </c>
      <c r="M1011" s="819">
        <f t="shared" si="215"/>
        <v>1310</v>
      </c>
      <c r="N1011" s="819">
        <f t="shared" si="216"/>
        <v>364</v>
      </c>
      <c r="O1011" s="819">
        <f t="shared" si="217"/>
        <v>448</v>
      </c>
      <c r="P1011" s="819">
        <f t="shared" si="220"/>
        <v>88</v>
      </c>
      <c r="Q1011" s="819">
        <f t="shared" si="221"/>
        <v>1081</v>
      </c>
      <c r="R1011" s="819">
        <f t="shared" si="222"/>
        <v>1228</v>
      </c>
      <c r="S1011" s="819">
        <f t="shared" si="223"/>
        <v>338</v>
      </c>
      <c r="T1011" s="819">
        <f t="shared" si="224"/>
        <v>426</v>
      </c>
      <c r="U1011" s="819">
        <f t="shared" si="225"/>
        <v>3161</v>
      </c>
      <c r="V1011" s="819">
        <f t="shared" si="226"/>
        <v>1143</v>
      </c>
      <c r="W1011" s="379">
        <f t="shared" si="227"/>
        <v>1143</v>
      </c>
      <c r="X1011" s="819" t="str">
        <f t="shared" si="228"/>
        <v/>
      </c>
      <c r="Y1011" s="837"/>
      <c r="Z1011" s="839"/>
      <c r="AA1011" s="838"/>
      <c r="AB1011" s="839"/>
    </row>
    <row r="1012" spans="1:28" ht="13.15">
      <c r="B1012" s="819" t="s">
        <v>2442</v>
      </c>
      <c r="C1012" s="819" t="s">
        <v>2443</v>
      </c>
      <c r="D1012" s="379" t="s">
        <v>336</v>
      </c>
      <c r="E1012" s="818" t="s">
        <v>460</v>
      </c>
      <c r="F1012" s="820">
        <v>1.3684002369999999</v>
      </c>
      <c r="G1012" s="821">
        <v>0</v>
      </c>
      <c r="H1012" s="822">
        <v>10196263.4551447</v>
      </c>
      <c r="I1012" s="819"/>
      <c r="J1012" s="820">
        <v>-1.9440400000000001E-5</v>
      </c>
      <c r="K1012" s="819">
        <f t="shared" si="218"/>
        <v>1252</v>
      </c>
      <c r="L1012" s="819">
        <f t="shared" si="219"/>
        <v>1084</v>
      </c>
      <c r="M1012" s="819">
        <f t="shared" si="215"/>
        <v>1252</v>
      </c>
      <c r="N1012" s="819">
        <f t="shared" si="216"/>
        <v>364</v>
      </c>
      <c r="O1012" s="819">
        <f t="shared" si="217"/>
        <v>850</v>
      </c>
      <c r="P1012" s="819">
        <f t="shared" si="220"/>
        <v>146</v>
      </c>
      <c r="Q1012" s="819">
        <f t="shared" si="221"/>
        <v>661</v>
      </c>
      <c r="R1012" s="819">
        <f t="shared" si="222"/>
        <v>1170</v>
      </c>
      <c r="S1012" s="819">
        <f t="shared" si="223"/>
        <v>338</v>
      </c>
      <c r="T1012" s="819">
        <f t="shared" si="224"/>
        <v>828</v>
      </c>
      <c r="U1012" s="819">
        <f t="shared" si="225"/>
        <v>3143</v>
      </c>
      <c r="V1012" s="819">
        <f t="shared" si="226"/>
        <v>1114</v>
      </c>
      <c r="W1012" s="379">
        <f t="shared" si="227"/>
        <v>1114</v>
      </c>
      <c r="X1012" s="819" t="str">
        <f t="shared" si="228"/>
        <v/>
      </c>
      <c r="Y1012" s="837"/>
      <c r="Z1012" s="839"/>
      <c r="AA1012" s="838"/>
      <c r="AB1012" s="839"/>
    </row>
    <row r="1013" spans="1:28" ht="14.45">
      <c r="A1013" s="816"/>
      <c r="B1013" s="819" t="s">
        <v>2444</v>
      </c>
      <c r="C1013" s="819" t="s">
        <v>2445</v>
      </c>
      <c r="D1013" s="379" t="s">
        <v>336</v>
      </c>
      <c r="E1013" s="818" t="s">
        <v>1832</v>
      </c>
      <c r="F1013" s="820"/>
      <c r="G1013" s="821"/>
      <c r="H1013" s="822">
        <v>2038204.01732966</v>
      </c>
      <c r="I1013" s="819"/>
      <c r="J1013" s="820">
        <v>0</v>
      </c>
      <c r="K1013" s="819">
        <f t="shared" si="218"/>
        <v>1495</v>
      </c>
      <c r="L1013" s="819">
        <f t="shared" si="219"/>
        <v>1084</v>
      </c>
      <c r="M1013" s="819">
        <f t="shared" si="215"/>
        <v>1495</v>
      </c>
      <c r="N1013" s="819">
        <f t="shared" si="216"/>
        <v>364</v>
      </c>
      <c r="O1013" s="819">
        <f t="shared" si="217"/>
        <v>492</v>
      </c>
      <c r="P1013" s="819">
        <f t="shared" si="220"/>
        <v>97</v>
      </c>
      <c r="Q1013" s="819">
        <f t="shared" si="221"/>
        <v>661</v>
      </c>
      <c r="R1013" s="819">
        <f t="shared" si="222"/>
        <v>1413</v>
      </c>
      <c r="S1013" s="819">
        <f t="shared" si="223"/>
        <v>338</v>
      </c>
      <c r="T1013" s="819">
        <f t="shared" si="224"/>
        <v>470</v>
      </c>
      <c r="U1013" s="819">
        <f t="shared" si="225"/>
        <v>2979</v>
      </c>
      <c r="V1013" s="819">
        <f t="shared" si="226"/>
        <v>900</v>
      </c>
      <c r="W1013" s="379">
        <f t="shared" si="227"/>
        <v>900</v>
      </c>
      <c r="X1013" s="819" t="str">
        <f t="shared" si="228"/>
        <v/>
      </c>
      <c r="Y1013" s="837"/>
      <c r="Z1013" s="839"/>
      <c r="AA1013" s="838"/>
      <c r="AB1013" s="839"/>
    </row>
    <row r="1014" spans="1:28" ht="13.15">
      <c r="B1014" s="819" t="s">
        <v>2446</v>
      </c>
      <c r="C1014" s="819" t="s">
        <v>2447</v>
      </c>
      <c r="D1014" s="379" t="s">
        <v>336</v>
      </c>
      <c r="E1014" s="818" t="s">
        <v>1861</v>
      </c>
      <c r="F1014" s="820">
        <v>-20.198261599999999</v>
      </c>
      <c r="G1014" s="821">
        <v>16.613776139999999</v>
      </c>
      <c r="H1014" s="822">
        <v>21038790.269559499</v>
      </c>
      <c r="I1014" s="819"/>
      <c r="J1014" s="820">
        <v>-6.04228E-6</v>
      </c>
      <c r="K1014" s="819">
        <f t="shared" si="218"/>
        <v>1092</v>
      </c>
      <c r="L1014" s="819">
        <f t="shared" si="219"/>
        <v>111</v>
      </c>
      <c r="M1014" s="819">
        <f t="shared" si="215"/>
        <v>1092</v>
      </c>
      <c r="N1014" s="819">
        <f t="shared" si="216"/>
        <v>364</v>
      </c>
      <c r="O1014" s="819">
        <f t="shared" si="217"/>
        <v>785</v>
      </c>
      <c r="P1014" s="819">
        <f t="shared" si="220"/>
        <v>306</v>
      </c>
      <c r="Q1014" s="819">
        <f t="shared" si="221"/>
        <v>312</v>
      </c>
      <c r="R1014" s="819">
        <f t="shared" si="222"/>
        <v>1010</v>
      </c>
      <c r="S1014" s="819">
        <f t="shared" si="223"/>
        <v>338</v>
      </c>
      <c r="T1014" s="819">
        <f t="shared" si="224"/>
        <v>763</v>
      </c>
      <c r="U1014" s="819">
        <f t="shared" si="225"/>
        <v>2729</v>
      </c>
      <c r="V1014" s="819">
        <f t="shared" si="226"/>
        <v>396</v>
      </c>
      <c r="W1014" s="379">
        <f t="shared" si="227"/>
        <v>396</v>
      </c>
      <c r="X1014" s="819" t="str">
        <f t="shared" si="228"/>
        <v/>
      </c>
      <c r="Y1014" s="837"/>
      <c r="Z1014" s="839"/>
      <c r="AA1014" s="838"/>
      <c r="AB1014" s="839"/>
    </row>
    <row r="1015" spans="1:28" ht="14.45">
      <c r="A1015" s="816"/>
      <c r="B1015" s="819" t="s">
        <v>2448</v>
      </c>
      <c r="C1015" s="819" t="s">
        <v>2449</v>
      </c>
      <c r="D1015" s="379" t="s">
        <v>336</v>
      </c>
      <c r="E1015" s="818" t="s">
        <v>460</v>
      </c>
      <c r="F1015" s="820"/>
      <c r="G1015" s="821"/>
      <c r="H1015" s="822">
        <v>1134832.9597890601</v>
      </c>
      <c r="I1015" s="819"/>
      <c r="J1015" s="820">
        <v>0</v>
      </c>
      <c r="K1015" s="819">
        <f t="shared" si="218"/>
        <v>1550</v>
      </c>
      <c r="L1015" s="819">
        <f t="shared" si="219"/>
        <v>1084</v>
      </c>
      <c r="M1015" s="819">
        <f t="shared" si="215"/>
        <v>1550</v>
      </c>
      <c r="N1015" s="819">
        <f t="shared" si="216"/>
        <v>364</v>
      </c>
      <c r="O1015" s="819">
        <f t="shared" si="217"/>
        <v>492</v>
      </c>
      <c r="P1015" s="819">
        <f t="shared" si="220"/>
        <v>152</v>
      </c>
      <c r="Q1015" s="819">
        <f t="shared" si="221"/>
        <v>661</v>
      </c>
      <c r="R1015" s="819">
        <f t="shared" si="222"/>
        <v>1468</v>
      </c>
      <c r="S1015" s="819">
        <f t="shared" si="223"/>
        <v>338</v>
      </c>
      <c r="T1015" s="819">
        <f t="shared" si="224"/>
        <v>470</v>
      </c>
      <c r="U1015" s="819">
        <f t="shared" si="225"/>
        <v>3089</v>
      </c>
      <c r="V1015" s="819">
        <f t="shared" si="226"/>
        <v>1054</v>
      </c>
      <c r="W1015" s="379">
        <f t="shared" si="227"/>
        <v>1054</v>
      </c>
      <c r="X1015" s="819" t="str">
        <f t="shared" si="228"/>
        <v/>
      </c>
      <c r="Y1015" s="837"/>
      <c r="Z1015" s="839"/>
      <c r="AA1015" s="838"/>
      <c r="AB1015" s="839"/>
    </row>
    <row r="1016" spans="1:28" ht="13.15">
      <c r="B1016" s="819" t="s">
        <v>2450</v>
      </c>
      <c r="C1016" s="819" t="s">
        <v>2451</v>
      </c>
      <c r="D1016" s="379" t="s">
        <v>336</v>
      </c>
      <c r="E1016" s="818" t="s">
        <v>460</v>
      </c>
      <c r="F1016" s="820"/>
      <c r="G1016" s="821"/>
      <c r="H1016" s="822">
        <v>11542193.8874573</v>
      </c>
      <c r="I1016" s="819"/>
      <c r="J1016" s="820">
        <v>0</v>
      </c>
      <c r="K1016" s="819">
        <f t="shared" si="218"/>
        <v>1219</v>
      </c>
      <c r="L1016" s="819">
        <f t="shared" si="219"/>
        <v>1084</v>
      </c>
      <c r="M1016" s="819">
        <f t="shared" si="215"/>
        <v>1219</v>
      </c>
      <c r="N1016" s="819">
        <f t="shared" si="216"/>
        <v>364</v>
      </c>
      <c r="O1016" s="819">
        <f t="shared" si="217"/>
        <v>492</v>
      </c>
      <c r="P1016" s="819">
        <f t="shared" si="220"/>
        <v>179</v>
      </c>
      <c r="Q1016" s="819">
        <f t="shared" si="221"/>
        <v>661</v>
      </c>
      <c r="R1016" s="819">
        <f t="shared" si="222"/>
        <v>1137</v>
      </c>
      <c r="S1016" s="819">
        <f t="shared" si="223"/>
        <v>338</v>
      </c>
      <c r="T1016" s="819">
        <f t="shared" si="224"/>
        <v>470</v>
      </c>
      <c r="U1016" s="819">
        <f t="shared" si="225"/>
        <v>2785</v>
      </c>
      <c r="V1016" s="819">
        <f t="shared" si="226"/>
        <v>463</v>
      </c>
      <c r="W1016" s="379">
        <f t="shared" si="227"/>
        <v>463</v>
      </c>
      <c r="X1016" s="819" t="str">
        <f t="shared" si="228"/>
        <v/>
      </c>
      <c r="Y1016" s="837"/>
      <c r="Z1016" s="839"/>
      <c r="AA1016" s="838"/>
      <c r="AB1016" s="839"/>
    </row>
    <row r="1017" spans="1:28" ht="14.45">
      <c r="A1017" s="816"/>
      <c r="B1017" s="819" t="s">
        <v>2452</v>
      </c>
      <c r="C1017" s="819" t="s">
        <v>2453</v>
      </c>
      <c r="D1017" s="379" t="s">
        <v>336</v>
      </c>
      <c r="E1017" s="818" t="s">
        <v>337</v>
      </c>
      <c r="F1017" s="820">
        <v>-2.4974305640000001</v>
      </c>
      <c r="G1017" s="821">
        <v>-1.2007755090000001</v>
      </c>
      <c r="H1017" s="822">
        <v>97.262799999999999</v>
      </c>
      <c r="I1017" s="819"/>
      <c r="J1017" s="820">
        <v>8.6478999999999997E-5</v>
      </c>
      <c r="K1017" s="819">
        <f t="shared" si="218"/>
        <v>1690</v>
      </c>
      <c r="L1017" s="819">
        <f t="shared" si="219"/>
        <v>1305</v>
      </c>
      <c r="M1017" s="819">
        <f t="shared" si="215"/>
        <v>1690</v>
      </c>
      <c r="N1017" s="819">
        <f t="shared" si="216"/>
        <v>364</v>
      </c>
      <c r="O1017" s="819">
        <f t="shared" si="217"/>
        <v>305</v>
      </c>
      <c r="P1017" s="819">
        <f t="shared" si="220"/>
        <v>292</v>
      </c>
      <c r="Q1017" s="819">
        <f t="shared" si="221"/>
        <v>882</v>
      </c>
      <c r="R1017" s="819">
        <f t="shared" si="222"/>
        <v>1608</v>
      </c>
      <c r="S1017" s="819">
        <f t="shared" si="223"/>
        <v>338</v>
      </c>
      <c r="T1017" s="819">
        <f t="shared" si="224"/>
        <v>283</v>
      </c>
      <c r="U1017" s="819">
        <f t="shared" si="225"/>
        <v>3403</v>
      </c>
      <c r="V1017" s="819">
        <f t="shared" si="226"/>
        <v>1468</v>
      </c>
      <c r="W1017" s="379">
        <f t="shared" si="227"/>
        <v>1468</v>
      </c>
      <c r="X1017" s="819" t="str">
        <f t="shared" si="228"/>
        <v/>
      </c>
      <c r="Y1017" s="837"/>
      <c r="Z1017" s="839"/>
      <c r="AA1017" s="838"/>
      <c r="AB1017" s="839"/>
    </row>
    <row r="1018" spans="1:28" ht="13.15">
      <c r="B1018" s="819" t="s">
        <v>2454</v>
      </c>
      <c r="C1018" s="819" t="s">
        <v>2455</v>
      </c>
      <c r="D1018" s="379" t="s">
        <v>336</v>
      </c>
      <c r="E1018" s="818" t="s">
        <v>337</v>
      </c>
      <c r="F1018" s="820">
        <v>3.2713584729999998</v>
      </c>
      <c r="G1018" s="821">
        <v>8.7133062960000007</v>
      </c>
      <c r="H1018" s="822">
        <v>3181.5395199999998</v>
      </c>
      <c r="I1018" s="819"/>
      <c r="J1018" s="820">
        <v>-2.3345729999999999E-3</v>
      </c>
      <c r="K1018" s="819">
        <f t="shared" si="218"/>
        <v>1678</v>
      </c>
      <c r="L1018" s="819">
        <f t="shared" si="219"/>
        <v>233</v>
      </c>
      <c r="M1018" s="819">
        <f t="shared" si="215"/>
        <v>1678</v>
      </c>
      <c r="N1018" s="819">
        <f t="shared" si="216"/>
        <v>364</v>
      </c>
      <c r="O1018" s="819">
        <f t="shared" si="217"/>
        <v>1516</v>
      </c>
      <c r="P1018" s="819">
        <f t="shared" si="220"/>
        <v>280</v>
      </c>
      <c r="Q1018" s="819">
        <f t="shared" si="221"/>
        <v>190</v>
      </c>
      <c r="R1018" s="819">
        <f t="shared" si="222"/>
        <v>1596</v>
      </c>
      <c r="S1018" s="819">
        <f t="shared" si="223"/>
        <v>338</v>
      </c>
      <c r="T1018" s="819">
        <f t="shared" si="224"/>
        <v>1494</v>
      </c>
      <c r="U1018" s="819">
        <f t="shared" si="225"/>
        <v>3898</v>
      </c>
      <c r="V1018" s="819">
        <f t="shared" si="226"/>
        <v>1736</v>
      </c>
      <c r="W1018" s="379">
        <f t="shared" si="227"/>
        <v>1736</v>
      </c>
      <c r="X1018" s="819" t="str">
        <f t="shared" si="228"/>
        <v/>
      </c>
      <c r="Y1018" s="837"/>
      <c r="Z1018" s="839"/>
      <c r="AA1018" s="838"/>
      <c r="AB1018" s="839"/>
    </row>
    <row r="1019" spans="1:28" ht="14.45">
      <c r="A1019" s="816"/>
      <c r="B1019" s="819" t="s">
        <v>2456</v>
      </c>
      <c r="C1019" s="819" t="s">
        <v>2457</v>
      </c>
      <c r="D1019" s="379" t="s">
        <v>336</v>
      </c>
      <c r="E1019" s="818" t="s">
        <v>191</v>
      </c>
      <c r="F1019" s="820">
        <v>1.181485498</v>
      </c>
      <c r="G1019" s="821">
        <v>4.0694157229999997</v>
      </c>
      <c r="H1019" s="822">
        <v>2431209.8831030801</v>
      </c>
      <c r="I1019" s="819"/>
      <c r="J1019" s="820">
        <v>-3.490628E-3</v>
      </c>
      <c r="K1019" s="819">
        <f t="shared" si="218"/>
        <v>1472</v>
      </c>
      <c r="L1019" s="819">
        <f t="shared" si="219"/>
        <v>443</v>
      </c>
      <c r="M1019" s="819">
        <f t="shared" si="215"/>
        <v>1472</v>
      </c>
      <c r="N1019" s="819">
        <f t="shared" si="216"/>
        <v>364</v>
      </c>
      <c r="O1019" s="819">
        <f t="shared" si="217"/>
        <v>1567</v>
      </c>
      <c r="P1019" s="819">
        <f t="shared" si="220"/>
        <v>74</v>
      </c>
      <c r="Q1019" s="819">
        <f t="shared" si="221"/>
        <v>20</v>
      </c>
      <c r="R1019" s="819">
        <f t="shared" si="222"/>
        <v>1390</v>
      </c>
      <c r="S1019" s="819">
        <f t="shared" si="223"/>
        <v>338</v>
      </c>
      <c r="T1019" s="819">
        <f t="shared" si="224"/>
        <v>1545</v>
      </c>
      <c r="U1019" s="819">
        <f t="shared" si="225"/>
        <v>3367</v>
      </c>
      <c r="V1019" s="819">
        <f t="shared" si="226"/>
        <v>1428</v>
      </c>
      <c r="W1019" s="379">
        <f t="shared" si="227"/>
        <v>1428</v>
      </c>
      <c r="X1019" s="819" t="str">
        <f t="shared" si="228"/>
        <v/>
      </c>
      <c r="Y1019" s="837"/>
      <c r="Z1019" s="839"/>
      <c r="AA1019" s="838"/>
      <c r="AB1019" s="839"/>
    </row>
    <row r="1020" spans="1:28" ht="13.15">
      <c r="B1020" s="819" t="s">
        <v>2458</v>
      </c>
      <c r="C1020" s="819" t="s">
        <v>2459</v>
      </c>
      <c r="D1020" s="379" t="s">
        <v>336</v>
      </c>
      <c r="E1020" s="818" t="s">
        <v>745</v>
      </c>
      <c r="F1020" s="820">
        <v>2.753798153</v>
      </c>
      <c r="G1020" s="821">
        <v>2.3678993660000001</v>
      </c>
      <c r="H1020" s="822">
        <v>520804006.10453999</v>
      </c>
      <c r="I1020" s="819">
        <v>0.28000000000000003</v>
      </c>
      <c r="J1020" s="820">
        <v>-1.6315599999999999E-4</v>
      </c>
      <c r="K1020" s="819">
        <f t="shared" si="218"/>
        <v>341</v>
      </c>
      <c r="L1020" s="819">
        <f t="shared" si="219"/>
        <v>619</v>
      </c>
      <c r="M1020" s="819">
        <f t="shared" si="215"/>
        <v>341</v>
      </c>
      <c r="N1020" s="819">
        <f t="shared" si="216"/>
        <v>193</v>
      </c>
      <c r="O1020" s="819">
        <f t="shared" si="217"/>
        <v>1073</v>
      </c>
      <c r="P1020" s="819">
        <f t="shared" si="220"/>
        <v>1057</v>
      </c>
      <c r="Q1020" s="819">
        <f t="shared" si="221"/>
        <v>196</v>
      </c>
      <c r="R1020" s="819">
        <f t="shared" si="222"/>
        <v>259</v>
      </c>
      <c r="S1020" s="819">
        <f t="shared" si="223"/>
        <v>167</v>
      </c>
      <c r="T1020" s="819">
        <f t="shared" si="224"/>
        <v>1051</v>
      </c>
      <c r="U1020" s="819">
        <f t="shared" si="225"/>
        <v>2730</v>
      </c>
      <c r="V1020" s="819">
        <f t="shared" si="226"/>
        <v>397</v>
      </c>
      <c r="W1020" s="379">
        <f t="shared" si="227"/>
        <v>397</v>
      </c>
      <c r="X1020" s="819" t="str">
        <f t="shared" si="228"/>
        <v/>
      </c>
      <c r="Y1020" s="837"/>
      <c r="Z1020" s="839"/>
      <c r="AA1020" s="838"/>
      <c r="AB1020" s="839"/>
    </row>
    <row r="1021" spans="1:28" ht="14.45">
      <c r="A1021" s="816"/>
      <c r="B1021" s="819" t="s">
        <v>2460</v>
      </c>
      <c r="C1021" s="819" t="s">
        <v>2461</v>
      </c>
      <c r="D1021" s="379" t="s">
        <v>336</v>
      </c>
      <c r="E1021" s="818" t="s">
        <v>444</v>
      </c>
      <c r="F1021" s="820">
        <v>0</v>
      </c>
      <c r="G1021" s="821">
        <v>-2.1997734250000001</v>
      </c>
      <c r="H1021" s="822">
        <v>320708003.39658898</v>
      </c>
      <c r="I1021" s="819"/>
      <c r="J1021" s="820">
        <v>2.5068300000000003E-4</v>
      </c>
      <c r="K1021" s="819">
        <f t="shared" si="218"/>
        <v>460</v>
      </c>
      <c r="L1021" s="819">
        <f t="shared" si="219"/>
        <v>1349</v>
      </c>
      <c r="M1021" s="819">
        <f t="shared" si="215"/>
        <v>460</v>
      </c>
      <c r="N1021" s="819">
        <f t="shared" si="216"/>
        <v>364</v>
      </c>
      <c r="O1021" s="819">
        <f t="shared" si="217"/>
        <v>242</v>
      </c>
      <c r="P1021" s="819">
        <f t="shared" si="220"/>
        <v>938</v>
      </c>
      <c r="Q1021" s="819">
        <f t="shared" si="221"/>
        <v>926</v>
      </c>
      <c r="R1021" s="819">
        <f t="shared" si="222"/>
        <v>378</v>
      </c>
      <c r="S1021" s="819">
        <f t="shared" si="223"/>
        <v>338</v>
      </c>
      <c r="T1021" s="819">
        <f t="shared" si="224"/>
        <v>220</v>
      </c>
      <c r="U1021" s="819">
        <f t="shared" si="225"/>
        <v>2800</v>
      </c>
      <c r="V1021" s="819">
        <f t="shared" si="226"/>
        <v>628</v>
      </c>
      <c r="W1021" s="379">
        <f t="shared" si="227"/>
        <v>628</v>
      </c>
      <c r="X1021" s="819" t="str">
        <f t="shared" si="228"/>
        <v/>
      </c>
      <c r="Y1021" s="837"/>
      <c r="Z1021" s="839"/>
      <c r="AA1021" s="838"/>
      <c r="AB1021" s="839"/>
    </row>
    <row r="1022" spans="1:28" ht="13.15">
      <c r="B1022" s="819" t="s">
        <v>2462</v>
      </c>
      <c r="C1022" s="819" t="s">
        <v>2463</v>
      </c>
      <c r="D1022" s="379" t="s">
        <v>336</v>
      </c>
      <c r="E1022" s="818" t="s">
        <v>352</v>
      </c>
      <c r="F1022" s="820"/>
      <c r="G1022" s="821"/>
      <c r="H1022" s="822">
        <v>62904935.799269602</v>
      </c>
      <c r="I1022" s="819"/>
      <c r="J1022" s="820">
        <v>0</v>
      </c>
      <c r="K1022" s="819">
        <f t="shared" si="218"/>
        <v>829</v>
      </c>
      <c r="L1022" s="819">
        <f t="shared" si="219"/>
        <v>1084</v>
      </c>
      <c r="M1022" s="819">
        <f t="shared" si="215"/>
        <v>829</v>
      </c>
      <c r="N1022" s="819">
        <f t="shared" si="216"/>
        <v>364</v>
      </c>
      <c r="O1022" s="819">
        <f t="shared" si="217"/>
        <v>492</v>
      </c>
      <c r="P1022" s="819">
        <f t="shared" si="220"/>
        <v>569</v>
      </c>
      <c r="Q1022" s="819">
        <f t="shared" si="221"/>
        <v>661</v>
      </c>
      <c r="R1022" s="819">
        <f t="shared" si="222"/>
        <v>747</v>
      </c>
      <c r="S1022" s="819">
        <f t="shared" si="223"/>
        <v>338</v>
      </c>
      <c r="T1022" s="819">
        <f t="shared" si="224"/>
        <v>470</v>
      </c>
      <c r="U1022" s="819">
        <f t="shared" si="225"/>
        <v>2785</v>
      </c>
      <c r="V1022" s="819">
        <f t="shared" si="226"/>
        <v>463</v>
      </c>
      <c r="W1022" s="379">
        <f t="shared" si="227"/>
        <v>463</v>
      </c>
      <c r="X1022" s="819" t="str">
        <f t="shared" si="228"/>
        <v/>
      </c>
      <c r="Y1022" s="837"/>
      <c r="Z1022" s="839"/>
      <c r="AA1022" s="838"/>
      <c r="AB1022" s="839"/>
    </row>
    <row r="1023" spans="1:28" ht="14.45">
      <c r="A1023" s="816"/>
      <c r="B1023" s="819" t="s">
        <v>2464</v>
      </c>
      <c r="C1023" s="819" t="s">
        <v>2465</v>
      </c>
      <c r="D1023" s="379" t="s">
        <v>336</v>
      </c>
      <c r="E1023" s="818" t="s">
        <v>711</v>
      </c>
      <c r="F1023" s="820"/>
      <c r="G1023" s="821"/>
      <c r="H1023" s="822">
        <v>3902807.7753779702</v>
      </c>
      <c r="I1023" s="819"/>
      <c r="J1023" s="820">
        <v>0</v>
      </c>
      <c r="K1023" s="819">
        <f t="shared" si="218"/>
        <v>1414</v>
      </c>
      <c r="L1023" s="819">
        <f t="shared" si="219"/>
        <v>1084</v>
      </c>
      <c r="M1023" s="819">
        <f t="shared" si="215"/>
        <v>1414</v>
      </c>
      <c r="N1023" s="819">
        <f t="shared" si="216"/>
        <v>364</v>
      </c>
      <c r="O1023" s="819">
        <f t="shared" si="217"/>
        <v>492</v>
      </c>
      <c r="P1023" s="819">
        <f t="shared" si="220"/>
        <v>16</v>
      </c>
      <c r="Q1023" s="819">
        <f t="shared" si="221"/>
        <v>661</v>
      </c>
      <c r="R1023" s="819">
        <f t="shared" si="222"/>
        <v>1332</v>
      </c>
      <c r="S1023" s="819">
        <f t="shared" si="223"/>
        <v>338</v>
      </c>
      <c r="T1023" s="819">
        <f t="shared" si="224"/>
        <v>470</v>
      </c>
      <c r="U1023" s="819">
        <f t="shared" si="225"/>
        <v>2817</v>
      </c>
      <c r="V1023" s="819">
        <f t="shared" si="226"/>
        <v>657</v>
      </c>
      <c r="W1023" s="379">
        <f t="shared" si="227"/>
        <v>657</v>
      </c>
      <c r="X1023" s="819" t="str">
        <f t="shared" si="228"/>
        <v/>
      </c>
      <c r="Y1023" s="837"/>
      <c r="Z1023" s="839"/>
      <c r="AA1023" s="838"/>
      <c r="AB1023" s="839"/>
    </row>
    <row r="1024" spans="1:28" ht="13.15">
      <c r="B1024" s="819" t="s">
        <v>2466</v>
      </c>
      <c r="C1024" s="819" t="s">
        <v>2467</v>
      </c>
      <c r="D1024" s="379" t="s">
        <v>336</v>
      </c>
      <c r="E1024" s="818" t="s">
        <v>2171</v>
      </c>
      <c r="F1024" s="820">
        <v>-0.54689770000000004</v>
      </c>
      <c r="G1024" s="821">
        <v>-0.147332458</v>
      </c>
      <c r="H1024" s="822"/>
      <c r="I1024" s="819"/>
      <c r="J1024" s="820">
        <v>3.0285199999999999E-5</v>
      </c>
      <c r="K1024" s="819" t="str">
        <f t="shared" si="218"/>
        <v>N/A</v>
      </c>
      <c r="L1024" s="819">
        <f t="shared" si="219"/>
        <v>1229</v>
      </c>
      <c r="M1024" s="819" t="str">
        <f t="shared" si="215"/>
        <v>N/A</v>
      </c>
      <c r="N1024" s="819">
        <f t="shared" si="216"/>
        <v>364</v>
      </c>
      <c r="O1024" s="819">
        <f t="shared" si="217"/>
        <v>378</v>
      </c>
      <c r="P1024" s="819" t="str">
        <f t="shared" si="220"/>
        <v>N/A</v>
      </c>
      <c r="Q1024" s="819">
        <f t="shared" si="221"/>
        <v>806</v>
      </c>
      <c r="R1024" s="819" t="str">
        <f t="shared" si="222"/>
        <v>N/A</v>
      </c>
      <c r="S1024" s="819">
        <f t="shared" si="223"/>
        <v>338</v>
      </c>
      <c r="T1024" s="819">
        <f t="shared" si="224"/>
        <v>356</v>
      </c>
      <c r="U1024" s="819">
        <f t="shared" si="225"/>
        <v>1500</v>
      </c>
      <c r="V1024" s="819">
        <f t="shared" si="226"/>
        <v>51</v>
      </c>
      <c r="W1024" s="379">
        <f t="shared" si="227"/>
        <v>51</v>
      </c>
      <c r="X1024" s="819" t="str">
        <f t="shared" si="228"/>
        <v/>
      </c>
      <c r="Y1024" s="837"/>
      <c r="Z1024" s="839"/>
      <c r="AA1024" s="838"/>
      <c r="AB1024" s="839"/>
    </row>
    <row r="1025" spans="1:28" ht="14.45">
      <c r="A1025" s="816"/>
      <c r="B1025" s="819" t="s">
        <v>2468</v>
      </c>
      <c r="C1025" s="819" t="s">
        <v>2469</v>
      </c>
      <c r="D1025" s="379" t="s">
        <v>336</v>
      </c>
      <c r="E1025" s="818" t="s">
        <v>337</v>
      </c>
      <c r="F1025" s="820">
        <v>0.79663155600000002</v>
      </c>
      <c r="G1025" s="821">
        <v>0.67393249600000005</v>
      </c>
      <c r="H1025" s="822">
        <v>753.98002799999995</v>
      </c>
      <c r="I1025" s="819"/>
      <c r="J1025" s="820">
        <v>-4.7516999999999999E-5</v>
      </c>
      <c r="K1025" s="819">
        <f t="shared" si="218"/>
        <v>1684</v>
      </c>
      <c r="L1025" s="819">
        <f t="shared" si="219"/>
        <v>885</v>
      </c>
      <c r="M1025" s="819">
        <f t="shared" si="215"/>
        <v>1684</v>
      </c>
      <c r="N1025" s="819">
        <f t="shared" si="216"/>
        <v>364</v>
      </c>
      <c r="O1025" s="819">
        <f t="shared" si="217"/>
        <v>919</v>
      </c>
      <c r="P1025" s="819">
        <f t="shared" si="220"/>
        <v>286</v>
      </c>
      <c r="Q1025" s="819">
        <f t="shared" si="221"/>
        <v>462</v>
      </c>
      <c r="R1025" s="819">
        <f t="shared" si="222"/>
        <v>1602</v>
      </c>
      <c r="S1025" s="819">
        <f t="shared" si="223"/>
        <v>338</v>
      </c>
      <c r="T1025" s="819">
        <f t="shared" si="224"/>
        <v>897</v>
      </c>
      <c r="U1025" s="819">
        <f t="shared" si="225"/>
        <v>3585</v>
      </c>
      <c r="V1025" s="819">
        <f t="shared" si="226"/>
        <v>1616</v>
      </c>
      <c r="W1025" s="379">
        <f t="shared" si="227"/>
        <v>1616</v>
      </c>
      <c r="X1025" s="819" t="str">
        <f t="shared" si="228"/>
        <v/>
      </c>
      <c r="Y1025" s="837"/>
      <c r="Z1025" s="839"/>
      <c r="AA1025" s="838"/>
      <c r="AB1025" s="839"/>
    </row>
    <row r="1026" spans="1:28" ht="13.15">
      <c r="B1026" s="819" t="s">
        <v>2470</v>
      </c>
      <c r="C1026" s="819" t="s">
        <v>2471</v>
      </c>
      <c r="D1026" s="379" t="s">
        <v>336</v>
      </c>
      <c r="E1026" s="818" t="s">
        <v>191</v>
      </c>
      <c r="F1026" s="820"/>
      <c r="G1026" s="821"/>
      <c r="H1026" s="822">
        <v>2434944.9199034502</v>
      </c>
      <c r="I1026" s="819"/>
      <c r="J1026" s="820">
        <v>0</v>
      </c>
      <c r="K1026" s="819">
        <f t="shared" si="218"/>
        <v>1471</v>
      </c>
      <c r="L1026" s="819">
        <f t="shared" si="219"/>
        <v>1084</v>
      </c>
      <c r="M1026" s="819">
        <f t="shared" si="215"/>
        <v>1471</v>
      </c>
      <c r="N1026" s="819">
        <f t="shared" si="216"/>
        <v>364</v>
      </c>
      <c r="O1026" s="819">
        <f t="shared" si="217"/>
        <v>492</v>
      </c>
      <c r="P1026" s="819">
        <f t="shared" si="220"/>
        <v>73</v>
      </c>
      <c r="Q1026" s="819">
        <f t="shared" si="221"/>
        <v>661</v>
      </c>
      <c r="R1026" s="819">
        <f t="shared" si="222"/>
        <v>1389</v>
      </c>
      <c r="S1026" s="819">
        <f t="shared" si="223"/>
        <v>338</v>
      </c>
      <c r="T1026" s="819">
        <f t="shared" si="224"/>
        <v>470</v>
      </c>
      <c r="U1026" s="819">
        <f t="shared" si="225"/>
        <v>2931</v>
      </c>
      <c r="V1026" s="819">
        <f t="shared" si="226"/>
        <v>846</v>
      </c>
      <c r="W1026" s="379">
        <f t="shared" si="227"/>
        <v>846</v>
      </c>
      <c r="X1026" s="819" t="str">
        <f t="shared" si="228"/>
        <v/>
      </c>
      <c r="Y1026" s="837"/>
      <c r="Z1026" s="839"/>
      <c r="AA1026" s="838"/>
      <c r="AB1026" s="839"/>
    </row>
    <row r="1027" spans="1:28" ht="14.45">
      <c r="A1027" s="816"/>
      <c r="B1027" s="819" t="s">
        <v>2472</v>
      </c>
      <c r="C1027" s="819" t="s">
        <v>2473</v>
      </c>
      <c r="D1027" s="379" t="s">
        <v>336</v>
      </c>
      <c r="E1027" s="818" t="s">
        <v>373</v>
      </c>
      <c r="F1027" s="820"/>
      <c r="G1027" s="821"/>
      <c r="H1027" s="822">
        <v>51603633.009259298</v>
      </c>
      <c r="I1027" s="819"/>
      <c r="J1027" s="820">
        <v>0</v>
      </c>
      <c r="K1027" s="819">
        <f t="shared" si="218"/>
        <v>867</v>
      </c>
      <c r="L1027" s="819">
        <f t="shared" si="219"/>
        <v>1084</v>
      </c>
      <c r="M1027" s="819">
        <f t="shared" si="215"/>
        <v>867</v>
      </c>
      <c r="N1027" s="819">
        <f t="shared" si="216"/>
        <v>364</v>
      </c>
      <c r="O1027" s="819">
        <f t="shared" si="217"/>
        <v>492</v>
      </c>
      <c r="P1027" s="819">
        <f t="shared" si="220"/>
        <v>531</v>
      </c>
      <c r="Q1027" s="819">
        <f t="shared" si="221"/>
        <v>661</v>
      </c>
      <c r="R1027" s="819">
        <f t="shared" si="222"/>
        <v>785</v>
      </c>
      <c r="S1027" s="819">
        <f t="shared" si="223"/>
        <v>338</v>
      </c>
      <c r="T1027" s="819">
        <f t="shared" si="224"/>
        <v>470</v>
      </c>
      <c r="U1027" s="819">
        <f t="shared" si="225"/>
        <v>2785</v>
      </c>
      <c r="V1027" s="819">
        <f t="shared" si="226"/>
        <v>463</v>
      </c>
      <c r="W1027" s="379">
        <f t="shared" si="227"/>
        <v>463</v>
      </c>
      <c r="X1027" s="819" t="str">
        <f t="shared" si="228"/>
        <v/>
      </c>
      <c r="Y1027" s="837"/>
      <c r="Z1027" s="839"/>
      <c r="AA1027" s="838"/>
      <c r="AB1027" s="839"/>
    </row>
    <row r="1028" spans="1:28" ht="13.15">
      <c r="B1028" s="819" t="s">
        <v>2474</v>
      </c>
      <c r="C1028" s="819" t="s">
        <v>2475</v>
      </c>
      <c r="D1028" s="379" t="s">
        <v>336</v>
      </c>
      <c r="E1028" s="818" t="s">
        <v>337</v>
      </c>
      <c r="F1028" s="820">
        <v>4.468384511</v>
      </c>
      <c r="G1028" s="821">
        <v>82.193623340000002</v>
      </c>
      <c r="H1028" s="822">
        <v>2620641.5824000002</v>
      </c>
      <c r="I1028" s="819"/>
      <c r="J1028" s="820">
        <v>-5.5789999999999999E-5</v>
      </c>
      <c r="K1028" s="819">
        <f t="shared" si="218"/>
        <v>1463</v>
      </c>
      <c r="L1028" s="819">
        <f t="shared" si="219"/>
        <v>21</v>
      </c>
      <c r="M1028" s="819">
        <f t="shared" ref="M1028:M1091" si="229">IFERROR(_xlfn.RANK.EQ(H1028,H$3:H$1787),"N/A")</f>
        <v>1463</v>
      </c>
      <c r="N1028" s="819">
        <f t="shared" ref="N1028:N1091" si="230">IFERROR(_xlfn.RANK.EQ(I1028,I$3:I$1787),"N/A")</f>
        <v>364</v>
      </c>
      <c r="O1028" s="819">
        <f t="shared" ref="O1028:O1091" si="231">IFERROR(_xlfn.RANK.EQ(J1028,J$3:J$1787),"N/A")</f>
        <v>932</v>
      </c>
      <c r="P1028" s="819">
        <f t="shared" si="220"/>
        <v>65</v>
      </c>
      <c r="Q1028" s="819">
        <f t="shared" si="221"/>
        <v>402</v>
      </c>
      <c r="R1028" s="819">
        <f t="shared" si="222"/>
        <v>1381</v>
      </c>
      <c r="S1028" s="819">
        <f t="shared" si="223"/>
        <v>338</v>
      </c>
      <c r="T1028" s="819">
        <f t="shared" si="224"/>
        <v>910</v>
      </c>
      <c r="U1028" s="819">
        <f t="shared" si="225"/>
        <v>3096</v>
      </c>
      <c r="V1028" s="819">
        <f t="shared" si="226"/>
        <v>1063</v>
      </c>
      <c r="W1028" s="379">
        <f t="shared" si="227"/>
        <v>1063</v>
      </c>
      <c r="X1028" s="819" t="str">
        <f t="shared" si="228"/>
        <v/>
      </c>
      <c r="Y1028" s="837"/>
      <c r="Z1028" s="839"/>
      <c r="AA1028" s="838"/>
      <c r="AB1028" s="839"/>
    </row>
    <row r="1029" spans="1:28" ht="14.45">
      <c r="A1029" s="816"/>
      <c r="B1029" s="819" t="s">
        <v>2476</v>
      </c>
      <c r="C1029" s="819" t="s">
        <v>2477</v>
      </c>
      <c r="D1029" s="379" t="s">
        <v>336</v>
      </c>
      <c r="E1029" s="818" t="s">
        <v>1077</v>
      </c>
      <c r="F1029" s="820">
        <v>1.6282856020000001</v>
      </c>
      <c r="G1029" s="821">
        <v>3.3836734690000001</v>
      </c>
      <c r="H1029" s="822">
        <v>2238619.1479331101</v>
      </c>
      <c r="I1029" s="819">
        <v>0.15</v>
      </c>
      <c r="J1029" s="820">
        <v>-1.9903299999999998E-3</v>
      </c>
      <c r="K1029" s="819">
        <f t="shared" ref="K1029:K1092" si="232">IFERROR(_xlfn.RANK.EQ(H1029,H$3:H$1787),"N/A")</f>
        <v>1479</v>
      </c>
      <c r="L1029" s="819">
        <f t="shared" ref="L1029:L1092" si="233">IFERROR(_xlfn.RANK.EQ(G1029,G$3:G$1787),"N/A")</f>
        <v>515</v>
      </c>
      <c r="M1029" s="819">
        <f t="shared" si="229"/>
        <v>1479</v>
      </c>
      <c r="N1029" s="819">
        <f t="shared" si="230"/>
        <v>235</v>
      </c>
      <c r="O1029" s="819">
        <f t="shared" si="231"/>
        <v>1490</v>
      </c>
      <c r="P1029" s="819">
        <f t="shared" ref="P1029:P1092" si="234">IFERROR(ABS(K$3-K1029),"N/A")</f>
        <v>81</v>
      </c>
      <c r="Q1029" s="819">
        <f t="shared" ref="Q1029:Q1092" si="235">IFERROR(ABS(L$3-L1029),"N/A")</f>
        <v>92</v>
      </c>
      <c r="R1029" s="819">
        <f t="shared" ref="R1029:R1092" si="236">IFERROR(ABS(M$3-M1029),"N/A")</f>
        <v>1397</v>
      </c>
      <c r="S1029" s="819">
        <f t="shared" ref="S1029:S1092" si="237">IFERROR(ABS(N$3-N1029),"N/A")</f>
        <v>209</v>
      </c>
      <c r="T1029" s="819">
        <f t="shared" ref="T1029:T1092" si="238">IFERROR(ABS(O$3-O1029),"N/A")</f>
        <v>1468</v>
      </c>
      <c r="U1029" s="819">
        <f t="shared" ref="U1029:U1092" si="239">SUM(P1029:T1029)</f>
        <v>3247</v>
      </c>
      <c r="V1029" s="819">
        <f t="shared" ref="V1029:V1092" si="240">_xlfn.RANK.EQ(U1029,$U$4:$U$1787,1)</f>
        <v>1265</v>
      </c>
      <c r="W1029" s="379">
        <f t="shared" ref="W1029:W1092" si="241">IF(Y1029="Not suitable","-",V1029)</f>
        <v>1265</v>
      </c>
      <c r="X1029" s="819" t="str">
        <f t="shared" si="228"/>
        <v/>
      </c>
      <c r="Y1029" s="837"/>
      <c r="Z1029" s="839"/>
      <c r="AA1029" s="838"/>
      <c r="AB1029" s="839"/>
    </row>
    <row r="1030" spans="1:28" ht="13.15">
      <c r="B1030" s="819" t="s">
        <v>2478</v>
      </c>
      <c r="C1030" s="819" t="s">
        <v>2479</v>
      </c>
      <c r="D1030" s="379" t="s">
        <v>336</v>
      </c>
      <c r="E1030" s="818" t="s">
        <v>711</v>
      </c>
      <c r="F1030" s="820">
        <v>-1.454749E-2</v>
      </c>
      <c r="G1030" s="821">
        <v>-2.9888519919999998</v>
      </c>
      <c r="H1030" s="822">
        <v>18269713.826925799</v>
      </c>
      <c r="I1030" s="819"/>
      <c r="J1030" s="820">
        <v>1.6284399999999999E-4</v>
      </c>
      <c r="K1030" s="819">
        <f t="shared" si="232"/>
        <v>1122</v>
      </c>
      <c r="L1030" s="819">
        <f t="shared" si="233"/>
        <v>1371</v>
      </c>
      <c r="M1030" s="819">
        <f t="shared" si="229"/>
        <v>1122</v>
      </c>
      <c r="N1030" s="819">
        <f t="shared" si="230"/>
        <v>364</v>
      </c>
      <c r="O1030" s="819">
        <f t="shared" si="231"/>
        <v>269</v>
      </c>
      <c r="P1030" s="819">
        <f t="shared" si="234"/>
        <v>276</v>
      </c>
      <c r="Q1030" s="819">
        <f t="shared" si="235"/>
        <v>948</v>
      </c>
      <c r="R1030" s="819">
        <f t="shared" si="236"/>
        <v>1040</v>
      </c>
      <c r="S1030" s="819">
        <f t="shared" si="237"/>
        <v>338</v>
      </c>
      <c r="T1030" s="819">
        <f t="shared" si="238"/>
        <v>247</v>
      </c>
      <c r="U1030" s="819">
        <f t="shared" si="239"/>
        <v>2849</v>
      </c>
      <c r="V1030" s="819">
        <f t="shared" si="240"/>
        <v>720</v>
      </c>
      <c r="W1030" s="379">
        <f t="shared" si="241"/>
        <v>720</v>
      </c>
      <c r="X1030" s="819" t="str">
        <f t="shared" ref="X1030:X1093" si="242">IF(L1030="N/A","Y","")</f>
        <v/>
      </c>
      <c r="Y1030" s="837"/>
      <c r="Z1030" s="839"/>
      <c r="AA1030" s="838"/>
      <c r="AB1030" s="839"/>
    </row>
    <row r="1031" spans="1:28" ht="14.45">
      <c r="A1031" s="816"/>
      <c r="B1031" s="819" t="s">
        <v>2480</v>
      </c>
      <c r="C1031" s="819" t="s">
        <v>2481</v>
      </c>
      <c r="D1031" s="379" t="s">
        <v>336</v>
      </c>
      <c r="E1031" s="818" t="s">
        <v>998</v>
      </c>
      <c r="F1031" s="820">
        <v>1.4919674620000001</v>
      </c>
      <c r="G1031" s="821">
        <v>0.98313081800000002</v>
      </c>
      <c r="H1031" s="822">
        <v>436127162.93833101</v>
      </c>
      <c r="I1031" s="819">
        <v>1.27</v>
      </c>
      <c r="J1031" s="820">
        <v>-1.4411139999999999E-2</v>
      </c>
      <c r="K1031" s="819">
        <f t="shared" si="232"/>
        <v>386</v>
      </c>
      <c r="L1031" s="819">
        <f t="shared" si="233"/>
        <v>816</v>
      </c>
      <c r="M1031" s="819">
        <f t="shared" si="229"/>
        <v>386</v>
      </c>
      <c r="N1031" s="819">
        <f t="shared" si="230"/>
        <v>109</v>
      </c>
      <c r="O1031" s="819">
        <f t="shared" si="231"/>
        <v>1668</v>
      </c>
      <c r="P1031" s="819">
        <f t="shared" si="234"/>
        <v>1012</v>
      </c>
      <c r="Q1031" s="819">
        <f t="shared" si="235"/>
        <v>393</v>
      </c>
      <c r="R1031" s="819">
        <f t="shared" si="236"/>
        <v>304</v>
      </c>
      <c r="S1031" s="819">
        <f t="shared" si="237"/>
        <v>83</v>
      </c>
      <c r="T1031" s="819">
        <f t="shared" si="238"/>
        <v>1646</v>
      </c>
      <c r="U1031" s="819">
        <f t="shared" si="239"/>
        <v>3438</v>
      </c>
      <c r="V1031" s="819">
        <f t="shared" si="240"/>
        <v>1496</v>
      </c>
      <c r="W1031" s="379">
        <f t="shared" si="241"/>
        <v>1496</v>
      </c>
      <c r="X1031" s="819" t="str">
        <f t="shared" si="242"/>
        <v/>
      </c>
      <c r="Y1031" s="837"/>
      <c r="Z1031" s="839"/>
      <c r="AA1031" s="838"/>
      <c r="AB1031" s="839"/>
    </row>
    <row r="1032" spans="1:28" ht="13.15">
      <c r="B1032" s="819" t="s">
        <v>2482</v>
      </c>
      <c r="C1032" s="819" t="s">
        <v>2483</v>
      </c>
      <c r="D1032" s="379" t="s">
        <v>336</v>
      </c>
      <c r="E1032" s="818" t="s">
        <v>1832</v>
      </c>
      <c r="F1032" s="820">
        <v>2.326746644</v>
      </c>
      <c r="G1032" s="821">
        <v>11.91782549</v>
      </c>
      <c r="H1032" s="822">
        <v>491530.37416305603</v>
      </c>
      <c r="I1032" s="819"/>
      <c r="J1032" s="820">
        <v>-8.2443500000000004E-5</v>
      </c>
      <c r="K1032" s="819">
        <f t="shared" si="232"/>
        <v>1601</v>
      </c>
      <c r="L1032" s="819">
        <f t="shared" si="233"/>
        <v>163</v>
      </c>
      <c r="M1032" s="819">
        <f t="shared" si="229"/>
        <v>1601</v>
      </c>
      <c r="N1032" s="819">
        <f t="shared" si="230"/>
        <v>364</v>
      </c>
      <c r="O1032" s="819">
        <f t="shared" si="231"/>
        <v>979</v>
      </c>
      <c r="P1032" s="819">
        <f t="shared" si="234"/>
        <v>203</v>
      </c>
      <c r="Q1032" s="819">
        <f t="shared" si="235"/>
        <v>260</v>
      </c>
      <c r="R1032" s="819">
        <f t="shared" si="236"/>
        <v>1519</v>
      </c>
      <c r="S1032" s="819">
        <f t="shared" si="237"/>
        <v>338</v>
      </c>
      <c r="T1032" s="819">
        <f t="shared" si="238"/>
        <v>957</v>
      </c>
      <c r="U1032" s="819">
        <f t="shared" si="239"/>
        <v>3277</v>
      </c>
      <c r="V1032" s="819">
        <f t="shared" si="240"/>
        <v>1307</v>
      </c>
      <c r="W1032" s="379">
        <f t="shared" si="241"/>
        <v>1307</v>
      </c>
      <c r="X1032" s="819" t="str">
        <f t="shared" si="242"/>
        <v/>
      </c>
      <c r="Y1032" s="837"/>
      <c r="Z1032" s="839"/>
      <c r="AA1032" s="838"/>
      <c r="AB1032" s="839"/>
    </row>
    <row r="1033" spans="1:28" ht="14.45">
      <c r="A1033" s="816"/>
      <c r="B1033" s="819" t="s">
        <v>2484</v>
      </c>
      <c r="C1033" s="819" t="s">
        <v>2485</v>
      </c>
      <c r="D1033" s="379" t="s">
        <v>336</v>
      </c>
      <c r="E1033" s="818" t="s">
        <v>418</v>
      </c>
      <c r="F1033" s="820"/>
      <c r="G1033" s="821"/>
      <c r="H1033" s="822">
        <v>6742318838.6094398</v>
      </c>
      <c r="I1033" s="819"/>
      <c r="J1033" s="820">
        <v>0</v>
      </c>
      <c r="K1033" s="819">
        <f t="shared" si="232"/>
        <v>59</v>
      </c>
      <c r="L1033" s="819">
        <f t="shared" si="233"/>
        <v>1084</v>
      </c>
      <c r="M1033" s="819">
        <f t="shared" si="229"/>
        <v>59</v>
      </c>
      <c r="N1033" s="819">
        <f t="shared" si="230"/>
        <v>364</v>
      </c>
      <c r="O1033" s="819">
        <f t="shared" si="231"/>
        <v>492</v>
      </c>
      <c r="P1033" s="819">
        <f t="shared" si="234"/>
        <v>1339</v>
      </c>
      <c r="Q1033" s="819">
        <f t="shared" si="235"/>
        <v>661</v>
      </c>
      <c r="R1033" s="819">
        <f t="shared" si="236"/>
        <v>23</v>
      </c>
      <c r="S1033" s="819">
        <f t="shared" si="237"/>
        <v>338</v>
      </c>
      <c r="T1033" s="819">
        <f t="shared" si="238"/>
        <v>470</v>
      </c>
      <c r="U1033" s="819">
        <f t="shared" si="239"/>
        <v>2831</v>
      </c>
      <c r="V1033" s="819">
        <f t="shared" si="240"/>
        <v>688</v>
      </c>
      <c r="W1033" s="379">
        <f t="shared" si="241"/>
        <v>688</v>
      </c>
      <c r="X1033" s="819" t="str">
        <f t="shared" si="242"/>
        <v/>
      </c>
      <c r="Y1033" s="837"/>
      <c r="Z1033" s="839"/>
      <c r="AA1033" s="838"/>
      <c r="AB1033" s="839"/>
    </row>
    <row r="1034" spans="1:28" ht="13.15">
      <c r="B1034" s="819" t="s">
        <v>2486</v>
      </c>
      <c r="C1034" s="819" t="s">
        <v>2487</v>
      </c>
      <c r="D1034" s="379" t="s">
        <v>336</v>
      </c>
      <c r="E1034" s="818" t="s">
        <v>2488</v>
      </c>
      <c r="F1034" s="820"/>
      <c r="G1034" s="821"/>
      <c r="H1034" s="822"/>
      <c r="I1034" s="819"/>
      <c r="J1034" s="820">
        <v>0</v>
      </c>
      <c r="K1034" s="819" t="str">
        <f t="shared" si="232"/>
        <v>N/A</v>
      </c>
      <c r="L1034" s="819">
        <f t="shared" si="233"/>
        <v>1084</v>
      </c>
      <c r="M1034" s="819" t="str">
        <f t="shared" si="229"/>
        <v>N/A</v>
      </c>
      <c r="N1034" s="819">
        <f t="shared" si="230"/>
        <v>364</v>
      </c>
      <c r="O1034" s="819">
        <f t="shared" si="231"/>
        <v>492</v>
      </c>
      <c r="P1034" s="819" t="str">
        <f t="shared" si="234"/>
        <v>N/A</v>
      </c>
      <c r="Q1034" s="819">
        <f t="shared" si="235"/>
        <v>661</v>
      </c>
      <c r="R1034" s="819" t="str">
        <f t="shared" si="236"/>
        <v>N/A</v>
      </c>
      <c r="S1034" s="819">
        <f t="shared" si="237"/>
        <v>338</v>
      </c>
      <c r="T1034" s="819">
        <f t="shared" si="238"/>
        <v>470</v>
      </c>
      <c r="U1034" s="819">
        <f t="shared" si="239"/>
        <v>1469</v>
      </c>
      <c r="V1034" s="819">
        <f t="shared" si="240"/>
        <v>22</v>
      </c>
      <c r="W1034" s="379">
        <f t="shared" si="241"/>
        <v>22</v>
      </c>
      <c r="X1034" s="819" t="str">
        <f t="shared" si="242"/>
        <v/>
      </c>
      <c r="Y1034" s="837"/>
      <c r="Z1034" s="839"/>
      <c r="AA1034" s="838"/>
      <c r="AB1034" s="839"/>
    </row>
    <row r="1035" spans="1:28" ht="14.45">
      <c r="A1035" s="816"/>
      <c r="B1035" s="819" t="s">
        <v>2489</v>
      </c>
      <c r="C1035" s="819" t="s">
        <v>2490</v>
      </c>
      <c r="D1035" s="379" t="s">
        <v>336</v>
      </c>
      <c r="E1035" s="818" t="s">
        <v>2488</v>
      </c>
      <c r="F1035" s="820"/>
      <c r="G1035" s="821"/>
      <c r="H1035" s="822">
        <v>1155471.7801075601</v>
      </c>
      <c r="I1035" s="819"/>
      <c r="J1035" s="820">
        <v>0</v>
      </c>
      <c r="K1035" s="819">
        <f t="shared" si="232"/>
        <v>1547</v>
      </c>
      <c r="L1035" s="819">
        <f t="shared" si="233"/>
        <v>1084</v>
      </c>
      <c r="M1035" s="819">
        <f t="shared" si="229"/>
        <v>1547</v>
      </c>
      <c r="N1035" s="819">
        <f t="shared" si="230"/>
        <v>364</v>
      </c>
      <c r="O1035" s="819">
        <f t="shared" si="231"/>
        <v>492</v>
      </c>
      <c r="P1035" s="819">
        <f t="shared" si="234"/>
        <v>149</v>
      </c>
      <c r="Q1035" s="819">
        <f t="shared" si="235"/>
        <v>661</v>
      </c>
      <c r="R1035" s="819">
        <f t="shared" si="236"/>
        <v>1465</v>
      </c>
      <c r="S1035" s="819">
        <f t="shared" si="237"/>
        <v>338</v>
      </c>
      <c r="T1035" s="819">
        <f t="shared" si="238"/>
        <v>470</v>
      </c>
      <c r="U1035" s="819">
        <f t="shared" si="239"/>
        <v>3083</v>
      </c>
      <c r="V1035" s="819">
        <f t="shared" si="240"/>
        <v>1038</v>
      </c>
      <c r="W1035" s="379">
        <f t="shared" si="241"/>
        <v>1038</v>
      </c>
      <c r="X1035" s="819" t="str">
        <f t="shared" si="242"/>
        <v/>
      </c>
      <c r="Y1035" s="837"/>
      <c r="Z1035" s="839"/>
      <c r="AA1035" s="838"/>
      <c r="AB1035" s="839"/>
    </row>
    <row r="1036" spans="1:28" ht="13.15">
      <c r="B1036" s="819" t="s">
        <v>2491</v>
      </c>
      <c r="C1036" s="819" t="s">
        <v>2492</v>
      </c>
      <c r="D1036" s="379" t="s">
        <v>336</v>
      </c>
      <c r="E1036" s="818" t="s">
        <v>2488</v>
      </c>
      <c r="F1036" s="820">
        <v>9.6666858999999994E-2</v>
      </c>
      <c r="G1036" s="821">
        <v>0.794619509</v>
      </c>
      <c r="H1036" s="822">
        <v>371218.33188531699</v>
      </c>
      <c r="I1036" s="819"/>
      <c r="J1036" s="820">
        <v>-1.19066E-5</v>
      </c>
      <c r="K1036" s="819">
        <f t="shared" si="232"/>
        <v>1613</v>
      </c>
      <c r="L1036" s="819">
        <f t="shared" si="233"/>
        <v>852</v>
      </c>
      <c r="M1036" s="819">
        <f t="shared" si="229"/>
        <v>1613</v>
      </c>
      <c r="N1036" s="819">
        <f t="shared" si="230"/>
        <v>364</v>
      </c>
      <c r="O1036" s="819">
        <f t="shared" si="231"/>
        <v>815</v>
      </c>
      <c r="P1036" s="819">
        <f t="shared" si="234"/>
        <v>215</v>
      </c>
      <c r="Q1036" s="819">
        <f t="shared" si="235"/>
        <v>429</v>
      </c>
      <c r="R1036" s="819">
        <f t="shared" si="236"/>
        <v>1531</v>
      </c>
      <c r="S1036" s="819">
        <f t="shared" si="237"/>
        <v>338</v>
      </c>
      <c r="T1036" s="819">
        <f t="shared" si="238"/>
        <v>793</v>
      </c>
      <c r="U1036" s="819">
        <f t="shared" si="239"/>
        <v>3306</v>
      </c>
      <c r="V1036" s="819">
        <f t="shared" si="240"/>
        <v>1355</v>
      </c>
      <c r="W1036" s="379">
        <f t="shared" si="241"/>
        <v>1355</v>
      </c>
      <c r="X1036" s="819" t="str">
        <f t="shared" si="242"/>
        <v/>
      </c>
      <c r="Y1036" s="837"/>
      <c r="Z1036" s="839"/>
      <c r="AA1036" s="838"/>
      <c r="AB1036" s="839"/>
    </row>
    <row r="1037" spans="1:28" ht="14.45">
      <c r="A1037" s="816"/>
      <c r="B1037" s="819" t="s">
        <v>2493</v>
      </c>
      <c r="C1037" s="819" t="s">
        <v>2494</v>
      </c>
      <c r="D1037" s="379" t="s">
        <v>336</v>
      </c>
      <c r="E1037" s="818" t="s">
        <v>2488</v>
      </c>
      <c r="F1037" s="820">
        <v>0.57164655900000005</v>
      </c>
      <c r="G1037" s="821">
        <v>0</v>
      </c>
      <c r="H1037" s="822">
        <v>206304.50117567999</v>
      </c>
      <c r="I1037" s="819"/>
      <c r="J1037" s="820">
        <v>-1.27236E-4</v>
      </c>
      <c r="K1037" s="819">
        <f t="shared" si="232"/>
        <v>1639</v>
      </c>
      <c r="L1037" s="819">
        <f t="shared" si="233"/>
        <v>1084</v>
      </c>
      <c r="M1037" s="819">
        <f t="shared" si="229"/>
        <v>1639</v>
      </c>
      <c r="N1037" s="819">
        <f t="shared" si="230"/>
        <v>364</v>
      </c>
      <c r="O1037" s="819">
        <f t="shared" si="231"/>
        <v>1035</v>
      </c>
      <c r="P1037" s="819">
        <f t="shared" si="234"/>
        <v>241</v>
      </c>
      <c r="Q1037" s="819">
        <f t="shared" si="235"/>
        <v>661</v>
      </c>
      <c r="R1037" s="819">
        <f t="shared" si="236"/>
        <v>1557</v>
      </c>
      <c r="S1037" s="819">
        <f t="shared" si="237"/>
        <v>338</v>
      </c>
      <c r="T1037" s="819">
        <f t="shared" si="238"/>
        <v>1013</v>
      </c>
      <c r="U1037" s="819">
        <f t="shared" si="239"/>
        <v>3810</v>
      </c>
      <c r="V1037" s="819">
        <f t="shared" si="240"/>
        <v>1716</v>
      </c>
      <c r="W1037" s="379">
        <f t="shared" si="241"/>
        <v>1716</v>
      </c>
      <c r="X1037" s="819" t="str">
        <f t="shared" si="242"/>
        <v/>
      </c>
      <c r="Y1037" s="837"/>
      <c r="Z1037" s="839"/>
      <c r="AA1037" s="838"/>
      <c r="AB1037" s="839"/>
    </row>
    <row r="1038" spans="1:28" ht="13.15">
      <c r="B1038" s="819" t="s">
        <v>2495</v>
      </c>
      <c r="C1038" s="819" t="s">
        <v>2496</v>
      </c>
      <c r="D1038" s="379" t="s">
        <v>336</v>
      </c>
      <c r="E1038" s="818" t="s">
        <v>2488</v>
      </c>
      <c r="F1038" s="820"/>
      <c r="G1038" s="821"/>
      <c r="H1038" s="822">
        <v>28550773.026315801</v>
      </c>
      <c r="I1038" s="819"/>
      <c r="J1038" s="820">
        <v>0</v>
      </c>
      <c r="K1038" s="819">
        <f t="shared" si="232"/>
        <v>1014</v>
      </c>
      <c r="L1038" s="819">
        <f t="shared" si="233"/>
        <v>1084</v>
      </c>
      <c r="M1038" s="819">
        <f t="shared" si="229"/>
        <v>1014</v>
      </c>
      <c r="N1038" s="819">
        <f t="shared" si="230"/>
        <v>364</v>
      </c>
      <c r="O1038" s="819">
        <f t="shared" si="231"/>
        <v>492</v>
      </c>
      <c r="P1038" s="819">
        <f t="shared" si="234"/>
        <v>384</v>
      </c>
      <c r="Q1038" s="819">
        <f t="shared" si="235"/>
        <v>661</v>
      </c>
      <c r="R1038" s="819">
        <f t="shared" si="236"/>
        <v>932</v>
      </c>
      <c r="S1038" s="819">
        <f t="shared" si="237"/>
        <v>338</v>
      </c>
      <c r="T1038" s="819">
        <f t="shared" si="238"/>
        <v>470</v>
      </c>
      <c r="U1038" s="819">
        <f t="shared" si="239"/>
        <v>2785</v>
      </c>
      <c r="V1038" s="819">
        <f t="shared" si="240"/>
        <v>463</v>
      </c>
      <c r="W1038" s="379">
        <f t="shared" si="241"/>
        <v>463</v>
      </c>
      <c r="X1038" s="819" t="str">
        <f t="shared" si="242"/>
        <v/>
      </c>
      <c r="Y1038" s="837"/>
      <c r="Z1038" s="839"/>
      <c r="AA1038" s="838"/>
      <c r="AB1038" s="839"/>
    </row>
    <row r="1039" spans="1:28" ht="14.45">
      <c r="A1039" s="816"/>
      <c r="B1039" s="819" t="s">
        <v>2497</v>
      </c>
      <c r="C1039" s="819" t="s">
        <v>2498</v>
      </c>
      <c r="D1039" s="379" t="s">
        <v>336</v>
      </c>
      <c r="E1039" s="818" t="s">
        <v>2488</v>
      </c>
      <c r="F1039" s="820"/>
      <c r="G1039" s="821"/>
      <c r="H1039" s="822">
        <v>13878262.0614035</v>
      </c>
      <c r="I1039" s="819"/>
      <c r="J1039" s="820">
        <v>0</v>
      </c>
      <c r="K1039" s="819">
        <f t="shared" si="232"/>
        <v>1182</v>
      </c>
      <c r="L1039" s="819">
        <f t="shared" si="233"/>
        <v>1084</v>
      </c>
      <c r="M1039" s="819">
        <f t="shared" si="229"/>
        <v>1182</v>
      </c>
      <c r="N1039" s="819">
        <f t="shared" si="230"/>
        <v>364</v>
      </c>
      <c r="O1039" s="819">
        <f t="shared" si="231"/>
        <v>492</v>
      </c>
      <c r="P1039" s="819">
        <f t="shared" si="234"/>
        <v>216</v>
      </c>
      <c r="Q1039" s="819">
        <f t="shared" si="235"/>
        <v>661</v>
      </c>
      <c r="R1039" s="819">
        <f t="shared" si="236"/>
        <v>1100</v>
      </c>
      <c r="S1039" s="819">
        <f t="shared" si="237"/>
        <v>338</v>
      </c>
      <c r="T1039" s="819">
        <f t="shared" si="238"/>
        <v>470</v>
      </c>
      <c r="U1039" s="819">
        <f t="shared" si="239"/>
        <v>2785</v>
      </c>
      <c r="V1039" s="819">
        <f t="shared" si="240"/>
        <v>463</v>
      </c>
      <c r="W1039" s="379">
        <f t="shared" si="241"/>
        <v>463</v>
      </c>
      <c r="X1039" s="819" t="str">
        <f t="shared" si="242"/>
        <v/>
      </c>
      <c r="Y1039" s="837"/>
      <c r="Z1039" s="839"/>
      <c r="AA1039" s="838"/>
      <c r="AB1039" s="839"/>
    </row>
    <row r="1040" spans="1:28" ht="13.15">
      <c r="B1040" s="819" t="s">
        <v>2499</v>
      </c>
      <c r="C1040" s="819" t="s">
        <v>2500</v>
      </c>
      <c r="D1040" s="379" t="s">
        <v>336</v>
      </c>
      <c r="E1040" s="818" t="s">
        <v>2488</v>
      </c>
      <c r="F1040" s="820"/>
      <c r="G1040" s="821"/>
      <c r="H1040" s="822"/>
      <c r="I1040" s="819"/>
      <c r="J1040" s="820">
        <v>0</v>
      </c>
      <c r="K1040" s="819" t="str">
        <f t="shared" si="232"/>
        <v>N/A</v>
      </c>
      <c r="L1040" s="819">
        <f t="shared" si="233"/>
        <v>1084</v>
      </c>
      <c r="M1040" s="819" t="str">
        <f t="shared" si="229"/>
        <v>N/A</v>
      </c>
      <c r="N1040" s="819">
        <f t="shared" si="230"/>
        <v>364</v>
      </c>
      <c r="O1040" s="819">
        <f t="shared" si="231"/>
        <v>492</v>
      </c>
      <c r="P1040" s="819" t="str">
        <f t="shared" si="234"/>
        <v>N/A</v>
      </c>
      <c r="Q1040" s="819">
        <f t="shared" si="235"/>
        <v>661</v>
      </c>
      <c r="R1040" s="819" t="str">
        <f t="shared" si="236"/>
        <v>N/A</v>
      </c>
      <c r="S1040" s="819">
        <f t="shared" si="237"/>
        <v>338</v>
      </c>
      <c r="T1040" s="819">
        <f t="shared" si="238"/>
        <v>470</v>
      </c>
      <c r="U1040" s="819">
        <f t="shared" si="239"/>
        <v>1469</v>
      </c>
      <c r="V1040" s="819">
        <f t="shared" si="240"/>
        <v>22</v>
      </c>
      <c r="W1040" s="379">
        <f t="shared" si="241"/>
        <v>22</v>
      </c>
      <c r="X1040" s="819" t="str">
        <f t="shared" si="242"/>
        <v/>
      </c>
      <c r="Y1040" s="837"/>
      <c r="Z1040" s="839"/>
      <c r="AA1040" s="838"/>
      <c r="AB1040" s="839"/>
    </row>
    <row r="1041" spans="1:28" ht="14.45">
      <c r="A1041" s="816"/>
      <c r="B1041" s="819" t="s">
        <v>2501</v>
      </c>
      <c r="C1041" s="819" t="s">
        <v>2502</v>
      </c>
      <c r="D1041" s="379" t="s">
        <v>336</v>
      </c>
      <c r="E1041" s="818" t="s">
        <v>2488</v>
      </c>
      <c r="F1041" s="820"/>
      <c r="G1041" s="821"/>
      <c r="H1041" s="822">
        <v>1347089.92154496</v>
      </c>
      <c r="I1041" s="819"/>
      <c r="J1041" s="820">
        <v>0</v>
      </c>
      <c r="K1041" s="819">
        <f t="shared" si="232"/>
        <v>1539</v>
      </c>
      <c r="L1041" s="819">
        <f t="shared" si="233"/>
        <v>1084</v>
      </c>
      <c r="M1041" s="819">
        <f t="shared" si="229"/>
        <v>1539</v>
      </c>
      <c r="N1041" s="819">
        <f t="shared" si="230"/>
        <v>364</v>
      </c>
      <c r="O1041" s="819">
        <f t="shared" si="231"/>
        <v>492</v>
      </c>
      <c r="P1041" s="819">
        <f t="shared" si="234"/>
        <v>141</v>
      </c>
      <c r="Q1041" s="819">
        <f t="shared" si="235"/>
        <v>661</v>
      </c>
      <c r="R1041" s="819">
        <f t="shared" si="236"/>
        <v>1457</v>
      </c>
      <c r="S1041" s="819">
        <f t="shared" si="237"/>
        <v>338</v>
      </c>
      <c r="T1041" s="819">
        <f t="shared" si="238"/>
        <v>470</v>
      </c>
      <c r="U1041" s="819">
        <f t="shared" si="239"/>
        <v>3067</v>
      </c>
      <c r="V1041" s="819">
        <f t="shared" si="240"/>
        <v>1011</v>
      </c>
      <c r="W1041" s="379">
        <f t="shared" si="241"/>
        <v>1011</v>
      </c>
      <c r="X1041" s="819" t="str">
        <f t="shared" si="242"/>
        <v/>
      </c>
      <c r="Y1041" s="837"/>
      <c r="Z1041" s="839"/>
      <c r="AA1041" s="838"/>
      <c r="AB1041" s="839"/>
    </row>
    <row r="1042" spans="1:28" ht="13.15">
      <c r="B1042" s="819" t="s">
        <v>2503</v>
      </c>
      <c r="C1042" s="819" t="s">
        <v>2504</v>
      </c>
      <c r="D1042" s="379" t="s">
        <v>336</v>
      </c>
      <c r="E1042" s="818" t="s">
        <v>2488</v>
      </c>
      <c r="F1042" s="820">
        <v>1.3594884089999999</v>
      </c>
      <c r="G1042" s="821">
        <v>7.8473819320000002</v>
      </c>
      <c r="H1042" s="822"/>
      <c r="I1042" s="819"/>
      <c r="J1042" s="820">
        <v>-4.6038899999999997E-5</v>
      </c>
      <c r="K1042" s="819" t="str">
        <f t="shared" si="232"/>
        <v>N/A</v>
      </c>
      <c r="L1042" s="819">
        <f t="shared" si="233"/>
        <v>258</v>
      </c>
      <c r="M1042" s="819" t="str">
        <f t="shared" si="229"/>
        <v>N/A</v>
      </c>
      <c r="N1042" s="819">
        <f t="shared" si="230"/>
        <v>364</v>
      </c>
      <c r="O1042" s="819">
        <f t="shared" si="231"/>
        <v>913</v>
      </c>
      <c r="P1042" s="819" t="str">
        <f t="shared" si="234"/>
        <v>N/A</v>
      </c>
      <c r="Q1042" s="819">
        <f t="shared" si="235"/>
        <v>165</v>
      </c>
      <c r="R1042" s="819" t="str">
        <f t="shared" si="236"/>
        <v>N/A</v>
      </c>
      <c r="S1042" s="819">
        <f t="shared" si="237"/>
        <v>338</v>
      </c>
      <c r="T1042" s="819">
        <f t="shared" si="238"/>
        <v>891</v>
      </c>
      <c r="U1042" s="819">
        <f t="shared" si="239"/>
        <v>1394</v>
      </c>
      <c r="V1042" s="819">
        <f t="shared" si="240"/>
        <v>10</v>
      </c>
      <c r="W1042" s="379">
        <f t="shared" si="241"/>
        <v>10</v>
      </c>
      <c r="X1042" s="819" t="str">
        <f t="shared" si="242"/>
        <v/>
      </c>
      <c r="Y1042" s="837"/>
      <c r="Z1042" s="839"/>
      <c r="AA1042" s="838"/>
      <c r="AB1042" s="839"/>
    </row>
    <row r="1043" spans="1:28" ht="14.45">
      <c r="A1043" s="816"/>
      <c r="B1043" s="819" t="s">
        <v>2505</v>
      </c>
      <c r="C1043" s="819" t="s">
        <v>2506</v>
      </c>
      <c r="D1043" s="379" t="s">
        <v>336</v>
      </c>
      <c r="E1043" s="818" t="s">
        <v>2488</v>
      </c>
      <c r="F1043" s="820">
        <v>2.1569113610000001</v>
      </c>
      <c r="G1043" s="821">
        <v>6.0662375070000003</v>
      </c>
      <c r="H1043" s="822">
        <v>1509110.96367556</v>
      </c>
      <c r="I1043" s="819"/>
      <c r="J1043" s="820">
        <v>-6.4158099999999998E-5</v>
      </c>
      <c r="K1043" s="819">
        <f t="shared" si="232"/>
        <v>1529</v>
      </c>
      <c r="L1043" s="819">
        <f t="shared" si="233"/>
        <v>321</v>
      </c>
      <c r="M1043" s="819">
        <f t="shared" si="229"/>
        <v>1529</v>
      </c>
      <c r="N1043" s="819">
        <f t="shared" si="230"/>
        <v>364</v>
      </c>
      <c r="O1043" s="819">
        <f t="shared" si="231"/>
        <v>945</v>
      </c>
      <c r="P1043" s="819">
        <f t="shared" si="234"/>
        <v>131</v>
      </c>
      <c r="Q1043" s="819">
        <f t="shared" si="235"/>
        <v>102</v>
      </c>
      <c r="R1043" s="819">
        <f t="shared" si="236"/>
        <v>1447</v>
      </c>
      <c r="S1043" s="819">
        <f t="shared" si="237"/>
        <v>338</v>
      </c>
      <c r="T1043" s="819">
        <f t="shared" si="238"/>
        <v>923</v>
      </c>
      <c r="U1043" s="819">
        <f t="shared" si="239"/>
        <v>2941</v>
      </c>
      <c r="V1043" s="819">
        <f t="shared" si="240"/>
        <v>856</v>
      </c>
      <c r="W1043" s="379">
        <f t="shared" si="241"/>
        <v>856</v>
      </c>
      <c r="X1043" s="819" t="str">
        <f t="shared" si="242"/>
        <v/>
      </c>
      <c r="Y1043" s="837"/>
      <c r="Z1043" s="839"/>
      <c r="AA1043" s="838"/>
      <c r="AB1043" s="839"/>
    </row>
    <row r="1044" spans="1:28" ht="13.15">
      <c r="B1044" s="819" t="s">
        <v>2507</v>
      </c>
      <c r="C1044" s="819" t="s">
        <v>2508</v>
      </c>
      <c r="D1044" s="379" t="s">
        <v>336</v>
      </c>
      <c r="E1044" s="818" t="s">
        <v>2488</v>
      </c>
      <c r="F1044" s="820"/>
      <c r="G1044" s="821"/>
      <c r="H1044" s="822">
        <v>16084307.368420999</v>
      </c>
      <c r="I1044" s="819"/>
      <c r="J1044" s="820">
        <v>0</v>
      </c>
      <c r="K1044" s="819">
        <f t="shared" si="232"/>
        <v>1149</v>
      </c>
      <c r="L1044" s="819">
        <f t="shared" si="233"/>
        <v>1084</v>
      </c>
      <c r="M1044" s="819">
        <f t="shared" si="229"/>
        <v>1149</v>
      </c>
      <c r="N1044" s="819">
        <f t="shared" si="230"/>
        <v>364</v>
      </c>
      <c r="O1044" s="819">
        <f t="shared" si="231"/>
        <v>492</v>
      </c>
      <c r="P1044" s="819">
        <f t="shared" si="234"/>
        <v>249</v>
      </c>
      <c r="Q1044" s="819">
        <f t="shared" si="235"/>
        <v>661</v>
      </c>
      <c r="R1044" s="819">
        <f t="shared" si="236"/>
        <v>1067</v>
      </c>
      <c r="S1044" s="819">
        <f t="shared" si="237"/>
        <v>338</v>
      </c>
      <c r="T1044" s="819">
        <f t="shared" si="238"/>
        <v>470</v>
      </c>
      <c r="U1044" s="819">
        <f t="shared" si="239"/>
        <v>2785</v>
      </c>
      <c r="V1044" s="819">
        <f t="shared" si="240"/>
        <v>463</v>
      </c>
      <c r="W1044" s="379">
        <f t="shared" si="241"/>
        <v>463</v>
      </c>
      <c r="X1044" s="819" t="str">
        <f t="shared" si="242"/>
        <v/>
      </c>
      <c r="Y1044" s="837"/>
      <c r="Z1044" s="839"/>
      <c r="AA1044" s="838"/>
      <c r="AB1044" s="839"/>
    </row>
    <row r="1045" spans="1:28" ht="14.45">
      <c r="A1045" s="816"/>
      <c r="B1045" s="819" t="s">
        <v>2509</v>
      </c>
      <c r="C1045" s="819" t="s">
        <v>2510</v>
      </c>
      <c r="D1045" s="379" t="s">
        <v>336</v>
      </c>
      <c r="E1045" s="818" t="s">
        <v>2488</v>
      </c>
      <c r="F1045" s="820"/>
      <c r="G1045" s="821"/>
      <c r="H1045" s="822">
        <v>12519004.9342105</v>
      </c>
      <c r="I1045" s="819"/>
      <c r="J1045" s="820">
        <v>0</v>
      </c>
      <c r="K1045" s="819">
        <f t="shared" si="232"/>
        <v>1209</v>
      </c>
      <c r="L1045" s="819">
        <f t="shared" si="233"/>
        <v>1084</v>
      </c>
      <c r="M1045" s="819">
        <f t="shared" si="229"/>
        <v>1209</v>
      </c>
      <c r="N1045" s="819">
        <f t="shared" si="230"/>
        <v>364</v>
      </c>
      <c r="O1045" s="819">
        <f t="shared" si="231"/>
        <v>492</v>
      </c>
      <c r="P1045" s="819">
        <f t="shared" si="234"/>
        <v>189</v>
      </c>
      <c r="Q1045" s="819">
        <f t="shared" si="235"/>
        <v>661</v>
      </c>
      <c r="R1045" s="819">
        <f t="shared" si="236"/>
        <v>1127</v>
      </c>
      <c r="S1045" s="819">
        <f t="shared" si="237"/>
        <v>338</v>
      </c>
      <c r="T1045" s="819">
        <f t="shared" si="238"/>
        <v>470</v>
      </c>
      <c r="U1045" s="819">
        <f t="shared" si="239"/>
        <v>2785</v>
      </c>
      <c r="V1045" s="819">
        <f t="shared" si="240"/>
        <v>463</v>
      </c>
      <c r="W1045" s="379">
        <f t="shared" si="241"/>
        <v>463</v>
      </c>
      <c r="X1045" s="819" t="str">
        <f t="shared" si="242"/>
        <v/>
      </c>
      <c r="Y1045" s="837"/>
      <c r="Z1045" s="839"/>
      <c r="AA1045" s="838"/>
      <c r="AB1045" s="839"/>
    </row>
    <row r="1046" spans="1:28" ht="13.15">
      <c r="B1046" s="819" t="s">
        <v>2511</v>
      </c>
      <c r="C1046" s="819" t="s">
        <v>2512</v>
      </c>
      <c r="D1046" s="379" t="s">
        <v>336</v>
      </c>
      <c r="E1046" s="818" t="s">
        <v>2488</v>
      </c>
      <c r="F1046" s="820"/>
      <c r="G1046" s="821"/>
      <c r="H1046" s="822"/>
      <c r="I1046" s="819"/>
      <c r="J1046" s="820">
        <v>0</v>
      </c>
      <c r="K1046" s="819" t="str">
        <f t="shared" si="232"/>
        <v>N/A</v>
      </c>
      <c r="L1046" s="819">
        <f t="shared" si="233"/>
        <v>1084</v>
      </c>
      <c r="M1046" s="819" t="str">
        <f t="shared" si="229"/>
        <v>N/A</v>
      </c>
      <c r="N1046" s="819">
        <f t="shared" si="230"/>
        <v>364</v>
      </c>
      <c r="O1046" s="819">
        <f t="shared" si="231"/>
        <v>492</v>
      </c>
      <c r="P1046" s="819" t="str">
        <f t="shared" si="234"/>
        <v>N/A</v>
      </c>
      <c r="Q1046" s="819">
        <f t="shared" si="235"/>
        <v>661</v>
      </c>
      <c r="R1046" s="819" t="str">
        <f t="shared" si="236"/>
        <v>N/A</v>
      </c>
      <c r="S1046" s="819">
        <f t="shared" si="237"/>
        <v>338</v>
      </c>
      <c r="T1046" s="819">
        <f t="shared" si="238"/>
        <v>470</v>
      </c>
      <c r="U1046" s="819">
        <f t="shared" si="239"/>
        <v>1469</v>
      </c>
      <c r="V1046" s="819">
        <f t="shared" si="240"/>
        <v>22</v>
      </c>
      <c r="W1046" s="379">
        <f t="shared" si="241"/>
        <v>22</v>
      </c>
      <c r="X1046" s="819" t="str">
        <f t="shared" si="242"/>
        <v/>
      </c>
      <c r="Y1046" s="837"/>
      <c r="Z1046" s="839"/>
      <c r="AA1046" s="838"/>
      <c r="AB1046" s="839"/>
    </row>
    <row r="1047" spans="1:28" ht="14.45">
      <c r="A1047" s="816"/>
      <c r="B1047" s="819" t="s">
        <v>2513</v>
      </c>
      <c r="C1047" s="819" t="s">
        <v>2514</v>
      </c>
      <c r="D1047" s="379" t="s">
        <v>336</v>
      </c>
      <c r="E1047" s="818" t="s">
        <v>2488</v>
      </c>
      <c r="F1047" s="820">
        <v>1.0335219819999999</v>
      </c>
      <c r="G1047" s="821">
        <v>0.51323252699999999</v>
      </c>
      <c r="H1047" s="822"/>
      <c r="I1047" s="819"/>
      <c r="J1047" s="820">
        <v>-1.25571E-5</v>
      </c>
      <c r="K1047" s="819" t="str">
        <f t="shared" si="232"/>
        <v>N/A</v>
      </c>
      <c r="L1047" s="819">
        <f t="shared" si="233"/>
        <v>918</v>
      </c>
      <c r="M1047" s="819" t="str">
        <f t="shared" si="229"/>
        <v>N/A</v>
      </c>
      <c r="N1047" s="819">
        <f t="shared" si="230"/>
        <v>364</v>
      </c>
      <c r="O1047" s="819">
        <f t="shared" si="231"/>
        <v>821</v>
      </c>
      <c r="P1047" s="819" t="str">
        <f t="shared" si="234"/>
        <v>N/A</v>
      </c>
      <c r="Q1047" s="819">
        <f t="shared" si="235"/>
        <v>495</v>
      </c>
      <c r="R1047" s="819" t="str">
        <f t="shared" si="236"/>
        <v>N/A</v>
      </c>
      <c r="S1047" s="819">
        <f t="shared" si="237"/>
        <v>338</v>
      </c>
      <c r="T1047" s="819">
        <f t="shared" si="238"/>
        <v>799</v>
      </c>
      <c r="U1047" s="819">
        <f t="shared" si="239"/>
        <v>1632</v>
      </c>
      <c r="V1047" s="819">
        <f t="shared" si="240"/>
        <v>75</v>
      </c>
      <c r="W1047" s="379">
        <f t="shared" si="241"/>
        <v>75</v>
      </c>
      <c r="X1047" s="819" t="str">
        <f t="shared" si="242"/>
        <v/>
      </c>
      <c r="Y1047" s="837"/>
      <c r="Z1047" s="839"/>
      <c r="AA1047" s="838"/>
      <c r="AB1047" s="839"/>
    </row>
    <row r="1048" spans="1:28" ht="13.15">
      <c r="B1048" s="819" t="s">
        <v>2515</v>
      </c>
      <c r="C1048" s="819" t="s">
        <v>2516</v>
      </c>
      <c r="D1048" s="379" t="s">
        <v>336</v>
      </c>
      <c r="E1048" s="818" t="s">
        <v>2488</v>
      </c>
      <c r="F1048" s="820"/>
      <c r="G1048" s="821"/>
      <c r="H1048" s="822">
        <v>37415.968239964997</v>
      </c>
      <c r="I1048" s="819"/>
      <c r="J1048" s="820">
        <v>0</v>
      </c>
      <c r="K1048" s="819">
        <f t="shared" si="232"/>
        <v>1660</v>
      </c>
      <c r="L1048" s="819">
        <f t="shared" si="233"/>
        <v>1084</v>
      </c>
      <c r="M1048" s="819">
        <f t="shared" si="229"/>
        <v>1660</v>
      </c>
      <c r="N1048" s="819">
        <f t="shared" si="230"/>
        <v>364</v>
      </c>
      <c r="O1048" s="819">
        <f t="shared" si="231"/>
        <v>492</v>
      </c>
      <c r="P1048" s="819">
        <f t="shared" si="234"/>
        <v>262</v>
      </c>
      <c r="Q1048" s="819">
        <f t="shared" si="235"/>
        <v>661</v>
      </c>
      <c r="R1048" s="819">
        <f t="shared" si="236"/>
        <v>1578</v>
      </c>
      <c r="S1048" s="819">
        <f t="shared" si="237"/>
        <v>338</v>
      </c>
      <c r="T1048" s="819">
        <f t="shared" si="238"/>
        <v>470</v>
      </c>
      <c r="U1048" s="819">
        <f t="shared" si="239"/>
        <v>3309</v>
      </c>
      <c r="V1048" s="819">
        <f t="shared" si="240"/>
        <v>1357</v>
      </c>
      <c r="W1048" s="379">
        <f t="shared" si="241"/>
        <v>1357</v>
      </c>
      <c r="X1048" s="819" t="str">
        <f t="shared" si="242"/>
        <v/>
      </c>
      <c r="Y1048" s="837"/>
      <c r="Z1048" s="839"/>
      <c r="AA1048" s="838"/>
      <c r="AB1048" s="839"/>
    </row>
    <row r="1049" spans="1:28" ht="14.45">
      <c r="A1049" s="816"/>
      <c r="B1049" s="819" t="s">
        <v>2517</v>
      </c>
      <c r="C1049" s="819" t="s">
        <v>2518</v>
      </c>
      <c r="D1049" s="379" t="s">
        <v>336</v>
      </c>
      <c r="E1049" s="818" t="s">
        <v>2488</v>
      </c>
      <c r="F1049" s="820"/>
      <c r="G1049" s="821"/>
      <c r="H1049" s="822">
        <v>10901079.2218832</v>
      </c>
      <c r="I1049" s="819"/>
      <c r="J1049" s="820">
        <v>0</v>
      </c>
      <c r="K1049" s="819">
        <f t="shared" si="232"/>
        <v>1235</v>
      </c>
      <c r="L1049" s="819">
        <f t="shared" si="233"/>
        <v>1084</v>
      </c>
      <c r="M1049" s="819">
        <f t="shared" si="229"/>
        <v>1235</v>
      </c>
      <c r="N1049" s="819">
        <f t="shared" si="230"/>
        <v>364</v>
      </c>
      <c r="O1049" s="819">
        <f t="shared" si="231"/>
        <v>492</v>
      </c>
      <c r="P1049" s="819">
        <f t="shared" si="234"/>
        <v>163</v>
      </c>
      <c r="Q1049" s="819">
        <f t="shared" si="235"/>
        <v>661</v>
      </c>
      <c r="R1049" s="819">
        <f t="shared" si="236"/>
        <v>1153</v>
      </c>
      <c r="S1049" s="819">
        <f t="shared" si="237"/>
        <v>338</v>
      </c>
      <c r="T1049" s="819">
        <f t="shared" si="238"/>
        <v>470</v>
      </c>
      <c r="U1049" s="819">
        <f t="shared" si="239"/>
        <v>2785</v>
      </c>
      <c r="V1049" s="819">
        <f t="shared" si="240"/>
        <v>463</v>
      </c>
      <c r="W1049" s="379">
        <f t="shared" si="241"/>
        <v>463</v>
      </c>
      <c r="X1049" s="819" t="str">
        <f t="shared" si="242"/>
        <v/>
      </c>
      <c r="Y1049" s="837"/>
      <c r="Z1049" s="839"/>
      <c r="AA1049" s="838"/>
      <c r="AB1049" s="839"/>
    </row>
    <row r="1050" spans="1:28" ht="13.15">
      <c r="B1050" s="819" t="s">
        <v>2519</v>
      </c>
      <c r="C1050" s="819" t="s">
        <v>2520</v>
      </c>
      <c r="D1050" s="379" t="s">
        <v>336</v>
      </c>
      <c r="E1050" s="818" t="s">
        <v>2488</v>
      </c>
      <c r="F1050" s="820"/>
      <c r="G1050" s="821"/>
      <c r="H1050" s="822">
        <v>22048.387096774</v>
      </c>
      <c r="I1050" s="819"/>
      <c r="J1050" s="820">
        <v>0</v>
      </c>
      <c r="K1050" s="819">
        <f t="shared" si="232"/>
        <v>1664</v>
      </c>
      <c r="L1050" s="819">
        <f t="shared" si="233"/>
        <v>1084</v>
      </c>
      <c r="M1050" s="819">
        <f t="shared" si="229"/>
        <v>1664</v>
      </c>
      <c r="N1050" s="819">
        <f t="shared" si="230"/>
        <v>364</v>
      </c>
      <c r="O1050" s="819">
        <f t="shared" si="231"/>
        <v>492</v>
      </c>
      <c r="P1050" s="819">
        <f t="shared" si="234"/>
        <v>266</v>
      </c>
      <c r="Q1050" s="819">
        <f t="shared" si="235"/>
        <v>661</v>
      </c>
      <c r="R1050" s="819">
        <f t="shared" si="236"/>
        <v>1582</v>
      </c>
      <c r="S1050" s="819">
        <f t="shared" si="237"/>
        <v>338</v>
      </c>
      <c r="T1050" s="819">
        <f t="shared" si="238"/>
        <v>470</v>
      </c>
      <c r="U1050" s="819">
        <f t="shared" si="239"/>
        <v>3317</v>
      </c>
      <c r="V1050" s="819">
        <f t="shared" si="240"/>
        <v>1368</v>
      </c>
      <c r="W1050" s="379">
        <f t="shared" si="241"/>
        <v>1368</v>
      </c>
      <c r="X1050" s="819" t="str">
        <f t="shared" si="242"/>
        <v/>
      </c>
      <c r="Y1050" s="837"/>
      <c r="Z1050" s="839"/>
      <c r="AA1050" s="838"/>
      <c r="AB1050" s="839"/>
    </row>
    <row r="1051" spans="1:28" ht="14.45">
      <c r="A1051" s="816"/>
      <c r="B1051" s="819" t="s">
        <v>2521</v>
      </c>
      <c r="C1051" s="819" t="s">
        <v>2522</v>
      </c>
      <c r="D1051" s="379" t="s">
        <v>336</v>
      </c>
      <c r="E1051" s="818" t="s">
        <v>2488</v>
      </c>
      <c r="F1051" s="820"/>
      <c r="G1051" s="821"/>
      <c r="H1051" s="822"/>
      <c r="I1051" s="819"/>
      <c r="J1051" s="820">
        <v>0</v>
      </c>
      <c r="K1051" s="819" t="str">
        <f t="shared" si="232"/>
        <v>N/A</v>
      </c>
      <c r="L1051" s="819">
        <f t="shared" si="233"/>
        <v>1084</v>
      </c>
      <c r="M1051" s="819" t="str">
        <f t="shared" si="229"/>
        <v>N/A</v>
      </c>
      <c r="N1051" s="819">
        <f t="shared" si="230"/>
        <v>364</v>
      </c>
      <c r="O1051" s="819">
        <f t="shared" si="231"/>
        <v>492</v>
      </c>
      <c r="P1051" s="819" t="str">
        <f t="shared" si="234"/>
        <v>N/A</v>
      </c>
      <c r="Q1051" s="819">
        <f t="shared" si="235"/>
        <v>661</v>
      </c>
      <c r="R1051" s="819" t="str">
        <f t="shared" si="236"/>
        <v>N/A</v>
      </c>
      <c r="S1051" s="819">
        <f t="shared" si="237"/>
        <v>338</v>
      </c>
      <c r="T1051" s="819">
        <f t="shared" si="238"/>
        <v>470</v>
      </c>
      <c r="U1051" s="819">
        <f t="shared" si="239"/>
        <v>1469</v>
      </c>
      <c r="V1051" s="819">
        <f t="shared" si="240"/>
        <v>22</v>
      </c>
      <c r="W1051" s="379">
        <f t="shared" si="241"/>
        <v>22</v>
      </c>
      <c r="X1051" s="819" t="str">
        <f t="shared" si="242"/>
        <v/>
      </c>
      <c r="Y1051" s="837"/>
      <c r="Z1051" s="839"/>
      <c r="AA1051" s="838"/>
      <c r="AB1051" s="839"/>
    </row>
    <row r="1052" spans="1:28" ht="13.15">
      <c r="B1052" s="819" t="s">
        <v>2523</v>
      </c>
      <c r="C1052" s="819" t="s">
        <v>2524</v>
      </c>
      <c r="D1052" s="379" t="s">
        <v>336</v>
      </c>
      <c r="E1052" s="818" t="s">
        <v>2488</v>
      </c>
      <c r="F1052" s="820"/>
      <c r="G1052" s="821"/>
      <c r="H1052" s="822"/>
      <c r="I1052" s="819"/>
      <c r="J1052" s="820">
        <v>0</v>
      </c>
      <c r="K1052" s="819" t="str">
        <f t="shared" si="232"/>
        <v>N/A</v>
      </c>
      <c r="L1052" s="819">
        <f t="shared" si="233"/>
        <v>1084</v>
      </c>
      <c r="M1052" s="819" t="str">
        <f t="shared" si="229"/>
        <v>N/A</v>
      </c>
      <c r="N1052" s="819">
        <f t="shared" si="230"/>
        <v>364</v>
      </c>
      <c r="O1052" s="819">
        <f t="shared" si="231"/>
        <v>492</v>
      </c>
      <c r="P1052" s="819" t="str">
        <f t="shared" si="234"/>
        <v>N/A</v>
      </c>
      <c r="Q1052" s="819">
        <f t="shared" si="235"/>
        <v>661</v>
      </c>
      <c r="R1052" s="819" t="str">
        <f t="shared" si="236"/>
        <v>N/A</v>
      </c>
      <c r="S1052" s="819">
        <f t="shared" si="237"/>
        <v>338</v>
      </c>
      <c r="T1052" s="819">
        <f t="shared" si="238"/>
        <v>470</v>
      </c>
      <c r="U1052" s="819">
        <f t="shared" si="239"/>
        <v>1469</v>
      </c>
      <c r="V1052" s="819">
        <f t="shared" si="240"/>
        <v>22</v>
      </c>
      <c r="W1052" s="379">
        <f t="shared" si="241"/>
        <v>22</v>
      </c>
      <c r="X1052" s="819" t="str">
        <f t="shared" si="242"/>
        <v/>
      </c>
      <c r="Y1052" s="837"/>
      <c r="Z1052" s="839"/>
      <c r="AA1052" s="838"/>
      <c r="AB1052" s="839"/>
    </row>
    <row r="1053" spans="1:28" ht="14.45">
      <c r="A1053" s="816"/>
      <c r="B1053" s="819" t="s">
        <v>2525</v>
      </c>
      <c r="C1053" s="819" t="s">
        <v>2526</v>
      </c>
      <c r="D1053" s="379" t="s">
        <v>336</v>
      </c>
      <c r="E1053" s="818" t="s">
        <v>2488</v>
      </c>
      <c r="F1053" s="820"/>
      <c r="G1053" s="821"/>
      <c r="H1053" s="822"/>
      <c r="I1053" s="819"/>
      <c r="J1053" s="820">
        <v>0</v>
      </c>
      <c r="K1053" s="819" t="str">
        <f t="shared" si="232"/>
        <v>N/A</v>
      </c>
      <c r="L1053" s="819">
        <f t="shared" si="233"/>
        <v>1084</v>
      </c>
      <c r="M1053" s="819" t="str">
        <f t="shared" si="229"/>
        <v>N/A</v>
      </c>
      <c r="N1053" s="819">
        <f t="shared" si="230"/>
        <v>364</v>
      </c>
      <c r="O1053" s="819">
        <f t="shared" si="231"/>
        <v>492</v>
      </c>
      <c r="P1053" s="819" t="str">
        <f t="shared" si="234"/>
        <v>N/A</v>
      </c>
      <c r="Q1053" s="819">
        <f t="shared" si="235"/>
        <v>661</v>
      </c>
      <c r="R1053" s="819" t="str">
        <f t="shared" si="236"/>
        <v>N/A</v>
      </c>
      <c r="S1053" s="819">
        <f t="shared" si="237"/>
        <v>338</v>
      </c>
      <c r="T1053" s="819">
        <f t="shared" si="238"/>
        <v>470</v>
      </c>
      <c r="U1053" s="819">
        <f t="shared" si="239"/>
        <v>1469</v>
      </c>
      <c r="V1053" s="819">
        <f t="shared" si="240"/>
        <v>22</v>
      </c>
      <c r="W1053" s="379">
        <f t="shared" si="241"/>
        <v>22</v>
      </c>
      <c r="X1053" s="819" t="str">
        <f t="shared" si="242"/>
        <v/>
      </c>
      <c r="Y1053" s="837"/>
      <c r="Z1053" s="839"/>
      <c r="AA1053" s="838"/>
      <c r="AB1053" s="839"/>
    </row>
    <row r="1054" spans="1:28" ht="13.15">
      <c r="B1054" s="819" t="s">
        <v>2527</v>
      </c>
      <c r="C1054" s="819" t="s">
        <v>2528</v>
      </c>
      <c r="D1054" s="379" t="s">
        <v>336</v>
      </c>
      <c r="E1054" s="818" t="s">
        <v>2488</v>
      </c>
      <c r="F1054" s="820">
        <v>0.439269405</v>
      </c>
      <c r="G1054" s="821">
        <v>-5.8737928000000002E-2</v>
      </c>
      <c r="H1054" s="822">
        <v>365.16014897600002</v>
      </c>
      <c r="I1054" s="819"/>
      <c r="J1054" s="820">
        <v>2.9139700000000002E-5</v>
      </c>
      <c r="K1054" s="819">
        <f t="shared" si="232"/>
        <v>1686</v>
      </c>
      <c r="L1054" s="819">
        <f t="shared" si="233"/>
        <v>1210</v>
      </c>
      <c r="M1054" s="819">
        <f t="shared" si="229"/>
        <v>1686</v>
      </c>
      <c r="N1054" s="819">
        <f t="shared" si="230"/>
        <v>364</v>
      </c>
      <c r="O1054" s="819">
        <f t="shared" si="231"/>
        <v>382</v>
      </c>
      <c r="P1054" s="819">
        <f t="shared" si="234"/>
        <v>288</v>
      </c>
      <c r="Q1054" s="819">
        <f t="shared" si="235"/>
        <v>787</v>
      </c>
      <c r="R1054" s="819">
        <f t="shared" si="236"/>
        <v>1604</v>
      </c>
      <c r="S1054" s="819">
        <f t="shared" si="237"/>
        <v>338</v>
      </c>
      <c r="T1054" s="819">
        <f t="shared" si="238"/>
        <v>360</v>
      </c>
      <c r="U1054" s="819">
        <f t="shared" si="239"/>
        <v>3377</v>
      </c>
      <c r="V1054" s="819">
        <f t="shared" si="240"/>
        <v>1441</v>
      </c>
      <c r="W1054" s="379">
        <f t="shared" si="241"/>
        <v>1441</v>
      </c>
      <c r="X1054" s="819" t="str">
        <f t="shared" si="242"/>
        <v/>
      </c>
      <c r="Y1054" s="837"/>
      <c r="Z1054" s="839"/>
      <c r="AA1054" s="838"/>
      <c r="AB1054" s="839"/>
    </row>
    <row r="1055" spans="1:28" ht="14.45">
      <c r="A1055" s="816"/>
      <c r="B1055" s="819" t="s">
        <v>2529</v>
      </c>
      <c r="C1055" s="819" t="s">
        <v>2530</v>
      </c>
      <c r="D1055" s="379" t="s">
        <v>336</v>
      </c>
      <c r="E1055" s="818" t="s">
        <v>2488</v>
      </c>
      <c r="F1055" s="820"/>
      <c r="G1055" s="821"/>
      <c r="H1055" s="822"/>
      <c r="I1055" s="819"/>
      <c r="J1055" s="820">
        <v>0</v>
      </c>
      <c r="K1055" s="819" t="str">
        <f t="shared" si="232"/>
        <v>N/A</v>
      </c>
      <c r="L1055" s="819">
        <f t="shared" si="233"/>
        <v>1084</v>
      </c>
      <c r="M1055" s="819" t="str">
        <f t="shared" si="229"/>
        <v>N/A</v>
      </c>
      <c r="N1055" s="819">
        <f t="shared" si="230"/>
        <v>364</v>
      </c>
      <c r="O1055" s="819">
        <f t="shared" si="231"/>
        <v>492</v>
      </c>
      <c r="P1055" s="819" t="str">
        <f t="shared" si="234"/>
        <v>N/A</v>
      </c>
      <c r="Q1055" s="819">
        <f t="shared" si="235"/>
        <v>661</v>
      </c>
      <c r="R1055" s="819" t="str">
        <f t="shared" si="236"/>
        <v>N/A</v>
      </c>
      <c r="S1055" s="819">
        <f t="shared" si="237"/>
        <v>338</v>
      </c>
      <c r="T1055" s="819">
        <f t="shared" si="238"/>
        <v>470</v>
      </c>
      <c r="U1055" s="819">
        <f t="shared" si="239"/>
        <v>1469</v>
      </c>
      <c r="V1055" s="819">
        <f t="shared" si="240"/>
        <v>22</v>
      </c>
      <c r="W1055" s="379">
        <f t="shared" si="241"/>
        <v>22</v>
      </c>
      <c r="X1055" s="819" t="str">
        <f t="shared" si="242"/>
        <v/>
      </c>
      <c r="Y1055" s="837"/>
      <c r="Z1055" s="839"/>
      <c r="AA1055" s="838"/>
      <c r="AB1055" s="839"/>
    </row>
    <row r="1056" spans="1:28" ht="13.15">
      <c r="B1056" s="819" t="s">
        <v>2531</v>
      </c>
      <c r="C1056" s="819" t="s">
        <v>2532</v>
      </c>
      <c r="D1056" s="379" t="s">
        <v>336</v>
      </c>
      <c r="E1056" s="818" t="s">
        <v>444</v>
      </c>
      <c r="F1056" s="820"/>
      <c r="G1056" s="821"/>
      <c r="H1056" s="822">
        <v>19414120.874252401</v>
      </c>
      <c r="I1056" s="819"/>
      <c r="J1056" s="820">
        <v>0</v>
      </c>
      <c r="K1056" s="819">
        <f t="shared" si="232"/>
        <v>1108</v>
      </c>
      <c r="L1056" s="819">
        <f t="shared" si="233"/>
        <v>1084</v>
      </c>
      <c r="M1056" s="819">
        <f t="shared" si="229"/>
        <v>1108</v>
      </c>
      <c r="N1056" s="819">
        <f t="shared" si="230"/>
        <v>364</v>
      </c>
      <c r="O1056" s="819">
        <f t="shared" si="231"/>
        <v>492</v>
      </c>
      <c r="P1056" s="819">
        <f t="shared" si="234"/>
        <v>290</v>
      </c>
      <c r="Q1056" s="819">
        <f t="shared" si="235"/>
        <v>661</v>
      </c>
      <c r="R1056" s="819">
        <f t="shared" si="236"/>
        <v>1026</v>
      </c>
      <c r="S1056" s="819">
        <f t="shared" si="237"/>
        <v>338</v>
      </c>
      <c r="T1056" s="819">
        <f t="shared" si="238"/>
        <v>470</v>
      </c>
      <c r="U1056" s="819">
        <f t="shared" si="239"/>
        <v>2785</v>
      </c>
      <c r="V1056" s="819">
        <f t="shared" si="240"/>
        <v>463</v>
      </c>
      <c r="W1056" s="379">
        <f t="shared" si="241"/>
        <v>463</v>
      </c>
      <c r="X1056" s="819" t="str">
        <f t="shared" si="242"/>
        <v/>
      </c>
      <c r="Y1056" s="837"/>
      <c r="Z1056" s="839"/>
      <c r="AA1056" s="838"/>
      <c r="AB1056" s="839"/>
    </row>
    <row r="1057" spans="1:28" ht="14.45">
      <c r="A1057" s="816"/>
      <c r="B1057" s="819" t="s">
        <v>2533</v>
      </c>
      <c r="C1057" s="819" t="s">
        <v>2534</v>
      </c>
      <c r="D1057" s="379" t="s">
        <v>336</v>
      </c>
      <c r="E1057" s="818" t="s">
        <v>2488</v>
      </c>
      <c r="F1057" s="820"/>
      <c r="G1057" s="821"/>
      <c r="H1057" s="822">
        <v>3877241.5306929401</v>
      </c>
      <c r="I1057" s="819"/>
      <c r="J1057" s="820">
        <v>0</v>
      </c>
      <c r="K1057" s="819">
        <f t="shared" si="232"/>
        <v>1416</v>
      </c>
      <c r="L1057" s="819">
        <f t="shared" si="233"/>
        <v>1084</v>
      </c>
      <c r="M1057" s="819">
        <f t="shared" si="229"/>
        <v>1416</v>
      </c>
      <c r="N1057" s="819">
        <f t="shared" si="230"/>
        <v>364</v>
      </c>
      <c r="O1057" s="819">
        <f t="shared" si="231"/>
        <v>492</v>
      </c>
      <c r="P1057" s="819">
        <f t="shared" si="234"/>
        <v>18</v>
      </c>
      <c r="Q1057" s="819">
        <f t="shared" si="235"/>
        <v>661</v>
      </c>
      <c r="R1057" s="819">
        <f t="shared" si="236"/>
        <v>1334</v>
      </c>
      <c r="S1057" s="819">
        <f t="shared" si="237"/>
        <v>338</v>
      </c>
      <c r="T1057" s="819">
        <f t="shared" si="238"/>
        <v>470</v>
      </c>
      <c r="U1057" s="819">
        <f t="shared" si="239"/>
        <v>2821</v>
      </c>
      <c r="V1057" s="819">
        <f t="shared" si="240"/>
        <v>663</v>
      </c>
      <c r="W1057" s="379">
        <f t="shared" si="241"/>
        <v>663</v>
      </c>
      <c r="X1057" s="819" t="str">
        <f t="shared" si="242"/>
        <v/>
      </c>
      <c r="Y1057" s="837"/>
      <c r="Z1057" s="839"/>
      <c r="AA1057" s="838"/>
      <c r="AB1057" s="839"/>
    </row>
    <row r="1058" spans="1:28" ht="13.15">
      <c r="B1058" s="819" t="s">
        <v>2535</v>
      </c>
      <c r="C1058" s="819" t="s">
        <v>2536</v>
      </c>
      <c r="D1058" s="379" t="s">
        <v>336</v>
      </c>
      <c r="E1058" s="818" t="s">
        <v>2488</v>
      </c>
      <c r="F1058" s="820">
        <v>5.1161077820000003</v>
      </c>
      <c r="G1058" s="821">
        <v>33.170682220000003</v>
      </c>
      <c r="H1058" s="822"/>
      <c r="I1058" s="819"/>
      <c r="J1058" s="820">
        <v>-5.6864600000000005E-7</v>
      </c>
      <c r="K1058" s="819" t="str">
        <f t="shared" si="232"/>
        <v>N/A</v>
      </c>
      <c r="L1058" s="819">
        <f t="shared" si="233"/>
        <v>54</v>
      </c>
      <c r="M1058" s="819" t="str">
        <f t="shared" si="229"/>
        <v>N/A</v>
      </c>
      <c r="N1058" s="819">
        <f t="shared" si="230"/>
        <v>364</v>
      </c>
      <c r="O1058" s="819">
        <f t="shared" si="231"/>
        <v>750</v>
      </c>
      <c r="P1058" s="819" t="str">
        <f t="shared" si="234"/>
        <v>N/A</v>
      </c>
      <c r="Q1058" s="819">
        <f t="shared" si="235"/>
        <v>369</v>
      </c>
      <c r="R1058" s="819" t="str">
        <f t="shared" si="236"/>
        <v>N/A</v>
      </c>
      <c r="S1058" s="819">
        <f t="shared" si="237"/>
        <v>338</v>
      </c>
      <c r="T1058" s="819">
        <f t="shared" si="238"/>
        <v>728</v>
      </c>
      <c r="U1058" s="819">
        <f t="shared" si="239"/>
        <v>1435</v>
      </c>
      <c r="V1058" s="819">
        <f t="shared" si="240"/>
        <v>15</v>
      </c>
      <c r="W1058" s="379">
        <f t="shared" si="241"/>
        <v>15</v>
      </c>
      <c r="X1058" s="819" t="str">
        <f t="shared" si="242"/>
        <v/>
      </c>
      <c r="Y1058" s="837"/>
      <c r="Z1058" s="839"/>
      <c r="AA1058" s="838"/>
      <c r="AB1058" s="839"/>
    </row>
    <row r="1059" spans="1:28" ht="14.45">
      <c r="A1059" s="816"/>
      <c r="B1059" s="819" t="s">
        <v>2537</v>
      </c>
      <c r="C1059" s="819" t="s">
        <v>2538</v>
      </c>
      <c r="D1059" s="379" t="s">
        <v>336</v>
      </c>
      <c r="E1059" s="818" t="s">
        <v>2488</v>
      </c>
      <c r="F1059" s="820"/>
      <c r="G1059" s="821"/>
      <c r="H1059" s="822"/>
      <c r="I1059" s="819"/>
      <c r="J1059" s="820">
        <v>0</v>
      </c>
      <c r="K1059" s="819" t="str">
        <f t="shared" si="232"/>
        <v>N/A</v>
      </c>
      <c r="L1059" s="819">
        <f t="shared" si="233"/>
        <v>1084</v>
      </c>
      <c r="M1059" s="819" t="str">
        <f t="shared" si="229"/>
        <v>N/A</v>
      </c>
      <c r="N1059" s="819">
        <f t="shared" si="230"/>
        <v>364</v>
      </c>
      <c r="O1059" s="819">
        <f t="shared" si="231"/>
        <v>492</v>
      </c>
      <c r="P1059" s="819" t="str">
        <f t="shared" si="234"/>
        <v>N/A</v>
      </c>
      <c r="Q1059" s="819">
        <f t="shared" si="235"/>
        <v>661</v>
      </c>
      <c r="R1059" s="819" t="str">
        <f t="shared" si="236"/>
        <v>N/A</v>
      </c>
      <c r="S1059" s="819">
        <f t="shared" si="237"/>
        <v>338</v>
      </c>
      <c r="T1059" s="819">
        <f t="shared" si="238"/>
        <v>470</v>
      </c>
      <c r="U1059" s="819">
        <f t="shared" si="239"/>
        <v>1469</v>
      </c>
      <c r="V1059" s="819">
        <f t="shared" si="240"/>
        <v>22</v>
      </c>
      <c r="W1059" s="379">
        <f t="shared" si="241"/>
        <v>22</v>
      </c>
      <c r="X1059" s="819" t="str">
        <f t="shared" si="242"/>
        <v/>
      </c>
      <c r="Y1059" s="837"/>
      <c r="Z1059" s="839"/>
      <c r="AA1059" s="838"/>
      <c r="AB1059" s="839"/>
    </row>
    <row r="1060" spans="1:28" ht="13.15">
      <c r="B1060" s="819" t="s">
        <v>2539</v>
      </c>
      <c r="C1060" s="819" t="s">
        <v>2540</v>
      </c>
      <c r="D1060" s="379" t="s">
        <v>336</v>
      </c>
      <c r="E1060" s="818" t="s">
        <v>2488</v>
      </c>
      <c r="F1060" s="820">
        <v>0.31047021899999999</v>
      </c>
      <c r="G1060" s="821">
        <v>-42.851993030000003</v>
      </c>
      <c r="H1060" s="822">
        <v>175002.08200212999</v>
      </c>
      <c r="I1060" s="819"/>
      <c r="J1060" s="820">
        <v>5.5871500000000004E-6</v>
      </c>
      <c r="K1060" s="819">
        <f t="shared" si="232"/>
        <v>1645</v>
      </c>
      <c r="L1060" s="819">
        <f t="shared" si="233"/>
        <v>1502</v>
      </c>
      <c r="M1060" s="819">
        <f t="shared" si="229"/>
        <v>1645</v>
      </c>
      <c r="N1060" s="819">
        <f t="shared" si="230"/>
        <v>364</v>
      </c>
      <c r="O1060" s="819">
        <f t="shared" si="231"/>
        <v>440</v>
      </c>
      <c r="P1060" s="819">
        <f t="shared" si="234"/>
        <v>247</v>
      </c>
      <c r="Q1060" s="819">
        <f t="shared" si="235"/>
        <v>1079</v>
      </c>
      <c r="R1060" s="819">
        <f t="shared" si="236"/>
        <v>1563</v>
      </c>
      <c r="S1060" s="819">
        <f t="shared" si="237"/>
        <v>338</v>
      </c>
      <c r="T1060" s="819">
        <f t="shared" si="238"/>
        <v>418</v>
      </c>
      <c r="U1060" s="819">
        <f t="shared" si="239"/>
        <v>3645</v>
      </c>
      <c r="V1060" s="819">
        <f t="shared" si="240"/>
        <v>1649</v>
      </c>
      <c r="W1060" s="379">
        <f t="shared" si="241"/>
        <v>1649</v>
      </c>
      <c r="X1060" s="819" t="str">
        <f t="shared" si="242"/>
        <v/>
      </c>
      <c r="Y1060" s="837"/>
      <c r="Z1060" s="839"/>
      <c r="AA1060" s="838"/>
      <c r="AB1060" s="839"/>
    </row>
    <row r="1061" spans="1:28" ht="14.45">
      <c r="A1061" s="816"/>
      <c r="B1061" s="819" t="s">
        <v>2541</v>
      </c>
      <c r="C1061" s="819" t="s">
        <v>2542</v>
      </c>
      <c r="D1061" s="379" t="s">
        <v>336</v>
      </c>
      <c r="E1061" s="818" t="s">
        <v>2488</v>
      </c>
      <c r="F1061" s="820"/>
      <c r="G1061" s="821"/>
      <c r="H1061" s="822"/>
      <c r="I1061" s="819"/>
      <c r="J1061" s="820">
        <v>0</v>
      </c>
      <c r="K1061" s="819" t="str">
        <f t="shared" si="232"/>
        <v>N/A</v>
      </c>
      <c r="L1061" s="819">
        <f t="shared" si="233"/>
        <v>1084</v>
      </c>
      <c r="M1061" s="819" t="str">
        <f t="shared" si="229"/>
        <v>N/A</v>
      </c>
      <c r="N1061" s="819">
        <f t="shared" si="230"/>
        <v>364</v>
      </c>
      <c r="O1061" s="819">
        <f t="shared" si="231"/>
        <v>492</v>
      </c>
      <c r="P1061" s="819" t="str">
        <f t="shared" si="234"/>
        <v>N/A</v>
      </c>
      <c r="Q1061" s="819">
        <f t="shared" si="235"/>
        <v>661</v>
      </c>
      <c r="R1061" s="819" t="str">
        <f t="shared" si="236"/>
        <v>N/A</v>
      </c>
      <c r="S1061" s="819">
        <f t="shared" si="237"/>
        <v>338</v>
      </c>
      <c r="T1061" s="819">
        <f t="shared" si="238"/>
        <v>470</v>
      </c>
      <c r="U1061" s="819">
        <f t="shared" si="239"/>
        <v>1469</v>
      </c>
      <c r="V1061" s="819">
        <f t="shared" si="240"/>
        <v>22</v>
      </c>
      <c r="W1061" s="379">
        <f t="shared" si="241"/>
        <v>22</v>
      </c>
      <c r="X1061" s="819" t="str">
        <f t="shared" si="242"/>
        <v/>
      </c>
      <c r="Y1061" s="837"/>
      <c r="Z1061" s="839"/>
      <c r="AA1061" s="838"/>
      <c r="AB1061" s="839"/>
    </row>
    <row r="1062" spans="1:28" ht="13.15">
      <c r="B1062" s="819" t="s">
        <v>2543</v>
      </c>
      <c r="C1062" s="819" t="s">
        <v>2544</v>
      </c>
      <c r="D1062" s="379" t="s">
        <v>336</v>
      </c>
      <c r="E1062" s="818" t="s">
        <v>2488</v>
      </c>
      <c r="F1062" s="820"/>
      <c r="G1062" s="821"/>
      <c r="H1062" s="822">
        <v>4542233.8570695799</v>
      </c>
      <c r="I1062" s="819"/>
      <c r="J1062" s="820">
        <v>0</v>
      </c>
      <c r="K1062" s="819">
        <f t="shared" si="232"/>
        <v>1379</v>
      </c>
      <c r="L1062" s="819">
        <f t="shared" si="233"/>
        <v>1084</v>
      </c>
      <c r="M1062" s="819">
        <f t="shared" si="229"/>
        <v>1379</v>
      </c>
      <c r="N1062" s="819">
        <f t="shared" si="230"/>
        <v>364</v>
      </c>
      <c r="O1062" s="819">
        <f t="shared" si="231"/>
        <v>492</v>
      </c>
      <c r="P1062" s="819">
        <f t="shared" si="234"/>
        <v>19</v>
      </c>
      <c r="Q1062" s="819">
        <f t="shared" si="235"/>
        <v>661</v>
      </c>
      <c r="R1062" s="819">
        <f t="shared" si="236"/>
        <v>1297</v>
      </c>
      <c r="S1062" s="819">
        <f t="shared" si="237"/>
        <v>338</v>
      </c>
      <c r="T1062" s="819">
        <f t="shared" si="238"/>
        <v>470</v>
      </c>
      <c r="U1062" s="819">
        <f t="shared" si="239"/>
        <v>2785</v>
      </c>
      <c r="V1062" s="819">
        <f t="shared" si="240"/>
        <v>463</v>
      </c>
      <c r="W1062" s="379">
        <f t="shared" si="241"/>
        <v>463</v>
      </c>
      <c r="X1062" s="819" t="str">
        <f t="shared" si="242"/>
        <v/>
      </c>
      <c r="Y1062" s="837"/>
      <c r="Z1062" s="839"/>
      <c r="AA1062" s="838"/>
      <c r="AB1062" s="839"/>
    </row>
    <row r="1063" spans="1:28" ht="14.45">
      <c r="A1063" s="816"/>
      <c r="B1063" s="819" t="s">
        <v>2545</v>
      </c>
      <c r="C1063" s="819" t="s">
        <v>2546</v>
      </c>
      <c r="D1063" s="379" t="s">
        <v>336</v>
      </c>
      <c r="E1063" s="818" t="s">
        <v>2488</v>
      </c>
      <c r="F1063" s="820">
        <v>0.67492198599999997</v>
      </c>
      <c r="G1063" s="821">
        <v>0</v>
      </c>
      <c r="H1063" s="822">
        <v>1553188.59649123</v>
      </c>
      <c r="I1063" s="819"/>
      <c r="J1063" s="820">
        <v>4.6676500000000001E-6</v>
      </c>
      <c r="K1063" s="819">
        <f t="shared" si="232"/>
        <v>1528</v>
      </c>
      <c r="L1063" s="819">
        <f t="shared" si="233"/>
        <v>1084</v>
      </c>
      <c r="M1063" s="819">
        <f t="shared" si="229"/>
        <v>1528</v>
      </c>
      <c r="N1063" s="819">
        <f t="shared" si="230"/>
        <v>364</v>
      </c>
      <c r="O1063" s="819">
        <f t="shared" si="231"/>
        <v>446</v>
      </c>
      <c r="P1063" s="819">
        <f t="shared" si="234"/>
        <v>130</v>
      </c>
      <c r="Q1063" s="819">
        <f t="shared" si="235"/>
        <v>661</v>
      </c>
      <c r="R1063" s="819">
        <f t="shared" si="236"/>
        <v>1446</v>
      </c>
      <c r="S1063" s="819">
        <f t="shared" si="237"/>
        <v>338</v>
      </c>
      <c r="T1063" s="819">
        <f t="shared" si="238"/>
        <v>424</v>
      </c>
      <c r="U1063" s="819">
        <f t="shared" si="239"/>
        <v>2999</v>
      </c>
      <c r="V1063" s="819">
        <f t="shared" si="240"/>
        <v>925</v>
      </c>
      <c r="W1063" s="379">
        <f t="shared" si="241"/>
        <v>925</v>
      </c>
      <c r="X1063" s="819" t="str">
        <f t="shared" si="242"/>
        <v/>
      </c>
      <c r="Y1063" s="837"/>
      <c r="Z1063" s="839"/>
      <c r="AA1063" s="838"/>
      <c r="AB1063" s="839"/>
    </row>
    <row r="1064" spans="1:28" ht="13.15">
      <c r="B1064" s="819" t="s">
        <v>2547</v>
      </c>
      <c r="C1064" s="819" t="s">
        <v>2548</v>
      </c>
      <c r="D1064" s="379" t="s">
        <v>336</v>
      </c>
      <c r="E1064" s="818" t="s">
        <v>2488</v>
      </c>
      <c r="F1064" s="820"/>
      <c r="G1064" s="821"/>
      <c r="H1064" s="822">
        <v>385762.950037806</v>
      </c>
      <c r="I1064" s="819"/>
      <c r="J1064" s="820">
        <v>0</v>
      </c>
      <c r="K1064" s="819">
        <f t="shared" si="232"/>
        <v>1612</v>
      </c>
      <c r="L1064" s="819">
        <f t="shared" si="233"/>
        <v>1084</v>
      </c>
      <c r="M1064" s="819">
        <f t="shared" si="229"/>
        <v>1612</v>
      </c>
      <c r="N1064" s="819">
        <f t="shared" si="230"/>
        <v>364</v>
      </c>
      <c r="O1064" s="819">
        <f t="shared" si="231"/>
        <v>492</v>
      </c>
      <c r="P1064" s="819">
        <f t="shared" si="234"/>
        <v>214</v>
      </c>
      <c r="Q1064" s="819">
        <f t="shared" si="235"/>
        <v>661</v>
      </c>
      <c r="R1064" s="819">
        <f t="shared" si="236"/>
        <v>1530</v>
      </c>
      <c r="S1064" s="819">
        <f t="shared" si="237"/>
        <v>338</v>
      </c>
      <c r="T1064" s="819">
        <f t="shared" si="238"/>
        <v>470</v>
      </c>
      <c r="U1064" s="819">
        <f t="shared" si="239"/>
        <v>3213</v>
      </c>
      <c r="V1064" s="819">
        <f t="shared" si="240"/>
        <v>1222</v>
      </c>
      <c r="W1064" s="379">
        <f t="shared" si="241"/>
        <v>1222</v>
      </c>
      <c r="X1064" s="819" t="str">
        <f t="shared" si="242"/>
        <v/>
      </c>
      <c r="Y1064" s="837"/>
      <c r="Z1064" s="839"/>
      <c r="AA1064" s="838"/>
      <c r="AB1064" s="839"/>
    </row>
    <row r="1065" spans="1:28" ht="14.45">
      <c r="A1065" s="816"/>
      <c r="B1065" s="819" t="s">
        <v>2549</v>
      </c>
      <c r="C1065" s="819" t="s">
        <v>2550</v>
      </c>
      <c r="D1065" s="379" t="s">
        <v>336</v>
      </c>
      <c r="E1065" s="818" t="s">
        <v>1832</v>
      </c>
      <c r="F1065" s="820"/>
      <c r="G1065" s="821"/>
      <c r="H1065" s="822">
        <v>3663470.6498621502</v>
      </c>
      <c r="I1065" s="819"/>
      <c r="J1065" s="820">
        <v>0</v>
      </c>
      <c r="K1065" s="819">
        <f t="shared" si="232"/>
        <v>1420</v>
      </c>
      <c r="L1065" s="819">
        <f t="shared" si="233"/>
        <v>1084</v>
      </c>
      <c r="M1065" s="819">
        <f t="shared" si="229"/>
        <v>1420</v>
      </c>
      <c r="N1065" s="819">
        <f t="shared" si="230"/>
        <v>364</v>
      </c>
      <c r="O1065" s="819">
        <f t="shared" si="231"/>
        <v>492</v>
      </c>
      <c r="P1065" s="819">
        <f t="shared" si="234"/>
        <v>22</v>
      </c>
      <c r="Q1065" s="819">
        <f t="shared" si="235"/>
        <v>661</v>
      </c>
      <c r="R1065" s="819">
        <f t="shared" si="236"/>
        <v>1338</v>
      </c>
      <c r="S1065" s="819">
        <f t="shared" si="237"/>
        <v>338</v>
      </c>
      <c r="T1065" s="819">
        <f t="shared" si="238"/>
        <v>470</v>
      </c>
      <c r="U1065" s="819">
        <f t="shared" si="239"/>
        <v>2829</v>
      </c>
      <c r="V1065" s="819">
        <f t="shared" si="240"/>
        <v>682</v>
      </c>
      <c r="W1065" s="379">
        <f t="shared" si="241"/>
        <v>682</v>
      </c>
      <c r="X1065" s="819" t="str">
        <f t="shared" si="242"/>
        <v/>
      </c>
      <c r="Y1065" s="837"/>
      <c r="Z1065" s="839"/>
      <c r="AA1065" s="838"/>
      <c r="AB1065" s="839"/>
    </row>
    <row r="1066" spans="1:28" ht="13.15">
      <c r="B1066" s="819" t="s">
        <v>2551</v>
      </c>
      <c r="C1066" s="819" t="s">
        <v>2552</v>
      </c>
      <c r="D1066" s="379" t="s">
        <v>336</v>
      </c>
      <c r="E1066" s="818" t="s">
        <v>1832</v>
      </c>
      <c r="F1066" s="820">
        <v>1.2724638539999999</v>
      </c>
      <c r="G1066" s="821">
        <v>5.538969668</v>
      </c>
      <c r="H1066" s="822">
        <v>1143757.38479716</v>
      </c>
      <c r="I1066" s="819"/>
      <c r="J1066" s="820">
        <v>-2.3550900000000001E-4</v>
      </c>
      <c r="K1066" s="819">
        <f t="shared" si="232"/>
        <v>1548</v>
      </c>
      <c r="L1066" s="819">
        <f t="shared" si="233"/>
        <v>347</v>
      </c>
      <c r="M1066" s="819">
        <f t="shared" si="229"/>
        <v>1548</v>
      </c>
      <c r="N1066" s="819">
        <f t="shared" si="230"/>
        <v>364</v>
      </c>
      <c r="O1066" s="819">
        <f t="shared" si="231"/>
        <v>1137</v>
      </c>
      <c r="P1066" s="819">
        <f t="shared" si="234"/>
        <v>150</v>
      </c>
      <c r="Q1066" s="819">
        <f t="shared" si="235"/>
        <v>76</v>
      </c>
      <c r="R1066" s="819">
        <f t="shared" si="236"/>
        <v>1466</v>
      </c>
      <c r="S1066" s="819">
        <f t="shared" si="237"/>
        <v>338</v>
      </c>
      <c r="T1066" s="819">
        <f t="shared" si="238"/>
        <v>1115</v>
      </c>
      <c r="U1066" s="819">
        <f t="shared" si="239"/>
        <v>3145</v>
      </c>
      <c r="V1066" s="819">
        <f t="shared" si="240"/>
        <v>1118</v>
      </c>
      <c r="W1066" s="379">
        <f t="shared" si="241"/>
        <v>1118</v>
      </c>
      <c r="X1066" s="819" t="str">
        <f t="shared" si="242"/>
        <v/>
      </c>
      <c r="Y1066" s="837"/>
      <c r="Z1066" s="839"/>
      <c r="AA1066" s="838"/>
      <c r="AB1066" s="839"/>
    </row>
    <row r="1067" spans="1:28" ht="14.45">
      <c r="A1067" s="816"/>
      <c r="B1067" s="819" t="s">
        <v>2553</v>
      </c>
      <c r="C1067" s="819" t="s">
        <v>2554</v>
      </c>
      <c r="D1067" s="379" t="s">
        <v>336</v>
      </c>
      <c r="E1067" s="818" t="s">
        <v>2488</v>
      </c>
      <c r="F1067" s="820"/>
      <c r="G1067" s="821"/>
      <c r="H1067" s="822">
        <v>4904.7674642780003</v>
      </c>
      <c r="I1067" s="819"/>
      <c r="J1067" s="820">
        <v>0</v>
      </c>
      <c r="K1067" s="819">
        <f t="shared" si="232"/>
        <v>1674</v>
      </c>
      <c r="L1067" s="819">
        <f t="shared" si="233"/>
        <v>1084</v>
      </c>
      <c r="M1067" s="819">
        <f t="shared" si="229"/>
        <v>1674</v>
      </c>
      <c r="N1067" s="819">
        <f t="shared" si="230"/>
        <v>364</v>
      </c>
      <c r="O1067" s="819">
        <f t="shared" si="231"/>
        <v>492</v>
      </c>
      <c r="P1067" s="819">
        <f t="shared" si="234"/>
        <v>276</v>
      </c>
      <c r="Q1067" s="819">
        <f t="shared" si="235"/>
        <v>661</v>
      </c>
      <c r="R1067" s="819">
        <f t="shared" si="236"/>
        <v>1592</v>
      </c>
      <c r="S1067" s="819">
        <f t="shared" si="237"/>
        <v>338</v>
      </c>
      <c r="T1067" s="819">
        <f t="shared" si="238"/>
        <v>470</v>
      </c>
      <c r="U1067" s="819">
        <f t="shared" si="239"/>
        <v>3337</v>
      </c>
      <c r="V1067" s="819">
        <f t="shared" si="240"/>
        <v>1388</v>
      </c>
      <c r="W1067" s="379">
        <f t="shared" si="241"/>
        <v>1388</v>
      </c>
      <c r="X1067" s="819" t="str">
        <f t="shared" si="242"/>
        <v/>
      </c>
      <c r="Y1067" s="837"/>
      <c r="Z1067" s="839"/>
      <c r="AA1067" s="838"/>
      <c r="AB1067" s="839"/>
    </row>
    <row r="1068" spans="1:28" ht="13.15">
      <c r="B1068" s="819" t="s">
        <v>2555</v>
      </c>
      <c r="C1068" s="819" t="s">
        <v>2556</v>
      </c>
      <c r="D1068" s="379" t="s">
        <v>336</v>
      </c>
      <c r="E1068" s="818" t="s">
        <v>441</v>
      </c>
      <c r="F1068" s="820">
        <v>0</v>
      </c>
      <c r="G1068" s="821">
        <v>-4709.356084</v>
      </c>
      <c r="H1068" s="822">
        <v>321612436.76539701</v>
      </c>
      <c r="I1068" s="819"/>
      <c r="J1068" s="820">
        <v>7.3240300000000002E-8</v>
      </c>
      <c r="K1068" s="819">
        <f t="shared" si="232"/>
        <v>459</v>
      </c>
      <c r="L1068" s="819">
        <f t="shared" si="233"/>
        <v>1532</v>
      </c>
      <c r="M1068" s="819">
        <f t="shared" si="229"/>
        <v>459</v>
      </c>
      <c r="N1068" s="819">
        <f t="shared" si="230"/>
        <v>364</v>
      </c>
      <c r="O1068" s="819">
        <f t="shared" si="231"/>
        <v>491</v>
      </c>
      <c r="P1068" s="819">
        <f t="shared" si="234"/>
        <v>939</v>
      </c>
      <c r="Q1068" s="819">
        <f t="shared" si="235"/>
        <v>1109</v>
      </c>
      <c r="R1068" s="819">
        <f t="shared" si="236"/>
        <v>377</v>
      </c>
      <c r="S1068" s="819">
        <f t="shared" si="237"/>
        <v>338</v>
      </c>
      <c r="T1068" s="819">
        <f t="shared" si="238"/>
        <v>469</v>
      </c>
      <c r="U1068" s="819">
        <f t="shared" si="239"/>
        <v>3232</v>
      </c>
      <c r="V1068" s="819">
        <f t="shared" si="240"/>
        <v>1239</v>
      </c>
      <c r="W1068" s="379">
        <f t="shared" si="241"/>
        <v>1239</v>
      </c>
      <c r="X1068" s="819" t="str">
        <f t="shared" si="242"/>
        <v/>
      </c>
      <c r="Y1068" s="837"/>
      <c r="Z1068" s="839"/>
      <c r="AA1068" s="838"/>
      <c r="AB1068" s="839"/>
    </row>
    <row r="1069" spans="1:28" ht="14.45">
      <c r="A1069" s="816"/>
      <c r="B1069" s="819" t="s">
        <v>2557</v>
      </c>
      <c r="C1069" s="819" t="s">
        <v>2558</v>
      </c>
      <c r="D1069" s="379" t="s">
        <v>336</v>
      </c>
      <c r="E1069" s="818" t="s">
        <v>2171</v>
      </c>
      <c r="F1069" s="820">
        <v>2.7447892930000002</v>
      </c>
      <c r="G1069" s="821">
        <v>6.60260771</v>
      </c>
      <c r="H1069" s="822">
        <v>3261916.9797489201</v>
      </c>
      <c r="I1069" s="819">
        <v>1.75</v>
      </c>
      <c r="J1069" s="820">
        <v>-2.0742289999999999E-3</v>
      </c>
      <c r="K1069" s="819">
        <f t="shared" si="232"/>
        <v>1439</v>
      </c>
      <c r="L1069" s="819">
        <f t="shared" si="233"/>
        <v>301</v>
      </c>
      <c r="M1069" s="819">
        <f t="shared" si="229"/>
        <v>1439</v>
      </c>
      <c r="N1069" s="819">
        <f t="shared" si="230"/>
        <v>91</v>
      </c>
      <c r="O1069" s="819">
        <f t="shared" si="231"/>
        <v>1496</v>
      </c>
      <c r="P1069" s="819">
        <f t="shared" si="234"/>
        <v>41</v>
      </c>
      <c r="Q1069" s="819">
        <f t="shared" si="235"/>
        <v>122</v>
      </c>
      <c r="R1069" s="819">
        <f t="shared" si="236"/>
        <v>1357</v>
      </c>
      <c r="S1069" s="819">
        <f t="shared" si="237"/>
        <v>65</v>
      </c>
      <c r="T1069" s="819">
        <f t="shared" si="238"/>
        <v>1474</v>
      </c>
      <c r="U1069" s="819">
        <f t="shared" si="239"/>
        <v>3059</v>
      </c>
      <c r="V1069" s="819">
        <f t="shared" si="240"/>
        <v>1005</v>
      </c>
      <c r="W1069" s="379">
        <f t="shared" si="241"/>
        <v>1005</v>
      </c>
      <c r="X1069" s="819" t="str">
        <f t="shared" si="242"/>
        <v/>
      </c>
      <c r="Y1069" s="837"/>
      <c r="Z1069" s="839"/>
      <c r="AA1069" s="838"/>
      <c r="AB1069" s="839"/>
    </row>
    <row r="1070" spans="1:28" ht="13.15">
      <c r="B1070" s="819" t="s">
        <v>2559</v>
      </c>
      <c r="C1070" s="819" t="s">
        <v>2560</v>
      </c>
      <c r="D1070" s="379" t="s">
        <v>336</v>
      </c>
      <c r="E1070" s="818" t="s">
        <v>1832</v>
      </c>
      <c r="F1070" s="820">
        <v>1.296574777</v>
      </c>
      <c r="G1070" s="821">
        <v>8.575840951</v>
      </c>
      <c r="H1070" s="822">
        <v>330838.85781803902</v>
      </c>
      <c r="I1070" s="819">
        <v>0.03</v>
      </c>
      <c r="J1070" s="820">
        <v>-1.0315840000000001E-3</v>
      </c>
      <c r="K1070" s="819">
        <f t="shared" si="232"/>
        <v>1620</v>
      </c>
      <c r="L1070" s="819">
        <f t="shared" si="233"/>
        <v>239</v>
      </c>
      <c r="M1070" s="819">
        <f t="shared" si="229"/>
        <v>1620</v>
      </c>
      <c r="N1070" s="819">
        <f t="shared" si="230"/>
        <v>323</v>
      </c>
      <c r="O1070" s="819">
        <f t="shared" si="231"/>
        <v>1403</v>
      </c>
      <c r="P1070" s="819">
        <f t="shared" si="234"/>
        <v>222</v>
      </c>
      <c r="Q1070" s="819">
        <f t="shared" si="235"/>
        <v>184</v>
      </c>
      <c r="R1070" s="819">
        <f t="shared" si="236"/>
        <v>1538</v>
      </c>
      <c r="S1070" s="819">
        <f t="shared" si="237"/>
        <v>297</v>
      </c>
      <c r="T1070" s="819">
        <f t="shared" si="238"/>
        <v>1381</v>
      </c>
      <c r="U1070" s="819">
        <f t="shared" si="239"/>
        <v>3622</v>
      </c>
      <c r="V1070" s="819">
        <f t="shared" si="240"/>
        <v>1635</v>
      </c>
      <c r="W1070" s="379">
        <f t="shared" si="241"/>
        <v>1635</v>
      </c>
      <c r="X1070" s="819" t="str">
        <f t="shared" si="242"/>
        <v/>
      </c>
      <c r="Y1070" s="837"/>
      <c r="Z1070" s="839"/>
      <c r="AA1070" s="838"/>
      <c r="AB1070" s="839"/>
    </row>
    <row r="1071" spans="1:28" ht="14.45">
      <c r="A1071" s="816"/>
      <c r="B1071" s="819" t="s">
        <v>2561</v>
      </c>
      <c r="C1071" s="819" t="s">
        <v>2562</v>
      </c>
      <c r="D1071" s="379" t="s">
        <v>336</v>
      </c>
      <c r="E1071" s="818" t="s">
        <v>418</v>
      </c>
      <c r="F1071" s="820">
        <v>0.46604153500000001</v>
      </c>
      <c r="G1071" s="821">
        <v>3.4954442920000002</v>
      </c>
      <c r="H1071" s="822">
        <v>1169807973.5223701</v>
      </c>
      <c r="I1071" s="819"/>
      <c r="J1071" s="820">
        <v>-2.9028000000000002E-4</v>
      </c>
      <c r="K1071" s="819">
        <f t="shared" si="232"/>
        <v>203</v>
      </c>
      <c r="L1071" s="819">
        <f t="shared" si="233"/>
        <v>504</v>
      </c>
      <c r="M1071" s="819">
        <f t="shared" si="229"/>
        <v>203</v>
      </c>
      <c r="N1071" s="819">
        <f t="shared" si="230"/>
        <v>364</v>
      </c>
      <c r="O1071" s="819">
        <f t="shared" si="231"/>
        <v>1175</v>
      </c>
      <c r="P1071" s="819">
        <f t="shared" si="234"/>
        <v>1195</v>
      </c>
      <c r="Q1071" s="819">
        <f t="shared" si="235"/>
        <v>81</v>
      </c>
      <c r="R1071" s="819">
        <f t="shared" si="236"/>
        <v>121</v>
      </c>
      <c r="S1071" s="819">
        <f t="shared" si="237"/>
        <v>338</v>
      </c>
      <c r="T1071" s="819">
        <f t="shared" si="238"/>
        <v>1153</v>
      </c>
      <c r="U1071" s="819">
        <f t="shared" si="239"/>
        <v>2888</v>
      </c>
      <c r="V1071" s="819">
        <f t="shared" si="240"/>
        <v>789</v>
      </c>
      <c r="W1071" s="379">
        <f t="shared" si="241"/>
        <v>789</v>
      </c>
      <c r="X1071" s="819" t="str">
        <f t="shared" si="242"/>
        <v/>
      </c>
      <c r="Y1071" s="837"/>
      <c r="Z1071" s="839"/>
      <c r="AA1071" s="838"/>
      <c r="AB1071" s="839"/>
    </row>
    <row r="1072" spans="1:28" ht="13.15">
      <c r="B1072" s="819" t="s">
        <v>2563</v>
      </c>
      <c r="C1072" s="819" t="s">
        <v>2564</v>
      </c>
      <c r="D1072" s="379" t="s">
        <v>336</v>
      </c>
      <c r="E1072" s="818" t="s">
        <v>441</v>
      </c>
      <c r="F1072" s="820">
        <v>0.70193936800000001</v>
      </c>
      <c r="G1072" s="821">
        <v>-0.19194639799999999</v>
      </c>
      <c r="H1072" s="822">
        <v>546836358.54442096</v>
      </c>
      <c r="I1072" s="819"/>
      <c r="J1072" s="820">
        <v>4.3414700000000003E-5</v>
      </c>
      <c r="K1072" s="819">
        <f t="shared" si="232"/>
        <v>329</v>
      </c>
      <c r="L1072" s="819">
        <f t="shared" si="233"/>
        <v>1238</v>
      </c>
      <c r="M1072" s="819">
        <f t="shared" si="229"/>
        <v>329</v>
      </c>
      <c r="N1072" s="819">
        <f t="shared" si="230"/>
        <v>364</v>
      </c>
      <c r="O1072" s="819">
        <f t="shared" si="231"/>
        <v>357</v>
      </c>
      <c r="P1072" s="819">
        <f t="shared" si="234"/>
        <v>1069</v>
      </c>
      <c r="Q1072" s="819">
        <f t="shared" si="235"/>
        <v>815</v>
      </c>
      <c r="R1072" s="819">
        <f t="shared" si="236"/>
        <v>247</v>
      </c>
      <c r="S1072" s="819">
        <f t="shared" si="237"/>
        <v>338</v>
      </c>
      <c r="T1072" s="819">
        <f t="shared" si="238"/>
        <v>335</v>
      </c>
      <c r="U1072" s="819">
        <f t="shared" si="239"/>
        <v>2804</v>
      </c>
      <c r="V1072" s="819">
        <f t="shared" si="240"/>
        <v>637</v>
      </c>
      <c r="W1072" s="379">
        <f t="shared" si="241"/>
        <v>637</v>
      </c>
      <c r="X1072" s="819" t="str">
        <f t="shared" si="242"/>
        <v/>
      </c>
      <c r="Y1072" s="837"/>
      <c r="Z1072" s="839"/>
      <c r="AA1072" s="838"/>
      <c r="AB1072" s="839"/>
    </row>
    <row r="1073" spans="1:28" ht="14.45">
      <c r="A1073" s="816"/>
      <c r="B1073" s="819" t="s">
        <v>2565</v>
      </c>
      <c r="C1073" s="819" t="s">
        <v>2566</v>
      </c>
      <c r="D1073" s="379" t="s">
        <v>336</v>
      </c>
      <c r="E1073" s="818" t="s">
        <v>378</v>
      </c>
      <c r="F1073" s="820">
        <v>2.946267185</v>
      </c>
      <c r="G1073" s="821">
        <v>29.597512729999998</v>
      </c>
      <c r="H1073" s="822">
        <v>126114710.663407</v>
      </c>
      <c r="I1073" s="819">
        <v>0.06</v>
      </c>
      <c r="J1073" s="820">
        <v>-2.5101239999999999E-3</v>
      </c>
      <c r="K1073" s="819">
        <f t="shared" si="232"/>
        <v>658</v>
      </c>
      <c r="L1073" s="819">
        <f t="shared" si="233"/>
        <v>60</v>
      </c>
      <c r="M1073" s="819">
        <f t="shared" si="229"/>
        <v>658</v>
      </c>
      <c r="N1073" s="819">
        <f t="shared" si="230"/>
        <v>300</v>
      </c>
      <c r="O1073" s="819">
        <f t="shared" si="231"/>
        <v>1527</v>
      </c>
      <c r="P1073" s="819">
        <f t="shared" si="234"/>
        <v>740</v>
      </c>
      <c r="Q1073" s="819">
        <f t="shared" si="235"/>
        <v>363</v>
      </c>
      <c r="R1073" s="819">
        <f t="shared" si="236"/>
        <v>576</v>
      </c>
      <c r="S1073" s="819">
        <f t="shared" si="237"/>
        <v>274</v>
      </c>
      <c r="T1073" s="819">
        <f t="shared" si="238"/>
        <v>1505</v>
      </c>
      <c r="U1073" s="819">
        <f t="shared" si="239"/>
        <v>3458</v>
      </c>
      <c r="V1073" s="819">
        <f t="shared" si="240"/>
        <v>1517</v>
      </c>
      <c r="W1073" s="379">
        <f t="shared" si="241"/>
        <v>1517</v>
      </c>
      <c r="X1073" s="819" t="str">
        <f t="shared" si="242"/>
        <v/>
      </c>
      <c r="Y1073" s="837"/>
      <c r="Z1073" s="839"/>
      <c r="AA1073" s="838"/>
      <c r="AB1073" s="839"/>
    </row>
    <row r="1074" spans="1:28" ht="13.15">
      <c r="B1074" s="819" t="s">
        <v>2567</v>
      </c>
      <c r="C1074" s="819" t="s">
        <v>2568</v>
      </c>
      <c r="D1074" s="379" t="s">
        <v>336</v>
      </c>
      <c r="E1074" s="818" t="s">
        <v>373</v>
      </c>
      <c r="F1074" s="820">
        <v>1.8255334219999999</v>
      </c>
      <c r="G1074" s="821">
        <v>2.3090053670000001</v>
      </c>
      <c r="H1074" s="822">
        <v>9860734.3371212091</v>
      </c>
      <c r="I1074" s="819"/>
      <c r="J1074" s="820">
        <v>-7.9359199999999997E-5</v>
      </c>
      <c r="K1074" s="819">
        <f t="shared" si="232"/>
        <v>1256</v>
      </c>
      <c r="L1074" s="819">
        <f t="shared" si="233"/>
        <v>626</v>
      </c>
      <c r="M1074" s="819">
        <f t="shared" si="229"/>
        <v>1256</v>
      </c>
      <c r="N1074" s="819">
        <f t="shared" si="230"/>
        <v>364</v>
      </c>
      <c r="O1074" s="819">
        <f t="shared" si="231"/>
        <v>972</v>
      </c>
      <c r="P1074" s="819">
        <f t="shared" si="234"/>
        <v>142</v>
      </c>
      <c r="Q1074" s="819">
        <f t="shared" si="235"/>
        <v>203</v>
      </c>
      <c r="R1074" s="819">
        <f t="shared" si="236"/>
        <v>1174</v>
      </c>
      <c r="S1074" s="819">
        <f t="shared" si="237"/>
        <v>338</v>
      </c>
      <c r="T1074" s="819">
        <f t="shared" si="238"/>
        <v>950</v>
      </c>
      <c r="U1074" s="819">
        <f t="shared" si="239"/>
        <v>2807</v>
      </c>
      <c r="V1074" s="819">
        <f t="shared" si="240"/>
        <v>641</v>
      </c>
      <c r="W1074" s="379">
        <f t="shared" si="241"/>
        <v>641</v>
      </c>
      <c r="X1074" s="819" t="str">
        <f t="shared" si="242"/>
        <v/>
      </c>
      <c r="Y1074" s="837"/>
      <c r="Z1074" s="839"/>
      <c r="AA1074" s="838"/>
      <c r="AB1074" s="839"/>
    </row>
    <row r="1075" spans="1:28" ht="14.45">
      <c r="A1075" s="816"/>
      <c r="B1075" s="819" t="s">
        <v>2569</v>
      </c>
      <c r="C1075" s="819" t="s">
        <v>2570</v>
      </c>
      <c r="D1075" s="379" t="s">
        <v>336</v>
      </c>
      <c r="E1075" s="818" t="s">
        <v>1832</v>
      </c>
      <c r="F1075" s="820">
        <v>5.1170729499999998</v>
      </c>
      <c r="G1075" s="821">
        <v>-3.0996751640000002</v>
      </c>
      <c r="H1075" s="822">
        <v>3933551387.9007502</v>
      </c>
      <c r="I1075" s="819"/>
      <c r="J1075" s="820">
        <v>1.098183E-3</v>
      </c>
      <c r="K1075" s="819">
        <f t="shared" si="232"/>
        <v>85</v>
      </c>
      <c r="L1075" s="819">
        <f t="shared" si="233"/>
        <v>1373</v>
      </c>
      <c r="M1075" s="819">
        <f t="shared" si="229"/>
        <v>85</v>
      </c>
      <c r="N1075" s="819">
        <f t="shared" si="230"/>
        <v>364</v>
      </c>
      <c r="O1075" s="819">
        <f t="shared" si="231"/>
        <v>176</v>
      </c>
      <c r="P1075" s="819">
        <f t="shared" si="234"/>
        <v>1313</v>
      </c>
      <c r="Q1075" s="819">
        <f t="shared" si="235"/>
        <v>950</v>
      </c>
      <c r="R1075" s="819">
        <f t="shared" si="236"/>
        <v>3</v>
      </c>
      <c r="S1075" s="819">
        <f t="shared" si="237"/>
        <v>338</v>
      </c>
      <c r="T1075" s="819">
        <f t="shared" si="238"/>
        <v>154</v>
      </c>
      <c r="U1075" s="819">
        <f t="shared" si="239"/>
        <v>2758</v>
      </c>
      <c r="V1075" s="819">
        <f t="shared" si="240"/>
        <v>428</v>
      </c>
      <c r="W1075" s="379">
        <f t="shared" si="241"/>
        <v>428</v>
      </c>
      <c r="X1075" s="819" t="str">
        <f t="shared" si="242"/>
        <v/>
      </c>
      <c r="Y1075" s="837"/>
      <c r="Z1075" s="839"/>
      <c r="AA1075" s="838"/>
      <c r="AB1075" s="839"/>
    </row>
    <row r="1076" spans="1:28" ht="13.15">
      <c r="B1076" s="819" t="s">
        <v>2571</v>
      </c>
      <c r="C1076" s="819" t="s">
        <v>2572</v>
      </c>
      <c r="D1076" s="379" t="s">
        <v>336</v>
      </c>
      <c r="E1076" s="818" t="s">
        <v>685</v>
      </c>
      <c r="F1076" s="820">
        <v>3.7963444649999998</v>
      </c>
      <c r="G1076" s="821">
        <v>0.75260175100000004</v>
      </c>
      <c r="H1076" s="822">
        <v>11300380.872347601</v>
      </c>
      <c r="I1076" s="819"/>
      <c r="J1076" s="820">
        <v>-1.5080650000000001E-3</v>
      </c>
      <c r="K1076" s="819">
        <f t="shared" si="232"/>
        <v>1224</v>
      </c>
      <c r="L1076" s="819">
        <f t="shared" si="233"/>
        <v>861</v>
      </c>
      <c r="M1076" s="819">
        <f t="shared" si="229"/>
        <v>1224</v>
      </c>
      <c r="N1076" s="819">
        <f t="shared" si="230"/>
        <v>364</v>
      </c>
      <c r="O1076" s="819">
        <f t="shared" si="231"/>
        <v>1465</v>
      </c>
      <c r="P1076" s="819">
        <f t="shared" si="234"/>
        <v>174</v>
      </c>
      <c r="Q1076" s="819">
        <f t="shared" si="235"/>
        <v>438</v>
      </c>
      <c r="R1076" s="819">
        <f t="shared" si="236"/>
        <v>1142</v>
      </c>
      <c r="S1076" s="819">
        <f t="shared" si="237"/>
        <v>338</v>
      </c>
      <c r="T1076" s="819">
        <f t="shared" si="238"/>
        <v>1443</v>
      </c>
      <c r="U1076" s="819">
        <f t="shared" si="239"/>
        <v>3535</v>
      </c>
      <c r="V1076" s="819">
        <f t="shared" si="240"/>
        <v>1583</v>
      </c>
      <c r="W1076" s="379">
        <f t="shared" si="241"/>
        <v>1583</v>
      </c>
      <c r="X1076" s="819" t="str">
        <f t="shared" si="242"/>
        <v/>
      </c>
      <c r="Y1076" s="837"/>
      <c r="Z1076" s="839"/>
      <c r="AA1076" s="838"/>
      <c r="AB1076" s="839"/>
    </row>
    <row r="1077" spans="1:28" ht="14.45">
      <c r="A1077" s="816"/>
      <c r="B1077" s="819" t="s">
        <v>2573</v>
      </c>
      <c r="C1077" s="819" t="s">
        <v>2574</v>
      </c>
      <c r="D1077" s="379" t="s">
        <v>336</v>
      </c>
      <c r="E1077" s="818" t="s">
        <v>1832</v>
      </c>
      <c r="F1077" s="820">
        <v>1.8703594990000001</v>
      </c>
      <c r="G1077" s="821">
        <v>-514.17002219999995</v>
      </c>
      <c r="H1077" s="822">
        <v>12518850.232375</v>
      </c>
      <c r="I1077" s="819"/>
      <c r="J1077" s="820">
        <v>2.1718299999999998E-5</v>
      </c>
      <c r="K1077" s="819">
        <f t="shared" si="232"/>
        <v>1210</v>
      </c>
      <c r="L1077" s="819">
        <f t="shared" si="233"/>
        <v>1529</v>
      </c>
      <c r="M1077" s="819">
        <f t="shared" si="229"/>
        <v>1210</v>
      </c>
      <c r="N1077" s="819">
        <f t="shared" si="230"/>
        <v>364</v>
      </c>
      <c r="O1077" s="819">
        <f t="shared" si="231"/>
        <v>398</v>
      </c>
      <c r="P1077" s="819">
        <f t="shared" si="234"/>
        <v>188</v>
      </c>
      <c r="Q1077" s="819">
        <f t="shared" si="235"/>
        <v>1106</v>
      </c>
      <c r="R1077" s="819">
        <f t="shared" si="236"/>
        <v>1128</v>
      </c>
      <c r="S1077" s="819">
        <f t="shared" si="237"/>
        <v>338</v>
      </c>
      <c r="T1077" s="819">
        <f t="shared" si="238"/>
        <v>376</v>
      </c>
      <c r="U1077" s="819">
        <f t="shared" si="239"/>
        <v>3136</v>
      </c>
      <c r="V1077" s="819">
        <f t="shared" si="240"/>
        <v>1105</v>
      </c>
      <c r="W1077" s="379">
        <f t="shared" si="241"/>
        <v>1105</v>
      </c>
      <c r="X1077" s="819" t="str">
        <f t="shared" si="242"/>
        <v/>
      </c>
      <c r="Y1077" s="837"/>
      <c r="Z1077" s="839"/>
      <c r="AA1077" s="838"/>
      <c r="AB1077" s="839"/>
    </row>
    <row r="1078" spans="1:28" ht="13.15">
      <c r="B1078" s="819" t="s">
        <v>2575</v>
      </c>
      <c r="C1078" s="819" t="s">
        <v>2576</v>
      </c>
      <c r="D1078" s="379" t="s">
        <v>336</v>
      </c>
      <c r="E1078" s="818" t="s">
        <v>728</v>
      </c>
      <c r="F1078" s="820">
        <v>1.283621186</v>
      </c>
      <c r="G1078" s="821">
        <v>14.644185670000001</v>
      </c>
      <c r="H1078" s="822">
        <v>298777527.59272403</v>
      </c>
      <c r="I1078" s="819"/>
      <c r="J1078" s="820">
        <v>-1.55124E-4</v>
      </c>
      <c r="K1078" s="819">
        <f t="shared" si="232"/>
        <v>472</v>
      </c>
      <c r="L1078" s="819">
        <f t="shared" si="233"/>
        <v>132</v>
      </c>
      <c r="M1078" s="819">
        <f t="shared" si="229"/>
        <v>472</v>
      </c>
      <c r="N1078" s="819">
        <f t="shared" si="230"/>
        <v>364</v>
      </c>
      <c r="O1078" s="819">
        <f t="shared" si="231"/>
        <v>1065</v>
      </c>
      <c r="P1078" s="819">
        <f t="shared" si="234"/>
        <v>926</v>
      </c>
      <c r="Q1078" s="819">
        <f t="shared" si="235"/>
        <v>291</v>
      </c>
      <c r="R1078" s="819">
        <f t="shared" si="236"/>
        <v>390</v>
      </c>
      <c r="S1078" s="819">
        <f t="shared" si="237"/>
        <v>338</v>
      </c>
      <c r="T1078" s="819">
        <f t="shared" si="238"/>
        <v>1043</v>
      </c>
      <c r="U1078" s="819">
        <f t="shared" si="239"/>
        <v>2988</v>
      </c>
      <c r="V1078" s="819">
        <f t="shared" si="240"/>
        <v>915</v>
      </c>
      <c r="W1078" s="379">
        <f t="shared" si="241"/>
        <v>915</v>
      </c>
      <c r="X1078" s="819" t="str">
        <f t="shared" si="242"/>
        <v/>
      </c>
      <c r="Y1078" s="837"/>
      <c r="Z1078" s="839"/>
      <c r="AA1078" s="838"/>
      <c r="AB1078" s="839"/>
    </row>
    <row r="1079" spans="1:28" ht="14.45">
      <c r="A1079" s="816"/>
      <c r="B1079" s="819" t="s">
        <v>2577</v>
      </c>
      <c r="C1079" s="819" t="s">
        <v>2578</v>
      </c>
      <c r="D1079" s="379" t="s">
        <v>336</v>
      </c>
      <c r="E1079" s="818" t="s">
        <v>441</v>
      </c>
      <c r="F1079" s="820"/>
      <c r="G1079" s="821"/>
      <c r="H1079" s="822">
        <v>495735383.97950298</v>
      </c>
      <c r="I1079" s="819"/>
      <c r="J1079" s="820">
        <v>0</v>
      </c>
      <c r="K1079" s="819">
        <f t="shared" si="232"/>
        <v>352</v>
      </c>
      <c r="L1079" s="819">
        <f t="shared" si="233"/>
        <v>1084</v>
      </c>
      <c r="M1079" s="819">
        <f t="shared" si="229"/>
        <v>352</v>
      </c>
      <c r="N1079" s="819">
        <f t="shared" si="230"/>
        <v>364</v>
      </c>
      <c r="O1079" s="819">
        <f t="shared" si="231"/>
        <v>492</v>
      </c>
      <c r="P1079" s="819">
        <f t="shared" si="234"/>
        <v>1046</v>
      </c>
      <c r="Q1079" s="819">
        <f t="shared" si="235"/>
        <v>661</v>
      </c>
      <c r="R1079" s="819">
        <f t="shared" si="236"/>
        <v>270</v>
      </c>
      <c r="S1079" s="819">
        <f t="shared" si="237"/>
        <v>338</v>
      </c>
      <c r="T1079" s="819">
        <f t="shared" si="238"/>
        <v>470</v>
      </c>
      <c r="U1079" s="819">
        <f t="shared" si="239"/>
        <v>2785</v>
      </c>
      <c r="V1079" s="819">
        <f t="shared" si="240"/>
        <v>463</v>
      </c>
      <c r="W1079" s="379">
        <f t="shared" si="241"/>
        <v>463</v>
      </c>
      <c r="X1079" s="819" t="str">
        <f t="shared" si="242"/>
        <v/>
      </c>
      <c r="Y1079" s="837"/>
      <c r="Z1079" s="839"/>
      <c r="AA1079" s="838"/>
      <c r="AB1079" s="839"/>
    </row>
    <row r="1080" spans="1:28" ht="13.15">
      <c r="B1080" s="819" t="s">
        <v>2579</v>
      </c>
      <c r="C1080" s="819" t="s">
        <v>2580</v>
      </c>
      <c r="D1080" s="379" t="s">
        <v>336</v>
      </c>
      <c r="E1080" s="818" t="s">
        <v>441</v>
      </c>
      <c r="F1080" s="820">
        <v>5.211731683</v>
      </c>
      <c r="G1080" s="821">
        <v>6.3978643880000003</v>
      </c>
      <c r="H1080" s="822">
        <v>379951783.62233502</v>
      </c>
      <c r="I1080" s="819">
        <v>3</v>
      </c>
      <c r="J1080" s="820">
        <v>-1.3424414000000001E-2</v>
      </c>
      <c r="K1080" s="819">
        <f t="shared" si="232"/>
        <v>419</v>
      </c>
      <c r="L1080" s="819">
        <f t="shared" si="233"/>
        <v>305</v>
      </c>
      <c r="M1080" s="819">
        <f t="shared" si="229"/>
        <v>419</v>
      </c>
      <c r="N1080" s="819">
        <f t="shared" si="230"/>
        <v>65</v>
      </c>
      <c r="O1080" s="819">
        <f t="shared" si="231"/>
        <v>1665</v>
      </c>
      <c r="P1080" s="819">
        <f t="shared" si="234"/>
        <v>979</v>
      </c>
      <c r="Q1080" s="819">
        <f t="shared" si="235"/>
        <v>118</v>
      </c>
      <c r="R1080" s="819">
        <f t="shared" si="236"/>
        <v>337</v>
      </c>
      <c r="S1080" s="819">
        <f t="shared" si="237"/>
        <v>39</v>
      </c>
      <c r="T1080" s="819">
        <f t="shared" si="238"/>
        <v>1643</v>
      </c>
      <c r="U1080" s="819">
        <f t="shared" si="239"/>
        <v>3116</v>
      </c>
      <c r="V1080" s="819">
        <f t="shared" si="240"/>
        <v>1086</v>
      </c>
      <c r="W1080" s="379">
        <f t="shared" si="241"/>
        <v>1086</v>
      </c>
      <c r="X1080" s="819" t="str">
        <f t="shared" si="242"/>
        <v/>
      </c>
      <c r="Y1080" s="837"/>
      <c r="Z1080" s="839"/>
      <c r="AA1080" s="838"/>
      <c r="AB1080" s="839"/>
    </row>
    <row r="1081" spans="1:28" ht="14.45">
      <c r="A1081" s="816"/>
      <c r="B1081" s="819" t="s">
        <v>2581</v>
      </c>
      <c r="C1081" s="819" t="s">
        <v>2582</v>
      </c>
      <c r="D1081" s="379" t="s">
        <v>336</v>
      </c>
      <c r="E1081" s="818" t="s">
        <v>711</v>
      </c>
      <c r="F1081" s="820">
        <v>0.44707205900000002</v>
      </c>
      <c r="G1081" s="821">
        <v>0</v>
      </c>
      <c r="H1081" s="822">
        <v>651988.76889848802</v>
      </c>
      <c r="I1081" s="819"/>
      <c r="J1081" s="820">
        <v>-3.1584300000000002E-5</v>
      </c>
      <c r="K1081" s="819">
        <f t="shared" si="232"/>
        <v>1587</v>
      </c>
      <c r="L1081" s="819">
        <f t="shared" si="233"/>
        <v>1084</v>
      </c>
      <c r="M1081" s="819">
        <f t="shared" si="229"/>
        <v>1587</v>
      </c>
      <c r="N1081" s="819">
        <f t="shared" si="230"/>
        <v>364</v>
      </c>
      <c r="O1081" s="819">
        <f t="shared" si="231"/>
        <v>879</v>
      </c>
      <c r="P1081" s="819">
        <f t="shared" si="234"/>
        <v>189</v>
      </c>
      <c r="Q1081" s="819">
        <f t="shared" si="235"/>
        <v>661</v>
      </c>
      <c r="R1081" s="819">
        <f t="shared" si="236"/>
        <v>1505</v>
      </c>
      <c r="S1081" s="819">
        <f t="shared" si="237"/>
        <v>338</v>
      </c>
      <c r="T1081" s="819">
        <f t="shared" si="238"/>
        <v>857</v>
      </c>
      <c r="U1081" s="819">
        <f t="shared" si="239"/>
        <v>3550</v>
      </c>
      <c r="V1081" s="819">
        <f t="shared" si="240"/>
        <v>1594</v>
      </c>
      <c r="W1081" s="379">
        <f t="shared" si="241"/>
        <v>1594</v>
      </c>
      <c r="X1081" s="819" t="str">
        <f t="shared" si="242"/>
        <v/>
      </c>
      <c r="Y1081" s="837"/>
      <c r="Z1081" s="839"/>
      <c r="AA1081" s="838"/>
      <c r="AB1081" s="839"/>
    </row>
    <row r="1082" spans="1:28" ht="13.15">
      <c r="B1082" s="819" t="s">
        <v>2583</v>
      </c>
      <c r="C1082" s="819" t="s">
        <v>2584</v>
      </c>
      <c r="D1082" s="379" t="s">
        <v>336</v>
      </c>
      <c r="E1082" s="818" t="s">
        <v>337</v>
      </c>
      <c r="F1082" s="820">
        <v>-1.6996499249999999</v>
      </c>
      <c r="G1082" s="821">
        <v>-8.4223794000000005E-2</v>
      </c>
      <c r="H1082" s="822">
        <v>8517849954.9499998</v>
      </c>
      <c r="I1082" s="819"/>
      <c r="J1082" s="820">
        <v>1.18062E-4</v>
      </c>
      <c r="K1082" s="819">
        <f t="shared" si="232"/>
        <v>40</v>
      </c>
      <c r="L1082" s="819">
        <f t="shared" si="233"/>
        <v>1217</v>
      </c>
      <c r="M1082" s="819">
        <f t="shared" si="229"/>
        <v>40</v>
      </c>
      <c r="N1082" s="819">
        <f t="shared" si="230"/>
        <v>364</v>
      </c>
      <c r="O1082" s="819">
        <f t="shared" si="231"/>
        <v>289</v>
      </c>
      <c r="P1082" s="819">
        <f t="shared" si="234"/>
        <v>1358</v>
      </c>
      <c r="Q1082" s="819">
        <f t="shared" si="235"/>
        <v>794</v>
      </c>
      <c r="R1082" s="819">
        <f t="shared" si="236"/>
        <v>42</v>
      </c>
      <c r="S1082" s="819">
        <f t="shared" si="237"/>
        <v>338</v>
      </c>
      <c r="T1082" s="819">
        <f t="shared" si="238"/>
        <v>267</v>
      </c>
      <c r="U1082" s="819">
        <f t="shared" si="239"/>
        <v>2799</v>
      </c>
      <c r="V1082" s="819">
        <f t="shared" si="240"/>
        <v>627</v>
      </c>
      <c r="W1082" s="379">
        <f t="shared" si="241"/>
        <v>627</v>
      </c>
      <c r="X1082" s="819" t="str">
        <f t="shared" si="242"/>
        <v/>
      </c>
      <c r="Y1082" s="837"/>
      <c r="Z1082" s="839"/>
      <c r="AA1082" s="838"/>
      <c r="AB1082" s="839"/>
    </row>
    <row r="1083" spans="1:28" ht="14.45">
      <c r="A1083" s="816"/>
      <c r="B1083" s="819" t="s">
        <v>2585</v>
      </c>
      <c r="C1083" s="819" t="s">
        <v>2586</v>
      </c>
      <c r="D1083" s="379" t="s">
        <v>336</v>
      </c>
      <c r="E1083" s="818" t="s">
        <v>460</v>
      </c>
      <c r="F1083" s="820">
        <v>6.4167503610000001</v>
      </c>
      <c r="G1083" s="821">
        <v>5.6571993779999996</v>
      </c>
      <c r="H1083" s="822">
        <v>20651594.4759394</v>
      </c>
      <c r="I1083" s="819"/>
      <c r="J1083" s="820">
        <v>-1.5446000000000001E-5</v>
      </c>
      <c r="K1083" s="819">
        <f t="shared" si="232"/>
        <v>1097</v>
      </c>
      <c r="L1083" s="819">
        <f t="shared" si="233"/>
        <v>340</v>
      </c>
      <c r="M1083" s="819">
        <f t="shared" si="229"/>
        <v>1097</v>
      </c>
      <c r="N1083" s="819">
        <f t="shared" si="230"/>
        <v>364</v>
      </c>
      <c r="O1083" s="819">
        <f t="shared" si="231"/>
        <v>832</v>
      </c>
      <c r="P1083" s="819">
        <f t="shared" si="234"/>
        <v>301</v>
      </c>
      <c r="Q1083" s="819">
        <f t="shared" si="235"/>
        <v>83</v>
      </c>
      <c r="R1083" s="819">
        <f t="shared" si="236"/>
        <v>1015</v>
      </c>
      <c r="S1083" s="819">
        <f t="shared" si="237"/>
        <v>338</v>
      </c>
      <c r="T1083" s="819">
        <f t="shared" si="238"/>
        <v>810</v>
      </c>
      <c r="U1083" s="819">
        <f t="shared" si="239"/>
        <v>2547</v>
      </c>
      <c r="V1083" s="819">
        <f t="shared" si="240"/>
        <v>265</v>
      </c>
      <c r="W1083" s="379">
        <f t="shared" si="241"/>
        <v>265</v>
      </c>
      <c r="X1083" s="819" t="str">
        <f t="shared" si="242"/>
        <v/>
      </c>
      <c r="Y1083" s="837"/>
      <c r="Z1083" s="839"/>
      <c r="AA1083" s="838"/>
      <c r="AB1083" s="839"/>
    </row>
    <row r="1084" spans="1:28" ht="13.15">
      <c r="B1084" s="819" t="s">
        <v>2587</v>
      </c>
      <c r="C1084" s="819" t="s">
        <v>2588</v>
      </c>
      <c r="D1084" s="379" t="s">
        <v>336</v>
      </c>
      <c r="E1084" s="818" t="s">
        <v>191</v>
      </c>
      <c r="F1084" s="820">
        <v>2.87832037</v>
      </c>
      <c r="G1084" s="821">
        <v>2.7426140989999999</v>
      </c>
      <c r="H1084" s="822">
        <v>11769646.9387755</v>
      </c>
      <c r="I1084" s="819"/>
      <c r="J1084" s="820">
        <v>-1.161717E-3</v>
      </c>
      <c r="K1084" s="819">
        <f t="shared" si="232"/>
        <v>1216</v>
      </c>
      <c r="L1084" s="819">
        <f t="shared" si="233"/>
        <v>575</v>
      </c>
      <c r="M1084" s="819">
        <f t="shared" si="229"/>
        <v>1216</v>
      </c>
      <c r="N1084" s="819">
        <f t="shared" si="230"/>
        <v>364</v>
      </c>
      <c r="O1084" s="819">
        <f t="shared" si="231"/>
        <v>1424</v>
      </c>
      <c r="P1084" s="819">
        <f t="shared" si="234"/>
        <v>182</v>
      </c>
      <c r="Q1084" s="819">
        <f t="shared" si="235"/>
        <v>152</v>
      </c>
      <c r="R1084" s="819">
        <f t="shared" si="236"/>
        <v>1134</v>
      </c>
      <c r="S1084" s="819">
        <f t="shared" si="237"/>
        <v>338</v>
      </c>
      <c r="T1084" s="819">
        <f t="shared" si="238"/>
        <v>1402</v>
      </c>
      <c r="U1084" s="819">
        <f t="shared" si="239"/>
        <v>3208</v>
      </c>
      <c r="V1084" s="819">
        <f t="shared" si="240"/>
        <v>1205</v>
      </c>
      <c r="W1084" s="379">
        <f t="shared" si="241"/>
        <v>1205</v>
      </c>
      <c r="X1084" s="819" t="str">
        <f t="shared" si="242"/>
        <v/>
      </c>
      <c r="Y1084" s="837"/>
      <c r="Z1084" s="839"/>
      <c r="AA1084" s="838"/>
      <c r="AB1084" s="839"/>
    </row>
    <row r="1085" spans="1:28" ht="14.45">
      <c r="A1085" s="816"/>
      <c r="B1085" s="819" t="s">
        <v>2589</v>
      </c>
      <c r="C1085" s="819" t="s">
        <v>2590</v>
      </c>
      <c r="D1085" s="379" t="s">
        <v>336</v>
      </c>
      <c r="E1085" s="818" t="s">
        <v>460</v>
      </c>
      <c r="F1085" s="820">
        <v>2.75990074</v>
      </c>
      <c r="G1085" s="821">
        <v>3.5943277060000001</v>
      </c>
      <c r="H1085" s="822">
        <v>5655048.8404146899</v>
      </c>
      <c r="I1085" s="819"/>
      <c r="J1085" s="820">
        <v>-4.3496399999999999E-5</v>
      </c>
      <c r="K1085" s="819">
        <f t="shared" si="232"/>
        <v>1351</v>
      </c>
      <c r="L1085" s="819">
        <f t="shared" si="233"/>
        <v>487</v>
      </c>
      <c r="M1085" s="819">
        <f t="shared" si="229"/>
        <v>1351</v>
      </c>
      <c r="N1085" s="819">
        <f t="shared" si="230"/>
        <v>364</v>
      </c>
      <c r="O1085" s="819">
        <f t="shared" si="231"/>
        <v>907</v>
      </c>
      <c r="P1085" s="819">
        <f t="shared" si="234"/>
        <v>47</v>
      </c>
      <c r="Q1085" s="819">
        <f t="shared" si="235"/>
        <v>64</v>
      </c>
      <c r="R1085" s="819">
        <f t="shared" si="236"/>
        <v>1269</v>
      </c>
      <c r="S1085" s="819">
        <f t="shared" si="237"/>
        <v>338</v>
      </c>
      <c r="T1085" s="819">
        <f t="shared" si="238"/>
        <v>885</v>
      </c>
      <c r="U1085" s="819">
        <f t="shared" si="239"/>
        <v>2603</v>
      </c>
      <c r="V1085" s="819">
        <f t="shared" si="240"/>
        <v>287</v>
      </c>
      <c r="W1085" s="379">
        <f t="shared" si="241"/>
        <v>287</v>
      </c>
      <c r="X1085" s="819" t="str">
        <f t="shared" si="242"/>
        <v/>
      </c>
      <c r="Y1085" s="837"/>
      <c r="Z1085" s="839"/>
      <c r="AA1085" s="838"/>
      <c r="AB1085" s="839"/>
    </row>
    <row r="1086" spans="1:28" ht="13.15">
      <c r="B1086" s="819" t="s">
        <v>2591</v>
      </c>
      <c r="C1086" s="819" t="s">
        <v>2592</v>
      </c>
      <c r="D1086" s="379" t="s">
        <v>336</v>
      </c>
      <c r="E1086" s="818" t="s">
        <v>839</v>
      </c>
      <c r="F1086" s="820">
        <v>0.16544020500000001</v>
      </c>
      <c r="G1086" s="821">
        <v>0.14549299199999999</v>
      </c>
      <c r="H1086" s="822"/>
      <c r="I1086" s="819"/>
      <c r="J1086" s="820">
        <v>-1.2927899999999999E-4</v>
      </c>
      <c r="K1086" s="819" t="str">
        <f t="shared" si="232"/>
        <v>N/A</v>
      </c>
      <c r="L1086" s="819">
        <f t="shared" si="233"/>
        <v>999</v>
      </c>
      <c r="M1086" s="819" t="str">
        <f t="shared" si="229"/>
        <v>N/A</v>
      </c>
      <c r="N1086" s="819">
        <f t="shared" si="230"/>
        <v>364</v>
      </c>
      <c r="O1086" s="819">
        <f t="shared" si="231"/>
        <v>1038</v>
      </c>
      <c r="P1086" s="819" t="str">
        <f t="shared" si="234"/>
        <v>N/A</v>
      </c>
      <c r="Q1086" s="819">
        <f t="shared" si="235"/>
        <v>576</v>
      </c>
      <c r="R1086" s="819" t="str">
        <f t="shared" si="236"/>
        <v>N/A</v>
      </c>
      <c r="S1086" s="819">
        <f t="shared" si="237"/>
        <v>338</v>
      </c>
      <c r="T1086" s="819">
        <f t="shared" si="238"/>
        <v>1016</v>
      </c>
      <c r="U1086" s="819">
        <f t="shared" si="239"/>
        <v>1930</v>
      </c>
      <c r="V1086" s="819">
        <f t="shared" si="240"/>
        <v>154</v>
      </c>
      <c r="W1086" s="379">
        <f t="shared" si="241"/>
        <v>154</v>
      </c>
      <c r="X1086" s="819" t="str">
        <f t="shared" si="242"/>
        <v/>
      </c>
      <c r="Y1086" s="837"/>
      <c r="Z1086" s="839"/>
      <c r="AA1086" s="838"/>
      <c r="AB1086" s="839"/>
    </row>
    <row r="1087" spans="1:28" ht="14.45">
      <c r="A1087" s="816"/>
      <c r="B1087" s="819" t="s">
        <v>2593</v>
      </c>
      <c r="C1087" s="819" t="s">
        <v>2594</v>
      </c>
      <c r="D1087" s="379" t="s">
        <v>336</v>
      </c>
      <c r="E1087" s="818" t="s">
        <v>685</v>
      </c>
      <c r="F1087" s="820">
        <v>-2039.779221</v>
      </c>
      <c r="G1087" s="821">
        <v>1.1548033849999999</v>
      </c>
      <c r="H1087" s="822">
        <v>3133176.1535870698</v>
      </c>
      <c r="I1087" s="819"/>
      <c r="J1087" s="820">
        <v>-3.11806E-6</v>
      </c>
      <c r="K1087" s="819">
        <f t="shared" si="232"/>
        <v>1442</v>
      </c>
      <c r="L1087" s="819">
        <f t="shared" si="233"/>
        <v>790</v>
      </c>
      <c r="M1087" s="819">
        <f t="shared" si="229"/>
        <v>1442</v>
      </c>
      <c r="N1087" s="819">
        <f t="shared" si="230"/>
        <v>364</v>
      </c>
      <c r="O1087" s="819">
        <f t="shared" si="231"/>
        <v>774</v>
      </c>
      <c r="P1087" s="819">
        <f t="shared" si="234"/>
        <v>44</v>
      </c>
      <c r="Q1087" s="819">
        <f t="shared" si="235"/>
        <v>367</v>
      </c>
      <c r="R1087" s="819">
        <f t="shared" si="236"/>
        <v>1360</v>
      </c>
      <c r="S1087" s="819">
        <f t="shared" si="237"/>
        <v>338</v>
      </c>
      <c r="T1087" s="819">
        <f t="shared" si="238"/>
        <v>752</v>
      </c>
      <c r="U1087" s="819">
        <f t="shared" si="239"/>
        <v>2861</v>
      </c>
      <c r="V1087" s="819">
        <f t="shared" si="240"/>
        <v>742</v>
      </c>
      <c r="W1087" s="379">
        <f t="shared" si="241"/>
        <v>742</v>
      </c>
      <c r="X1087" s="819" t="str">
        <f t="shared" si="242"/>
        <v/>
      </c>
      <c r="Y1087" s="837"/>
      <c r="Z1087" s="839"/>
      <c r="AA1087" s="838"/>
      <c r="AB1087" s="839"/>
    </row>
    <row r="1088" spans="1:28" ht="13.15">
      <c r="B1088" s="819" t="s">
        <v>2595</v>
      </c>
      <c r="C1088" s="819" t="s">
        <v>2596</v>
      </c>
      <c r="D1088" s="379" t="s">
        <v>336</v>
      </c>
      <c r="E1088" s="818" t="s">
        <v>2017</v>
      </c>
      <c r="F1088" s="820">
        <v>0.96763712400000002</v>
      </c>
      <c r="G1088" s="821">
        <v>0.10220947499999999</v>
      </c>
      <c r="H1088" s="822">
        <v>22775982.387415402</v>
      </c>
      <c r="I1088" s="819"/>
      <c r="J1088" s="820">
        <v>-3.8086800000000003E-5</v>
      </c>
      <c r="K1088" s="819">
        <f t="shared" si="232"/>
        <v>1074</v>
      </c>
      <c r="L1088" s="819">
        <f t="shared" si="233"/>
        <v>1012</v>
      </c>
      <c r="M1088" s="819">
        <f t="shared" si="229"/>
        <v>1074</v>
      </c>
      <c r="N1088" s="819">
        <f t="shared" si="230"/>
        <v>364</v>
      </c>
      <c r="O1088" s="819">
        <f t="shared" si="231"/>
        <v>895</v>
      </c>
      <c r="P1088" s="819">
        <f t="shared" si="234"/>
        <v>324</v>
      </c>
      <c r="Q1088" s="819">
        <f t="shared" si="235"/>
        <v>589</v>
      </c>
      <c r="R1088" s="819">
        <f t="shared" si="236"/>
        <v>992</v>
      </c>
      <c r="S1088" s="819">
        <f t="shared" si="237"/>
        <v>338</v>
      </c>
      <c r="T1088" s="819">
        <f t="shared" si="238"/>
        <v>873</v>
      </c>
      <c r="U1088" s="819">
        <f t="shared" si="239"/>
        <v>3116</v>
      </c>
      <c r="V1088" s="819">
        <f t="shared" si="240"/>
        <v>1086</v>
      </c>
      <c r="W1088" s="379">
        <f t="shared" si="241"/>
        <v>1086</v>
      </c>
      <c r="X1088" s="819" t="str">
        <f t="shared" si="242"/>
        <v/>
      </c>
      <c r="Y1088" s="837"/>
      <c r="Z1088" s="839"/>
      <c r="AA1088" s="838"/>
      <c r="AB1088" s="839"/>
    </row>
    <row r="1089" spans="1:28" ht="14.45">
      <c r="A1089" s="816"/>
      <c r="B1089" s="819" t="s">
        <v>2597</v>
      </c>
      <c r="C1089" s="819" t="s">
        <v>2598</v>
      </c>
      <c r="D1089" s="379" t="s">
        <v>336</v>
      </c>
      <c r="E1089" s="818" t="s">
        <v>460</v>
      </c>
      <c r="F1089" s="820">
        <v>1.596313273</v>
      </c>
      <c r="G1089" s="821">
        <v>1.3317637120000001</v>
      </c>
      <c r="H1089" s="822">
        <v>8707744.2572062109</v>
      </c>
      <c r="I1089" s="819">
        <v>0</v>
      </c>
      <c r="J1089" s="820">
        <v>-7.9041500000000004E-4</v>
      </c>
      <c r="K1089" s="819">
        <f t="shared" si="232"/>
        <v>1277</v>
      </c>
      <c r="L1089" s="819">
        <f t="shared" si="233"/>
        <v>767</v>
      </c>
      <c r="M1089" s="819">
        <f t="shared" si="229"/>
        <v>1277</v>
      </c>
      <c r="N1089" s="819">
        <f t="shared" si="230"/>
        <v>364</v>
      </c>
      <c r="O1089" s="819">
        <f t="shared" si="231"/>
        <v>1363</v>
      </c>
      <c r="P1089" s="819">
        <f t="shared" si="234"/>
        <v>121</v>
      </c>
      <c r="Q1089" s="819">
        <f t="shared" si="235"/>
        <v>344</v>
      </c>
      <c r="R1089" s="819">
        <f t="shared" si="236"/>
        <v>1195</v>
      </c>
      <c r="S1089" s="819">
        <f t="shared" si="237"/>
        <v>338</v>
      </c>
      <c r="T1089" s="819">
        <f t="shared" si="238"/>
        <v>1341</v>
      </c>
      <c r="U1089" s="819">
        <f t="shared" si="239"/>
        <v>3339</v>
      </c>
      <c r="V1089" s="819">
        <f t="shared" si="240"/>
        <v>1393</v>
      </c>
      <c r="W1089" s="379">
        <f t="shared" si="241"/>
        <v>1393</v>
      </c>
      <c r="X1089" s="819" t="str">
        <f t="shared" si="242"/>
        <v/>
      </c>
      <c r="Y1089" s="837"/>
      <c r="Z1089" s="839"/>
      <c r="AA1089" s="838"/>
      <c r="AB1089" s="839"/>
    </row>
    <row r="1090" spans="1:28" ht="13.15">
      <c r="B1090" s="819" t="s">
        <v>2599</v>
      </c>
      <c r="C1090" s="819" t="s">
        <v>2600</v>
      </c>
      <c r="D1090" s="379" t="s">
        <v>336</v>
      </c>
      <c r="E1090" s="818" t="s">
        <v>685</v>
      </c>
      <c r="F1090" s="820">
        <v>1.7632136249999999</v>
      </c>
      <c r="G1090" s="821">
        <v>6.3725498629999997</v>
      </c>
      <c r="H1090" s="822">
        <v>7033796.4567194404</v>
      </c>
      <c r="I1090" s="819"/>
      <c r="J1090" s="820">
        <v>-6.8833799999999998E-5</v>
      </c>
      <c r="K1090" s="819">
        <f t="shared" si="232"/>
        <v>1321</v>
      </c>
      <c r="L1090" s="819">
        <f t="shared" si="233"/>
        <v>307</v>
      </c>
      <c r="M1090" s="819">
        <f t="shared" si="229"/>
        <v>1321</v>
      </c>
      <c r="N1090" s="819">
        <f t="shared" si="230"/>
        <v>364</v>
      </c>
      <c r="O1090" s="819">
        <f t="shared" si="231"/>
        <v>955</v>
      </c>
      <c r="P1090" s="819">
        <f t="shared" si="234"/>
        <v>77</v>
      </c>
      <c r="Q1090" s="819">
        <f t="shared" si="235"/>
        <v>116</v>
      </c>
      <c r="R1090" s="819">
        <f t="shared" si="236"/>
        <v>1239</v>
      </c>
      <c r="S1090" s="819">
        <f t="shared" si="237"/>
        <v>338</v>
      </c>
      <c r="T1090" s="819">
        <f t="shared" si="238"/>
        <v>933</v>
      </c>
      <c r="U1090" s="819">
        <f t="shared" si="239"/>
        <v>2703</v>
      </c>
      <c r="V1090" s="819">
        <f t="shared" si="240"/>
        <v>361</v>
      </c>
      <c r="W1090" s="379">
        <f t="shared" si="241"/>
        <v>361</v>
      </c>
      <c r="X1090" s="819" t="str">
        <f t="shared" si="242"/>
        <v/>
      </c>
      <c r="Y1090" s="837"/>
      <c r="Z1090" s="839"/>
      <c r="AA1090" s="838"/>
      <c r="AB1090" s="839"/>
    </row>
    <row r="1091" spans="1:28" ht="14.45">
      <c r="A1091" s="816"/>
      <c r="B1091" s="819" t="s">
        <v>2601</v>
      </c>
      <c r="C1091" s="819" t="s">
        <v>2602</v>
      </c>
      <c r="D1091" s="379" t="s">
        <v>336</v>
      </c>
      <c r="E1091" s="818" t="s">
        <v>625</v>
      </c>
      <c r="F1091" s="820">
        <v>12.959032909999999</v>
      </c>
      <c r="G1091" s="821"/>
      <c r="H1091" s="822">
        <v>430148331.21137202</v>
      </c>
      <c r="I1091" s="819"/>
      <c r="J1091" s="820">
        <v>0</v>
      </c>
      <c r="K1091" s="819">
        <f t="shared" si="232"/>
        <v>389</v>
      </c>
      <c r="L1091" s="819">
        <f t="shared" si="233"/>
        <v>1084</v>
      </c>
      <c r="M1091" s="819">
        <f t="shared" si="229"/>
        <v>389</v>
      </c>
      <c r="N1091" s="819">
        <f t="shared" si="230"/>
        <v>364</v>
      </c>
      <c r="O1091" s="819">
        <f t="shared" si="231"/>
        <v>492</v>
      </c>
      <c r="P1091" s="819">
        <f t="shared" si="234"/>
        <v>1009</v>
      </c>
      <c r="Q1091" s="819">
        <f t="shared" si="235"/>
        <v>661</v>
      </c>
      <c r="R1091" s="819">
        <f t="shared" si="236"/>
        <v>307</v>
      </c>
      <c r="S1091" s="819">
        <f t="shared" si="237"/>
        <v>338</v>
      </c>
      <c r="T1091" s="819">
        <f t="shared" si="238"/>
        <v>470</v>
      </c>
      <c r="U1091" s="819">
        <f t="shared" si="239"/>
        <v>2785</v>
      </c>
      <c r="V1091" s="819">
        <f t="shared" si="240"/>
        <v>463</v>
      </c>
      <c r="W1091" s="379">
        <f t="shared" si="241"/>
        <v>463</v>
      </c>
      <c r="X1091" s="819" t="str">
        <f t="shared" si="242"/>
        <v/>
      </c>
      <c r="Y1091" s="837"/>
      <c r="Z1091" s="839"/>
      <c r="AA1091" s="838"/>
      <c r="AB1091" s="839"/>
    </row>
    <row r="1092" spans="1:28" ht="13.15">
      <c r="B1092" s="819" t="s">
        <v>2603</v>
      </c>
      <c r="C1092" s="819" t="s">
        <v>2604</v>
      </c>
      <c r="D1092" s="379" t="s">
        <v>336</v>
      </c>
      <c r="E1092" s="818" t="s">
        <v>676</v>
      </c>
      <c r="F1092" s="820">
        <v>7.4335814679999999</v>
      </c>
      <c r="G1092" s="821">
        <v>4.1403639989999999</v>
      </c>
      <c r="H1092" s="822">
        <v>38751488.959543899</v>
      </c>
      <c r="I1092" s="819">
        <v>4.32</v>
      </c>
      <c r="J1092" s="820">
        <v>-9.6710999999999997E-4</v>
      </c>
      <c r="K1092" s="819">
        <f t="shared" si="232"/>
        <v>933</v>
      </c>
      <c r="L1092" s="819">
        <f t="shared" si="233"/>
        <v>439</v>
      </c>
      <c r="M1092" s="819">
        <f t="shared" ref="M1092:M1155" si="243">IFERROR(_xlfn.RANK.EQ(H1092,H$3:H$1787),"N/A")</f>
        <v>933</v>
      </c>
      <c r="N1092" s="819">
        <f t="shared" ref="N1092:N1155" si="244">IFERROR(_xlfn.RANK.EQ(I1092,I$3:I$1787),"N/A")</f>
        <v>51</v>
      </c>
      <c r="O1092" s="819">
        <f t="shared" ref="O1092:O1155" si="245">IFERROR(_xlfn.RANK.EQ(J1092,J$3:J$1787),"N/A")</f>
        <v>1388</v>
      </c>
      <c r="P1092" s="819">
        <f t="shared" si="234"/>
        <v>465</v>
      </c>
      <c r="Q1092" s="819">
        <f t="shared" si="235"/>
        <v>16</v>
      </c>
      <c r="R1092" s="819">
        <f t="shared" si="236"/>
        <v>851</v>
      </c>
      <c r="S1092" s="819">
        <f t="shared" si="237"/>
        <v>25</v>
      </c>
      <c r="T1092" s="819">
        <f t="shared" si="238"/>
        <v>1366</v>
      </c>
      <c r="U1092" s="819">
        <f t="shared" si="239"/>
        <v>2723</v>
      </c>
      <c r="V1092" s="819">
        <f t="shared" si="240"/>
        <v>386</v>
      </c>
      <c r="W1092" s="379">
        <f t="shared" si="241"/>
        <v>386</v>
      </c>
      <c r="X1092" s="819" t="str">
        <f t="shared" si="242"/>
        <v/>
      </c>
      <c r="Y1092" s="837"/>
      <c r="Z1092" s="839"/>
      <c r="AA1092" s="838"/>
      <c r="AB1092" s="839"/>
    </row>
    <row r="1093" spans="1:28" ht="14.45">
      <c r="A1093" s="816"/>
      <c r="B1093" s="819" t="s">
        <v>2605</v>
      </c>
      <c r="C1093" s="819" t="s">
        <v>2606</v>
      </c>
      <c r="D1093" s="379" t="s">
        <v>336</v>
      </c>
      <c r="E1093" s="818" t="s">
        <v>337</v>
      </c>
      <c r="F1093" s="820"/>
      <c r="G1093" s="821"/>
      <c r="H1093" s="822">
        <v>4423324.95</v>
      </c>
      <c r="I1093" s="819"/>
      <c r="J1093" s="820">
        <v>0</v>
      </c>
      <c r="K1093" s="819">
        <f t="shared" ref="K1093:K1156" si="246">IFERROR(_xlfn.RANK.EQ(H1093,H$3:H$1787),"N/A")</f>
        <v>1384</v>
      </c>
      <c r="L1093" s="819">
        <f t="shared" ref="L1093:L1156" si="247">IFERROR(_xlfn.RANK.EQ(G1093,G$3:G$1787),"N/A")</f>
        <v>1084</v>
      </c>
      <c r="M1093" s="819">
        <f t="shared" si="243"/>
        <v>1384</v>
      </c>
      <c r="N1093" s="819">
        <f t="shared" si="244"/>
        <v>364</v>
      </c>
      <c r="O1093" s="819">
        <f t="shared" si="245"/>
        <v>492</v>
      </c>
      <c r="P1093" s="819">
        <f t="shared" ref="P1093:P1156" si="248">IFERROR(ABS(K$3-K1093),"N/A")</f>
        <v>14</v>
      </c>
      <c r="Q1093" s="819">
        <f t="shared" ref="Q1093:Q1156" si="249">IFERROR(ABS(L$3-L1093),"N/A")</f>
        <v>661</v>
      </c>
      <c r="R1093" s="819">
        <f t="shared" ref="R1093:R1156" si="250">IFERROR(ABS(M$3-M1093),"N/A")</f>
        <v>1302</v>
      </c>
      <c r="S1093" s="819">
        <f t="shared" ref="S1093:S1156" si="251">IFERROR(ABS(N$3-N1093),"N/A")</f>
        <v>338</v>
      </c>
      <c r="T1093" s="819">
        <f t="shared" ref="T1093:T1156" si="252">IFERROR(ABS(O$3-O1093),"N/A")</f>
        <v>470</v>
      </c>
      <c r="U1093" s="819">
        <f t="shared" ref="U1093:U1156" si="253">SUM(P1093:T1093)</f>
        <v>2785</v>
      </c>
      <c r="V1093" s="819">
        <f t="shared" ref="V1093:V1156" si="254">_xlfn.RANK.EQ(U1093,$U$4:$U$1787,1)</f>
        <v>463</v>
      </c>
      <c r="W1093" s="379">
        <f t="shared" ref="W1093:W1156" si="255">IF(Y1093="Not suitable","-",V1093)</f>
        <v>463</v>
      </c>
      <c r="X1093" s="819" t="str">
        <f t="shared" si="242"/>
        <v/>
      </c>
      <c r="Y1093" s="837"/>
      <c r="Z1093" s="839"/>
      <c r="AA1093" s="838"/>
      <c r="AB1093" s="839"/>
    </row>
    <row r="1094" spans="1:28" ht="13.15">
      <c r="B1094" s="819" t="s">
        <v>2607</v>
      </c>
      <c r="C1094" s="819" t="s">
        <v>2608</v>
      </c>
      <c r="D1094" s="379" t="s">
        <v>336</v>
      </c>
      <c r="E1094" s="818" t="s">
        <v>481</v>
      </c>
      <c r="F1094" s="820"/>
      <c r="G1094" s="821"/>
      <c r="H1094" s="822">
        <v>467057589.23668301</v>
      </c>
      <c r="I1094" s="819"/>
      <c r="J1094" s="820">
        <v>0</v>
      </c>
      <c r="K1094" s="819">
        <f t="shared" si="246"/>
        <v>371</v>
      </c>
      <c r="L1094" s="819">
        <f t="shared" si="247"/>
        <v>1084</v>
      </c>
      <c r="M1094" s="819">
        <f t="shared" si="243"/>
        <v>371</v>
      </c>
      <c r="N1094" s="819">
        <f t="shared" si="244"/>
        <v>364</v>
      </c>
      <c r="O1094" s="819">
        <f t="shared" si="245"/>
        <v>492</v>
      </c>
      <c r="P1094" s="819">
        <f t="shared" si="248"/>
        <v>1027</v>
      </c>
      <c r="Q1094" s="819">
        <f t="shared" si="249"/>
        <v>661</v>
      </c>
      <c r="R1094" s="819">
        <f t="shared" si="250"/>
        <v>289</v>
      </c>
      <c r="S1094" s="819">
        <f t="shared" si="251"/>
        <v>338</v>
      </c>
      <c r="T1094" s="819">
        <f t="shared" si="252"/>
        <v>470</v>
      </c>
      <c r="U1094" s="819">
        <f t="shared" si="253"/>
        <v>2785</v>
      </c>
      <c r="V1094" s="819">
        <f t="shared" si="254"/>
        <v>463</v>
      </c>
      <c r="W1094" s="379">
        <f t="shared" si="255"/>
        <v>463</v>
      </c>
      <c r="X1094" s="819" t="str">
        <f t="shared" ref="X1094:X1157" si="256">IF(L1094="N/A","Y","")</f>
        <v/>
      </c>
      <c r="Y1094" s="837"/>
      <c r="Z1094" s="839"/>
      <c r="AA1094" s="838"/>
      <c r="AB1094" s="839"/>
    </row>
    <row r="1095" spans="1:28" ht="14.45">
      <c r="A1095" s="816"/>
      <c r="B1095" s="819" t="s">
        <v>2609</v>
      </c>
      <c r="C1095" s="819" t="s">
        <v>2610</v>
      </c>
      <c r="D1095" s="379" t="s">
        <v>336</v>
      </c>
      <c r="E1095" s="818" t="s">
        <v>2611</v>
      </c>
      <c r="F1095" s="820"/>
      <c r="G1095" s="821"/>
      <c r="H1095" s="822"/>
      <c r="I1095" s="819"/>
      <c r="J1095" s="820">
        <v>0</v>
      </c>
      <c r="K1095" s="819" t="str">
        <f t="shared" si="246"/>
        <v>N/A</v>
      </c>
      <c r="L1095" s="819">
        <f t="shared" si="247"/>
        <v>1084</v>
      </c>
      <c r="M1095" s="819" t="str">
        <f t="shared" si="243"/>
        <v>N/A</v>
      </c>
      <c r="N1095" s="819">
        <f t="shared" si="244"/>
        <v>364</v>
      </c>
      <c r="O1095" s="819">
        <f t="shared" si="245"/>
        <v>492</v>
      </c>
      <c r="P1095" s="819" t="str">
        <f t="shared" si="248"/>
        <v>N/A</v>
      </c>
      <c r="Q1095" s="819">
        <f t="shared" si="249"/>
        <v>661</v>
      </c>
      <c r="R1095" s="819" t="str">
        <f t="shared" si="250"/>
        <v>N/A</v>
      </c>
      <c r="S1095" s="819">
        <f t="shared" si="251"/>
        <v>338</v>
      </c>
      <c r="T1095" s="819">
        <f t="shared" si="252"/>
        <v>470</v>
      </c>
      <c r="U1095" s="819">
        <f t="shared" si="253"/>
        <v>1469</v>
      </c>
      <c r="V1095" s="819">
        <f t="shared" si="254"/>
        <v>22</v>
      </c>
      <c r="W1095" s="379">
        <f t="shared" si="255"/>
        <v>22</v>
      </c>
      <c r="X1095" s="819" t="str">
        <f t="shared" si="256"/>
        <v/>
      </c>
      <c r="Y1095" s="837"/>
      <c r="Z1095" s="839"/>
      <c r="AA1095" s="838"/>
      <c r="AB1095" s="839"/>
    </row>
    <row r="1096" spans="1:28" ht="13.15">
      <c r="B1096" s="819" t="s">
        <v>2612</v>
      </c>
      <c r="C1096" s="819" t="s">
        <v>2613</v>
      </c>
      <c r="D1096" s="379" t="s">
        <v>336</v>
      </c>
      <c r="E1096" s="818" t="s">
        <v>2611</v>
      </c>
      <c r="F1096" s="820"/>
      <c r="G1096" s="821"/>
      <c r="H1096" s="822"/>
      <c r="I1096" s="819"/>
      <c r="J1096" s="820">
        <v>0</v>
      </c>
      <c r="K1096" s="819" t="str">
        <f t="shared" si="246"/>
        <v>N/A</v>
      </c>
      <c r="L1096" s="819">
        <f t="shared" si="247"/>
        <v>1084</v>
      </c>
      <c r="M1096" s="819" t="str">
        <f t="shared" si="243"/>
        <v>N/A</v>
      </c>
      <c r="N1096" s="819">
        <f t="shared" si="244"/>
        <v>364</v>
      </c>
      <c r="O1096" s="819">
        <f t="shared" si="245"/>
        <v>492</v>
      </c>
      <c r="P1096" s="819" t="str">
        <f t="shared" si="248"/>
        <v>N/A</v>
      </c>
      <c r="Q1096" s="819">
        <f t="shared" si="249"/>
        <v>661</v>
      </c>
      <c r="R1096" s="819" t="str">
        <f t="shared" si="250"/>
        <v>N/A</v>
      </c>
      <c r="S1096" s="819">
        <f t="shared" si="251"/>
        <v>338</v>
      </c>
      <c r="T1096" s="819">
        <f t="shared" si="252"/>
        <v>470</v>
      </c>
      <c r="U1096" s="819">
        <f t="shared" si="253"/>
        <v>1469</v>
      </c>
      <c r="V1096" s="819">
        <f t="shared" si="254"/>
        <v>22</v>
      </c>
      <c r="W1096" s="379">
        <f t="shared" si="255"/>
        <v>22</v>
      </c>
      <c r="X1096" s="819" t="str">
        <f t="shared" si="256"/>
        <v/>
      </c>
      <c r="Y1096" s="837"/>
      <c r="Z1096" s="839"/>
      <c r="AA1096" s="838"/>
      <c r="AB1096" s="839"/>
    </row>
    <row r="1097" spans="1:28" ht="14.45">
      <c r="A1097" s="816"/>
      <c r="B1097" s="819" t="s">
        <v>2614</v>
      </c>
      <c r="C1097" s="819" t="s">
        <v>2615</v>
      </c>
      <c r="D1097" s="379" t="s">
        <v>336</v>
      </c>
      <c r="E1097" s="818" t="s">
        <v>2611</v>
      </c>
      <c r="F1097" s="820"/>
      <c r="G1097" s="821"/>
      <c r="H1097" s="822">
        <v>70805.610501707997</v>
      </c>
      <c r="I1097" s="819"/>
      <c r="J1097" s="820">
        <v>0</v>
      </c>
      <c r="K1097" s="819">
        <f t="shared" si="246"/>
        <v>1656</v>
      </c>
      <c r="L1097" s="819">
        <f t="shared" si="247"/>
        <v>1084</v>
      </c>
      <c r="M1097" s="819">
        <f t="shared" si="243"/>
        <v>1656</v>
      </c>
      <c r="N1097" s="819">
        <f t="shared" si="244"/>
        <v>364</v>
      </c>
      <c r="O1097" s="819">
        <f t="shared" si="245"/>
        <v>492</v>
      </c>
      <c r="P1097" s="819">
        <f t="shared" si="248"/>
        <v>258</v>
      </c>
      <c r="Q1097" s="819">
        <f t="shared" si="249"/>
        <v>661</v>
      </c>
      <c r="R1097" s="819">
        <f t="shared" si="250"/>
        <v>1574</v>
      </c>
      <c r="S1097" s="819">
        <f t="shared" si="251"/>
        <v>338</v>
      </c>
      <c r="T1097" s="819">
        <f t="shared" si="252"/>
        <v>470</v>
      </c>
      <c r="U1097" s="819">
        <f t="shared" si="253"/>
        <v>3301</v>
      </c>
      <c r="V1097" s="819">
        <f t="shared" si="254"/>
        <v>1347</v>
      </c>
      <c r="W1097" s="379">
        <f t="shared" si="255"/>
        <v>1347</v>
      </c>
      <c r="X1097" s="819" t="str">
        <f t="shared" si="256"/>
        <v/>
      </c>
      <c r="Y1097" s="837"/>
      <c r="Z1097" s="839"/>
      <c r="AA1097" s="838"/>
      <c r="AB1097" s="839"/>
    </row>
    <row r="1098" spans="1:28" ht="13.15">
      <c r="B1098" s="819" t="s">
        <v>2616</v>
      </c>
      <c r="C1098" s="819" t="s">
        <v>2617</v>
      </c>
      <c r="D1098" s="379" t="s">
        <v>336</v>
      </c>
      <c r="E1098" s="818" t="s">
        <v>2611</v>
      </c>
      <c r="F1098" s="820"/>
      <c r="G1098" s="821"/>
      <c r="H1098" s="822"/>
      <c r="I1098" s="819"/>
      <c r="J1098" s="820">
        <v>0</v>
      </c>
      <c r="K1098" s="819" t="str">
        <f t="shared" si="246"/>
        <v>N/A</v>
      </c>
      <c r="L1098" s="819">
        <f t="shared" si="247"/>
        <v>1084</v>
      </c>
      <c r="M1098" s="819" t="str">
        <f t="shared" si="243"/>
        <v>N/A</v>
      </c>
      <c r="N1098" s="819">
        <f t="shared" si="244"/>
        <v>364</v>
      </c>
      <c r="O1098" s="819">
        <f t="shared" si="245"/>
        <v>492</v>
      </c>
      <c r="P1098" s="819" t="str">
        <f t="shared" si="248"/>
        <v>N/A</v>
      </c>
      <c r="Q1098" s="819">
        <f t="shared" si="249"/>
        <v>661</v>
      </c>
      <c r="R1098" s="819" t="str">
        <f t="shared" si="250"/>
        <v>N/A</v>
      </c>
      <c r="S1098" s="819">
        <f t="shared" si="251"/>
        <v>338</v>
      </c>
      <c r="T1098" s="819">
        <f t="shared" si="252"/>
        <v>470</v>
      </c>
      <c r="U1098" s="819">
        <f t="shared" si="253"/>
        <v>1469</v>
      </c>
      <c r="V1098" s="819">
        <f t="shared" si="254"/>
        <v>22</v>
      </c>
      <c r="W1098" s="379">
        <f t="shared" si="255"/>
        <v>22</v>
      </c>
      <c r="X1098" s="819" t="str">
        <f t="shared" si="256"/>
        <v/>
      </c>
      <c r="Y1098" s="837"/>
      <c r="Z1098" s="839"/>
      <c r="AA1098" s="838"/>
      <c r="AB1098" s="839"/>
    </row>
    <row r="1099" spans="1:28" ht="14.45">
      <c r="A1099" s="816"/>
      <c r="B1099" s="819" t="s">
        <v>2618</v>
      </c>
      <c r="C1099" s="819" t="s">
        <v>2619</v>
      </c>
      <c r="D1099" s="379" t="s">
        <v>336</v>
      </c>
      <c r="E1099" s="818" t="s">
        <v>2611</v>
      </c>
      <c r="F1099" s="820"/>
      <c r="G1099" s="821"/>
      <c r="H1099" s="822">
        <v>2002728.12683499</v>
      </c>
      <c r="I1099" s="819"/>
      <c r="J1099" s="820">
        <v>0</v>
      </c>
      <c r="K1099" s="819">
        <f t="shared" si="246"/>
        <v>1499</v>
      </c>
      <c r="L1099" s="819">
        <f t="shared" si="247"/>
        <v>1084</v>
      </c>
      <c r="M1099" s="819">
        <f t="shared" si="243"/>
        <v>1499</v>
      </c>
      <c r="N1099" s="819">
        <f t="shared" si="244"/>
        <v>364</v>
      </c>
      <c r="O1099" s="819">
        <f t="shared" si="245"/>
        <v>492</v>
      </c>
      <c r="P1099" s="819">
        <f t="shared" si="248"/>
        <v>101</v>
      </c>
      <c r="Q1099" s="819">
        <f t="shared" si="249"/>
        <v>661</v>
      </c>
      <c r="R1099" s="819">
        <f t="shared" si="250"/>
        <v>1417</v>
      </c>
      <c r="S1099" s="819">
        <f t="shared" si="251"/>
        <v>338</v>
      </c>
      <c r="T1099" s="819">
        <f t="shared" si="252"/>
        <v>470</v>
      </c>
      <c r="U1099" s="819">
        <f t="shared" si="253"/>
        <v>2987</v>
      </c>
      <c r="V1099" s="819">
        <f t="shared" si="254"/>
        <v>910</v>
      </c>
      <c r="W1099" s="379">
        <f t="shared" si="255"/>
        <v>910</v>
      </c>
      <c r="X1099" s="819" t="str">
        <f t="shared" si="256"/>
        <v/>
      </c>
      <c r="Y1099" s="837"/>
      <c r="Z1099" s="839"/>
      <c r="AA1099" s="838"/>
      <c r="AB1099" s="839"/>
    </row>
    <row r="1100" spans="1:28" ht="13.15">
      <c r="B1100" s="819" t="s">
        <v>2620</v>
      </c>
      <c r="C1100" s="819" t="s">
        <v>2621</v>
      </c>
      <c r="D1100" s="379" t="s">
        <v>336</v>
      </c>
      <c r="E1100" s="818" t="s">
        <v>2611</v>
      </c>
      <c r="F1100" s="820"/>
      <c r="G1100" s="821"/>
      <c r="H1100" s="822"/>
      <c r="I1100" s="819"/>
      <c r="J1100" s="820">
        <v>0</v>
      </c>
      <c r="K1100" s="819" t="str">
        <f t="shared" si="246"/>
        <v>N/A</v>
      </c>
      <c r="L1100" s="819">
        <f t="shared" si="247"/>
        <v>1084</v>
      </c>
      <c r="M1100" s="819" t="str">
        <f t="shared" si="243"/>
        <v>N/A</v>
      </c>
      <c r="N1100" s="819">
        <f t="shared" si="244"/>
        <v>364</v>
      </c>
      <c r="O1100" s="819">
        <f t="shared" si="245"/>
        <v>492</v>
      </c>
      <c r="P1100" s="819" t="str">
        <f t="shared" si="248"/>
        <v>N/A</v>
      </c>
      <c r="Q1100" s="819">
        <f t="shared" si="249"/>
        <v>661</v>
      </c>
      <c r="R1100" s="819" t="str">
        <f t="shared" si="250"/>
        <v>N/A</v>
      </c>
      <c r="S1100" s="819">
        <f t="shared" si="251"/>
        <v>338</v>
      </c>
      <c r="T1100" s="819">
        <f t="shared" si="252"/>
        <v>470</v>
      </c>
      <c r="U1100" s="819">
        <f t="shared" si="253"/>
        <v>1469</v>
      </c>
      <c r="V1100" s="819">
        <f t="shared" si="254"/>
        <v>22</v>
      </c>
      <c r="W1100" s="379">
        <f t="shared" si="255"/>
        <v>22</v>
      </c>
      <c r="X1100" s="819" t="str">
        <f t="shared" si="256"/>
        <v/>
      </c>
      <c r="Y1100" s="837"/>
      <c r="Z1100" s="839"/>
      <c r="AA1100" s="838"/>
      <c r="AB1100" s="839"/>
    </row>
    <row r="1101" spans="1:28" ht="14.45">
      <c r="A1101" s="816"/>
      <c r="B1101" s="819" t="s">
        <v>2622</v>
      </c>
      <c r="C1101" s="819" t="s">
        <v>2623</v>
      </c>
      <c r="D1101" s="379" t="s">
        <v>336</v>
      </c>
      <c r="E1101" s="818" t="s">
        <v>2611</v>
      </c>
      <c r="F1101" s="820">
        <v>0.16951934299999999</v>
      </c>
      <c r="G1101" s="821">
        <v>-1.461437573</v>
      </c>
      <c r="H1101" s="822">
        <v>5225843.5878746295</v>
      </c>
      <c r="I1101" s="819"/>
      <c r="J1101" s="820">
        <v>1.7707499999999999E-7</v>
      </c>
      <c r="K1101" s="819">
        <f t="shared" si="246"/>
        <v>1359</v>
      </c>
      <c r="L1101" s="819">
        <f t="shared" si="247"/>
        <v>1321</v>
      </c>
      <c r="M1101" s="819">
        <f t="shared" si="243"/>
        <v>1359</v>
      </c>
      <c r="N1101" s="819">
        <f t="shared" si="244"/>
        <v>364</v>
      </c>
      <c r="O1101" s="819">
        <f t="shared" si="245"/>
        <v>487</v>
      </c>
      <c r="P1101" s="819">
        <f t="shared" si="248"/>
        <v>39</v>
      </c>
      <c r="Q1101" s="819">
        <f t="shared" si="249"/>
        <v>898</v>
      </c>
      <c r="R1101" s="819">
        <f t="shared" si="250"/>
        <v>1277</v>
      </c>
      <c r="S1101" s="819">
        <f t="shared" si="251"/>
        <v>338</v>
      </c>
      <c r="T1101" s="819">
        <f t="shared" si="252"/>
        <v>465</v>
      </c>
      <c r="U1101" s="819">
        <f t="shared" si="253"/>
        <v>3017</v>
      </c>
      <c r="V1101" s="819">
        <f t="shared" si="254"/>
        <v>947</v>
      </c>
      <c r="W1101" s="379">
        <f t="shared" si="255"/>
        <v>947</v>
      </c>
      <c r="X1101" s="819" t="str">
        <f t="shared" si="256"/>
        <v/>
      </c>
      <c r="Y1101" s="837"/>
      <c r="Z1101" s="839"/>
      <c r="AA1101" s="838"/>
      <c r="AB1101" s="839"/>
    </row>
    <row r="1102" spans="1:28" ht="13.15">
      <c r="B1102" s="819" t="s">
        <v>2624</v>
      </c>
      <c r="C1102" s="819" t="s">
        <v>2625</v>
      </c>
      <c r="D1102" s="379" t="s">
        <v>336</v>
      </c>
      <c r="E1102" s="818" t="s">
        <v>2611</v>
      </c>
      <c r="F1102" s="820">
        <v>0.61639151000000003</v>
      </c>
      <c r="G1102" s="821">
        <v>8.9662172830000006</v>
      </c>
      <c r="H1102" s="822">
        <v>21063.621904112999</v>
      </c>
      <c r="I1102" s="819"/>
      <c r="J1102" s="820">
        <v>-7.25306E-5</v>
      </c>
      <c r="K1102" s="819">
        <f t="shared" si="246"/>
        <v>1665</v>
      </c>
      <c r="L1102" s="819">
        <f t="shared" si="247"/>
        <v>227</v>
      </c>
      <c r="M1102" s="819">
        <f t="shared" si="243"/>
        <v>1665</v>
      </c>
      <c r="N1102" s="819">
        <f t="shared" si="244"/>
        <v>364</v>
      </c>
      <c r="O1102" s="819">
        <f t="shared" si="245"/>
        <v>959</v>
      </c>
      <c r="P1102" s="819">
        <f t="shared" si="248"/>
        <v>267</v>
      </c>
      <c r="Q1102" s="819">
        <f t="shared" si="249"/>
        <v>196</v>
      </c>
      <c r="R1102" s="819">
        <f t="shared" si="250"/>
        <v>1583</v>
      </c>
      <c r="S1102" s="819">
        <f t="shared" si="251"/>
        <v>338</v>
      </c>
      <c r="T1102" s="819">
        <f t="shared" si="252"/>
        <v>937</v>
      </c>
      <c r="U1102" s="819">
        <f t="shared" si="253"/>
        <v>3321</v>
      </c>
      <c r="V1102" s="819">
        <f t="shared" si="254"/>
        <v>1371</v>
      </c>
      <c r="W1102" s="379">
        <f t="shared" si="255"/>
        <v>1371</v>
      </c>
      <c r="X1102" s="819" t="str">
        <f t="shared" si="256"/>
        <v/>
      </c>
      <c r="Y1102" s="837"/>
      <c r="Z1102" s="839"/>
      <c r="AA1102" s="838"/>
      <c r="AB1102" s="839"/>
    </row>
    <row r="1103" spans="1:28" ht="14.45">
      <c r="A1103" s="816"/>
      <c r="B1103" s="819" t="s">
        <v>2626</v>
      </c>
      <c r="C1103" s="819" t="s">
        <v>2627</v>
      </c>
      <c r="D1103" s="379" t="s">
        <v>336</v>
      </c>
      <c r="E1103" s="818" t="s">
        <v>1832</v>
      </c>
      <c r="F1103" s="820">
        <v>1.7927051970000001</v>
      </c>
      <c r="G1103" s="821">
        <v>10.22335215</v>
      </c>
      <c r="H1103" s="822">
        <v>410791.34698700299</v>
      </c>
      <c r="I1103" s="819"/>
      <c r="J1103" s="820">
        <v>-1.6898600000000001E-4</v>
      </c>
      <c r="K1103" s="819">
        <f t="shared" si="246"/>
        <v>1611</v>
      </c>
      <c r="L1103" s="819">
        <f t="shared" si="247"/>
        <v>191</v>
      </c>
      <c r="M1103" s="819">
        <f t="shared" si="243"/>
        <v>1611</v>
      </c>
      <c r="N1103" s="819">
        <f t="shared" si="244"/>
        <v>364</v>
      </c>
      <c r="O1103" s="819">
        <f t="shared" si="245"/>
        <v>1078</v>
      </c>
      <c r="P1103" s="819">
        <f t="shared" si="248"/>
        <v>213</v>
      </c>
      <c r="Q1103" s="819">
        <f t="shared" si="249"/>
        <v>232</v>
      </c>
      <c r="R1103" s="819">
        <f t="shared" si="250"/>
        <v>1529</v>
      </c>
      <c r="S1103" s="819">
        <f t="shared" si="251"/>
        <v>338</v>
      </c>
      <c r="T1103" s="819">
        <f t="shared" si="252"/>
        <v>1056</v>
      </c>
      <c r="U1103" s="819">
        <f t="shared" si="253"/>
        <v>3368</v>
      </c>
      <c r="V1103" s="819">
        <f t="shared" si="254"/>
        <v>1431</v>
      </c>
      <c r="W1103" s="379">
        <f t="shared" si="255"/>
        <v>1431</v>
      </c>
      <c r="X1103" s="819" t="str">
        <f t="shared" si="256"/>
        <v/>
      </c>
      <c r="Y1103" s="837"/>
      <c r="Z1103" s="839"/>
      <c r="AA1103" s="838"/>
      <c r="AB1103" s="839"/>
    </row>
    <row r="1104" spans="1:28" ht="13.15">
      <c r="B1104" s="819" t="s">
        <v>2628</v>
      </c>
      <c r="C1104" s="819" t="s">
        <v>2629</v>
      </c>
      <c r="D1104" s="379" t="s">
        <v>336</v>
      </c>
      <c r="E1104" s="818" t="s">
        <v>425</v>
      </c>
      <c r="F1104" s="820">
        <v>1.666493727</v>
      </c>
      <c r="G1104" s="821">
        <v>3.0575155409999999</v>
      </c>
      <c r="H1104" s="822">
        <v>53001554.162416197</v>
      </c>
      <c r="I1104" s="819">
        <v>0.05</v>
      </c>
      <c r="J1104" s="820">
        <v>-2.3392303E-2</v>
      </c>
      <c r="K1104" s="819">
        <f t="shared" si="246"/>
        <v>859</v>
      </c>
      <c r="L1104" s="819">
        <f t="shared" si="247"/>
        <v>541</v>
      </c>
      <c r="M1104" s="819">
        <f t="shared" si="243"/>
        <v>859</v>
      </c>
      <c r="N1104" s="819">
        <f t="shared" si="244"/>
        <v>305</v>
      </c>
      <c r="O1104" s="819">
        <f t="shared" si="245"/>
        <v>1698</v>
      </c>
      <c r="P1104" s="819">
        <f t="shared" si="248"/>
        <v>539</v>
      </c>
      <c r="Q1104" s="819">
        <f t="shared" si="249"/>
        <v>118</v>
      </c>
      <c r="R1104" s="819">
        <f t="shared" si="250"/>
        <v>777</v>
      </c>
      <c r="S1104" s="819">
        <f t="shared" si="251"/>
        <v>279</v>
      </c>
      <c r="T1104" s="819">
        <f t="shared" si="252"/>
        <v>1676</v>
      </c>
      <c r="U1104" s="819">
        <f t="shared" si="253"/>
        <v>3389</v>
      </c>
      <c r="V1104" s="819">
        <f t="shared" si="254"/>
        <v>1452</v>
      </c>
      <c r="W1104" s="379">
        <f t="shared" si="255"/>
        <v>1452</v>
      </c>
      <c r="X1104" s="819" t="str">
        <f t="shared" si="256"/>
        <v/>
      </c>
      <c r="Y1104" s="837"/>
      <c r="Z1104" s="839"/>
      <c r="AA1104" s="838"/>
      <c r="AB1104" s="839"/>
    </row>
    <row r="1105" spans="1:28" ht="14.45">
      <c r="A1105" s="816"/>
      <c r="B1105" s="819" t="s">
        <v>2630</v>
      </c>
      <c r="C1105" s="819" t="s">
        <v>2631</v>
      </c>
      <c r="D1105" s="379" t="s">
        <v>336</v>
      </c>
      <c r="E1105" s="818" t="s">
        <v>1832</v>
      </c>
      <c r="F1105" s="820">
        <v>2.4371965640000002</v>
      </c>
      <c r="G1105" s="821">
        <v>10.66936488</v>
      </c>
      <c r="H1105" s="822">
        <v>68412760.701457307</v>
      </c>
      <c r="I1105" s="819"/>
      <c r="J1105" s="820">
        <v>-4.38088E-5</v>
      </c>
      <c r="K1105" s="819">
        <f t="shared" si="246"/>
        <v>806</v>
      </c>
      <c r="L1105" s="819">
        <f t="shared" si="247"/>
        <v>177</v>
      </c>
      <c r="M1105" s="819">
        <f t="shared" si="243"/>
        <v>806</v>
      </c>
      <c r="N1105" s="819">
        <f t="shared" si="244"/>
        <v>364</v>
      </c>
      <c r="O1105" s="819">
        <f t="shared" si="245"/>
        <v>909</v>
      </c>
      <c r="P1105" s="819">
        <f t="shared" si="248"/>
        <v>592</v>
      </c>
      <c r="Q1105" s="819">
        <f t="shared" si="249"/>
        <v>246</v>
      </c>
      <c r="R1105" s="819">
        <f t="shared" si="250"/>
        <v>724</v>
      </c>
      <c r="S1105" s="819">
        <f t="shared" si="251"/>
        <v>338</v>
      </c>
      <c r="T1105" s="819">
        <f t="shared" si="252"/>
        <v>887</v>
      </c>
      <c r="U1105" s="819">
        <f t="shared" si="253"/>
        <v>2787</v>
      </c>
      <c r="V1105" s="819">
        <f t="shared" si="254"/>
        <v>605</v>
      </c>
      <c r="W1105" s="379">
        <f t="shared" si="255"/>
        <v>605</v>
      </c>
      <c r="X1105" s="819" t="str">
        <f t="shared" si="256"/>
        <v/>
      </c>
      <c r="Y1105" s="837"/>
      <c r="Z1105" s="839"/>
      <c r="AA1105" s="838"/>
      <c r="AB1105" s="839"/>
    </row>
    <row r="1106" spans="1:28" ht="13.15">
      <c r="B1106" s="819" t="s">
        <v>2632</v>
      </c>
      <c r="C1106" s="819" t="s">
        <v>2633</v>
      </c>
      <c r="D1106" s="379" t="s">
        <v>336</v>
      </c>
      <c r="E1106" s="818" t="s">
        <v>625</v>
      </c>
      <c r="F1106" s="820">
        <v>3.3336742039999998</v>
      </c>
      <c r="G1106" s="821">
        <v>0</v>
      </c>
      <c r="H1106" s="822">
        <v>7820253510.5067997</v>
      </c>
      <c r="I1106" s="819"/>
      <c r="J1106" s="820">
        <v>-1.30123E-4</v>
      </c>
      <c r="K1106" s="819">
        <f t="shared" si="246"/>
        <v>48</v>
      </c>
      <c r="L1106" s="819">
        <f t="shared" si="247"/>
        <v>1084</v>
      </c>
      <c r="M1106" s="819">
        <f t="shared" si="243"/>
        <v>48</v>
      </c>
      <c r="N1106" s="819">
        <f t="shared" si="244"/>
        <v>364</v>
      </c>
      <c r="O1106" s="819">
        <f t="shared" si="245"/>
        <v>1040</v>
      </c>
      <c r="P1106" s="819">
        <f t="shared" si="248"/>
        <v>1350</v>
      </c>
      <c r="Q1106" s="819">
        <f t="shared" si="249"/>
        <v>661</v>
      </c>
      <c r="R1106" s="819">
        <f t="shared" si="250"/>
        <v>34</v>
      </c>
      <c r="S1106" s="819">
        <f t="shared" si="251"/>
        <v>338</v>
      </c>
      <c r="T1106" s="819">
        <f t="shared" si="252"/>
        <v>1018</v>
      </c>
      <c r="U1106" s="819">
        <f t="shared" si="253"/>
        <v>3401</v>
      </c>
      <c r="V1106" s="819">
        <f t="shared" si="254"/>
        <v>1464</v>
      </c>
      <c r="W1106" s="379">
        <f t="shared" si="255"/>
        <v>1464</v>
      </c>
      <c r="X1106" s="819" t="str">
        <f t="shared" si="256"/>
        <v/>
      </c>
      <c r="Y1106" s="837"/>
      <c r="Z1106" s="839"/>
      <c r="AA1106" s="838"/>
      <c r="AB1106" s="839"/>
    </row>
    <row r="1107" spans="1:28" ht="14.45">
      <c r="A1107" s="816"/>
      <c r="B1107" s="819" t="s">
        <v>2634</v>
      </c>
      <c r="C1107" s="819" t="s">
        <v>2635</v>
      </c>
      <c r="D1107" s="379" t="s">
        <v>336</v>
      </c>
      <c r="E1107" s="818" t="s">
        <v>2636</v>
      </c>
      <c r="F1107" s="820">
        <v>1.693596119</v>
      </c>
      <c r="G1107" s="821">
        <v>2.9493510920000001</v>
      </c>
      <c r="H1107" s="822">
        <v>4598247.4217971899</v>
      </c>
      <c r="I1107" s="819"/>
      <c r="J1107" s="820">
        <v>-3.0276500000000001E-5</v>
      </c>
      <c r="K1107" s="819">
        <f t="shared" si="246"/>
        <v>1375</v>
      </c>
      <c r="L1107" s="819">
        <f t="shared" si="247"/>
        <v>555</v>
      </c>
      <c r="M1107" s="819">
        <f t="shared" si="243"/>
        <v>1375</v>
      </c>
      <c r="N1107" s="819">
        <f t="shared" si="244"/>
        <v>364</v>
      </c>
      <c r="O1107" s="819">
        <f t="shared" si="245"/>
        <v>876</v>
      </c>
      <c r="P1107" s="819">
        <f t="shared" si="248"/>
        <v>23</v>
      </c>
      <c r="Q1107" s="819">
        <f t="shared" si="249"/>
        <v>132</v>
      </c>
      <c r="R1107" s="819">
        <f t="shared" si="250"/>
        <v>1293</v>
      </c>
      <c r="S1107" s="819">
        <f t="shared" si="251"/>
        <v>338</v>
      </c>
      <c r="T1107" s="819">
        <f t="shared" si="252"/>
        <v>854</v>
      </c>
      <c r="U1107" s="819">
        <f t="shared" si="253"/>
        <v>2640</v>
      </c>
      <c r="V1107" s="819">
        <f t="shared" si="254"/>
        <v>314</v>
      </c>
      <c r="W1107" s="379">
        <f t="shared" si="255"/>
        <v>314</v>
      </c>
      <c r="X1107" s="819" t="str">
        <f t="shared" si="256"/>
        <v/>
      </c>
      <c r="Y1107" s="837"/>
      <c r="Z1107" s="839"/>
      <c r="AA1107" s="838"/>
      <c r="AB1107" s="839"/>
    </row>
    <row r="1108" spans="1:28" ht="13.15">
      <c r="B1108" s="819" t="s">
        <v>2637</v>
      </c>
      <c r="C1108" s="819" t="s">
        <v>2638</v>
      </c>
      <c r="D1108" s="379" t="s">
        <v>336</v>
      </c>
      <c r="E1108" s="818" t="s">
        <v>337</v>
      </c>
      <c r="F1108" s="820">
        <v>11.221319749999999</v>
      </c>
      <c r="G1108" s="821">
        <v>3.1853207970000001</v>
      </c>
      <c r="H1108" s="822">
        <v>65834540</v>
      </c>
      <c r="I1108" s="819"/>
      <c r="J1108" s="820">
        <v>-8.4913299999999999E-6</v>
      </c>
      <c r="K1108" s="819">
        <f t="shared" si="246"/>
        <v>819</v>
      </c>
      <c r="L1108" s="819">
        <f t="shared" si="247"/>
        <v>532</v>
      </c>
      <c r="M1108" s="819">
        <f t="shared" si="243"/>
        <v>819</v>
      </c>
      <c r="N1108" s="819">
        <f t="shared" si="244"/>
        <v>364</v>
      </c>
      <c r="O1108" s="819">
        <f t="shared" si="245"/>
        <v>796</v>
      </c>
      <c r="P1108" s="819">
        <f t="shared" si="248"/>
        <v>579</v>
      </c>
      <c r="Q1108" s="819">
        <f t="shared" si="249"/>
        <v>109</v>
      </c>
      <c r="R1108" s="819">
        <f t="shared" si="250"/>
        <v>737</v>
      </c>
      <c r="S1108" s="819">
        <f t="shared" si="251"/>
        <v>338</v>
      </c>
      <c r="T1108" s="819">
        <f t="shared" si="252"/>
        <v>774</v>
      </c>
      <c r="U1108" s="819">
        <f t="shared" si="253"/>
        <v>2537</v>
      </c>
      <c r="V1108" s="819">
        <f t="shared" si="254"/>
        <v>263</v>
      </c>
      <c r="W1108" s="379">
        <f t="shared" si="255"/>
        <v>263</v>
      </c>
      <c r="X1108" s="819" t="str">
        <f t="shared" si="256"/>
        <v/>
      </c>
      <c r="Y1108" s="837"/>
      <c r="Z1108" s="839"/>
      <c r="AA1108" s="838"/>
      <c r="AB1108" s="839"/>
    </row>
    <row r="1109" spans="1:28" ht="14.45">
      <c r="A1109" s="816"/>
      <c r="B1109" s="819" t="s">
        <v>2639</v>
      </c>
      <c r="C1109" s="819" t="s">
        <v>2640</v>
      </c>
      <c r="D1109" s="379" t="s">
        <v>336</v>
      </c>
      <c r="E1109" s="818" t="s">
        <v>460</v>
      </c>
      <c r="F1109" s="820">
        <v>2.66072766</v>
      </c>
      <c r="G1109" s="821">
        <v>-3.9521499449999999</v>
      </c>
      <c r="H1109" s="822">
        <v>52015523.401450202</v>
      </c>
      <c r="I1109" s="819"/>
      <c r="J1109" s="820">
        <v>2.5790099999999999E-5</v>
      </c>
      <c r="K1109" s="819">
        <f t="shared" si="246"/>
        <v>865</v>
      </c>
      <c r="L1109" s="819">
        <f t="shared" si="247"/>
        <v>1388</v>
      </c>
      <c r="M1109" s="819">
        <f t="shared" si="243"/>
        <v>865</v>
      </c>
      <c r="N1109" s="819">
        <f t="shared" si="244"/>
        <v>364</v>
      </c>
      <c r="O1109" s="819">
        <f t="shared" si="245"/>
        <v>389</v>
      </c>
      <c r="P1109" s="819">
        <f t="shared" si="248"/>
        <v>533</v>
      </c>
      <c r="Q1109" s="819">
        <f t="shared" si="249"/>
        <v>965</v>
      </c>
      <c r="R1109" s="819">
        <f t="shared" si="250"/>
        <v>783</v>
      </c>
      <c r="S1109" s="819">
        <f t="shared" si="251"/>
        <v>338</v>
      </c>
      <c r="T1109" s="819">
        <f t="shared" si="252"/>
        <v>367</v>
      </c>
      <c r="U1109" s="819">
        <f t="shared" si="253"/>
        <v>2986</v>
      </c>
      <c r="V1109" s="819">
        <f t="shared" si="254"/>
        <v>908</v>
      </c>
      <c r="W1109" s="379">
        <f t="shared" si="255"/>
        <v>908</v>
      </c>
      <c r="X1109" s="819" t="str">
        <f t="shared" si="256"/>
        <v/>
      </c>
      <c r="Y1109" s="837"/>
      <c r="Z1109" s="839"/>
      <c r="AA1109" s="838"/>
      <c r="AB1109" s="839"/>
    </row>
    <row r="1110" spans="1:28" ht="13.15">
      <c r="B1110" s="819" t="s">
        <v>2641</v>
      </c>
      <c r="C1110" s="819" t="s">
        <v>2642</v>
      </c>
      <c r="D1110" s="379" t="s">
        <v>336</v>
      </c>
      <c r="E1110" s="818" t="s">
        <v>460</v>
      </c>
      <c r="F1110" s="820">
        <v>1.642778098</v>
      </c>
      <c r="G1110" s="821">
        <v>-773.93958889999999</v>
      </c>
      <c r="H1110" s="822">
        <v>7634338.10750884</v>
      </c>
      <c r="I1110" s="819"/>
      <c r="J1110" s="820">
        <v>8.2557600000000004E-6</v>
      </c>
      <c r="K1110" s="819">
        <f t="shared" si="246"/>
        <v>1304</v>
      </c>
      <c r="L1110" s="819">
        <f t="shared" si="247"/>
        <v>1530</v>
      </c>
      <c r="M1110" s="819">
        <f t="shared" si="243"/>
        <v>1304</v>
      </c>
      <c r="N1110" s="819">
        <f t="shared" si="244"/>
        <v>364</v>
      </c>
      <c r="O1110" s="819">
        <f t="shared" si="245"/>
        <v>428</v>
      </c>
      <c r="P1110" s="819">
        <f t="shared" si="248"/>
        <v>94</v>
      </c>
      <c r="Q1110" s="819">
        <f t="shared" si="249"/>
        <v>1107</v>
      </c>
      <c r="R1110" s="819">
        <f t="shared" si="250"/>
        <v>1222</v>
      </c>
      <c r="S1110" s="819">
        <f t="shared" si="251"/>
        <v>338</v>
      </c>
      <c r="T1110" s="819">
        <f t="shared" si="252"/>
        <v>406</v>
      </c>
      <c r="U1110" s="819">
        <f t="shared" si="253"/>
        <v>3167</v>
      </c>
      <c r="V1110" s="819">
        <f t="shared" si="254"/>
        <v>1149</v>
      </c>
      <c r="W1110" s="379">
        <f t="shared" si="255"/>
        <v>1149</v>
      </c>
      <c r="X1110" s="819" t="str">
        <f t="shared" si="256"/>
        <v/>
      </c>
      <c r="Y1110" s="837"/>
      <c r="Z1110" s="839"/>
      <c r="AA1110" s="838"/>
      <c r="AB1110" s="839"/>
    </row>
    <row r="1111" spans="1:28" ht="14.45">
      <c r="A1111" s="816"/>
      <c r="B1111" s="819" t="s">
        <v>2643</v>
      </c>
      <c r="C1111" s="819" t="s">
        <v>2644</v>
      </c>
      <c r="D1111" s="379" t="s">
        <v>336</v>
      </c>
      <c r="E1111" s="818" t="s">
        <v>1077</v>
      </c>
      <c r="F1111" s="820"/>
      <c r="G1111" s="821"/>
      <c r="H1111" s="822">
        <v>31252223.214728799</v>
      </c>
      <c r="I1111" s="819"/>
      <c r="J1111" s="820">
        <v>0</v>
      </c>
      <c r="K1111" s="819">
        <f t="shared" si="246"/>
        <v>992</v>
      </c>
      <c r="L1111" s="819">
        <f t="shared" si="247"/>
        <v>1084</v>
      </c>
      <c r="M1111" s="819">
        <f t="shared" si="243"/>
        <v>992</v>
      </c>
      <c r="N1111" s="819">
        <f t="shared" si="244"/>
        <v>364</v>
      </c>
      <c r="O1111" s="819">
        <f t="shared" si="245"/>
        <v>492</v>
      </c>
      <c r="P1111" s="819">
        <f t="shared" si="248"/>
        <v>406</v>
      </c>
      <c r="Q1111" s="819">
        <f t="shared" si="249"/>
        <v>661</v>
      </c>
      <c r="R1111" s="819">
        <f t="shared" si="250"/>
        <v>910</v>
      </c>
      <c r="S1111" s="819">
        <f t="shared" si="251"/>
        <v>338</v>
      </c>
      <c r="T1111" s="819">
        <f t="shared" si="252"/>
        <v>470</v>
      </c>
      <c r="U1111" s="819">
        <f t="shared" si="253"/>
        <v>2785</v>
      </c>
      <c r="V1111" s="819">
        <f t="shared" si="254"/>
        <v>463</v>
      </c>
      <c r="W1111" s="379">
        <f t="shared" si="255"/>
        <v>463</v>
      </c>
      <c r="X1111" s="819" t="str">
        <f t="shared" si="256"/>
        <v/>
      </c>
      <c r="Y1111" s="837"/>
      <c r="Z1111" s="839"/>
      <c r="AA1111" s="838"/>
      <c r="AB1111" s="839"/>
    </row>
    <row r="1112" spans="1:28" ht="13.15">
      <c r="B1112" s="819" t="s">
        <v>2645</v>
      </c>
      <c r="C1112" s="819" t="s">
        <v>2646</v>
      </c>
      <c r="D1112" s="379" t="s">
        <v>336</v>
      </c>
      <c r="E1112" s="818" t="s">
        <v>441</v>
      </c>
      <c r="F1112" s="820">
        <v>6.0198073799999996</v>
      </c>
      <c r="G1112" s="821">
        <v>1.493782213</v>
      </c>
      <c r="H1112" s="822">
        <v>510122917.85032803</v>
      </c>
      <c r="I1112" s="819"/>
      <c r="J1112" s="820">
        <v>-8.1626700000000002E-5</v>
      </c>
      <c r="K1112" s="819">
        <f t="shared" si="246"/>
        <v>344</v>
      </c>
      <c r="L1112" s="819">
        <f t="shared" si="247"/>
        <v>740</v>
      </c>
      <c r="M1112" s="819">
        <f t="shared" si="243"/>
        <v>344</v>
      </c>
      <c r="N1112" s="819">
        <f t="shared" si="244"/>
        <v>364</v>
      </c>
      <c r="O1112" s="819">
        <f t="shared" si="245"/>
        <v>977</v>
      </c>
      <c r="P1112" s="819">
        <f t="shared" si="248"/>
        <v>1054</v>
      </c>
      <c r="Q1112" s="819">
        <f t="shared" si="249"/>
        <v>317</v>
      </c>
      <c r="R1112" s="819">
        <f t="shared" si="250"/>
        <v>262</v>
      </c>
      <c r="S1112" s="819">
        <f t="shared" si="251"/>
        <v>338</v>
      </c>
      <c r="T1112" s="819">
        <f t="shared" si="252"/>
        <v>955</v>
      </c>
      <c r="U1112" s="819">
        <f t="shared" si="253"/>
        <v>2926</v>
      </c>
      <c r="V1112" s="819">
        <f t="shared" si="254"/>
        <v>842</v>
      </c>
      <c r="W1112" s="379">
        <f t="shared" si="255"/>
        <v>842</v>
      </c>
      <c r="X1112" s="819" t="str">
        <f t="shared" si="256"/>
        <v/>
      </c>
      <c r="Y1112" s="837"/>
      <c r="Z1112" s="839"/>
      <c r="AA1112" s="838"/>
      <c r="AB1112" s="839"/>
    </row>
    <row r="1113" spans="1:28" ht="14.45">
      <c r="A1113" s="816"/>
      <c r="B1113" s="819" t="s">
        <v>2647</v>
      </c>
      <c r="C1113" s="819" t="s">
        <v>2648</v>
      </c>
      <c r="D1113" s="379" t="s">
        <v>336</v>
      </c>
      <c r="E1113" s="818" t="s">
        <v>1832</v>
      </c>
      <c r="F1113" s="820">
        <v>0.28345200799999998</v>
      </c>
      <c r="G1113" s="821">
        <v>-11.80037817</v>
      </c>
      <c r="H1113" s="822">
        <v>8044034.4742024401</v>
      </c>
      <c r="I1113" s="819"/>
      <c r="J1113" s="820">
        <v>5.5842699999999996E-6</v>
      </c>
      <c r="K1113" s="819">
        <f t="shared" si="246"/>
        <v>1299</v>
      </c>
      <c r="L1113" s="819">
        <f t="shared" si="247"/>
        <v>1458</v>
      </c>
      <c r="M1113" s="819">
        <f t="shared" si="243"/>
        <v>1299</v>
      </c>
      <c r="N1113" s="819">
        <f t="shared" si="244"/>
        <v>364</v>
      </c>
      <c r="O1113" s="819">
        <f t="shared" si="245"/>
        <v>441</v>
      </c>
      <c r="P1113" s="819">
        <f t="shared" si="248"/>
        <v>99</v>
      </c>
      <c r="Q1113" s="819">
        <f t="shared" si="249"/>
        <v>1035</v>
      </c>
      <c r="R1113" s="819">
        <f t="shared" si="250"/>
        <v>1217</v>
      </c>
      <c r="S1113" s="819">
        <f t="shared" si="251"/>
        <v>338</v>
      </c>
      <c r="T1113" s="819">
        <f t="shared" si="252"/>
        <v>419</v>
      </c>
      <c r="U1113" s="819">
        <f t="shared" si="253"/>
        <v>3108</v>
      </c>
      <c r="V1113" s="819">
        <f t="shared" si="254"/>
        <v>1076</v>
      </c>
      <c r="W1113" s="379">
        <f t="shared" si="255"/>
        <v>1076</v>
      </c>
      <c r="X1113" s="819" t="str">
        <f t="shared" si="256"/>
        <v/>
      </c>
      <c r="Y1113" s="837"/>
      <c r="Z1113" s="839"/>
      <c r="AA1113" s="838"/>
      <c r="AB1113" s="839"/>
    </row>
    <row r="1114" spans="1:28" ht="13.15">
      <c r="B1114" s="819" t="s">
        <v>2649</v>
      </c>
      <c r="C1114" s="819" t="s">
        <v>2650</v>
      </c>
      <c r="D1114" s="379" t="s">
        <v>336</v>
      </c>
      <c r="E1114" s="818" t="s">
        <v>460</v>
      </c>
      <c r="F1114" s="820">
        <v>0.15231119000000001</v>
      </c>
      <c r="G1114" s="821">
        <v>-0.35792200600000001</v>
      </c>
      <c r="H1114" s="822">
        <v>67707459.459459499</v>
      </c>
      <c r="I1114" s="819"/>
      <c r="J1114" s="820">
        <v>2.6952600000000002E-4</v>
      </c>
      <c r="K1114" s="819">
        <f t="shared" si="246"/>
        <v>809</v>
      </c>
      <c r="L1114" s="819">
        <f t="shared" si="247"/>
        <v>1258</v>
      </c>
      <c r="M1114" s="819">
        <f t="shared" si="243"/>
        <v>809</v>
      </c>
      <c r="N1114" s="819">
        <f t="shared" si="244"/>
        <v>364</v>
      </c>
      <c r="O1114" s="819">
        <f t="shared" si="245"/>
        <v>238</v>
      </c>
      <c r="P1114" s="819">
        <f t="shared" si="248"/>
        <v>589</v>
      </c>
      <c r="Q1114" s="819">
        <f t="shared" si="249"/>
        <v>835</v>
      </c>
      <c r="R1114" s="819">
        <f t="shared" si="250"/>
        <v>727</v>
      </c>
      <c r="S1114" s="819">
        <f t="shared" si="251"/>
        <v>338</v>
      </c>
      <c r="T1114" s="819">
        <f t="shared" si="252"/>
        <v>216</v>
      </c>
      <c r="U1114" s="819">
        <f t="shared" si="253"/>
        <v>2705</v>
      </c>
      <c r="V1114" s="819">
        <f t="shared" si="254"/>
        <v>364</v>
      </c>
      <c r="W1114" s="379">
        <f t="shared" si="255"/>
        <v>364</v>
      </c>
      <c r="X1114" s="819" t="str">
        <f t="shared" si="256"/>
        <v/>
      </c>
      <c r="Y1114" s="837"/>
      <c r="Z1114" s="839"/>
      <c r="AA1114" s="838"/>
      <c r="AB1114" s="839"/>
    </row>
    <row r="1115" spans="1:28" ht="14.45">
      <c r="A1115" s="816"/>
      <c r="B1115" s="819" t="s">
        <v>2651</v>
      </c>
      <c r="C1115" s="819" t="s">
        <v>2652</v>
      </c>
      <c r="D1115" s="379" t="s">
        <v>336</v>
      </c>
      <c r="E1115" s="818" t="s">
        <v>460</v>
      </c>
      <c r="F1115" s="820">
        <v>1.580905461</v>
      </c>
      <c r="G1115" s="821">
        <v>-24.0046845</v>
      </c>
      <c r="H1115" s="822">
        <v>11695584.1169773</v>
      </c>
      <c r="I1115" s="819"/>
      <c r="J1115" s="820">
        <v>2.3618699999999998E-6</v>
      </c>
      <c r="K1115" s="819">
        <f t="shared" si="246"/>
        <v>1217</v>
      </c>
      <c r="L1115" s="819">
        <f t="shared" si="247"/>
        <v>1484</v>
      </c>
      <c r="M1115" s="819">
        <f t="shared" si="243"/>
        <v>1217</v>
      </c>
      <c r="N1115" s="819">
        <f t="shared" si="244"/>
        <v>364</v>
      </c>
      <c r="O1115" s="819">
        <f t="shared" si="245"/>
        <v>467</v>
      </c>
      <c r="P1115" s="819">
        <f t="shared" si="248"/>
        <v>181</v>
      </c>
      <c r="Q1115" s="819">
        <f t="shared" si="249"/>
        <v>1061</v>
      </c>
      <c r="R1115" s="819">
        <f t="shared" si="250"/>
        <v>1135</v>
      </c>
      <c r="S1115" s="819">
        <f t="shared" si="251"/>
        <v>338</v>
      </c>
      <c r="T1115" s="819">
        <f t="shared" si="252"/>
        <v>445</v>
      </c>
      <c r="U1115" s="819">
        <f t="shared" si="253"/>
        <v>3160</v>
      </c>
      <c r="V1115" s="819">
        <f t="shared" si="254"/>
        <v>1141</v>
      </c>
      <c r="W1115" s="379">
        <f t="shared" si="255"/>
        <v>1141</v>
      </c>
      <c r="X1115" s="819" t="str">
        <f t="shared" si="256"/>
        <v/>
      </c>
      <c r="Y1115" s="837"/>
      <c r="Z1115" s="839"/>
      <c r="AA1115" s="838"/>
      <c r="AB1115" s="839"/>
    </row>
    <row r="1116" spans="1:28" ht="13.15">
      <c r="B1116" s="819" t="s">
        <v>2653</v>
      </c>
      <c r="C1116" s="819" t="s">
        <v>2654</v>
      </c>
      <c r="D1116" s="379" t="s">
        <v>336</v>
      </c>
      <c r="E1116" s="818" t="s">
        <v>337</v>
      </c>
      <c r="F1116" s="820">
        <v>1.164429954</v>
      </c>
      <c r="G1116" s="821">
        <v>0.243141676</v>
      </c>
      <c r="H1116" s="822">
        <v>85427637.75</v>
      </c>
      <c r="I1116" s="819"/>
      <c r="J1116" s="820">
        <v>-1.4323400000000001E-5</v>
      </c>
      <c r="K1116" s="819">
        <f t="shared" si="246"/>
        <v>753</v>
      </c>
      <c r="L1116" s="819">
        <f t="shared" si="247"/>
        <v>972</v>
      </c>
      <c r="M1116" s="819">
        <f t="shared" si="243"/>
        <v>753</v>
      </c>
      <c r="N1116" s="819">
        <f t="shared" si="244"/>
        <v>364</v>
      </c>
      <c r="O1116" s="819">
        <f t="shared" si="245"/>
        <v>829</v>
      </c>
      <c r="P1116" s="819">
        <f t="shared" si="248"/>
        <v>645</v>
      </c>
      <c r="Q1116" s="819">
        <f t="shared" si="249"/>
        <v>549</v>
      </c>
      <c r="R1116" s="819">
        <f t="shared" si="250"/>
        <v>671</v>
      </c>
      <c r="S1116" s="819">
        <f t="shared" si="251"/>
        <v>338</v>
      </c>
      <c r="T1116" s="819">
        <f t="shared" si="252"/>
        <v>807</v>
      </c>
      <c r="U1116" s="819">
        <f t="shared" si="253"/>
        <v>3010</v>
      </c>
      <c r="V1116" s="819">
        <f t="shared" si="254"/>
        <v>938</v>
      </c>
      <c r="W1116" s="379">
        <f t="shared" si="255"/>
        <v>938</v>
      </c>
      <c r="X1116" s="819" t="str">
        <f t="shared" si="256"/>
        <v/>
      </c>
      <c r="Y1116" s="837"/>
      <c r="Z1116" s="839"/>
      <c r="AA1116" s="838"/>
      <c r="AB1116" s="839"/>
    </row>
    <row r="1117" spans="1:28" ht="14.45">
      <c r="A1117" s="816"/>
      <c r="B1117" s="819" t="s">
        <v>2655</v>
      </c>
      <c r="C1117" s="819" t="s">
        <v>2656</v>
      </c>
      <c r="D1117" s="379" t="s">
        <v>336</v>
      </c>
      <c r="E1117" s="818" t="s">
        <v>453</v>
      </c>
      <c r="F1117" s="820">
        <v>3.0705659559999998</v>
      </c>
      <c r="G1117" s="821">
        <v>2.081062169</v>
      </c>
      <c r="H1117" s="822">
        <v>22856104.416680802</v>
      </c>
      <c r="I1117" s="819"/>
      <c r="J1117" s="820">
        <v>-1.4751499999999999E-3</v>
      </c>
      <c r="K1117" s="819">
        <f t="shared" si="246"/>
        <v>1072</v>
      </c>
      <c r="L1117" s="819">
        <f t="shared" si="247"/>
        <v>662</v>
      </c>
      <c r="M1117" s="819">
        <f t="shared" si="243"/>
        <v>1072</v>
      </c>
      <c r="N1117" s="819">
        <f t="shared" si="244"/>
        <v>364</v>
      </c>
      <c r="O1117" s="819">
        <f t="shared" si="245"/>
        <v>1460</v>
      </c>
      <c r="P1117" s="819">
        <f t="shared" si="248"/>
        <v>326</v>
      </c>
      <c r="Q1117" s="819">
        <f t="shared" si="249"/>
        <v>239</v>
      </c>
      <c r="R1117" s="819">
        <f t="shared" si="250"/>
        <v>990</v>
      </c>
      <c r="S1117" s="819">
        <f t="shared" si="251"/>
        <v>338</v>
      </c>
      <c r="T1117" s="819">
        <f t="shared" si="252"/>
        <v>1438</v>
      </c>
      <c r="U1117" s="819">
        <f t="shared" si="253"/>
        <v>3331</v>
      </c>
      <c r="V1117" s="819">
        <f t="shared" si="254"/>
        <v>1382</v>
      </c>
      <c r="W1117" s="379">
        <f t="shared" si="255"/>
        <v>1382</v>
      </c>
      <c r="X1117" s="819" t="str">
        <f t="shared" si="256"/>
        <v/>
      </c>
      <c r="Y1117" s="837"/>
      <c r="Z1117" s="839"/>
      <c r="AA1117" s="838"/>
      <c r="AB1117" s="839"/>
    </row>
    <row r="1118" spans="1:28" ht="13.15">
      <c r="B1118" s="819" t="s">
        <v>2657</v>
      </c>
      <c r="C1118" s="819" t="s">
        <v>2658</v>
      </c>
      <c r="D1118" s="379" t="s">
        <v>336</v>
      </c>
      <c r="E1118" s="818" t="s">
        <v>373</v>
      </c>
      <c r="F1118" s="820">
        <v>2.1873685310000002</v>
      </c>
      <c r="G1118" s="821">
        <v>4.4171057469999999</v>
      </c>
      <c r="H1118" s="822">
        <v>8911625</v>
      </c>
      <c r="I1118" s="819"/>
      <c r="J1118" s="820">
        <v>-1.9153799999999999E-4</v>
      </c>
      <c r="K1118" s="819">
        <f t="shared" si="246"/>
        <v>1272</v>
      </c>
      <c r="L1118" s="819">
        <f t="shared" si="247"/>
        <v>419</v>
      </c>
      <c r="M1118" s="819">
        <f t="shared" si="243"/>
        <v>1272</v>
      </c>
      <c r="N1118" s="819">
        <f t="shared" si="244"/>
        <v>364</v>
      </c>
      <c r="O1118" s="819">
        <f t="shared" si="245"/>
        <v>1099</v>
      </c>
      <c r="P1118" s="819">
        <f t="shared" si="248"/>
        <v>126</v>
      </c>
      <c r="Q1118" s="819">
        <f t="shared" si="249"/>
        <v>4</v>
      </c>
      <c r="R1118" s="819">
        <f t="shared" si="250"/>
        <v>1190</v>
      </c>
      <c r="S1118" s="819">
        <f t="shared" si="251"/>
        <v>338</v>
      </c>
      <c r="T1118" s="819">
        <f t="shared" si="252"/>
        <v>1077</v>
      </c>
      <c r="U1118" s="819">
        <f t="shared" si="253"/>
        <v>2735</v>
      </c>
      <c r="V1118" s="819">
        <f t="shared" si="254"/>
        <v>400</v>
      </c>
      <c r="W1118" s="379">
        <f t="shared" si="255"/>
        <v>400</v>
      </c>
      <c r="X1118" s="819" t="str">
        <f t="shared" si="256"/>
        <v/>
      </c>
      <c r="Y1118" s="837"/>
      <c r="Z1118" s="839"/>
      <c r="AA1118" s="838"/>
      <c r="AB1118" s="839"/>
    </row>
    <row r="1119" spans="1:28" ht="14.45">
      <c r="A1119" s="816"/>
      <c r="B1119" s="819" t="s">
        <v>2659</v>
      </c>
      <c r="C1119" s="819" t="s">
        <v>2660</v>
      </c>
      <c r="D1119" s="379" t="s">
        <v>336</v>
      </c>
      <c r="E1119" s="818" t="s">
        <v>625</v>
      </c>
      <c r="F1119" s="820">
        <v>1.6710544629999999</v>
      </c>
      <c r="G1119" s="821">
        <v>32.267280470000003</v>
      </c>
      <c r="H1119" s="822">
        <v>953233795.31458604</v>
      </c>
      <c r="I1119" s="819">
        <v>-0.1</v>
      </c>
      <c r="J1119" s="820">
        <v>-2.2251000000000001E-4</v>
      </c>
      <c r="K1119" s="819">
        <f t="shared" si="246"/>
        <v>227</v>
      </c>
      <c r="L1119" s="819">
        <f t="shared" si="247"/>
        <v>56</v>
      </c>
      <c r="M1119" s="819">
        <f t="shared" si="243"/>
        <v>227</v>
      </c>
      <c r="N1119" s="819">
        <f t="shared" si="244"/>
        <v>378</v>
      </c>
      <c r="O1119" s="819">
        <f t="shared" si="245"/>
        <v>1127</v>
      </c>
      <c r="P1119" s="819">
        <f t="shared" si="248"/>
        <v>1171</v>
      </c>
      <c r="Q1119" s="819">
        <f t="shared" si="249"/>
        <v>367</v>
      </c>
      <c r="R1119" s="819">
        <f t="shared" si="250"/>
        <v>145</v>
      </c>
      <c r="S1119" s="819">
        <f t="shared" si="251"/>
        <v>352</v>
      </c>
      <c r="T1119" s="819">
        <f t="shared" si="252"/>
        <v>1105</v>
      </c>
      <c r="U1119" s="819">
        <f t="shared" si="253"/>
        <v>3140</v>
      </c>
      <c r="V1119" s="819">
        <f t="shared" si="254"/>
        <v>1109</v>
      </c>
      <c r="W1119" s="379">
        <f t="shared" si="255"/>
        <v>1109</v>
      </c>
      <c r="X1119" s="819" t="str">
        <f t="shared" si="256"/>
        <v/>
      </c>
      <c r="Y1119" s="837"/>
      <c r="Z1119" s="839"/>
      <c r="AA1119" s="838"/>
      <c r="AB1119" s="839"/>
    </row>
    <row r="1120" spans="1:28" ht="13.15">
      <c r="B1120" s="819" t="s">
        <v>2661</v>
      </c>
      <c r="C1120" s="819" t="s">
        <v>2662</v>
      </c>
      <c r="D1120" s="379" t="s">
        <v>336</v>
      </c>
      <c r="E1120" s="818" t="s">
        <v>441</v>
      </c>
      <c r="F1120" s="820"/>
      <c r="G1120" s="821"/>
      <c r="H1120" s="822">
        <v>190896991.39514601</v>
      </c>
      <c r="I1120" s="819"/>
      <c r="J1120" s="820">
        <v>0</v>
      </c>
      <c r="K1120" s="819">
        <f t="shared" si="246"/>
        <v>581</v>
      </c>
      <c r="L1120" s="819">
        <f t="shared" si="247"/>
        <v>1084</v>
      </c>
      <c r="M1120" s="819">
        <f t="shared" si="243"/>
        <v>581</v>
      </c>
      <c r="N1120" s="819">
        <f t="shared" si="244"/>
        <v>364</v>
      </c>
      <c r="O1120" s="819">
        <f t="shared" si="245"/>
        <v>492</v>
      </c>
      <c r="P1120" s="819">
        <f t="shared" si="248"/>
        <v>817</v>
      </c>
      <c r="Q1120" s="819">
        <f t="shared" si="249"/>
        <v>661</v>
      </c>
      <c r="R1120" s="819">
        <f t="shared" si="250"/>
        <v>499</v>
      </c>
      <c r="S1120" s="819">
        <f t="shared" si="251"/>
        <v>338</v>
      </c>
      <c r="T1120" s="819">
        <f t="shared" si="252"/>
        <v>470</v>
      </c>
      <c r="U1120" s="819">
        <f t="shared" si="253"/>
        <v>2785</v>
      </c>
      <c r="V1120" s="819">
        <f t="shared" si="254"/>
        <v>463</v>
      </c>
      <c r="W1120" s="379">
        <f t="shared" si="255"/>
        <v>463</v>
      </c>
      <c r="X1120" s="819" t="str">
        <f t="shared" si="256"/>
        <v/>
      </c>
      <c r="Y1120" s="837"/>
      <c r="Z1120" s="839"/>
      <c r="AA1120" s="838"/>
      <c r="AB1120" s="839"/>
    </row>
    <row r="1121" spans="1:28" ht="14.45">
      <c r="A1121" s="816"/>
      <c r="B1121" s="819" t="s">
        <v>2663</v>
      </c>
      <c r="C1121" s="819" t="s">
        <v>2664</v>
      </c>
      <c r="D1121" s="379" t="s">
        <v>336</v>
      </c>
      <c r="E1121" s="818" t="s">
        <v>1957</v>
      </c>
      <c r="F1121" s="820">
        <v>5.9743942289999996</v>
      </c>
      <c r="G1121" s="821">
        <v>0.86966082099999997</v>
      </c>
      <c r="H1121" s="822">
        <v>57272805.187999502</v>
      </c>
      <c r="I1121" s="819"/>
      <c r="J1121" s="820">
        <v>-9.3776800000000007E-5</v>
      </c>
      <c r="K1121" s="819">
        <f t="shared" si="246"/>
        <v>844</v>
      </c>
      <c r="L1121" s="819">
        <f t="shared" si="247"/>
        <v>833</v>
      </c>
      <c r="M1121" s="819">
        <f t="shared" si="243"/>
        <v>844</v>
      </c>
      <c r="N1121" s="819">
        <f t="shared" si="244"/>
        <v>364</v>
      </c>
      <c r="O1121" s="819">
        <f t="shared" si="245"/>
        <v>1000</v>
      </c>
      <c r="P1121" s="819">
        <f t="shared" si="248"/>
        <v>554</v>
      </c>
      <c r="Q1121" s="819">
        <f t="shared" si="249"/>
        <v>410</v>
      </c>
      <c r="R1121" s="819">
        <f t="shared" si="250"/>
        <v>762</v>
      </c>
      <c r="S1121" s="819">
        <f t="shared" si="251"/>
        <v>338</v>
      </c>
      <c r="T1121" s="819">
        <f t="shared" si="252"/>
        <v>978</v>
      </c>
      <c r="U1121" s="819">
        <f t="shared" si="253"/>
        <v>3042</v>
      </c>
      <c r="V1121" s="819">
        <f t="shared" si="254"/>
        <v>987</v>
      </c>
      <c r="W1121" s="379">
        <f t="shared" si="255"/>
        <v>987</v>
      </c>
      <c r="X1121" s="819" t="str">
        <f t="shared" si="256"/>
        <v/>
      </c>
      <c r="Y1121" s="837"/>
      <c r="Z1121" s="839"/>
      <c r="AA1121" s="838"/>
      <c r="AB1121" s="839"/>
    </row>
    <row r="1122" spans="1:28" ht="13.15">
      <c r="B1122" s="819" t="s">
        <v>2665</v>
      </c>
      <c r="C1122" s="819" t="s">
        <v>2666</v>
      </c>
      <c r="D1122" s="379" t="s">
        <v>336</v>
      </c>
      <c r="E1122" s="818" t="s">
        <v>460</v>
      </c>
      <c r="F1122" s="820">
        <v>1.0105741070000001</v>
      </c>
      <c r="G1122" s="821">
        <v>-2.6968738999999999</v>
      </c>
      <c r="H1122" s="822">
        <v>773954.91100856999</v>
      </c>
      <c r="I1122" s="819"/>
      <c r="J1122" s="820">
        <v>1.277067E-3</v>
      </c>
      <c r="K1122" s="819">
        <f t="shared" si="246"/>
        <v>1577</v>
      </c>
      <c r="L1122" s="819">
        <f t="shared" si="247"/>
        <v>1364</v>
      </c>
      <c r="M1122" s="819">
        <f t="shared" si="243"/>
        <v>1577</v>
      </c>
      <c r="N1122" s="819">
        <f t="shared" si="244"/>
        <v>364</v>
      </c>
      <c r="O1122" s="819">
        <f t="shared" si="245"/>
        <v>174</v>
      </c>
      <c r="P1122" s="819">
        <f t="shared" si="248"/>
        <v>179</v>
      </c>
      <c r="Q1122" s="819">
        <f t="shared" si="249"/>
        <v>941</v>
      </c>
      <c r="R1122" s="819">
        <f t="shared" si="250"/>
        <v>1495</v>
      </c>
      <c r="S1122" s="819">
        <f t="shared" si="251"/>
        <v>338</v>
      </c>
      <c r="T1122" s="819">
        <f t="shared" si="252"/>
        <v>152</v>
      </c>
      <c r="U1122" s="819">
        <f t="shared" si="253"/>
        <v>3105</v>
      </c>
      <c r="V1122" s="819">
        <f t="shared" si="254"/>
        <v>1073</v>
      </c>
      <c r="W1122" s="379">
        <f t="shared" si="255"/>
        <v>1073</v>
      </c>
      <c r="X1122" s="819" t="str">
        <f t="shared" si="256"/>
        <v/>
      </c>
      <c r="Y1122" s="837"/>
      <c r="Z1122" s="839"/>
      <c r="AA1122" s="838"/>
      <c r="AB1122" s="839"/>
    </row>
    <row r="1123" spans="1:28" ht="14.45">
      <c r="A1123" s="816"/>
      <c r="B1123" s="819" t="s">
        <v>2667</v>
      </c>
      <c r="C1123" s="819" t="s">
        <v>2668</v>
      </c>
      <c r="D1123" s="379" t="s">
        <v>336</v>
      </c>
      <c r="E1123" s="818" t="s">
        <v>1077</v>
      </c>
      <c r="F1123" s="820">
        <v>1.9893321610000001</v>
      </c>
      <c r="G1123" s="821">
        <v>5.8022923320000004</v>
      </c>
      <c r="H1123" s="822">
        <v>23619430.767703801</v>
      </c>
      <c r="I1123" s="819">
        <v>0.12</v>
      </c>
      <c r="J1123" s="820">
        <v>-1.7267820000000001E-3</v>
      </c>
      <c r="K1123" s="819">
        <f t="shared" si="246"/>
        <v>1064</v>
      </c>
      <c r="L1123" s="819">
        <f t="shared" si="247"/>
        <v>331</v>
      </c>
      <c r="M1123" s="819">
        <f t="shared" si="243"/>
        <v>1064</v>
      </c>
      <c r="N1123" s="819">
        <f t="shared" si="244"/>
        <v>250</v>
      </c>
      <c r="O1123" s="819">
        <f t="shared" si="245"/>
        <v>1475</v>
      </c>
      <c r="P1123" s="819">
        <f t="shared" si="248"/>
        <v>334</v>
      </c>
      <c r="Q1123" s="819">
        <f t="shared" si="249"/>
        <v>92</v>
      </c>
      <c r="R1123" s="819">
        <f t="shared" si="250"/>
        <v>982</v>
      </c>
      <c r="S1123" s="819">
        <f t="shared" si="251"/>
        <v>224</v>
      </c>
      <c r="T1123" s="819">
        <f t="shared" si="252"/>
        <v>1453</v>
      </c>
      <c r="U1123" s="819">
        <f t="shared" si="253"/>
        <v>3085</v>
      </c>
      <c r="V1123" s="819">
        <f t="shared" si="254"/>
        <v>1046</v>
      </c>
      <c r="W1123" s="379">
        <f t="shared" si="255"/>
        <v>1046</v>
      </c>
      <c r="X1123" s="819" t="str">
        <f t="shared" si="256"/>
        <v/>
      </c>
      <c r="Y1123" s="837"/>
      <c r="Z1123" s="839"/>
      <c r="AA1123" s="838"/>
      <c r="AB1123" s="839"/>
    </row>
    <row r="1124" spans="1:28" ht="13.15">
      <c r="B1124" s="819" t="s">
        <v>2669</v>
      </c>
      <c r="C1124" s="819" t="s">
        <v>2670</v>
      </c>
      <c r="D1124" s="379" t="s">
        <v>336</v>
      </c>
      <c r="E1124" s="818" t="s">
        <v>441</v>
      </c>
      <c r="F1124" s="820">
        <v>0.97997364499999995</v>
      </c>
      <c r="G1124" s="821">
        <v>-3.4028226000000002E-2</v>
      </c>
      <c r="H1124" s="822">
        <v>725021450.39962399</v>
      </c>
      <c r="I1124" s="819"/>
      <c r="J1124" s="820">
        <v>5.1866599999999998E-4</v>
      </c>
      <c r="K1124" s="819">
        <f t="shared" si="246"/>
        <v>276</v>
      </c>
      <c r="L1124" s="819">
        <f t="shared" si="247"/>
        <v>1206</v>
      </c>
      <c r="M1124" s="819">
        <f t="shared" si="243"/>
        <v>276</v>
      </c>
      <c r="N1124" s="819">
        <f t="shared" si="244"/>
        <v>364</v>
      </c>
      <c r="O1124" s="819">
        <f t="shared" si="245"/>
        <v>212</v>
      </c>
      <c r="P1124" s="819">
        <f t="shared" si="248"/>
        <v>1122</v>
      </c>
      <c r="Q1124" s="819">
        <f t="shared" si="249"/>
        <v>783</v>
      </c>
      <c r="R1124" s="819">
        <f t="shared" si="250"/>
        <v>194</v>
      </c>
      <c r="S1124" s="819">
        <f t="shared" si="251"/>
        <v>338</v>
      </c>
      <c r="T1124" s="819">
        <f t="shared" si="252"/>
        <v>190</v>
      </c>
      <c r="U1124" s="819">
        <f t="shared" si="253"/>
        <v>2627</v>
      </c>
      <c r="V1124" s="819">
        <f t="shared" si="254"/>
        <v>299</v>
      </c>
      <c r="W1124" s="379">
        <f t="shared" si="255"/>
        <v>299</v>
      </c>
      <c r="X1124" s="819" t="str">
        <f t="shared" si="256"/>
        <v/>
      </c>
      <c r="Y1124" s="837"/>
      <c r="Z1124" s="839"/>
      <c r="AA1124" s="838"/>
      <c r="AB1124" s="839"/>
    </row>
    <row r="1125" spans="1:28" ht="14.45">
      <c r="A1125" s="816"/>
      <c r="B1125" s="819" t="s">
        <v>2671</v>
      </c>
      <c r="C1125" s="819" t="s">
        <v>2672</v>
      </c>
      <c r="D1125" s="379" t="s">
        <v>336</v>
      </c>
      <c r="E1125" s="818" t="s">
        <v>441</v>
      </c>
      <c r="F1125" s="820">
        <v>2.010060288</v>
      </c>
      <c r="G1125" s="821">
        <v>5.046764402</v>
      </c>
      <c r="H1125" s="822">
        <v>696191019.51796198</v>
      </c>
      <c r="I1125" s="819"/>
      <c r="J1125" s="820">
        <v>-1.0198189999999999E-3</v>
      </c>
      <c r="K1125" s="819">
        <f t="shared" si="246"/>
        <v>287</v>
      </c>
      <c r="L1125" s="819">
        <f t="shared" si="247"/>
        <v>375</v>
      </c>
      <c r="M1125" s="819">
        <f t="shared" si="243"/>
        <v>287</v>
      </c>
      <c r="N1125" s="819">
        <f t="shared" si="244"/>
        <v>364</v>
      </c>
      <c r="O1125" s="819">
        <f t="shared" si="245"/>
        <v>1401</v>
      </c>
      <c r="P1125" s="819">
        <f t="shared" si="248"/>
        <v>1111</v>
      </c>
      <c r="Q1125" s="819">
        <f t="shared" si="249"/>
        <v>48</v>
      </c>
      <c r="R1125" s="819">
        <f t="shared" si="250"/>
        <v>205</v>
      </c>
      <c r="S1125" s="819">
        <f t="shared" si="251"/>
        <v>338</v>
      </c>
      <c r="T1125" s="819">
        <f t="shared" si="252"/>
        <v>1379</v>
      </c>
      <c r="U1125" s="819">
        <f t="shared" si="253"/>
        <v>3081</v>
      </c>
      <c r="V1125" s="819">
        <f t="shared" si="254"/>
        <v>1031</v>
      </c>
      <c r="W1125" s="379">
        <f t="shared" si="255"/>
        <v>1031</v>
      </c>
      <c r="X1125" s="819" t="str">
        <f t="shared" si="256"/>
        <v/>
      </c>
      <c r="Y1125" s="837"/>
      <c r="Z1125" s="839"/>
      <c r="AA1125" s="838"/>
      <c r="AB1125" s="839"/>
    </row>
    <row r="1126" spans="1:28" ht="13.15">
      <c r="B1126" s="819" t="s">
        <v>2673</v>
      </c>
      <c r="C1126" s="819" t="s">
        <v>2674</v>
      </c>
      <c r="D1126" s="379" t="s">
        <v>336</v>
      </c>
      <c r="E1126" s="818" t="s">
        <v>441</v>
      </c>
      <c r="F1126" s="820">
        <v>0.69679713200000004</v>
      </c>
      <c r="G1126" s="821">
        <v>9.9495937530000003</v>
      </c>
      <c r="H1126" s="822">
        <v>43192880.131068602</v>
      </c>
      <c r="I1126" s="819"/>
      <c r="J1126" s="820">
        <v>-1.69381E-4</v>
      </c>
      <c r="K1126" s="819">
        <f t="shared" si="246"/>
        <v>910</v>
      </c>
      <c r="L1126" s="819">
        <f t="shared" si="247"/>
        <v>195</v>
      </c>
      <c r="M1126" s="819">
        <f t="shared" si="243"/>
        <v>910</v>
      </c>
      <c r="N1126" s="819">
        <f t="shared" si="244"/>
        <v>364</v>
      </c>
      <c r="O1126" s="819">
        <f t="shared" si="245"/>
        <v>1080</v>
      </c>
      <c r="P1126" s="819">
        <f t="shared" si="248"/>
        <v>488</v>
      </c>
      <c r="Q1126" s="819">
        <f t="shared" si="249"/>
        <v>228</v>
      </c>
      <c r="R1126" s="819">
        <f t="shared" si="250"/>
        <v>828</v>
      </c>
      <c r="S1126" s="819">
        <f t="shared" si="251"/>
        <v>338</v>
      </c>
      <c r="T1126" s="819">
        <f t="shared" si="252"/>
        <v>1058</v>
      </c>
      <c r="U1126" s="819">
        <f t="shared" si="253"/>
        <v>2940</v>
      </c>
      <c r="V1126" s="819">
        <f t="shared" si="254"/>
        <v>854</v>
      </c>
      <c r="W1126" s="379">
        <f t="shared" si="255"/>
        <v>854</v>
      </c>
      <c r="X1126" s="819" t="str">
        <f t="shared" si="256"/>
        <v/>
      </c>
      <c r="Y1126" s="837"/>
      <c r="Z1126" s="839"/>
      <c r="AA1126" s="838"/>
      <c r="AB1126" s="839"/>
    </row>
    <row r="1127" spans="1:28" ht="14.45">
      <c r="A1127" s="816"/>
      <c r="B1127" s="819" t="s">
        <v>2675</v>
      </c>
      <c r="C1127" s="819" t="s">
        <v>2676</v>
      </c>
      <c r="D1127" s="379" t="s">
        <v>336</v>
      </c>
      <c r="E1127" s="818" t="s">
        <v>863</v>
      </c>
      <c r="F1127" s="820">
        <v>0.12269072</v>
      </c>
      <c r="G1127" s="821">
        <v>0.50521684499999997</v>
      </c>
      <c r="H1127" s="822">
        <v>177565563.470707</v>
      </c>
      <c r="I1127" s="819"/>
      <c r="J1127" s="820">
        <v>-2.67871E-5</v>
      </c>
      <c r="K1127" s="819">
        <f t="shared" si="246"/>
        <v>600</v>
      </c>
      <c r="L1127" s="819">
        <f t="shared" si="247"/>
        <v>921</v>
      </c>
      <c r="M1127" s="819">
        <f t="shared" si="243"/>
        <v>600</v>
      </c>
      <c r="N1127" s="819">
        <f t="shared" si="244"/>
        <v>364</v>
      </c>
      <c r="O1127" s="819">
        <f t="shared" si="245"/>
        <v>869</v>
      </c>
      <c r="P1127" s="819">
        <f t="shared" si="248"/>
        <v>798</v>
      </c>
      <c r="Q1127" s="819">
        <f t="shared" si="249"/>
        <v>498</v>
      </c>
      <c r="R1127" s="819">
        <f t="shared" si="250"/>
        <v>518</v>
      </c>
      <c r="S1127" s="819">
        <f t="shared" si="251"/>
        <v>338</v>
      </c>
      <c r="T1127" s="819">
        <f t="shared" si="252"/>
        <v>847</v>
      </c>
      <c r="U1127" s="819">
        <f t="shared" si="253"/>
        <v>2999</v>
      </c>
      <c r="V1127" s="819">
        <f t="shared" si="254"/>
        <v>925</v>
      </c>
      <c r="W1127" s="379">
        <f t="shared" si="255"/>
        <v>925</v>
      </c>
      <c r="X1127" s="819" t="str">
        <f t="shared" si="256"/>
        <v/>
      </c>
      <c r="Y1127" s="837"/>
      <c r="Z1127" s="839"/>
      <c r="AA1127" s="838"/>
      <c r="AB1127" s="839"/>
    </row>
    <row r="1128" spans="1:28" ht="13.15">
      <c r="B1128" s="819" t="s">
        <v>2677</v>
      </c>
      <c r="C1128" s="819" t="s">
        <v>2678</v>
      </c>
      <c r="D1128" s="379" t="s">
        <v>336</v>
      </c>
      <c r="E1128" s="818" t="s">
        <v>1832</v>
      </c>
      <c r="F1128" s="820">
        <v>0.17840271999999999</v>
      </c>
      <c r="G1128" s="821">
        <v>-5.6286139999999997E-3</v>
      </c>
      <c r="H1128" s="822">
        <v>50413548.641197301</v>
      </c>
      <c r="I1128" s="819"/>
      <c r="J1128" s="820">
        <v>2.2088399999999999E-4</v>
      </c>
      <c r="K1128" s="819">
        <f t="shared" si="246"/>
        <v>877</v>
      </c>
      <c r="L1128" s="819">
        <f t="shared" si="247"/>
        <v>1196</v>
      </c>
      <c r="M1128" s="819">
        <f t="shared" si="243"/>
        <v>877</v>
      </c>
      <c r="N1128" s="819">
        <f t="shared" si="244"/>
        <v>364</v>
      </c>
      <c r="O1128" s="819">
        <f t="shared" si="245"/>
        <v>248</v>
      </c>
      <c r="P1128" s="819">
        <f t="shared" si="248"/>
        <v>521</v>
      </c>
      <c r="Q1128" s="819">
        <f t="shared" si="249"/>
        <v>773</v>
      </c>
      <c r="R1128" s="819">
        <f t="shared" si="250"/>
        <v>795</v>
      </c>
      <c r="S1128" s="819">
        <f t="shared" si="251"/>
        <v>338</v>
      </c>
      <c r="T1128" s="819">
        <f t="shared" si="252"/>
        <v>226</v>
      </c>
      <c r="U1128" s="819">
        <f t="shared" si="253"/>
        <v>2653</v>
      </c>
      <c r="V1128" s="819">
        <f t="shared" si="254"/>
        <v>320</v>
      </c>
      <c r="W1128" s="379">
        <f t="shared" si="255"/>
        <v>320</v>
      </c>
      <c r="X1128" s="819" t="str">
        <f t="shared" si="256"/>
        <v/>
      </c>
      <c r="Y1128" s="837"/>
      <c r="Z1128" s="839"/>
      <c r="AA1128" s="838"/>
      <c r="AB1128" s="839"/>
    </row>
    <row r="1129" spans="1:28" ht="14.45">
      <c r="A1129" s="816"/>
      <c r="B1129" s="819" t="s">
        <v>2679</v>
      </c>
      <c r="C1129" s="819" t="s">
        <v>2680</v>
      </c>
      <c r="D1129" s="379" t="s">
        <v>336</v>
      </c>
      <c r="E1129" s="818" t="s">
        <v>441</v>
      </c>
      <c r="F1129" s="820">
        <v>0.29190274500000002</v>
      </c>
      <c r="G1129" s="821">
        <v>0</v>
      </c>
      <c r="H1129" s="822">
        <v>16970952.757882301</v>
      </c>
      <c r="I1129" s="819"/>
      <c r="J1129" s="820">
        <v>-1.9492500000000001E-4</v>
      </c>
      <c r="K1129" s="819">
        <f t="shared" si="246"/>
        <v>1138</v>
      </c>
      <c r="L1129" s="819">
        <f t="shared" si="247"/>
        <v>1084</v>
      </c>
      <c r="M1129" s="819">
        <f t="shared" si="243"/>
        <v>1138</v>
      </c>
      <c r="N1129" s="819">
        <f t="shared" si="244"/>
        <v>364</v>
      </c>
      <c r="O1129" s="819">
        <f t="shared" si="245"/>
        <v>1103</v>
      </c>
      <c r="P1129" s="819">
        <f t="shared" si="248"/>
        <v>260</v>
      </c>
      <c r="Q1129" s="819">
        <f t="shared" si="249"/>
        <v>661</v>
      </c>
      <c r="R1129" s="819">
        <f t="shared" si="250"/>
        <v>1056</v>
      </c>
      <c r="S1129" s="819">
        <f t="shared" si="251"/>
        <v>338</v>
      </c>
      <c r="T1129" s="819">
        <f t="shared" si="252"/>
        <v>1081</v>
      </c>
      <c r="U1129" s="819">
        <f t="shared" si="253"/>
        <v>3396</v>
      </c>
      <c r="V1129" s="819">
        <f t="shared" si="254"/>
        <v>1460</v>
      </c>
      <c r="W1129" s="379">
        <f t="shared" si="255"/>
        <v>1460</v>
      </c>
      <c r="X1129" s="819" t="str">
        <f t="shared" si="256"/>
        <v/>
      </c>
      <c r="Y1129" s="837"/>
      <c r="Z1129" s="839"/>
      <c r="AA1129" s="838"/>
      <c r="AB1129" s="839"/>
    </row>
    <row r="1130" spans="1:28" ht="13.15">
      <c r="B1130" s="819" t="s">
        <v>2681</v>
      </c>
      <c r="C1130" s="819" t="s">
        <v>2682</v>
      </c>
      <c r="D1130" s="379" t="s">
        <v>336</v>
      </c>
      <c r="E1130" s="818" t="s">
        <v>441</v>
      </c>
      <c r="F1130" s="820">
        <v>0.44551481100000001</v>
      </c>
      <c r="G1130" s="821">
        <v>-7.4532992470000003</v>
      </c>
      <c r="H1130" s="822">
        <v>251995127.139128</v>
      </c>
      <c r="I1130" s="819"/>
      <c r="J1130" s="820">
        <v>2.39199E-4</v>
      </c>
      <c r="K1130" s="819">
        <f t="shared" si="246"/>
        <v>513</v>
      </c>
      <c r="L1130" s="819">
        <f t="shared" si="247"/>
        <v>1433</v>
      </c>
      <c r="M1130" s="819">
        <f t="shared" si="243"/>
        <v>513</v>
      </c>
      <c r="N1130" s="819">
        <f t="shared" si="244"/>
        <v>364</v>
      </c>
      <c r="O1130" s="819">
        <f t="shared" si="245"/>
        <v>243</v>
      </c>
      <c r="P1130" s="819">
        <f t="shared" si="248"/>
        <v>885</v>
      </c>
      <c r="Q1130" s="819">
        <f t="shared" si="249"/>
        <v>1010</v>
      </c>
      <c r="R1130" s="819">
        <f t="shared" si="250"/>
        <v>431</v>
      </c>
      <c r="S1130" s="819">
        <f t="shared" si="251"/>
        <v>338</v>
      </c>
      <c r="T1130" s="819">
        <f t="shared" si="252"/>
        <v>221</v>
      </c>
      <c r="U1130" s="819">
        <f t="shared" si="253"/>
        <v>2885</v>
      </c>
      <c r="V1130" s="819">
        <f t="shared" si="254"/>
        <v>783</v>
      </c>
      <c r="W1130" s="379">
        <f t="shared" si="255"/>
        <v>783</v>
      </c>
      <c r="X1130" s="819" t="str">
        <f t="shared" si="256"/>
        <v/>
      </c>
      <c r="Y1130" s="837"/>
      <c r="Z1130" s="839"/>
      <c r="AA1130" s="838"/>
      <c r="AB1130" s="839"/>
    </row>
    <row r="1131" spans="1:28" ht="14.45">
      <c r="A1131" s="816"/>
      <c r="B1131" s="819" t="s">
        <v>2683</v>
      </c>
      <c r="C1131" s="819" t="s">
        <v>2684</v>
      </c>
      <c r="D1131" s="379" t="s">
        <v>336</v>
      </c>
      <c r="E1131" s="818" t="s">
        <v>441</v>
      </c>
      <c r="F1131" s="820">
        <v>0.29715237100000003</v>
      </c>
      <c r="G1131" s="821">
        <v>1.0187999999999999E-4</v>
      </c>
      <c r="H1131" s="822">
        <v>765024852.66185498</v>
      </c>
      <c r="I1131" s="819">
        <v>0.11</v>
      </c>
      <c r="J1131" s="820">
        <v>-3.340151E-3</v>
      </c>
      <c r="K1131" s="819">
        <f t="shared" si="246"/>
        <v>263</v>
      </c>
      <c r="L1131" s="819">
        <f t="shared" si="247"/>
        <v>1083</v>
      </c>
      <c r="M1131" s="819">
        <f t="shared" si="243"/>
        <v>263</v>
      </c>
      <c r="N1131" s="819">
        <f t="shared" si="244"/>
        <v>258</v>
      </c>
      <c r="O1131" s="819">
        <f t="shared" si="245"/>
        <v>1561</v>
      </c>
      <c r="P1131" s="819">
        <f t="shared" si="248"/>
        <v>1135</v>
      </c>
      <c r="Q1131" s="819">
        <f t="shared" si="249"/>
        <v>660</v>
      </c>
      <c r="R1131" s="819">
        <f t="shared" si="250"/>
        <v>181</v>
      </c>
      <c r="S1131" s="819">
        <f t="shared" si="251"/>
        <v>232</v>
      </c>
      <c r="T1131" s="819">
        <f t="shared" si="252"/>
        <v>1539</v>
      </c>
      <c r="U1131" s="819">
        <f t="shared" si="253"/>
        <v>3747</v>
      </c>
      <c r="V1131" s="819">
        <f t="shared" si="254"/>
        <v>1696</v>
      </c>
      <c r="W1131" s="379">
        <f t="shared" si="255"/>
        <v>1696</v>
      </c>
      <c r="X1131" s="819" t="str">
        <f t="shared" si="256"/>
        <v/>
      </c>
      <c r="Y1131" s="837"/>
      <c r="Z1131" s="839"/>
      <c r="AA1131" s="838"/>
      <c r="AB1131" s="839"/>
    </row>
    <row r="1132" spans="1:28" ht="13.15">
      <c r="B1132" s="819" t="s">
        <v>2685</v>
      </c>
      <c r="C1132" s="819" t="s">
        <v>2686</v>
      </c>
      <c r="D1132" s="379" t="s">
        <v>336</v>
      </c>
      <c r="E1132" s="818" t="s">
        <v>711</v>
      </c>
      <c r="F1132" s="820"/>
      <c r="G1132" s="821"/>
      <c r="H1132" s="822">
        <v>4379404.2588235196</v>
      </c>
      <c r="I1132" s="819"/>
      <c r="J1132" s="820">
        <v>0</v>
      </c>
      <c r="K1132" s="819">
        <f t="shared" si="246"/>
        <v>1388</v>
      </c>
      <c r="L1132" s="819">
        <f t="shared" si="247"/>
        <v>1084</v>
      </c>
      <c r="M1132" s="819">
        <f t="shared" si="243"/>
        <v>1388</v>
      </c>
      <c r="N1132" s="819">
        <f t="shared" si="244"/>
        <v>364</v>
      </c>
      <c r="O1132" s="819">
        <f t="shared" si="245"/>
        <v>492</v>
      </c>
      <c r="P1132" s="819">
        <f t="shared" si="248"/>
        <v>10</v>
      </c>
      <c r="Q1132" s="819">
        <f t="shared" si="249"/>
        <v>661</v>
      </c>
      <c r="R1132" s="819">
        <f t="shared" si="250"/>
        <v>1306</v>
      </c>
      <c r="S1132" s="819">
        <f t="shared" si="251"/>
        <v>338</v>
      </c>
      <c r="T1132" s="819">
        <f t="shared" si="252"/>
        <v>470</v>
      </c>
      <c r="U1132" s="819">
        <f t="shared" si="253"/>
        <v>2785</v>
      </c>
      <c r="V1132" s="819">
        <f t="shared" si="254"/>
        <v>463</v>
      </c>
      <c r="W1132" s="379">
        <f t="shared" si="255"/>
        <v>463</v>
      </c>
      <c r="X1132" s="819" t="str">
        <f t="shared" si="256"/>
        <v/>
      </c>
      <c r="Y1132" s="837"/>
      <c r="Z1132" s="839"/>
      <c r="AA1132" s="838"/>
      <c r="AB1132" s="839"/>
    </row>
    <row r="1133" spans="1:28" ht="14.45">
      <c r="A1133" s="816"/>
      <c r="B1133" s="819" t="s">
        <v>2687</v>
      </c>
      <c r="C1133" s="819" t="s">
        <v>2688</v>
      </c>
      <c r="D1133" s="379" t="s">
        <v>336</v>
      </c>
      <c r="E1133" s="818" t="s">
        <v>441</v>
      </c>
      <c r="F1133" s="820">
        <v>-4.7993437E-2</v>
      </c>
      <c r="G1133" s="821">
        <v>-9.5597257790000008</v>
      </c>
      <c r="H1133" s="822">
        <v>2264773882.6645999</v>
      </c>
      <c r="I1133" s="819"/>
      <c r="J1133" s="820">
        <v>1.10223E-4</v>
      </c>
      <c r="K1133" s="819">
        <f t="shared" si="246"/>
        <v>135</v>
      </c>
      <c r="L1133" s="819">
        <f t="shared" si="247"/>
        <v>1445</v>
      </c>
      <c r="M1133" s="819">
        <f t="shared" si="243"/>
        <v>135</v>
      </c>
      <c r="N1133" s="819">
        <f t="shared" si="244"/>
        <v>364</v>
      </c>
      <c r="O1133" s="819">
        <f t="shared" si="245"/>
        <v>294</v>
      </c>
      <c r="P1133" s="819">
        <f t="shared" si="248"/>
        <v>1263</v>
      </c>
      <c r="Q1133" s="819">
        <f t="shared" si="249"/>
        <v>1022</v>
      </c>
      <c r="R1133" s="819">
        <f t="shared" si="250"/>
        <v>53</v>
      </c>
      <c r="S1133" s="819">
        <f t="shared" si="251"/>
        <v>338</v>
      </c>
      <c r="T1133" s="819">
        <f t="shared" si="252"/>
        <v>272</v>
      </c>
      <c r="U1133" s="819">
        <f t="shared" si="253"/>
        <v>2948</v>
      </c>
      <c r="V1133" s="819">
        <f t="shared" si="254"/>
        <v>859</v>
      </c>
      <c r="W1133" s="379">
        <f t="shared" si="255"/>
        <v>859</v>
      </c>
      <c r="X1133" s="819" t="str">
        <f t="shared" si="256"/>
        <v/>
      </c>
      <c r="Y1133" s="837"/>
      <c r="Z1133" s="839"/>
      <c r="AA1133" s="838"/>
      <c r="AB1133" s="839"/>
    </row>
    <row r="1134" spans="1:28" ht="13.15">
      <c r="B1134" s="819" t="s">
        <v>2689</v>
      </c>
      <c r="C1134" s="819" t="s">
        <v>2690</v>
      </c>
      <c r="D1134" s="379" t="s">
        <v>336</v>
      </c>
      <c r="E1134" s="818" t="s">
        <v>1077</v>
      </c>
      <c r="F1134" s="820">
        <v>5.2613934450000004</v>
      </c>
      <c r="G1134" s="821">
        <v>4.8685404429999997</v>
      </c>
      <c r="H1134" s="822">
        <v>887158.22564636997</v>
      </c>
      <c r="I1134" s="819"/>
      <c r="J1134" s="820">
        <v>-1.9979960000000001E-3</v>
      </c>
      <c r="K1134" s="819">
        <f t="shared" si="246"/>
        <v>1566</v>
      </c>
      <c r="L1134" s="819">
        <f t="shared" si="247"/>
        <v>385</v>
      </c>
      <c r="M1134" s="819">
        <f t="shared" si="243"/>
        <v>1566</v>
      </c>
      <c r="N1134" s="819">
        <f t="shared" si="244"/>
        <v>364</v>
      </c>
      <c r="O1134" s="819">
        <f t="shared" si="245"/>
        <v>1491</v>
      </c>
      <c r="P1134" s="819">
        <f t="shared" si="248"/>
        <v>168</v>
      </c>
      <c r="Q1134" s="819">
        <f t="shared" si="249"/>
        <v>38</v>
      </c>
      <c r="R1134" s="819">
        <f t="shared" si="250"/>
        <v>1484</v>
      </c>
      <c r="S1134" s="819">
        <f t="shared" si="251"/>
        <v>338</v>
      </c>
      <c r="T1134" s="819">
        <f t="shared" si="252"/>
        <v>1469</v>
      </c>
      <c r="U1134" s="819">
        <f t="shared" si="253"/>
        <v>3497</v>
      </c>
      <c r="V1134" s="819">
        <f t="shared" si="254"/>
        <v>1552</v>
      </c>
      <c r="W1134" s="379">
        <f t="shared" si="255"/>
        <v>1552</v>
      </c>
      <c r="X1134" s="819" t="str">
        <f t="shared" si="256"/>
        <v/>
      </c>
      <c r="Y1134" s="837"/>
      <c r="Z1134" s="839"/>
      <c r="AA1134" s="838"/>
      <c r="AB1134" s="839"/>
    </row>
    <row r="1135" spans="1:28" ht="14.45">
      <c r="A1135" s="816"/>
      <c r="B1135" s="819" t="s">
        <v>2691</v>
      </c>
      <c r="C1135" s="819" t="s">
        <v>2692</v>
      </c>
      <c r="D1135" s="379" t="s">
        <v>336</v>
      </c>
      <c r="E1135" s="818" t="s">
        <v>1832</v>
      </c>
      <c r="F1135" s="820">
        <v>0.39003733400000001</v>
      </c>
      <c r="G1135" s="821">
        <v>-1.3248005249999999</v>
      </c>
      <c r="H1135" s="822">
        <v>682756.99094131601</v>
      </c>
      <c r="I1135" s="819"/>
      <c r="J1135" s="820">
        <v>1.03717E-4</v>
      </c>
      <c r="K1135" s="819">
        <f t="shared" si="246"/>
        <v>1585</v>
      </c>
      <c r="L1135" s="819">
        <f t="shared" si="247"/>
        <v>1309</v>
      </c>
      <c r="M1135" s="819">
        <f t="shared" si="243"/>
        <v>1585</v>
      </c>
      <c r="N1135" s="819">
        <f t="shared" si="244"/>
        <v>364</v>
      </c>
      <c r="O1135" s="819">
        <f t="shared" si="245"/>
        <v>296</v>
      </c>
      <c r="P1135" s="819">
        <f t="shared" si="248"/>
        <v>187</v>
      </c>
      <c r="Q1135" s="819">
        <f t="shared" si="249"/>
        <v>886</v>
      </c>
      <c r="R1135" s="819">
        <f t="shared" si="250"/>
        <v>1503</v>
      </c>
      <c r="S1135" s="819">
        <f t="shared" si="251"/>
        <v>338</v>
      </c>
      <c r="T1135" s="819">
        <f t="shared" si="252"/>
        <v>274</v>
      </c>
      <c r="U1135" s="819">
        <f t="shared" si="253"/>
        <v>3188</v>
      </c>
      <c r="V1135" s="819">
        <f t="shared" si="254"/>
        <v>1180</v>
      </c>
      <c r="W1135" s="379">
        <f t="shared" si="255"/>
        <v>1180</v>
      </c>
      <c r="X1135" s="819" t="str">
        <f t="shared" si="256"/>
        <v/>
      </c>
      <c r="Y1135" s="837"/>
      <c r="Z1135" s="839"/>
      <c r="AA1135" s="838"/>
      <c r="AB1135" s="839"/>
    </row>
    <row r="1136" spans="1:28" ht="13.15">
      <c r="B1136" s="819" t="s">
        <v>2693</v>
      </c>
      <c r="C1136" s="819" t="s">
        <v>2694</v>
      </c>
      <c r="D1136" s="379" t="s">
        <v>336</v>
      </c>
      <c r="E1136" s="818" t="s">
        <v>444</v>
      </c>
      <c r="F1136" s="820">
        <v>0.77314223900000001</v>
      </c>
      <c r="G1136" s="821">
        <v>8.4227743999999993E-2</v>
      </c>
      <c r="H1136" s="822">
        <v>304720922.98604399</v>
      </c>
      <c r="I1136" s="819">
        <v>0.16</v>
      </c>
      <c r="J1136" s="820">
        <v>-7.0462160000000001E-3</v>
      </c>
      <c r="K1136" s="819">
        <f t="shared" si="246"/>
        <v>466</v>
      </c>
      <c r="L1136" s="819">
        <f t="shared" si="247"/>
        <v>1025</v>
      </c>
      <c r="M1136" s="819">
        <f t="shared" si="243"/>
        <v>466</v>
      </c>
      <c r="N1136" s="819">
        <f t="shared" si="244"/>
        <v>230</v>
      </c>
      <c r="O1136" s="819">
        <f t="shared" si="245"/>
        <v>1627</v>
      </c>
      <c r="P1136" s="819">
        <f t="shared" si="248"/>
        <v>932</v>
      </c>
      <c r="Q1136" s="819">
        <f t="shared" si="249"/>
        <v>602</v>
      </c>
      <c r="R1136" s="819">
        <f t="shared" si="250"/>
        <v>384</v>
      </c>
      <c r="S1136" s="819">
        <f t="shared" si="251"/>
        <v>204</v>
      </c>
      <c r="T1136" s="819">
        <f t="shared" si="252"/>
        <v>1605</v>
      </c>
      <c r="U1136" s="819">
        <f t="shared" si="253"/>
        <v>3727</v>
      </c>
      <c r="V1136" s="819">
        <f t="shared" si="254"/>
        <v>1690</v>
      </c>
      <c r="W1136" s="379">
        <f t="shared" si="255"/>
        <v>1690</v>
      </c>
      <c r="X1136" s="819" t="str">
        <f t="shared" si="256"/>
        <v/>
      </c>
      <c r="Y1136" s="837"/>
      <c r="Z1136" s="839"/>
      <c r="AA1136" s="838"/>
      <c r="AB1136" s="839"/>
    </row>
    <row r="1137" spans="1:28" ht="14.45">
      <c r="A1137" s="816"/>
      <c r="B1137" s="819" t="s">
        <v>2695</v>
      </c>
      <c r="C1137" s="819" t="s">
        <v>2696</v>
      </c>
      <c r="D1137" s="379" t="s">
        <v>336</v>
      </c>
      <c r="E1137" s="818" t="s">
        <v>441</v>
      </c>
      <c r="F1137" s="820">
        <v>0.49372733299999999</v>
      </c>
      <c r="G1137" s="821">
        <v>-1.0262628600000001</v>
      </c>
      <c r="H1137" s="822">
        <v>357646993.82605201</v>
      </c>
      <c r="I1137" s="819"/>
      <c r="J1137" s="820">
        <v>1.4723700000000001E-4</v>
      </c>
      <c r="K1137" s="819">
        <f t="shared" si="246"/>
        <v>432</v>
      </c>
      <c r="L1137" s="819">
        <f t="shared" si="247"/>
        <v>1294</v>
      </c>
      <c r="M1137" s="819">
        <f t="shared" si="243"/>
        <v>432</v>
      </c>
      <c r="N1137" s="819">
        <f t="shared" si="244"/>
        <v>364</v>
      </c>
      <c r="O1137" s="819">
        <f t="shared" si="245"/>
        <v>274</v>
      </c>
      <c r="P1137" s="819">
        <f t="shared" si="248"/>
        <v>966</v>
      </c>
      <c r="Q1137" s="819">
        <f t="shared" si="249"/>
        <v>871</v>
      </c>
      <c r="R1137" s="819">
        <f t="shared" si="250"/>
        <v>350</v>
      </c>
      <c r="S1137" s="819">
        <f t="shared" si="251"/>
        <v>338</v>
      </c>
      <c r="T1137" s="819">
        <f t="shared" si="252"/>
        <v>252</v>
      </c>
      <c r="U1137" s="819">
        <f t="shared" si="253"/>
        <v>2777</v>
      </c>
      <c r="V1137" s="819">
        <f t="shared" si="254"/>
        <v>456</v>
      </c>
      <c r="W1137" s="379">
        <f t="shared" si="255"/>
        <v>456</v>
      </c>
      <c r="X1137" s="819" t="str">
        <f t="shared" si="256"/>
        <v/>
      </c>
      <c r="Y1137" s="837"/>
      <c r="Z1137" s="839"/>
      <c r="AA1137" s="838"/>
      <c r="AB1137" s="839"/>
    </row>
    <row r="1138" spans="1:28" ht="13.15">
      <c r="B1138" s="819" t="s">
        <v>2697</v>
      </c>
      <c r="C1138" s="819" t="s">
        <v>2698</v>
      </c>
      <c r="D1138" s="379" t="s">
        <v>336</v>
      </c>
      <c r="E1138" s="818" t="s">
        <v>441</v>
      </c>
      <c r="F1138" s="820">
        <v>2.2122278729999998</v>
      </c>
      <c r="G1138" s="821">
        <v>5.3486524199999996</v>
      </c>
      <c r="H1138" s="822">
        <v>3721135291.92138</v>
      </c>
      <c r="I1138" s="819">
        <v>0.18</v>
      </c>
      <c r="J1138" s="820">
        <v>-5.8631270000000001E-3</v>
      </c>
      <c r="K1138" s="819">
        <f t="shared" si="246"/>
        <v>90</v>
      </c>
      <c r="L1138" s="819">
        <f t="shared" si="247"/>
        <v>363</v>
      </c>
      <c r="M1138" s="819">
        <f t="shared" si="243"/>
        <v>90</v>
      </c>
      <c r="N1138" s="819">
        <f t="shared" si="244"/>
        <v>219</v>
      </c>
      <c r="O1138" s="819">
        <f t="shared" si="245"/>
        <v>1614</v>
      </c>
      <c r="P1138" s="819">
        <f t="shared" si="248"/>
        <v>1308</v>
      </c>
      <c r="Q1138" s="819">
        <f t="shared" si="249"/>
        <v>60</v>
      </c>
      <c r="R1138" s="819">
        <f t="shared" si="250"/>
        <v>8</v>
      </c>
      <c r="S1138" s="819">
        <f t="shared" si="251"/>
        <v>193</v>
      </c>
      <c r="T1138" s="819">
        <f t="shared" si="252"/>
        <v>1592</v>
      </c>
      <c r="U1138" s="819">
        <f t="shared" si="253"/>
        <v>3161</v>
      </c>
      <c r="V1138" s="819">
        <f t="shared" si="254"/>
        <v>1143</v>
      </c>
      <c r="W1138" s="379">
        <f t="shared" si="255"/>
        <v>1143</v>
      </c>
      <c r="X1138" s="819" t="str">
        <f t="shared" si="256"/>
        <v/>
      </c>
      <c r="Y1138" s="837"/>
      <c r="Z1138" s="839"/>
      <c r="AA1138" s="838"/>
      <c r="AB1138" s="839"/>
    </row>
    <row r="1139" spans="1:28" ht="14.45">
      <c r="A1139" s="816"/>
      <c r="B1139" s="819" t="s">
        <v>2699</v>
      </c>
      <c r="C1139" s="819" t="s">
        <v>2700</v>
      </c>
      <c r="D1139" s="379" t="s">
        <v>336</v>
      </c>
      <c r="E1139" s="818" t="s">
        <v>373</v>
      </c>
      <c r="F1139" s="820">
        <v>-5.2668146409999999</v>
      </c>
      <c r="G1139" s="821">
        <v>-3.8685292100000002</v>
      </c>
      <c r="H1139" s="822">
        <v>19747316.666666701</v>
      </c>
      <c r="I1139" s="819"/>
      <c r="J1139" s="820">
        <v>5.5237500000000002E-4</v>
      </c>
      <c r="K1139" s="819">
        <f t="shared" si="246"/>
        <v>1105</v>
      </c>
      <c r="L1139" s="819">
        <f t="shared" si="247"/>
        <v>1385</v>
      </c>
      <c r="M1139" s="819">
        <f t="shared" si="243"/>
        <v>1105</v>
      </c>
      <c r="N1139" s="819">
        <f t="shared" si="244"/>
        <v>364</v>
      </c>
      <c r="O1139" s="819">
        <f t="shared" si="245"/>
        <v>207</v>
      </c>
      <c r="P1139" s="819">
        <f t="shared" si="248"/>
        <v>293</v>
      </c>
      <c r="Q1139" s="819">
        <f t="shared" si="249"/>
        <v>962</v>
      </c>
      <c r="R1139" s="819">
        <f t="shared" si="250"/>
        <v>1023</v>
      </c>
      <c r="S1139" s="819">
        <f t="shared" si="251"/>
        <v>338</v>
      </c>
      <c r="T1139" s="819">
        <f t="shared" si="252"/>
        <v>185</v>
      </c>
      <c r="U1139" s="819">
        <f t="shared" si="253"/>
        <v>2801</v>
      </c>
      <c r="V1139" s="819">
        <f t="shared" si="254"/>
        <v>630</v>
      </c>
      <c r="W1139" s="379">
        <f t="shared" si="255"/>
        <v>630</v>
      </c>
      <c r="X1139" s="819" t="str">
        <f t="shared" si="256"/>
        <v/>
      </c>
      <c r="Y1139" s="837"/>
      <c r="Z1139" s="839"/>
      <c r="AA1139" s="838"/>
      <c r="AB1139" s="839"/>
    </row>
    <row r="1140" spans="1:28" ht="13.15">
      <c r="B1140" s="819" t="s">
        <v>2701</v>
      </c>
      <c r="C1140" s="819" t="s">
        <v>2702</v>
      </c>
      <c r="D1140" s="379" t="s">
        <v>336</v>
      </c>
      <c r="E1140" s="818" t="s">
        <v>378</v>
      </c>
      <c r="F1140" s="820">
        <v>1.6307730410000001</v>
      </c>
      <c r="G1140" s="821">
        <v>-13.158059890000001</v>
      </c>
      <c r="H1140" s="822">
        <v>821339595.62763202</v>
      </c>
      <c r="I1140" s="819"/>
      <c r="J1140" s="820">
        <v>3.2818499999999999E-4</v>
      </c>
      <c r="K1140" s="819">
        <f t="shared" si="246"/>
        <v>249</v>
      </c>
      <c r="L1140" s="819">
        <f t="shared" si="247"/>
        <v>1467</v>
      </c>
      <c r="M1140" s="819">
        <f t="shared" si="243"/>
        <v>249</v>
      </c>
      <c r="N1140" s="819">
        <f t="shared" si="244"/>
        <v>364</v>
      </c>
      <c r="O1140" s="819">
        <f t="shared" si="245"/>
        <v>229</v>
      </c>
      <c r="P1140" s="819">
        <f t="shared" si="248"/>
        <v>1149</v>
      </c>
      <c r="Q1140" s="819">
        <f t="shared" si="249"/>
        <v>1044</v>
      </c>
      <c r="R1140" s="819">
        <f t="shared" si="250"/>
        <v>167</v>
      </c>
      <c r="S1140" s="819">
        <f t="shared" si="251"/>
        <v>338</v>
      </c>
      <c r="T1140" s="819">
        <f t="shared" si="252"/>
        <v>207</v>
      </c>
      <c r="U1140" s="819">
        <f t="shared" si="253"/>
        <v>2905</v>
      </c>
      <c r="V1140" s="819">
        <f t="shared" si="254"/>
        <v>811</v>
      </c>
      <c r="W1140" s="379">
        <f t="shared" si="255"/>
        <v>811</v>
      </c>
      <c r="X1140" s="819" t="str">
        <f t="shared" si="256"/>
        <v/>
      </c>
      <c r="Y1140" s="837"/>
      <c r="Z1140" s="839"/>
      <c r="AA1140" s="838"/>
      <c r="AB1140" s="839"/>
    </row>
    <row r="1141" spans="1:28" ht="14.45">
      <c r="A1141" s="816"/>
      <c r="B1141" s="819" t="s">
        <v>2703</v>
      </c>
      <c r="C1141" s="819" t="s">
        <v>2704</v>
      </c>
      <c r="D1141" s="379" t="s">
        <v>336</v>
      </c>
      <c r="E1141" s="818" t="s">
        <v>1811</v>
      </c>
      <c r="F1141" s="820">
        <v>94.411427509999996</v>
      </c>
      <c r="G1141" s="821">
        <v>15.358197410000001</v>
      </c>
      <c r="H1141" s="822">
        <v>4574834.9957818501</v>
      </c>
      <c r="I1141" s="819"/>
      <c r="J1141" s="820">
        <v>-5.9537399999999997E-6</v>
      </c>
      <c r="K1141" s="819">
        <f t="shared" si="246"/>
        <v>1376</v>
      </c>
      <c r="L1141" s="819">
        <f t="shared" si="247"/>
        <v>120</v>
      </c>
      <c r="M1141" s="819">
        <f t="shared" si="243"/>
        <v>1376</v>
      </c>
      <c r="N1141" s="819">
        <f t="shared" si="244"/>
        <v>364</v>
      </c>
      <c r="O1141" s="819">
        <f t="shared" si="245"/>
        <v>784</v>
      </c>
      <c r="P1141" s="819">
        <f t="shared" si="248"/>
        <v>22</v>
      </c>
      <c r="Q1141" s="819">
        <f t="shared" si="249"/>
        <v>303</v>
      </c>
      <c r="R1141" s="819">
        <f t="shared" si="250"/>
        <v>1294</v>
      </c>
      <c r="S1141" s="819">
        <f t="shared" si="251"/>
        <v>338</v>
      </c>
      <c r="T1141" s="819">
        <f t="shared" si="252"/>
        <v>762</v>
      </c>
      <c r="U1141" s="819">
        <f t="shared" si="253"/>
        <v>2719</v>
      </c>
      <c r="V1141" s="819">
        <f t="shared" si="254"/>
        <v>379</v>
      </c>
      <c r="W1141" s="379">
        <f t="shared" si="255"/>
        <v>379</v>
      </c>
      <c r="X1141" s="819" t="str">
        <f t="shared" si="256"/>
        <v/>
      </c>
      <c r="Y1141" s="837"/>
      <c r="Z1141" s="839"/>
      <c r="AA1141" s="838"/>
      <c r="AB1141" s="839"/>
    </row>
    <row r="1142" spans="1:28" ht="13.15">
      <c r="B1142" s="819" t="s">
        <v>2705</v>
      </c>
      <c r="C1142" s="819" t="s">
        <v>2706</v>
      </c>
      <c r="D1142" s="379" t="s">
        <v>336</v>
      </c>
      <c r="E1142" s="818" t="s">
        <v>441</v>
      </c>
      <c r="F1142" s="820">
        <v>2.6864173189999998</v>
      </c>
      <c r="G1142" s="821">
        <v>5.53555565</v>
      </c>
      <c r="H1142" s="822">
        <v>455506535.80712998</v>
      </c>
      <c r="I1142" s="819"/>
      <c r="J1142" s="820">
        <v>-4.1937200000000002E-5</v>
      </c>
      <c r="K1142" s="819">
        <f t="shared" si="246"/>
        <v>375</v>
      </c>
      <c r="L1142" s="819">
        <f t="shared" si="247"/>
        <v>348</v>
      </c>
      <c r="M1142" s="819">
        <f t="shared" si="243"/>
        <v>375</v>
      </c>
      <c r="N1142" s="819">
        <f t="shared" si="244"/>
        <v>364</v>
      </c>
      <c r="O1142" s="819">
        <f t="shared" si="245"/>
        <v>902</v>
      </c>
      <c r="P1142" s="819">
        <f t="shared" si="248"/>
        <v>1023</v>
      </c>
      <c r="Q1142" s="819">
        <f t="shared" si="249"/>
        <v>75</v>
      </c>
      <c r="R1142" s="819">
        <f t="shared" si="250"/>
        <v>293</v>
      </c>
      <c r="S1142" s="819">
        <f t="shared" si="251"/>
        <v>338</v>
      </c>
      <c r="T1142" s="819">
        <f t="shared" si="252"/>
        <v>880</v>
      </c>
      <c r="U1142" s="819">
        <f t="shared" si="253"/>
        <v>2609</v>
      </c>
      <c r="V1142" s="819">
        <f t="shared" si="254"/>
        <v>288</v>
      </c>
      <c r="W1142" s="379">
        <f t="shared" si="255"/>
        <v>288</v>
      </c>
      <c r="X1142" s="819" t="str">
        <f t="shared" si="256"/>
        <v/>
      </c>
      <c r="Y1142" s="837"/>
      <c r="Z1142" s="839"/>
      <c r="AA1142" s="838"/>
      <c r="AB1142" s="839"/>
    </row>
    <row r="1143" spans="1:28" ht="14.45">
      <c r="A1143" s="816"/>
      <c r="B1143" s="819" t="s">
        <v>2707</v>
      </c>
      <c r="C1143" s="819" t="s">
        <v>2708</v>
      </c>
      <c r="D1143" s="379" t="s">
        <v>336</v>
      </c>
      <c r="E1143" s="818" t="s">
        <v>685</v>
      </c>
      <c r="F1143" s="820">
        <v>1.306394083</v>
      </c>
      <c r="G1143" s="821">
        <v>1.4723172929999999</v>
      </c>
      <c r="H1143" s="822">
        <v>1605340.63826204</v>
      </c>
      <c r="I1143" s="819">
        <v>0.28999999999999998</v>
      </c>
      <c r="J1143" s="820">
        <v>-3.9011039999999999E-3</v>
      </c>
      <c r="K1143" s="819">
        <f t="shared" si="246"/>
        <v>1521</v>
      </c>
      <c r="L1143" s="819">
        <f t="shared" si="247"/>
        <v>746</v>
      </c>
      <c r="M1143" s="819">
        <f t="shared" si="243"/>
        <v>1521</v>
      </c>
      <c r="N1143" s="819">
        <f t="shared" si="244"/>
        <v>190</v>
      </c>
      <c r="O1143" s="819">
        <f t="shared" si="245"/>
        <v>1585</v>
      </c>
      <c r="P1143" s="819">
        <f t="shared" si="248"/>
        <v>123</v>
      </c>
      <c r="Q1143" s="819">
        <f t="shared" si="249"/>
        <v>323</v>
      </c>
      <c r="R1143" s="819">
        <f t="shared" si="250"/>
        <v>1439</v>
      </c>
      <c r="S1143" s="819">
        <f t="shared" si="251"/>
        <v>164</v>
      </c>
      <c r="T1143" s="819">
        <f t="shared" si="252"/>
        <v>1563</v>
      </c>
      <c r="U1143" s="819">
        <f t="shared" si="253"/>
        <v>3612</v>
      </c>
      <c r="V1143" s="819">
        <f t="shared" si="254"/>
        <v>1628</v>
      </c>
      <c r="W1143" s="379">
        <f t="shared" si="255"/>
        <v>1628</v>
      </c>
      <c r="X1143" s="819" t="str">
        <f t="shared" si="256"/>
        <v/>
      </c>
      <c r="Y1143" s="837"/>
      <c r="Z1143" s="839"/>
      <c r="AA1143" s="838"/>
      <c r="AB1143" s="839"/>
    </row>
    <row r="1144" spans="1:28" ht="13.15">
      <c r="B1144" s="819" t="s">
        <v>2709</v>
      </c>
      <c r="C1144" s="819" t="s">
        <v>2710</v>
      </c>
      <c r="D1144" s="379" t="s">
        <v>336</v>
      </c>
      <c r="E1144" s="818" t="s">
        <v>1832</v>
      </c>
      <c r="F1144" s="820">
        <v>1.9313747189999999</v>
      </c>
      <c r="G1144" s="821">
        <v>4.553292023</v>
      </c>
      <c r="H1144" s="822">
        <v>8286923.9858211903</v>
      </c>
      <c r="I1144" s="819"/>
      <c r="J1144" s="820">
        <v>-2.9072700000000001E-4</v>
      </c>
      <c r="K1144" s="819">
        <f t="shared" si="246"/>
        <v>1292</v>
      </c>
      <c r="L1144" s="819">
        <f t="shared" si="247"/>
        <v>411</v>
      </c>
      <c r="M1144" s="819">
        <f t="shared" si="243"/>
        <v>1292</v>
      </c>
      <c r="N1144" s="819">
        <f t="shared" si="244"/>
        <v>364</v>
      </c>
      <c r="O1144" s="819">
        <f t="shared" si="245"/>
        <v>1176</v>
      </c>
      <c r="P1144" s="819">
        <f t="shared" si="248"/>
        <v>106</v>
      </c>
      <c r="Q1144" s="819">
        <f t="shared" si="249"/>
        <v>12</v>
      </c>
      <c r="R1144" s="819">
        <f t="shared" si="250"/>
        <v>1210</v>
      </c>
      <c r="S1144" s="819">
        <f t="shared" si="251"/>
        <v>338</v>
      </c>
      <c r="T1144" s="819">
        <f t="shared" si="252"/>
        <v>1154</v>
      </c>
      <c r="U1144" s="819">
        <f t="shared" si="253"/>
        <v>2820</v>
      </c>
      <c r="V1144" s="819">
        <f t="shared" si="254"/>
        <v>662</v>
      </c>
      <c r="W1144" s="379">
        <f t="shared" si="255"/>
        <v>662</v>
      </c>
      <c r="X1144" s="819" t="str">
        <f t="shared" si="256"/>
        <v/>
      </c>
      <c r="Y1144" s="837"/>
      <c r="Z1144" s="839"/>
      <c r="AA1144" s="838"/>
      <c r="AB1144" s="839"/>
    </row>
    <row r="1145" spans="1:28" ht="14.45">
      <c r="A1145" s="816"/>
      <c r="B1145" s="819" t="s">
        <v>2711</v>
      </c>
      <c r="C1145" s="819" t="s">
        <v>2712</v>
      </c>
      <c r="D1145" s="379" t="s">
        <v>336</v>
      </c>
      <c r="E1145" s="818" t="s">
        <v>441</v>
      </c>
      <c r="F1145" s="820">
        <v>1.058237222</v>
      </c>
      <c r="G1145" s="821">
        <v>5.3130999939999999</v>
      </c>
      <c r="H1145" s="822">
        <v>2626011797.1436901</v>
      </c>
      <c r="I1145" s="819">
        <v>1.93</v>
      </c>
      <c r="J1145" s="820">
        <v>-5.7875399999999999E-3</v>
      </c>
      <c r="K1145" s="819">
        <f t="shared" si="246"/>
        <v>124</v>
      </c>
      <c r="L1145" s="819">
        <f t="shared" si="247"/>
        <v>365</v>
      </c>
      <c r="M1145" s="819">
        <f t="shared" si="243"/>
        <v>124</v>
      </c>
      <c r="N1145" s="819">
        <f t="shared" si="244"/>
        <v>83</v>
      </c>
      <c r="O1145" s="819">
        <f t="shared" si="245"/>
        <v>1611</v>
      </c>
      <c r="P1145" s="819">
        <f t="shared" si="248"/>
        <v>1274</v>
      </c>
      <c r="Q1145" s="819">
        <f t="shared" si="249"/>
        <v>58</v>
      </c>
      <c r="R1145" s="819">
        <f t="shared" si="250"/>
        <v>42</v>
      </c>
      <c r="S1145" s="819">
        <f t="shared" si="251"/>
        <v>57</v>
      </c>
      <c r="T1145" s="819">
        <f t="shared" si="252"/>
        <v>1589</v>
      </c>
      <c r="U1145" s="819">
        <f t="shared" si="253"/>
        <v>3020</v>
      </c>
      <c r="V1145" s="819">
        <f t="shared" si="254"/>
        <v>950</v>
      </c>
      <c r="W1145" s="379">
        <f t="shared" si="255"/>
        <v>950</v>
      </c>
      <c r="X1145" s="819" t="str">
        <f t="shared" si="256"/>
        <v/>
      </c>
      <c r="Y1145" s="837"/>
      <c r="Z1145" s="839"/>
      <c r="AA1145" s="838"/>
      <c r="AB1145" s="839"/>
    </row>
    <row r="1146" spans="1:28" ht="13.15">
      <c r="B1146" s="819" t="s">
        <v>2713</v>
      </c>
      <c r="C1146" s="819" t="s">
        <v>2714</v>
      </c>
      <c r="D1146" s="379" t="s">
        <v>336</v>
      </c>
      <c r="E1146" s="818" t="s">
        <v>441</v>
      </c>
      <c r="F1146" s="820">
        <v>2.9239251849999999</v>
      </c>
      <c r="G1146" s="821">
        <v>4.5172798209999998</v>
      </c>
      <c r="H1146" s="822">
        <v>321630143.230066</v>
      </c>
      <c r="I1146" s="819"/>
      <c r="J1146" s="820">
        <v>-9.8763999999999992E-4</v>
      </c>
      <c r="K1146" s="819">
        <f t="shared" si="246"/>
        <v>458</v>
      </c>
      <c r="L1146" s="819">
        <f t="shared" si="247"/>
        <v>413</v>
      </c>
      <c r="M1146" s="819">
        <f t="shared" si="243"/>
        <v>458</v>
      </c>
      <c r="N1146" s="819">
        <f t="shared" si="244"/>
        <v>364</v>
      </c>
      <c r="O1146" s="819">
        <f t="shared" si="245"/>
        <v>1392</v>
      </c>
      <c r="P1146" s="819">
        <f t="shared" si="248"/>
        <v>940</v>
      </c>
      <c r="Q1146" s="819">
        <f t="shared" si="249"/>
        <v>10</v>
      </c>
      <c r="R1146" s="819">
        <f t="shared" si="250"/>
        <v>376</v>
      </c>
      <c r="S1146" s="819">
        <f t="shared" si="251"/>
        <v>338</v>
      </c>
      <c r="T1146" s="819">
        <f t="shared" si="252"/>
        <v>1370</v>
      </c>
      <c r="U1146" s="819">
        <f t="shared" si="253"/>
        <v>3034</v>
      </c>
      <c r="V1146" s="819">
        <f t="shared" si="254"/>
        <v>974</v>
      </c>
      <c r="W1146" s="379">
        <f t="shared" si="255"/>
        <v>974</v>
      </c>
      <c r="X1146" s="819" t="str">
        <f t="shared" si="256"/>
        <v/>
      </c>
      <c r="Y1146" s="837"/>
      <c r="Z1146" s="839"/>
      <c r="AA1146" s="838"/>
      <c r="AB1146" s="839"/>
    </row>
    <row r="1147" spans="1:28" ht="14.45">
      <c r="A1147" s="816"/>
      <c r="B1147" s="819" t="s">
        <v>2715</v>
      </c>
      <c r="C1147" s="819" t="s">
        <v>2716</v>
      </c>
      <c r="D1147" s="379" t="s">
        <v>336</v>
      </c>
      <c r="E1147" s="818" t="s">
        <v>836</v>
      </c>
      <c r="F1147" s="820"/>
      <c r="G1147" s="821"/>
      <c r="H1147" s="822">
        <v>1119449239.75</v>
      </c>
      <c r="I1147" s="819"/>
      <c r="J1147" s="820">
        <v>0</v>
      </c>
      <c r="K1147" s="819">
        <f t="shared" si="246"/>
        <v>206</v>
      </c>
      <c r="L1147" s="819">
        <f t="shared" si="247"/>
        <v>1084</v>
      </c>
      <c r="M1147" s="819">
        <f t="shared" si="243"/>
        <v>206</v>
      </c>
      <c r="N1147" s="819">
        <f t="shared" si="244"/>
        <v>364</v>
      </c>
      <c r="O1147" s="819">
        <f t="shared" si="245"/>
        <v>492</v>
      </c>
      <c r="P1147" s="819">
        <f t="shared" si="248"/>
        <v>1192</v>
      </c>
      <c r="Q1147" s="819">
        <f t="shared" si="249"/>
        <v>661</v>
      </c>
      <c r="R1147" s="819">
        <f t="shared" si="250"/>
        <v>124</v>
      </c>
      <c r="S1147" s="819">
        <f t="shared" si="251"/>
        <v>338</v>
      </c>
      <c r="T1147" s="819">
        <f t="shared" si="252"/>
        <v>470</v>
      </c>
      <c r="U1147" s="819">
        <f t="shared" si="253"/>
        <v>2785</v>
      </c>
      <c r="V1147" s="819">
        <f t="shared" si="254"/>
        <v>463</v>
      </c>
      <c r="W1147" s="379">
        <f t="shared" si="255"/>
        <v>463</v>
      </c>
      <c r="X1147" s="819" t="str">
        <f t="shared" si="256"/>
        <v/>
      </c>
      <c r="Y1147" s="837"/>
      <c r="Z1147" s="839"/>
      <c r="AA1147" s="838"/>
      <c r="AB1147" s="839"/>
    </row>
    <row r="1148" spans="1:28" ht="13.15">
      <c r="B1148" s="819" t="s">
        <v>2717</v>
      </c>
      <c r="C1148" s="819" t="s">
        <v>2718</v>
      </c>
      <c r="D1148" s="379" t="s">
        <v>336</v>
      </c>
      <c r="E1148" s="818" t="s">
        <v>676</v>
      </c>
      <c r="F1148" s="820">
        <v>1.011323185</v>
      </c>
      <c r="G1148" s="821">
        <v>4.2714610249999998</v>
      </c>
      <c r="H1148" s="822">
        <v>81129513.983165905</v>
      </c>
      <c r="I1148" s="819"/>
      <c r="J1148" s="820">
        <v>-1.3361810000000001E-3</v>
      </c>
      <c r="K1148" s="819">
        <f t="shared" si="246"/>
        <v>768</v>
      </c>
      <c r="L1148" s="819">
        <f t="shared" si="247"/>
        <v>429</v>
      </c>
      <c r="M1148" s="819">
        <f t="shared" si="243"/>
        <v>768</v>
      </c>
      <c r="N1148" s="819">
        <f t="shared" si="244"/>
        <v>364</v>
      </c>
      <c r="O1148" s="819">
        <f t="shared" si="245"/>
        <v>1439</v>
      </c>
      <c r="P1148" s="819">
        <f t="shared" si="248"/>
        <v>630</v>
      </c>
      <c r="Q1148" s="819">
        <f t="shared" si="249"/>
        <v>6</v>
      </c>
      <c r="R1148" s="819">
        <f t="shared" si="250"/>
        <v>686</v>
      </c>
      <c r="S1148" s="819">
        <f t="shared" si="251"/>
        <v>338</v>
      </c>
      <c r="T1148" s="819">
        <f t="shared" si="252"/>
        <v>1417</v>
      </c>
      <c r="U1148" s="819">
        <f t="shared" si="253"/>
        <v>3077</v>
      </c>
      <c r="V1148" s="819">
        <f t="shared" si="254"/>
        <v>1021</v>
      </c>
      <c r="W1148" s="379">
        <f t="shared" si="255"/>
        <v>1021</v>
      </c>
      <c r="X1148" s="819" t="str">
        <f t="shared" si="256"/>
        <v/>
      </c>
      <c r="Y1148" s="837"/>
      <c r="Z1148" s="839"/>
      <c r="AA1148" s="838"/>
      <c r="AB1148" s="839"/>
    </row>
    <row r="1149" spans="1:28" ht="14.45">
      <c r="A1149" s="816"/>
      <c r="B1149" s="819" t="s">
        <v>2719</v>
      </c>
      <c r="C1149" s="819" t="s">
        <v>2720</v>
      </c>
      <c r="D1149" s="379" t="s">
        <v>336</v>
      </c>
      <c r="E1149" s="818" t="s">
        <v>728</v>
      </c>
      <c r="F1149" s="820">
        <v>1.113469289</v>
      </c>
      <c r="G1149" s="821">
        <v>0.29374040000000001</v>
      </c>
      <c r="H1149" s="822">
        <v>902428.30858995102</v>
      </c>
      <c r="I1149" s="819"/>
      <c r="J1149" s="820">
        <v>-5.55238E-4</v>
      </c>
      <c r="K1149" s="819">
        <f t="shared" si="246"/>
        <v>1563</v>
      </c>
      <c r="L1149" s="819">
        <f t="shared" si="247"/>
        <v>960</v>
      </c>
      <c r="M1149" s="819">
        <f t="shared" si="243"/>
        <v>1563</v>
      </c>
      <c r="N1149" s="819">
        <f t="shared" si="244"/>
        <v>364</v>
      </c>
      <c r="O1149" s="819">
        <f t="shared" si="245"/>
        <v>1291</v>
      </c>
      <c r="P1149" s="819">
        <f t="shared" si="248"/>
        <v>165</v>
      </c>
      <c r="Q1149" s="819">
        <f t="shared" si="249"/>
        <v>537</v>
      </c>
      <c r="R1149" s="819">
        <f t="shared" si="250"/>
        <v>1481</v>
      </c>
      <c r="S1149" s="819">
        <f t="shared" si="251"/>
        <v>338</v>
      </c>
      <c r="T1149" s="819">
        <f t="shared" si="252"/>
        <v>1269</v>
      </c>
      <c r="U1149" s="819">
        <f t="shared" si="253"/>
        <v>3790</v>
      </c>
      <c r="V1149" s="819">
        <f t="shared" si="254"/>
        <v>1711</v>
      </c>
      <c r="W1149" s="379">
        <f t="shared" si="255"/>
        <v>1711</v>
      </c>
      <c r="X1149" s="819" t="str">
        <f t="shared" si="256"/>
        <v/>
      </c>
      <c r="Y1149" s="837"/>
      <c r="Z1149" s="839"/>
      <c r="AA1149" s="838"/>
      <c r="AB1149" s="839"/>
    </row>
    <row r="1150" spans="1:28" ht="13.15">
      <c r="B1150" s="819" t="s">
        <v>2721</v>
      </c>
      <c r="C1150" s="819" t="s">
        <v>2722</v>
      </c>
      <c r="D1150" s="379" t="s">
        <v>336</v>
      </c>
      <c r="E1150" s="818" t="s">
        <v>441</v>
      </c>
      <c r="F1150" s="820">
        <v>1.4375039199999999</v>
      </c>
      <c r="G1150" s="821">
        <v>1.5570525999999999E-2</v>
      </c>
      <c r="H1150" s="822">
        <v>495113440.85993302</v>
      </c>
      <c r="I1150" s="819"/>
      <c r="J1150" s="820">
        <v>-4.2971900000000001E-5</v>
      </c>
      <c r="K1150" s="819">
        <f t="shared" si="246"/>
        <v>353</v>
      </c>
      <c r="L1150" s="819">
        <f t="shared" si="247"/>
        <v>1063</v>
      </c>
      <c r="M1150" s="819">
        <f t="shared" si="243"/>
        <v>353</v>
      </c>
      <c r="N1150" s="819">
        <f t="shared" si="244"/>
        <v>364</v>
      </c>
      <c r="O1150" s="819">
        <f t="shared" si="245"/>
        <v>905</v>
      </c>
      <c r="P1150" s="819">
        <f t="shared" si="248"/>
        <v>1045</v>
      </c>
      <c r="Q1150" s="819">
        <f t="shared" si="249"/>
        <v>640</v>
      </c>
      <c r="R1150" s="819">
        <f t="shared" si="250"/>
        <v>271</v>
      </c>
      <c r="S1150" s="819">
        <f t="shared" si="251"/>
        <v>338</v>
      </c>
      <c r="T1150" s="819">
        <f t="shared" si="252"/>
        <v>883</v>
      </c>
      <c r="U1150" s="819">
        <f t="shared" si="253"/>
        <v>3177</v>
      </c>
      <c r="V1150" s="819">
        <f t="shared" si="254"/>
        <v>1166</v>
      </c>
      <c r="W1150" s="379">
        <f t="shared" si="255"/>
        <v>1166</v>
      </c>
      <c r="X1150" s="819" t="str">
        <f t="shared" si="256"/>
        <v/>
      </c>
      <c r="Y1150" s="837"/>
      <c r="Z1150" s="839"/>
      <c r="AA1150" s="838"/>
      <c r="AB1150" s="839"/>
    </row>
    <row r="1151" spans="1:28" ht="14.45">
      <c r="A1151" s="816"/>
      <c r="B1151" s="819" t="s">
        <v>2723</v>
      </c>
      <c r="C1151" s="819" t="s">
        <v>2724</v>
      </c>
      <c r="D1151" s="379" t="s">
        <v>336</v>
      </c>
      <c r="E1151" s="818" t="s">
        <v>1832</v>
      </c>
      <c r="F1151" s="820">
        <v>1.6042260150000001</v>
      </c>
      <c r="G1151" s="821">
        <v>8.7169119000000003E-2</v>
      </c>
      <c r="H1151" s="822">
        <v>235537824.93107501</v>
      </c>
      <c r="I1151" s="819">
        <v>1.07</v>
      </c>
      <c r="J1151" s="820">
        <v>-3.813547E-3</v>
      </c>
      <c r="K1151" s="819">
        <f t="shared" si="246"/>
        <v>526</v>
      </c>
      <c r="L1151" s="819">
        <f t="shared" si="247"/>
        <v>1018</v>
      </c>
      <c r="M1151" s="819">
        <f t="shared" si="243"/>
        <v>526</v>
      </c>
      <c r="N1151" s="819">
        <f t="shared" si="244"/>
        <v>128</v>
      </c>
      <c r="O1151" s="819">
        <f t="shared" si="245"/>
        <v>1581</v>
      </c>
      <c r="P1151" s="819">
        <f t="shared" si="248"/>
        <v>872</v>
      </c>
      <c r="Q1151" s="819">
        <f t="shared" si="249"/>
        <v>595</v>
      </c>
      <c r="R1151" s="819">
        <f t="shared" si="250"/>
        <v>444</v>
      </c>
      <c r="S1151" s="819">
        <f t="shared" si="251"/>
        <v>102</v>
      </c>
      <c r="T1151" s="819">
        <f t="shared" si="252"/>
        <v>1559</v>
      </c>
      <c r="U1151" s="819">
        <f t="shared" si="253"/>
        <v>3572</v>
      </c>
      <c r="V1151" s="819">
        <f t="shared" si="254"/>
        <v>1610</v>
      </c>
      <c r="W1151" s="379">
        <f t="shared" si="255"/>
        <v>1610</v>
      </c>
      <c r="X1151" s="819" t="str">
        <f t="shared" si="256"/>
        <v/>
      </c>
      <c r="Y1151" s="837"/>
      <c r="Z1151" s="839"/>
      <c r="AA1151" s="838"/>
      <c r="AB1151" s="839"/>
    </row>
    <row r="1152" spans="1:28" ht="13.15">
      <c r="B1152" s="819" t="s">
        <v>2725</v>
      </c>
      <c r="C1152" s="819" t="s">
        <v>2726</v>
      </c>
      <c r="D1152" s="379" t="s">
        <v>336</v>
      </c>
      <c r="E1152" s="818" t="s">
        <v>2727</v>
      </c>
      <c r="F1152" s="820">
        <v>3.5864812929999998</v>
      </c>
      <c r="G1152" s="821">
        <v>1.742478102</v>
      </c>
      <c r="H1152" s="822">
        <v>13713057.692307699</v>
      </c>
      <c r="I1152" s="819"/>
      <c r="J1152" s="820">
        <v>-1.19698E-5</v>
      </c>
      <c r="K1152" s="819">
        <f t="shared" si="246"/>
        <v>1184</v>
      </c>
      <c r="L1152" s="819">
        <f t="shared" si="247"/>
        <v>716</v>
      </c>
      <c r="M1152" s="819">
        <f t="shared" si="243"/>
        <v>1184</v>
      </c>
      <c r="N1152" s="819">
        <f t="shared" si="244"/>
        <v>364</v>
      </c>
      <c r="O1152" s="819">
        <f t="shared" si="245"/>
        <v>817</v>
      </c>
      <c r="P1152" s="819">
        <f t="shared" si="248"/>
        <v>214</v>
      </c>
      <c r="Q1152" s="819">
        <f t="shared" si="249"/>
        <v>293</v>
      </c>
      <c r="R1152" s="819">
        <f t="shared" si="250"/>
        <v>1102</v>
      </c>
      <c r="S1152" s="819">
        <f t="shared" si="251"/>
        <v>338</v>
      </c>
      <c r="T1152" s="819">
        <f t="shared" si="252"/>
        <v>795</v>
      </c>
      <c r="U1152" s="819">
        <f t="shared" si="253"/>
        <v>2742</v>
      </c>
      <c r="V1152" s="819">
        <f t="shared" si="254"/>
        <v>407</v>
      </c>
      <c r="W1152" s="379">
        <f t="shared" si="255"/>
        <v>407</v>
      </c>
      <c r="X1152" s="819" t="str">
        <f t="shared" si="256"/>
        <v/>
      </c>
      <c r="Y1152" s="837"/>
      <c r="Z1152" s="839"/>
      <c r="AA1152" s="838"/>
      <c r="AB1152" s="839"/>
    </row>
    <row r="1153" spans="1:28" ht="14.45">
      <c r="A1153" s="816"/>
      <c r="B1153" s="819" t="s">
        <v>2728</v>
      </c>
      <c r="C1153" s="819" t="s">
        <v>2729</v>
      </c>
      <c r="D1153" s="379" t="s">
        <v>336</v>
      </c>
      <c r="E1153" s="818" t="s">
        <v>418</v>
      </c>
      <c r="F1153" s="820">
        <v>0.92304309100000004</v>
      </c>
      <c r="G1153" s="821">
        <v>4.874535871</v>
      </c>
      <c r="H1153" s="822">
        <v>2996448428.8211298</v>
      </c>
      <c r="I1153" s="819">
        <v>0</v>
      </c>
      <c r="J1153" s="820">
        <v>-2.848934E-3</v>
      </c>
      <c r="K1153" s="819">
        <f t="shared" si="246"/>
        <v>105</v>
      </c>
      <c r="L1153" s="819">
        <f t="shared" si="247"/>
        <v>384</v>
      </c>
      <c r="M1153" s="819">
        <f t="shared" si="243"/>
        <v>105</v>
      </c>
      <c r="N1153" s="819">
        <f t="shared" si="244"/>
        <v>364</v>
      </c>
      <c r="O1153" s="819">
        <f t="shared" si="245"/>
        <v>1540</v>
      </c>
      <c r="P1153" s="819">
        <f t="shared" si="248"/>
        <v>1293</v>
      </c>
      <c r="Q1153" s="819">
        <f t="shared" si="249"/>
        <v>39</v>
      </c>
      <c r="R1153" s="819">
        <f t="shared" si="250"/>
        <v>23</v>
      </c>
      <c r="S1153" s="819">
        <f t="shared" si="251"/>
        <v>338</v>
      </c>
      <c r="T1153" s="819">
        <f t="shared" si="252"/>
        <v>1518</v>
      </c>
      <c r="U1153" s="819">
        <f t="shared" si="253"/>
        <v>3211</v>
      </c>
      <c r="V1153" s="819">
        <f t="shared" si="254"/>
        <v>1217</v>
      </c>
      <c r="W1153" s="379">
        <f t="shared" si="255"/>
        <v>1217</v>
      </c>
      <c r="X1153" s="819" t="str">
        <f t="shared" si="256"/>
        <v/>
      </c>
      <c r="Y1153" s="837"/>
      <c r="Z1153" s="839"/>
      <c r="AA1153" s="838"/>
      <c r="AB1153" s="839"/>
    </row>
    <row r="1154" spans="1:28" ht="13.15">
      <c r="B1154" s="819" t="s">
        <v>2730</v>
      </c>
      <c r="C1154" s="819" t="s">
        <v>2731</v>
      </c>
      <c r="D1154" s="379" t="s">
        <v>336</v>
      </c>
      <c r="E1154" s="818" t="s">
        <v>1832</v>
      </c>
      <c r="F1154" s="820">
        <v>3.3635548470000001</v>
      </c>
      <c r="G1154" s="821">
        <v>-1.8189252339999999</v>
      </c>
      <c r="H1154" s="822">
        <v>4329812.8239464397</v>
      </c>
      <c r="I1154" s="819">
        <v>7.0000000000000007E-2</v>
      </c>
      <c r="J1154" s="820">
        <v>4.0631019999999999E-3</v>
      </c>
      <c r="K1154" s="819">
        <f t="shared" si="246"/>
        <v>1392</v>
      </c>
      <c r="L1154" s="819">
        <f t="shared" si="247"/>
        <v>1337</v>
      </c>
      <c r="M1154" s="819">
        <f t="shared" si="243"/>
        <v>1392</v>
      </c>
      <c r="N1154" s="819">
        <f t="shared" si="244"/>
        <v>293</v>
      </c>
      <c r="O1154" s="819">
        <f t="shared" si="245"/>
        <v>153</v>
      </c>
      <c r="P1154" s="819">
        <f t="shared" si="248"/>
        <v>6</v>
      </c>
      <c r="Q1154" s="819">
        <f t="shared" si="249"/>
        <v>914</v>
      </c>
      <c r="R1154" s="819">
        <f t="shared" si="250"/>
        <v>1310</v>
      </c>
      <c r="S1154" s="819">
        <f t="shared" si="251"/>
        <v>267</v>
      </c>
      <c r="T1154" s="819">
        <f t="shared" si="252"/>
        <v>131</v>
      </c>
      <c r="U1154" s="819">
        <f t="shared" si="253"/>
        <v>2628</v>
      </c>
      <c r="V1154" s="819">
        <f t="shared" si="254"/>
        <v>301</v>
      </c>
      <c r="W1154" s="379">
        <f t="shared" si="255"/>
        <v>301</v>
      </c>
      <c r="X1154" s="819" t="str">
        <f t="shared" si="256"/>
        <v/>
      </c>
      <c r="Y1154" s="837"/>
      <c r="Z1154" s="839"/>
      <c r="AA1154" s="838"/>
      <c r="AB1154" s="839"/>
    </row>
    <row r="1155" spans="1:28" ht="14.45">
      <c r="A1155" s="816"/>
      <c r="B1155" s="819" t="s">
        <v>2732</v>
      </c>
      <c r="C1155" s="819" t="s">
        <v>2733</v>
      </c>
      <c r="D1155" s="379" t="s">
        <v>336</v>
      </c>
      <c r="E1155" s="818" t="s">
        <v>625</v>
      </c>
      <c r="F1155" s="820">
        <v>0.332280615</v>
      </c>
      <c r="G1155" s="821">
        <v>-2.3384699279999999</v>
      </c>
      <c r="H1155" s="822">
        <v>363638276.88504303</v>
      </c>
      <c r="I1155" s="819"/>
      <c r="J1155" s="820">
        <v>7.9415599999999996E-4</v>
      </c>
      <c r="K1155" s="819">
        <f t="shared" si="246"/>
        <v>429</v>
      </c>
      <c r="L1155" s="819">
        <f t="shared" si="247"/>
        <v>1354</v>
      </c>
      <c r="M1155" s="819">
        <f t="shared" si="243"/>
        <v>429</v>
      </c>
      <c r="N1155" s="819">
        <f t="shared" si="244"/>
        <v>364</v>
      </c>
      <c r="O1155" s="819">
        <f t="shared" si="245"/>
        <v>187</v>
      </c>
      <c r="P1155" s="819">
        <f t="shared" si="248"/>
        <v>969</v>
      </c>
      <c r="Q1155" s="819">
        <f t="shared" si="249"/>
        <v>931</v>
      </c>
      <c r="R1155" s="819">
        <f t="shared" si="250"/>
        <v>347</v>
      </c>
      <c r="S1155" s="819">
        <f t="shared" si="251"/>
        <v>338</v>
      </c>
      <c r="T1155" s="819">
        <f t="shared" si="252"/>
        <v>165</v>
      </c>
      <c r="U1155" s="819">
        <f t="shared" si="253"/>
        <v>2750</v>
      </c>
      <c r="V1155" s="819">
        <f t="shared" si="254"/>
        <v>417</v>
      </c>
      <c r="W1155" s="379">
        <f t="shared" si="255"/>
        <v>417</v>
      </c>
      <c r="X1155" s="819" t="str">
        <f t="shared" si="256"/>
        <v/>
      </c>
      <c r="Y1155" s="837"/>
      <c r="Z1155" s="839"/>
      <c r="AA1155" s="838"/>
      <c r="AB1155" s="839"/>
    </row>
    <row r="1156" spans="1:28" ht="13.15">
      <c r="B1156" s="819" t="s">
        <v>2734</v>
      </c>
      <c r="C1156" s="819" t="s">
        <v>2735</v>
      </c>
      <c r="D1156" s="379" t="s">
        <v>336</v>
      </c>
      <c r="E1156" s="818" t="s">
        <v>600</v>
      </c>
      <c r="F1156" s="820">
        <v>-0.48850881899999998</v>
      </c>
      <c r="G1156" s="821">
        <v>-0.14584739999999999</v>
      </c>
      <c r="H1156" s="822">
        <v>894110068.27504301</v>
      </c>
      <c r="I1156" s="819"/>
      <c r="J1156" s="820">
        <v>2.4555699999999999E-6</v>
      </c>
      <c r="K1156" s="819">
        <f t="shared" si="246"/>
        <v>244</v>
      </c>
      <c r="L1156" s="819">
        <f t="shared" si="247"/>
        <v>1228</v>
      </c>
      <c r="M1156" s="819">
        <f t="shared" ref="M1156:M1219" si="257">IFERROR(_xlfn.RANK.EQ(H1156,H$3:H$1787),"N/A")</f>
        <v>244</v>
      </c>
      <c r="N1156" s="819">
        <f t="shared" ref="N1156:N1219" si="258">IFERROR(_xlfn.RANK.EQ(I1156,I$3:I$1787),"N/A")</f>
        <v>364</v>
      </c>
      <c r="O1156" s="819">
        <f t="shared" ref="O1156:O1219" si="259">IFERROR(_xlfn.RANK.EQ(J1156,J$3:J$1787),"N/A")</f>
        <v>464</v>
      </c>
      <c r="P1156" s="819">
        <f t="shared" si="248"/>
        <v>1154</v>
      </c>
      <c r="Q1156" s="819">
        <f t="shared" si="249"/>
        <v>805</v>
      </c>
      <c r="R1156" s="819">
        <f t="shared" si="250"/>
        <v>162</v>
      </c>
      <c r="S1156" s="819">
        <f t="shared" si="251"/>
        <v>338</v>
      </c>
      <c r="T1156" s="819">
        <f t="shared" si="252"/>
        <v>442</v>
      </c>
      <c r="U1156" s="819">
        <f t="shared" si="253"/>
        <v>2901</v>
      </c>
      <c r="V1156" s="819">
        <f t="shared" si="254"/>
        <v>804</v>
      </c>
      <c r="W1156" s="379">
        <f t="shared" si="255"/>
        <v>804</v>
      </c>
      <c r="X1156" s="819" t="str">
        <f t="shared" si="256"/>
        <v/>
      </c>
      <c r="Y1156" s="837"/>
      <c r="Z1156" s="839"/>
      <c r="AA1156" s="838"/>
      <c r="AB1156" s="839"/>
    </row>
    <row r="1157" spans="1:28" ht="14.45">
      <c r="A1157" s="816"/>
      <c r="B1157" s="819" t="s">
        <v>2736</v>
      </c>
      <c r="C1157" s="819" t="s">
        <v>2737</v>
      </c>
      <c r="D1157" s="379" t="s">
        <v>336</v>
      </c>
      <c r="E1157" s="818" t="s">
        <v>441</v>
      </c>
      <c r="F1157" s="820">
        <v>-0.58661341700000003</v>
      </c>
      <c r="G1157" s="821">
        <v>-0.51421528000000005</v>
      </c>
      <c r="H1157" s="822">
        <v>400651587.90624398</v>
      </c>
      <c r="I1157" s="819"/>
      <c r="J1157" s="820">
        <v>5.9182699999999998E-5</v>
      </c>
      <c r="K1157" s="819">
        <f t="shared" ref="K1157:K1220" si="260">IFERROR(_xlfn.RANK.EQ(H1157,H$3:H$1787),"N/A")</f>
        <v>407</v>
      </c>
      <c r="L1157" s="819">
        <f t="shared" ref="L1157:L1220" si="261">IFERROR(_xlfn.RANK.EQ(G1157,G$3:G$1787),"N/A")</f>
        <v>1263</v>
      </c>
      <c r="M1157" s="819">
        <f t="shared" si="257"/>
        <v>407</v>
      </c>
      <c r="N1157" s="819">
        <f t="shared" si="258"/>
        <v>364</v>
      </c>
      <c r="O1157" s="819">
        <f t="shared" si="259"/>
        <v>336</v>
      </c>
      <c r="P1157" s="819">
        <f t="shared" ref="P1157:P1220" si="262">IFERROR(ABS(K$3-K1157),"N/A")</f>
        <v>991</v>
      </c>
      <c r="Q1157" s="819">
        <f t="shared" ref="Q1157:Q1220" si="263">IFERROR(ABS(L$3-L1157),"N/A")</f>
        <v>840</v>
      </c>
      <c r="R1157" s="819">
        <f t="shared" ref="R1157:R1220" si="264">IFERROR(ABS(M$3-M1157),"N/A")</f>
        <v>325</v>
      </c>
      <c r="S1157" s="819">
        <f t="shared" ref="S1157:S1220" si="265">IFERROR(ABS(N$3-N1157),"N/A")</f>
        <v>338</v>
      </c>
      <c r="T1157" s="819">
        <f t="shared" ref="T1157:T1220" si="266">IFERROR(ABS(O$3-O1157),"N/A")</f>
        <v>314</v>
      </c>
      <c r="U1157" s="819">
        <f t="shared" ref="U1157:U1220" si="267">SUM(P1157:T1157)</f>
        <v>2808</v>
      </c>
      <c r="V1157" s="819">
        <f t="shared" ref="V1157:V1220" si="268">_xlfn.RANK.EQ(U1157,$U$4:$U$1787,1)</f>
        <v>643</v>
      </c>
      <c r="W1157" s="379">
        <f t="shared" ref="W1157:W1220" si="269">IF(Y1157="Not suitable","-",V1157)</f>
        <v>643</v>
      </c>
      <c r="X1157" s="819" t="str">
        <f t="shared" si="256"/>
        <v/>
      </c>
      <c r="Y1157" s="837"/>
      <c r="Z1157" s="839"/>
      <c r="AA1157" s="838"/>
      <c r="AB1157" s="839"/>
    </row>
    <row r="1158" spans="1:28" ht="13.15">
      <c r="B1158" s="819" t="s">
        <v>2738</v>
      </c>
      <c r="C1158" s="819" t="s">
        <v>2739</v>
      </c>
      <c r="D1158" s="379" t="s">
        <v>336</v>
      </c>
      <c r="E1158" s="818" t="s">
        <v>337</v>
      </c>
      <c r="F1158" s="820">
        <v>0.51437090299999999</v>
      </c>
      <c r="G1158" s="821">
        <v>0.49369917699999999</v>
      </c>
      <c r="H1158" s="822">
        <v>3458934.8</v>
      </c>
      <c r="I1158" s="819">
        <v>0.18</v>
      </c>
      <c r="J1158" s="820">
        <v>-6.6671839999999996E-3</v>
      </c>
      <c r="K1158" s="819">
        <f t="shared" si="260"/>
        <v>1430</v>
      </c>
      <c r="L1158" s="819">
        <f t="shared" si="261"/>
        <v>926</v>
      </c>
      <c r="M1158" s="819">
        <f t="shared" si="257"/>
        <v>1430</v>
      </c>
      <c r="N1158" s="819">
        <f t="shared" si="258"/>
        <v>219</v>
      </c>
      <c r="O1158" s="819">
        <f t="shared" si="259"/>
        <v>1622</v>
      </c>
      <c r="P1158" s="819">
        <f t="shared" si="262"/>
        <v>32</v>
      </c>
      <c r="Q1158" s="819">
        <f t="shared" si="263"/>
        <v>503</v>
      </c>
      <c r="R1158" s="819">
        <f t="shared" si="264"/>
        <v>1348</v>
      </c>
      <c r="S1158" s="819">
        <f t="shared" si="265"/>
        <v>193</v>
      </c>
      <c r="T1158" s="819">
        <f t="shared" si="266"/>
        <v>1600</v>
      </c>
      <c r="U1158" s="819">
        <f t="shared" si="267"/>
        <v>3676</v>
      </c>
      <c r="V1158" s="819">
        <f t="shared" si="268"/>
        <v>1667</v>
      </c>
      <c r="W1158" s="379">
        <f t="shared" si="269"/>
        <v>1667</v>
      </c>
      <c r="X1158" s="819" t="str">
        <f t="shared" ref="X1158:X1221" si="270">IF(L1158="N/A","Y","")</f>
        <v/>
      </c>
      <c r="Y1158" s="837"/>
      <c r="Z1158" s="839"/>
      <c r="AA1158" s="838"/>
      <c r="AB1158" s="839"/>
    </row>
    <row r="1159" spans="1:28" ht="14.45">
      <c r="A1159" s="816"/>
      <c r="B1159" s="819" t="s">
        <v>2740</v>
      </c>
      <c r="C1159" s="819" t="s">
        <v>2741</v>
      </c>
      <c r="D1159" s="379" t="s">
        <v>336</v>
      </c>
      <c r="E1159" s="818" t="s">
        <v>191</v>
      </c>
      <c r="F1159" s="820">
        <v>-2.0674514450000001</v>
      </c>
      <c r="G1159" s="821">
        <v>-1.4223182750000001</v>
      </c>
      <c r="H1159" s="822">
        <v>320886.31532974198</v>
      </c>
      <c r="I1159" s="819"/>
      <c r="J1159" s="820">
        <v>8.6527100000000003E-4</v>
      </c>
      <c r="K1159" s="819">
        <f t="shared" si="260"/>
        <v>1622</v>
      </c>
      <c r="L1159" s="819">
        <f t="shared" si="261"/>
        <v>1319</v>
      </c>
      <c r="M1159" s="819">
        <f t="shared" si="257"/>
        <v>1622</v>
      </c>
      <c r="N1159" s="819">
        <f t="shared" si="258"/>
        <v>364</v>
      </c>
      <c r="O1159" s="819">
        <f t="shared" si="259"/>
        <v>182</v>
      </c>
      <c r="P1159" s="819">
        <f t="shared" si="262"/>
        <v>224</v>
      </c>
      <c r="Q1159" s="819">
        <f t="shared" si="263"/>
        <v>896</v>
      </c>
      <c r="R1159" s="819">
        <f t="shared" si="264"/>
        <v>1540</v>
      </c>
      <c r="S1159" s="819">
        <f t="shared" si="265"/>
        <v>338</v>
      </c>
      <c r="T1159" s="819">
        <f t="shared" si="266"/>
        <v>160</v>
      </c>
      <c r="U1159" s="819">
        <f t="shared" si="267"/>
        <v>3158</v>
      </c>
      <c r="V1159" s="819">
        <f t="shared" si="268"/>
        <v>1138</v>
      </c>
      <c r="W1159" s="379">
        <f t="shared" si="269"/>
        <v>1138</v>
      </c>
      <c r="X1159" s="819" t="str">
        <f t="shared" si="270"/>
        <v/>
      </c>
      <c r="Y1159" s="837"/>
      <c r="Z1159" s="839"/>
      <c r="AA1159" s="838"/>
      <c r="AB1159" s="839"/>
    </row>
    <row r="1160" spans="1:28" ht="13.15">
      <c r="B1160" s="819" t="s">
        <v>2742</v>
      </c>
      <c r="C1160" s="819" t="s">
        <v>2743</v>
      </c>
      <c r="D1160" s="379" t="s">
        <v>336</v>
      </c>
      <c r="E1160" s="818" t="s">
        <v>441</v>
      </c>
      <c r="F1160" s="820">
        <v>-1.2497426380000001</v>
      </c>
      <c r="G1160" s="821">
        <v>-0.19348913500000001</v>
      </c>
      <c r="H1160" s="822">
        <v>4593468571.9810495</v>
      </c>
      <c r="I1160" s="819"/>
      <c r="J1160" s="820">
        <v>2.87668E-5</v>
      </c>
      <c r="K1160" s="819">
        <f t="shared" si="260"/>
        <v>79</v>
      </c>
      <c r="L1160" s="819">
        <f t="shared" si="261"/>
        <v>1240</v>
      </c>
      <c r="M1160" s="819">
        <f t="shared" si="257"/>
        <v>79</v>
      </c>
      <c r="N1160" s="819">
        <f t="shared" si="258"/>
        <v>364</v>
      </c>
      <c r="O1160" s="819">
        <f t="shared" si="259"/>
        <v>384</v>
      </c>
      <c r="P1160" s="819">
        <f t="shared" si="262"/>
        <v>1319</v>
      </c>
      <c r="Q1160" s="819">
        <f t="shared" si="263"/>
        <v>817</v>
      </c>
      <c r="R1160" s="819">
        <f t="shared" si="264"/>
        <v>3</v>
      </c>
      <c r="S1160" s="819">
        <f t="shared" si="265"/>
        <v>338</v>
      </c>
      <c r="T1160" s="819">
        <f t="shared" si="266"/>
        <v>362</v>
      </c>
      <c r="U1160" s="819">
        <f t="shared" si="267"/>
        <v>2839</v>
      </c>
      <c r="V1160" s="819">
        <f t="shared" si="268"/>
        <v>699</v>
      </c>
      <c r="W1160" s="379">
        <f t="shared" si="269"/>
        <v>699</v>
      </c>
      <c r="X1160" s="819" t="str">
        <f t="shared" si="270"/>
        <v/>
      </c>
      <c r="Y1160" s="837"/>
      <c r="Z1160" s="839"/>
      <c r="AA1160" s="838"/>
      <c r="AB1160" s="839"/>
    </row>
    <row r="1161" spans="1:28" ht="14.45">
      <c r="A1161" s="816"/>
      <c r="B1161" s="819" t="s">
        <v>2744</v>
      </c>
      <c r="C1161" s="819" t="s">
        <v>2745</v>
      </c>
      <c r="D1161" s="379" t="s">
        <v>336</v>
      </c>
      <c r="E1161" s="818" t="s">
        <v>460</v>
      </c>
      <c r="F1161" s="820">
        <v>0.19583241100000001</v>
      </c>
      <c r="G1161" s="821">
        <v>5.6853800000000005E-4</v>
      </c>
      <c r="H1161" s="822">
        <v>23896654.281776201</v>
      </c>
      <c r="I1161" s="819"/>
      <c r="J1161" s="820">
        <v>-2.1791319999999999E-3</v>
      </c>
      <c r="K1161" s="819">
        <f t="shared" si="260"/>
        <v>1062</v>
      </c>
      <c r="L1161" s="819">
        <f t="shared" si="261"/>
        <v>1081</v>
      </c>
      <c r="M1161" s="819">
        <f t="shared" si="257"/>
        <v>1062</v>
      </c>
      <c r="N1161" s="819">
        <f t="shared" si="258"/>
        <v>364</v>
      </c>
      <c r="O1161" s="819">
        <f t="shared" si="259"/>
        <v>1505</v>
      </c>
      <c r="P1161" s="819">
        <f t="shared" si="262"/>
        <v>336</v>
      </c>
      <c r="Q1161" s="819">
        <f t="shared" si="263"/>
        <v>658</v>
      </c>
      <c r="R1161" s="819">
        <f t="shared" si="264"/>
        <v>980</v>
      </c>
      <c r="S1161" s="819">
        <f t="shared" si="265"/>
        <v>338</v>
      </c>
      <c r="T1161" s="819">
        <f t="shared" si="266"/>
        <v>1483</v>
      </c>
      <c r="U1161" s="819">
        <f t="shared" si="267"/>
        <v>3795</v>
      </c>
      <c r="V1161" s="819">
        <f t="shared" si="268"/>
        <v>1713</v>
      </c>
      <c r="W1161" s="379">
        <f t="shared" si="269"/>
        <v>1713</v>
      </c>
      <c r="X1161" s="819" t="str">
        <f t="shared" si="270"/>
        <v/>
      </c>
      <c r="Y1161" s="837"/>
      <c r="Z1161" s="839"/>
      <c r="AA1161" s="838"/>
      <c r="AB1161" s="839"/>
    </row>
    <row r="1162" spans="1:28" ht="13.15">
      <c r="B1162" s="819" t="s">
        <v>2746</v>
      </c>
      <c r="C1162" s="819" t="s">
        <v>2747</v>
      </c>
      <c r="D1162" s="379" t="s">
        <v>336</v>
      </c>
      <c r="E1162" s="818" t="s">
        <v>337</v>
      </c>
      <c r="F1162" s="820"/>
      <c r="G1162" s="821"/>
      <c r="H1162" s="822">
        <v>6228.6572999999999</v>
      </c>
      <c r="I1162" s="819"/>
      <c r="J1162" s="820">
        <v>0</v>
      </c>
      <c r="K1162" s="819">
        <f t="shared" si="260"/>
        <v>1670</v>
      </c>
      <c r="L1162" s="819">
        <f t="shared" si="261"/>
        <v>1084</v>
      </c>
      <c r="M1162" s="819">
        <f t="shared" si="257"/>
        <v>1670</v>
      </c>
      <c r="N1162" s="819">
        <f t="shared" si="258"/>
        <v>364</v>
      </c>
      <c r="O1162" s="819">
        <f t="shared" si="259"/>
        <v>492</v>
      </c>
      <c r="P1162" s="819">
        <f t="shared" si="262"/>
        <v>272</v>
      </c>
      <c r="Q1162" s="819">
        <f t="shared" si="263"/>
        <v>661</v>
      </c>
      <c r="R1162" s="819">
        <f t="shared" si="264"/>
        <v>1588</v>
      </c>
      <c r="S1162" s="819">
        <f t="shared" si="265"/>
        <v>338</v>
      </c>
      <c r="T1162" s="819">
        <f t="shared" si="266"/>
        <v>470</v>
      </c>
      <c r="U1162" s="819">
        <f t="shared" si="267"/>
        <v>3329</v>
      </c>
      <c r="V1162" s="819">
        <f t="shared" si="268"/>
        <v>1380</v>
      </c>
      <c r="W1162" s="379">
        <f t="shared" si="269"/>
        <v>1380</v>
      </c>
      <c r="X1162" s="819" t="str">
        <f t="shared" si="270"/>
        <v/>
      </c>
      <c r="Y1162" s="837"/>
      <c r="Z1162" s="839"/>
      <c r="AA1162" s="838"/>
      <c r="AB1162" s="839"/>
    </row>
    <row r="1163" spans="1:28" ht="14.45">
      <c r="A1163" s="816"/>
      <c r="B1163" s="819" t="s">
        <v>2748</v>
      </c>
      <c r="C1163" s="819" t="s">
        <v>2749</v>
      </c>
      <c r="D1163" s="379" t="s">
        <v>336</v>
      </c>
      <c r="E1163" s="818" t="s">
        <v>1870</v>
      </c>
      <c r="F1163" s="820">
        <v>1.0130479990000001</v>
      </c>
      <c r="G1163" s="821">
        <v>5.8448608999999999E-2</v>
      </c>
      <c r="H1163" s="822">
        <v>167613582.50837001</v>
      </c>
      <c r="I1163" s="819"/>
      <c r="J1163" s="820">
        <v>-4.2443299999999999E-4</v>
      </c>
      <c r="K1163" s="819">
        <f t="shared" si="260"/>
        <v>611</v>
      </c>
      <c r="L1163" s="819">
        <f t="shared" si="261"/>
        <v>1041</v>
      </c>
      <c r="M1163" s="819">
        <f t="shared" si="257"/>
        <v>611</v>
      </c>
      <c r="N1163" s="819">
        <f t="shared" si="258"/>
        <v>364</v>
      </c>
      <c r="O1163" s="819">
        <f t="shared" si="259"/>
        <v>1242</v>
      </c>
      <c r="P1163" s="819">
        <f t="shared" si="262"/>
        <v>787</v>
      </c>
      <c r="Q1163" s="819">
        <f t="shared" si="263"/>
        <v>618</v>
      </c>
      <c r="R1163" s="819">
        <f t="shared" si="264"/>
        <v>529</v>
      </c>
      <c r="S1163" s="819">
        <f t="shared" si="265"/>
        <v>338</v>
      </c>
      <c r="T1163" s="819">
        <f t="shared" si="266"/>
        <v>1220</v>
      </c>
      <c r="U1163" s="819">
        <f t="shared" si="267"/>
        <v>3492</v>
      </c>
      <c r="V1163" s="819">
        <f t="shared" si="268"/>
        <v>1545</v>
      </c>
      <c r="W1163" s="379">
        <f t="shared" si="269"/>
        <v>1545</v>
      </c>
      <c r="X1163" s="819" t="str">
        <f t="shared" si="270"/>
        <v/>
      </c>
      <c r="Y1163" s="837"/>
      <c r="Z1163" s="839"/>
      <c r="AA1163" s="838"/>
      <c r="AB1163" s="839"/>
    </row>
    <row r="1164" spans="1:28" ht="13.15">
      <c r="B1164" s="819" t="s">
        <v>2750</v>
      </c>
      <c r="C1164" s="819" t="s">
        <v>2751</v>
      </c>
      <c r="D1164" s="379" t="s">
        <v>336</v>
      </c>
      <c r="E1164" s="818" t="s">
        <v>1870</v>
      </c>
      <c r="F1164" s="820">
        <v>-0.69758066600000002</v>
      </c>
      <c r="G1164" s="821"/>
      <c r="H1164" s="822">
        <v>34145421.862284303</v>
      </c>
      <c r="I1164" s="819"/>
      <c r="J1164" s="820">
        <v>0</v>
      </c>
      <c r="K1164" s="819">
        <f t="shared" si="260"/>
        <v>964</v>
      </c>
      <c r="L1164" s="819">
        <f t="shared" si="261"/>
        <v>1084</v>
      </c>
      <c r="M1164" s="819">
        <f t="shared" si="257"/>
        <v>964</v>
      </c>
      <c r="N1164" s="819">
        <f t="shared" si="258"/>
        <v>364</v>
      </c>
      <c r="O1164" s="819">
        <f t="shared" si="259"/>
        <v>492</v>
      </c>
      <c r="P1164" s="819">
        <f t="shared" si="262"/>
        <v>434</v>
      </c>
      <c r="Q1164" s="819">
        <f t="shared" si="263"/>
        <v>661</v>
      </c>
      <c r="R1164" s="819">
        <f t="shared" si="264"/>
        <v>882</v>
      </c>
      <c r="S1164" s="819">
        <f t="shared" si="265"/>
        <v>338</v>
      </c>
      <c r="T1164" s="819">
        <f t="shared" si="266"/>
        <v>470</v>
      </c>
      <c r="U1164" s="819">
        <f t="shared" si="267"/>
        <v>2785</v>
      </c>
      <c r="V1164" s="819">
        <f t="shared" si="268"/>
        <v>463</v>
      </c>
      <c r="W1164" s="379">
        <f t="shared" si="269"/>
        <v>463</v>
      </c>
      <c r="X1164" s="819" t="str">
        <f t="shared" si="270"/>
        <v/>
      </c>
      <c r="Y1164" s="837"/>
      <c r="Z1164" s="839"/>
      <c r="AA1164" s="838"/>
      <c r="AB1164" s="839"/>
    </row>
    <row r="1165" spans="1:28" ht="14.45">
      <c r="A1165" s="816"/>
      <c r="B1165" s="819" t="s">
        <v>2752</v>
      </c>
      <c r="C1165" s="819" t="s">
        <v>2753</v>
      </c>
      <c r="D1165" s="379" t="s">
        <v>336</v>
      </c>
      <c r="E1165" s="818" t="s">
        <v>1870</v>
      </c>
      <c r="F1165" s="820">
        <v>0.823944652</v>
      </c>
      <c r="G1165" s="821">
        <v>3.6351354040000001</v>
      </c>
      <c r="H1165" s="822">
        <v>135173826.983518</v>
      </c>
      <c r="I1165" s="819"/>
      <c r="J1165" s="820">
        <v>-1.058614E-3</v>
      </c>
      <c r="K1165" s="819">
        <f t="shared" si="260"/>
        <v>645</v>
      </c>
      <c r="L1165" s="819">
        <f t="shared" si="261"/>
        <v>483</v>
      </c>
      <c r="M1165" s="819">
        <f t="shared" si="257"/>
        <v>645</v>
      </c>
      <c r="N1165" s="819">
        <f t="shared" si="258"/>
        <v>364</v>
      </c>
      <c r="O1165" s="819">
        <f t="shared" si="259"/>
        <v>1406</v>
      </c>
      <c r="P1165" s="819">
        <f t="shared" si="262"/>
        <v>753</v>
      </c>
      <c r="Q1165" s="819">
        <f t="shared" si="263"/>
        <v>60</v>
      </c>
      <c r="R1165" s="819">
        <f t="shared" si="264"/>
        <v>563</v>
      </c>
      <c r="S1165" s="819">
        <f t="shared" si="265"/>
        <v>338</v>
      </c>
      <c r="T1165" s="819">
        <f t="shared" si="266"/>
        <v>1384</v>
      </c>
      <c r="U1165" s="819">
        <f t="shared" si="267"/>
        <v>3098</v>
      </c>
      <c r="V1165" s="819">
        <f t="shared" si="268"/>
        <v>1066</v>
      </c>
      <c r="W1165" s="379">
        <f t="shared" si="269"/>
        <v>1066</v>
      </c>
      <c r="X1165" s="819" t="str">
        <f t="shared" si="270"/>
        <v/>
      </c>
      <c r="Y1165" s="837"/>
      <c r="Z1165" s="839"/>
      <c r="AA1165" s="838"/>
      <c r="AB1165" s="839"/>
    </row>
    <row r="1166" spans="1:28" ht="13.15">
      <c r="B1166" s="819" t="s">
        <v>2754</v>
      </c>
      <c r="C1166" s="819" t="s">
        <v>2755</v>
      </c>
      <c r="D1166" s="379" t="s">
        <v>336</v>
      </c>
      <c r="E1166" s="818" t="s">
        <v>337</v>
      </c>
      <c r="F1166" s="820">
        <v>3.5440015790000001</v>
      </c>
      <c r="G1166" s="821">
        <v>325.36842109999998</v>
      </c>
      <c r="H1166" s="822">
        <v>89.616600000000005</v>
      </c>
      <c r="I1166" s="819">
        <v>0.86</v>
      </c>
      <c r="J1166" s="820">
        <v>-2.9700200000000001E-6</v>
      </c>
      <c r="K1166" s="819">
        <f t="shared" si="260"/>
        <v>1691</v>
      </c>
      <c r="L1166" s="819">
        <f t="shared" si="261"/>
        <v>6</v>
      </c>
      <c r="M1166" s="819">
        <f t="shared" si="257"/>
        <v>1691</v>
      </c>
      <c r="N1166" s="819">
        <f t="shared" si="258"/>
        <v>141</v>
      </c>
      <c r="O1166" s="819">
        <f t="shared" si="259"/>
        <v>773</v>
      </c>
      <c r="P1166" s="819">
        <f t="shared" si="262"/>
        <v>293</v>
      </c>
      <c r="Q1166" s="819">
        <f t="shared" si="263"/>
        <v>417</v>
      </c>
      <c r="R1166" s="819">
        <f t="shared" si="264"/>
        <v>1609</v>
      </c>
      <c r="S1166" s="819">
        <f t="shared" si="265"/>
        <v>115</v>
      </c>
      <c r="T1166" s="819">
        <f t="shared" si="266"/>
        <v>751</v>
      </c>
      <c r="U1166" s="819">
        <f t="shared" si="267"/>
        <v>3185</v>
      </c>
      <c r="V1166" s="819">
        <f t="shared" si="268"/>
        <v>1177</v>
      </c>
      <c r="W1166" s="379">
        <f t="shared" si="269"/>
        <v>1177</v>
      </c>
      <c r="X1166" s="819" t="str">
        <f t="shared" si="270"/>
        <v/>
      </c>
      <c r="Y1166" s="837"/>
      <c r="Z1166" s="839"/>
      <c r="AA1166" s="838"/>
      <c r="AB1166" s="839"/>
    </row>
    <row r="1167" spans="1:28" ht="14.45">
      <c r="A1167" s="816"/>
      <c r="B1167" s="819" t="s">
        <v>2756</v>
      </c>
      <c r="C1167" s="819" t="s">
        <v>2757</v>
      </c>
      <c r="D1167" s="379" t="s">
        <v>336</v>
      </c>
      <c r="E1167" s="818" t="s">
        <v>441</v>
      </c>
      <c r="F1167" s="820">
        <v>7.4460267130000002</v>
      </c>
      <c r="G1167" s="821">
        <v>3.444030975</v>
      </c>
      <c r="H1167" s="822">
        <v>1311497232.9226501</v>
      </c>
      <c r="I1167" s="819">
        <v>0.16</v>
      </c>
      <c r="J1167" s="820">
        <v>-6.6084299999999993E-5</v>
      </c>
      <c r="K1167" s="819">
        <f t="shared" si="260"/>
        <v>186</v>
      </c>
      <c r="L1167" s="819">
        <f t="shared" si="261"/>
        <v>506</v>
      </c>
      <c r="M1167" s="819">
        <f t="shared" si="257"/>
        <v>186</v>
      </c>
      <c r="N1167" s="819">
        <f t="shared" si="258"/>
        <v>230</v>
      </c>
      <c r="O1167" s="819">
        <f t="shared" si="259"/>
        <v>949</v>
      </c>
      <c r="P1167" s="819">
        <f t="shared" si="262"/>
        <v>1212</v>
      </c>
      <c r="Q1167" s="819">
        <f t="shared" si="263"/>
        <v>83</v>
      </c>
      <c r="R1167" s="819">
        <f t="shared" si="264"/>
        <v>104</v>
      </c>
      <c r="S1167" s="819">
        <f t="shared" si="265"/>
        <v>204</v>
      </c>
      <c r="T1167" s="819">
        <f t="shared" si="266"/>
        <v>927</v>
      </c>
      <c r="U1167" s="819">
        <f t="shared" si="267"/>
        <v>2530</v>
      </c>
      <c r="V1167" s="819">
        <f t="shared" si="268"/>
        <v>260</v>
      </c>
      <c r="W1167" s="379">
        <f t="shared" si="269"/>
        <v>260</v>
      </c>
      <c r="X1167" s="819" t="str">
        <f t="shared" si="270"/>
        <v/>
      </c>
      <c r="Y1167" s="837"/>
      <c r="Z1167" s="839"/>
      <c r="AA1167" s="838"/>
      <c r="AB1167" s="839"/>
    </row>
    <row r="1168" spans="1:28" ht="13.15">
      <c r="B1168" s="819" t="s">
        <v>2758</v>
      </c>
      <c r="C1168" s="819" t="s">
        <v>2759</v>
      </c>
      <c r="D1168" s="379" t="s">
        <v>336</v>
      </c>
      <c r="E1168" s="818" t="s">
        <v>418</v>
      </c>
      <c r="F1168" s="820">
        <v>2.2236224280000001</v>
      </c>
      <c r="G1168" s="821">
        <v>41.634934909999998</v>
      </c>
      <c r="H1168" s="822">
        <v>146058391.163333</v>
      </c>
      <c r="I1168" s="819"/>
      <c r="J1168" s="820">
        <v>-1.0229399999999999E-4</v>
      </c>
      <c r="K1168" s="819">
        <f t="shared" si="260"/>
        <v>629</v>
      </c>
      <c r="L1168" s="819">
        <f t="shared" si="261"/>
        <v>43</v>
      </c>
      <c r="M1168" s="819">
        <f t="shared" si="257"/>
        <v>629</v>
      </c>
      <c r="N1168" s="819">
        <f t="shared" si="258"/>
        <v>364</v>
      </c>
      <c r="O1168" s="819">
        <f t="shared" si="259"/>
        <v>1010</v>
      </c>
      <c r="P1168" s="819">
        <f t="shared" si="262"/>
        <v>769</v>
      </c>
      <c r="Q1168" s="819">
        <f t="shared" si="263"/>
        <v>380</v>
      </c>
      <c r="R1168" s="819">
        <f t="shared" si="264"/>
        <v>547</v>
      </c>
      <c r="S1168" s="819">
        <f t="shared" si="265"/>
        <v>338</v>
      </c>
      <c r="T1168" s="819">
        <f t="shared" si="266"/>
        <v>988</v>
      </c>
      <c r="U1168" s="819">
        <f t="shared" si="267"/>
        <v>3022</v>
      </c>
      <c r="V1168" s="819">
        <f t="shared" si="268"/>
        <v>952</v>
      </c>
      <c r="W1168" s="379">
        <f t="shared" si="269"/>
        <v>952</v>
      </c>
      <c r="X1168" s="819" t="str">
        <f t="shared" si="270"/>
        <v/>
      </c>
      <c r="Y1168" s="837"/>
      <c r="Z1168" s="839"/>
      <c r="AA1168" s="838"/>
      <c r="AB1168" s="839"/>
    </row>
    <row r="1169" spans="1:28" ht="14.45">
      <c r="A1169" s="816"/>
      <c r="B1169" s="819" t="s">
        <v>2760</v>
      </c>
      <c r="C1169" s="819" t="s">
        <v>2761</v>
      </c>
      <c r="D1169" s="379" t="s">
        <v>336</v>
      </c>
      <c r="E1169" s="818" t="s">
        <v>337</v>
      </c>
      <c r="F1169" s="820">
        <v>2.1099403720000001</v>
      </c>
      <c r="G1169" s="821">
        <v>97.649090139999998</v>
      </c>
      <c r="H1169" s="822">
        <v>237738552.47999999</v>
      </c>
      <c r="I1169" s="819">
        <v>7.0000000000000007E-2</v>
      </c>
      <c r="J1169" s="820">
        <v>-6.01632E-5</v>
      </c>
      <c r="K1169" s="819">
        <f t="shared" si="260"/>
        <v>524</v>
      </c>
      <c r="L1169" s="819">
        <f t="shared" si="261"/>
        <v>17</v>
      </c>
      <c r="M1169" s="819">
        <f t="shared" si="257"/>
        <v>524</v>
      </c>
      <c r="N1169" s="819">
        <f t="shared" si="258"/>
        <v>293</v>
      </c>
      <c r="O1169" s="819">
        <f t="shared" si="259"/>
        <v>938</v>
      </c>
      <c r="P1169" s="819">
        <f t="shared" si="262"/>
        <v>874</v>
      </c>
      <c r="Q1169" s="819">
        <f t="shared" si="263"/>
        <v>406</v>
      </c>
      <c r="R1169" s="819">
        <f t="shared" si="264"/>
        <v>442</v>
      </c>
      <c r="S1169" s="819">
        <f t="shared" si="265"/>
        <v>267</v>
      </c>
      <c r="T1169" s="819">
        <f t="shared" si="266"/>
        <v>916</v>
      </c>
      <c r="U1169" s="819">
        <f t="shared" si="267"/>
        <v>2905</v>
      </c>
      <c r="V1169" s="819">
        <f t="shared" si="268"/>
        <v>811</v>
      </c>
      <c r="W1169" s="379">
        <f t="shared" si="269"/>
        <v>811</v>
      </c>
      <c r="X1169" s="819" t="str">
        <f t="shared" si="270"/>
        <v/>
      </c>
      <c r="Y1169" s="837"/>
      <c r="Z1169" s="839"/>
      <c r="AA1169" s="838"/>
      <c r="AB1169" s="839"/>
    </row>
    <row r="1170" spans="1:28" ht="13.15">
      <c r="B1170" s="819" t="s">
        <v>2762</v>
      </c>
      <c r="C1170" s="819" t="s">
        <v>2763</v>
      </c>
      <c r="D1170" s="379" t="s">
        <v>336</v>
      </c>
      <c r="E1170" s="818" t="s">
        <v>1832</v>
      </c>
      <c r="F1170" s="820">
        <v>2.5932785539999998</v>
      </c>
      <c r="G1170" s="821">
        <v>0.24611988000000001</v>
      </c>
      <c r="H1170" s="822">
        <v>98176780.527766794</v>
      </c>
      <c r="I1170" s="819"/>
      <c r="J1170" s="820">
        <v>-4.2259999999999999E-5</v>
      </c>
      <c r="K1170" s="819">
        <f t="shared" si="260"/>
        <v>728</v>
      </c>
      <c r="L1170" s="819">
        <f t="shared" si="261"/>
        <v>970</v>
      </c>
      <c r="M1170" s="819">
        <f t="shared" si="257"/>
        <v>728</v>
      </c>
      <c r="N1170" s="819">
        <f t="shared" si="258"/>
        <v>364</v>
      </c>
      <c r="O1170" s="819">
        <f t="shared" si="259"/>
        <v>903</v>
      </c>
      <c r="P1170" s="819">
        <f t="shared" si="262"/>
        <v>670</v>
      </c>
      <c r="Q1170" s="819">
        <f t="shared" si="263"/>
        <v>547</v>
      </c>
      <c r="R1170" s="819">
        <f t="shared" si="264"/>
        <v>646</v>
      </c>
      <c r="S1170" s="819">
        <f t="shared" si="265"/>
        <v>338</v>
      </c>
      <c r="T1170" s="819">
        <f t="shared" si="266"/>
        <v>881</v>
      </c>
      <c r="U1170" s="819">
        <f t="shared" si="267"/>
        <v>3082</v>
      </c>
      <c r="V1170" s="819">
        <f t="shared" si="268"/>
        <v>1033</v>
      </c>
      <c r="W1170" s="379">
        <f t="shared" si="269"/>
        <v>1033</v>
      </c>
      <c r="X1170" s="819" t="str">
        <f t="shared" si="270"/>
        <v/>
      </c>
      <c r="Y1170" s="837"/>
      <c r="Z1170" s="839"/>
      <c r="AA1170" s="838"/>
      <c r="AB1170" s="839"/>
    </row>
    <row r="1171" spans="1:28" ht="14.45">
      <c r="A1171" s="816"/>
      <c r="B1171" s="819" t="s">
        <v>2764</v>
      </c>
      <c r="C1171" s="819" t="s">
        <v>2765</v>
      </c>
      <c r="D1171" s="379" t="s">
        <v>336</v>
      </c>
      <c r="E1171" s="818" t="s">
        <v>373</v>
      </c>
      <c r="F1171" s="820">
        <v>2.3929269039999999</v>
      </c>
      <c r="G1171" s="821">
        <v>3.5067054450000001</v>
      </c>
      <c r="H1171" s="822">
        <v>491139225.58922601</v>
      </c>
      <c r="I1171" s="819"/>
      <c r="J1171" s="820">
        <v>-3.1450900000000001E-5</v>
      </c>
      <c r="K1171" s="819">
        <f t="shared" si="260"/>
        <v>357</v>
      </c>
      <c r="L1171" s="819">
        <f t="shared" si="261"/>
        <v>499</v>
      </c>
      <c r="M1171" s="819">
        <f t="shared" si="257"/>
        <v>357</v>
      </c>
      <c r="N1171" s="819">
        <f t="shared" si="258"/>
        <v>364</v>
      </c>
      <c r="O1171" s="819">
        <f t="shared" si="259"/>
        <v>878</v>
      </c>
      <c r="P1171" s="819">
        <f t="shared" si="262"/>
        <v>1041</v>
      </c>
      <c r="Q1171" s="819">
        <f t="shared" si="263"/>
        <v>76</v>
      </c>
      <c r="R1171" s="819">
        <f t="shared" si="264"/>
        <v>275</v>
      </c>
      <c r="S1171" s="819">
        <f t="shared" si="265"/>
        <v>338</v>
      </c>
      <c r="T1171" s="819">
        <f t="shared" si="266"/>
        <v>856</v>
      </c>
      <c r="U1171" s="819">
        <f t="shared" si="267"/>
        <v>2586</v>
      </c>
      <c r="V1171" s="819">
        <f t="shared" si="268"/>
        <v>277</v>
      </c>
      <c r="W1171" s="379">
        <f t="shared" si="269"/>
        <v>277</v>
      </c>
      <c r="X1171" s="819" t="str">
        <f t="shared" si="270"/>
        <v/>
      </c>
      <c r="Y1171" s="837"/>
      <c r="Z1171" s="839"/>
      <c r="AA1171" s="838"/>
      <c r="AB1171" s="839"/>
    </row>
    <row r="1172" spans="1:28" ht="13.15">
      <c r="B1172" s="819" t="s">
        <v>2766</v>
      </c>
      <c r="C1172" s="819" t="s">
        <v>2767</v>
      </c>
      <c r="D1172" s="379" t="s">
        <v>336</v>
      </c>
      <c r="E1172" s="818" t="s">
        <v>1870</v>
      </c>
      <c r="F1172" s="820">
        <v>0</v>
      </c>
      <c r="G1172" s="821">
        <v>0</v>
      </c>
      <c r="H1172" s="822">
        <v>24151976.0623229</v>
      </c>
      <c r="I1172" s="819"/>
      <c r="J1172" s="820">
        <v>2.4601800000000001E-6</v>
      </c>
      <c r="K1172" s="819">
        <f t="shared" si="260"/>
        <v>1055</v>
      </c>
      <c r="L1172" s="819">
        <f t="shared" si="261"/>
        <v>1084</v>
      </c>
      <c r="M1172" s="819">
        <f t="shared" si="257"/>
        <v>1055</v>
      </c>
      <c r="N1172" s="819">
        <f t="shared" si="258"/>
        <v>364</v>
      </c>
      <c r="O1172" s="819">
        <f t="shared" si="259"/>
        <v>463</v>
      </c>
      <c r="P1172" s="819">
        <f t="shared" si="262"/>
        <v>343</v>
      </c>
      <c r="Q1172" s="819">
        <f t="shared" si="263"/>
        <v>661</v>
      </c>
      <c r="R1172" s="819">
        <f t="shared" si="264"/>
        <v>973</v>
      </c>
      <c r="S1172" s="819">
        <f t="shared" si="265"/>
        <v>338</v>
      </c>
      <c r="T1172" s="819">
        <f t="shared" si="266"/>
        <v>441</v>
      </c>
      <c r="U1172" s="819">
        <f t="shared" si="267"/>
        <v>2756</v>
      </c>
      <c r="V1172" s="819">
        <f t="shared" si="268"/>
        <v>427</v>
      </c>
      <c r="W1172" s="379">
        <f t="shared" si="269"/>
        <v>427</v>
      </c>
      <c r="X1172" s="819" t="str">
        <f t="shared" si="270"/>
        <v/>
      </c>
      <c r="Y1172" s="837"/>
      <c r="Z1172" s="839"/>
      <c r="AA1172" s="838"/>
      <c r="AB1172" s="839"/>
    </row>
    <row r="1173" spans="1:28" ht="14.45">
      <c r="A1173" s="816"/>
      <c r="B1173" s="819" t="s">
        <v>2768</v>
      </c>
      <c r="C1173" s="819" t="s">
        <v>2769</v>
      </c>
      <c r="D1173" s="379" t="s">
        <v>336</v>
      </c>
      <c r="E1173" s="818" t="s">
        <v>373</v>
      </c>
      <c r="F1173" s="820">
        <v>15.913418910000001</v>
      </c>
      <c r="G1173" s="821">
        <v>-3.9782050349999998</v>
      </c>
      <c r="H1173" s="822">
        <v>11293499.273989899</v>
      </c>
      <c r="I1173" s="819"/>
      <c r="J1173" s="820">
        <v>5.2633389999999997E-3</v>
      </c>
      <c r="K1173" s="819">
        <f t="shared" si="260"/>
        <v>1225</v>
      </c>
      <c r="L1173" s="819">
        <f t="shared" si="261"/>
        <v>1389</v>
      </c>
      <c r="M1173" s="819">
        <f t="shared" si="257"/>
        <v>1225</v>
      </c>
      <c r="N1173" s="819">
        <f t="shared" si="258"/>
        <v>364</v>
      </c>
      <c r="O1173" s="819">
        <f t="shared" si="259"/>
        <v>147</v>
      </c>
      <c r="P1173" s="819">
        <f t="shared" si="262"/>
        <v>173</v>
      </c>
      <c r="Q1173" s="819">
        <f t="shared" si="263"/>
        <v>966</v>
      </c>
      <c r="R1173" s="819">
        <f t="shared" si="264"/>
        <v>1143</v>
      </c>
      <c r="S1173" s="819">
        <f t="shared" si="265"/>
        <v>338</v>
      </c>
      <c r="T1173" s="819">
        <f t="shared" si="266"/>
        <v>125</v>
      </c>
      <c r="U1173" s="819">
        <f t="shared" si="267"/>
        <v>2745</v>
      </c>
      <c r="V1173" s="819">
        <f t="shared" si="268"/>
        <v>410</v>
      </c>
      <c r="W1173" s="379">
        <f t="shared" si="269"/>
        <v>410</v>
      </c>
      <c r="X1173" s="819" t="str">
        <f t="shared" si="270"/>
        <v/>
      </c>
      <c r="Y1173" s="837"/>
      <c r="Z1173" s="839"/>
      <c r="AA1173" s="838"/>
      <c r="AB1173" s="839"/>
    </row>
    <row r="1174" spans="1:28" ht="13.15">
      <c r="B1174" s="819" t="s">
        <v>2770</v>
      </c>
      <c r="C1174" s="819" t="s">
        <v>2771</v>
      </c>
      <c r="D1174" s="379" t="s">
        <v>336</v>
      </c>
      <c r="E1174" s="818" t="s">
        <v>740</v>
      </c>
      <c r="F1174" s="820">
        <v>0.33504935699999999</v>
      </c>
      <c r="G1174" s="821">
        <v>0.83957128299999995</v>
      </c>
      <c r="H1174" s="822">
        <v>12223913.039999999</v>
      </c>
      <c r="I1174" s="819"/>
      <c r="J1174" s="820">
        <v>-1.66369E-6</v>
      </c>
      <c r="K1174" s="819">
        <f t="shared" si="260"/>
        <v>1212</v>
      </c>
      <c r="L1174" s="819">
        <f t="shared" si="261"/>
        <v>838</v>
      </c>
      <c r="M1174" s="819">
        <f t="shared" si="257"/>
        <v>1212</v>
      </c>
      <c r="N1174" s="819">
        <f t="shared" si="258"/>
        <v>364</v>
      </c>
      <c r="O1174" s="819">
        <f t="shared" si="259"/>
        <v>761</v>
      </c>
      <c r="P1174" s="819">
        <f t="shared" si="262"/>
        <v>186</v>
      </c>
      <c r="Q1174" s="819">
        <f t="shared" si="263"/>
        <v>415</v>
      </c>
      <c r="R1174" s="819">
        <f t="shared" si="264"/>
        <v>1130</v>
      </c>
      <c r="S1174" s="819">
        <f t="shared" si="265"/>
        <v>338</v>
      </c>
      <c r="T1174" s="819">
        <f t="shared" si="266"/>
        <v>739</v>
      </c>
      <c r="U1174" s="819">
        <f t="shared" si="267"/>
        <v>2808</v>
      </c>
      <c r="V1174" s="819">
        <f t="shared" si="268"/>
        <v>643</v>
      </c>
      <c r="W1174" s="379">
        <f t="shared" si="269"/>
        <v>643</v>
      </c>
      <c r="X1174" s="819" t="str">
        <f t="shared" si="270"/>
        <v/>
      </c>
      <c r="Y1174" s="837"/>
      <c r="Z1174" s="839"/>
      <c r="AA1174" s="838"/>
      <c r="AB1174" s="839"/>
    </row>
    <row r="1175" spans="1:28" ht="14.45">
      <c r="A1175" s="816"/>
      <c r="B1175" s="819" t="s">
        <v>2772</v>
      </c>
      <c r="C1175" s="819" t="s">
        <v>2773</v>
      </c>
      <c r="D1175" s="379" t="s">
        <v>336</v>
      </c>
      <c r="E1175" s="818" t="s">
        <v>441</v>
      </c>
      <c r="F1175" s="820">
        <v>0.68344358599999999</v>
      </c>
      <c r="G1175" s="821">
        <v>-8.6642386219999992</v>
      </c>
      <c r="H1175" s="822">
        <v>195595010.92397499</v>
      </c>
      <c r="I1175" s="819"/>
      <c r="J1175" s="820">
        <v>4.3692399999999999E-6</v>
      </c>
      <c r="K1175" s="819">
        <f t="shared" si="260"/>
        <v>575</v>
      </c>
      <c r="L1175" s="819">
        <f t="shared" si="261"/>
        <v>1441</v>
      </c>
      <c r="M1175" s="819">
        <f t="shared" si="257"/>
        <v>575</v>
      </c>
      <c r="N1175" s="819">
        <f t="shared" si="258"/>
        <v>364</v>
      </c>
      <c r="O1175" s="819">
        <f t="shared" si="259"/>
        <v>450</v>
      </c>
      <c r="P1175" s="819">
        <f t="shared" si="262"/>
        <v>823</v>
      </c>
      <c r="Q1175" s="819">
        <f t="shared" si="263"/>
        <v>1018</v>
      </c>
      <c r="R1175" s="819">
        <f t="shared" si="264"/>
        <v>493</v>
      </c>
      <c r="S1175" s="819">
        <f t="shared" si="265"/>
        <v>338</v>
      </c>
      <c r="T1175" s="819">
        <f t="shared" si="266"/>
        <v>428</v>
      </c>
      <c r="U1175" s="819">
        <f t="shared" si="267"/>
        <v>3100</v>
      </c>
      <c r="V1175" s="819">
        <f t="shared" si="268"/>
        <v>1069</v>
      </c>
      <c r="W1175" s="379">
        <f t="shared" si="269"/>
        <v>1069</v>
      </c>
      <c r="X1175" s="819" t="str">
        <f t="shared" si="270"/>
        <v/>
      </c>
      <c r="Y1175" s="837"/>
      <c r="Z1175" s="839"/>
      <c r="AA1175" s="838"/>
      <c r="AB1175" s="839"/>
    </row>
    <row r="1176" spans="1:28" ht="13.15">
      <c r="B1176" s="819" t="s">
        <v>2774</v>
      </c>
      <c r="C1176" s="819" t="s">
        <v>2775</v>
      </c>
      <c r="D1176" s="379" t="s">
        <v>336</v>
      </c>
      <c r="E1176" s="818" t="s">
        <v>460</v>
      </c>
      <c r="F1176" s="820">
        <v>7.0707718389999998</v>
      </c>
      <c r="G1176" s="821">
        <v>0.30709642599999998</v>
      </c>
      <c r="H1176" s="822">
        <v>4354340.5045844102</v>
      </c>
      <c r="I1176" s="819"/>
      <c r="J1176" s="820">
        <v>-5.0527600000000003E-4</v>
      </c>
      <c r="K1176" s="819">
        <f t="shared" si="260"/>
        <v>1391</v>
      </c>
      <c r="L1176" s="819">
        <f t="shared" si="261"/>
        <v>955</v>
      </c>
      <c r="M1176" s="819">
        <f t="shared" si="257"/>
        <v>1391</v>
      </c>
      <c r="N1176" s="819">
        <f t="shared" si="258"/>
        <v>364</v>
      </c>
      <c r="O1176" s="819">
        <f t="shared" si="259"/>
        <v>1273</v>
      </c>
      <c r="P1176" s="819">
        <f t="shared" si="262"/>
        <v>7</v>
      </c>
      <c r="Q1176" s="819">
        <f t="shared" si="263"/>
        <v>532</v>
      </c>
      <c r="R1176" s="819">
        <f t="shared" si="264"/>
        <v>1309</v>
      </c>
      <c r="S1176" s="819">
        <f t="shared" si="265"/>
        <v>338</v>
      </c>
      <c r="T1176" s="819">
        <f t="shared" si="266"/>
        <v>1251</v>
      </c>
      <c r="U1176" s="819">
        <f t="shared" si="267"/>
        <v>3437</v>
      </c>
      <c r="V1176" s="819">
        <f t="shared" si="268"/>
        <v>1494</v>
      </c>
      <c r="W1176" s="379">
        <f t="shared" si="269"/>
        <v>1494</v>
      </c>
      <c r="X1176" s="819" t="str">
        <f t="shared" si="270"/>
        <v/>
      </c>
      <c r="Y1176" s="837"/>
      <c r="Z1176" s="839"/>
      <c r="AA1176" s="838"/>
      <c r="AB1176" s="839"/>
    </row>
    <row r="1177" spans="1:28" ht="14.45">
      <c r="A1177" s="816"/>
      <c r="B1177" s="819" t="s">
        <v>2776</v>
      </c>
      <c r="C1177" s="819" t="s">
        <v>2777</v>
      </c>
      <c r="D1177" s="379" t="s">
        <v>336</v>
      </c>
      <c r="E1177" s="818" t="s">
        <v>191</v>
      </c>
      <c r="F1177" s="820">
        <v>0.274091103</v>
      </c>
      <c r="G1177" s="821">
        <v>0</v>
      </c>
      <c r="H1177" s="822">
        <v>3568304.9934488302</v>
      </c>
      <c r="I1177" s="819"/>
      <c r="J1177" s="820">
        <v>3.41263E-7</v>
      </c>
      <c r="K1177" s="819">
        <f t="shared" si="260"/>
        <v>1426</v>
      </c>
      <c r="L1177" s="819">
        <f t="shared" si="261"/>
        <v>1084</v>
      </c>
      <c r="M1177" s="819">
        <f t="shared" si="257"/>
        <v>1426</v>
      </c>
      <c r="N1177" s="819">
        <f t="shared" si="258"/>
        <v>364</v>
      </c>
      <c r="O1177" s="819">
        <f t="shared" si="259"/>
        <v>485</v>
      </c>
      <c r="P1177" s="819">
        <f t="shared" si="262"/>
        <v>28</v>
      </c>
      <c r="Q1177" s="819">
        <f t="shared" si="263"/>
        <v>661</v>
      </c>
      <c r="R1177" s="819">
        <f t="shared" si="264"/>
        <v>1344</v>
      </c>
      <c r="S1177" s="819">
        <f t="shared" si="265"/>
        <v>338</v>
      </c>
      <c r="T1177" s="819">
        <f t="shared" si="266"/>
        <v>463</v>
      </c>
      <c r="U1177" s="819">
        <f t="shared" si="267"/>
        <v>2834</v>
      </c>
      <c r="V1177" s="819">
        <f t="shared" si="268"/>
        <v>692</v>
      </c>
      <c r="W1177" s="379">
        <f t="shared" si="269"/>
        <v>692</v>
      </c>
      <c r="X1177" s="819" t="str">
        <f t="shared" si="270"/>
        <v/>
      </c>
      <c r="Y1177" s="837"/>
      <c r="Z1177" s="839"/>
      <c r="AA1177" s="838"/>
      <c r="AB1177" s="839"/>
    </row>
    <row r="1178" spans="1:28" ht="13.15">
      <c r="B1178" s="819" t="s">
        <v>2778</v>
      </c>
      <c r="C1178" s="819" t="s">
        <v>2779</v>
      </c>
      <c r="D1178" s="379" t="s">
        <v>336</v>
      </c>
      <c r="E1178" s="818" t="s">
        <v>842</v>
      </c>
      <c r="F1178" s="820">
        <v>0</v>
      </c>
      <c r="G1178" s="821">
        <v>1.1132560899999999</v>
      </c>
      <c r="H1178" s="822">
        <v>208245286.63313001</v>
      </c>
      <c r="I1178" s="819"/>
      <c r="J1178" s="820">
        <v>-1.8869299999999999E-5</v>
      </c>
      <c r="K1178" s="819">
        <f t="shared" si="260"/>
        <v>556</v>
      </c>
      <c r="L1178" s="819">
        <f t="shared" si="261"/>
        <v>794</v>
      </c>
      <c r="M1178" s="819">
        <f t="shared" si="257"/>
        <v>556</v>
      </c>
      <c r="N1178" s="819">
        <f t="shared" si="258"/>
        <v>364</v>
      </c>
      <c r="O1178" s="819">
        <f t="shared" si="259"/>
        <v>845</v>
      </c>
      <c r="P1178" s="819">
        <f t="shared" si="262"/>
        <v>842</v>
      </c>
      <c r="Q1178" s="819">
        <f t="shared" si="263"/>
        <v>371</v>
      </c>
      <c r="R1178" s="819">
        <f t="shared" si="264"/>
        <v>474</v>
      </c>
      <c r="S1178" s="819">
        <f t="shared" si="265"/>
        <v>338</v>
      </c>
      <c r="T1178" s="819">
        <f t="shared" si="266"/>
        <v>823</v>
      </c>
      <c r="U1178" s="819">
        <f t="shared" si="267"/>
        <v>2848</v>
      </c>
      <c r="V1178" s="819">
        <f t="shared" si="268"/>
        <v>717</v>
      </c>
      <c r="W1178" s="379">
        <f t="shared" si="269"/>
        <v>717</v>
      </c>
      <c r="X1178" s="819" t="str">
        <f t="shared" si="270"/>
        <v/>
      </c>
      <c r="Y1178" s="837"/>
      <c r="Z1178" s="839"/>
      <c r="AA1178" s="838"/>
      <c r="AB1178" s="839"/>
    </row>
    <row r="1179" spans="1:28" ht="14.45">
      <c r="A1179" s="816"/>
      <c r="B1179" s="819" t="s">
        <v>2780</v>
      </c>
      <c r="C1179" s="819" t="s">
        <v>2781</v>
      </c>
      <c r="D1179" s="379" t="s">
        <v>336</v>
      </c>
      <c r="E1179" s="818" t="s">
        <v>453</v>
      </c>
      <c r="F1179" s="820">
        <v>0.85472577100000002</v>
      </c>
      <c r="G1179" s="821">
        <v>7.8505603989999999</v>
      </c>
      <c r="H1179" s="822">
        <v>16529816.831759401</v>
      </c>
      <c r="I1179" s="819"/>
      <c r="J1179" s="820">
        <v>-2.79826E-4</v>
      </c>
      <c r="K1179" s="819">
        <f t="shared" si="260"/>
        <v>1142</v>
      </c>
      <c r="L1179" s="819">
        <f t="shared" si="261"/>
        <v>257</v>
      </c>
      <c r="M1179" s="819">
        <f t="shared" si="257"/>
        <v>1142</v>
      </c>
      <c r="N1179" s="819">
        <f t="shared" si="258"/>
        <v>364</v>
      </c>
      <c r="O1179" s="819">
        <f t="shared" si="259"/>
        <v>1167</v>
      </c>
      <c r="P1179" s="819">
        <f t="shared" si="262"/>
        <v>256</v>
      </c>
      <c r="Q1179" s="819">
        <f t="shared" si="263"/>
        <v>166</v>
      </c>
      <c r="R1179" s="819">
        <f t="shared" si="264"/>
        <v>1060</v>
      </c>
      <c r="S1179" s="819">
        <f t="shared" si="265"/>
        <v>338</v>
      </c>
      <c r="T1179" s="819">
        <f t="shared" si="266"/>
        <v>1145</v>
      </c>
      <c r="U1179" s="819">
        <f t="shared" si="267"/>
        <v>2965</v>
      </c>
      <c r="V1179" s="819">
        <f t="shared" si="268"/>
        <v>884</v>
      </c>
      <c r="W1179" s="379">
        <f t="shared" si="269"/>
        <v>884</v>
      </c>
      <c r="X1179" s="819" t="str">
        <f t="shared" si="270"/>
        <v/>
      </c>
      <c r="Y1179" s="837"/>
      <c r="Z1179" s="839"/>
      <c r="AA1179" s="838"/>
      <c r="AB1179" s="839"/>
    </row>
    <row r="1180" spans="1:28" ht="13.15">
      <c r="B1180" s="819" t="s">
        <v>2782</v>
      </c>
      <c r="C1180" s="819" t="s">
        <v>2783</v>
      </c>
      <c r="D1180" s="379" t="s">
        <v>336</v>
      </c>
      <c r="E1180" s="818" t="s">
        <v>191</v>
      </c>
      <c r="F1180" s="820">
        <v>0.97107540299999995</v>
      </c>
      <c r="G1180" s="821">
        <v>2.2617186610000002</v>
      </c>
      <c r="H1180" s="822">
        <v>951013.15693696297</v>
      </c>
      <c r="I1180" s="819"/>
      <c r="J1180" s="820">
        <v>-9.9698899999999999E-4</v>
      </c>
      <c r="K1180" s="819">
        <f t="shared" si="260"/>
        <v>1560</v>
      </c>
      <c r="L1180" s="819">
        <f t="shared" si="261"/>
        <v>638</v>
      </c>
      <c r="M1180" s="819">
        <f t="shared" si="257"/>
        <v>1560</v>
      </c>
      <c r="N1180" s="819">
        <f t="shared" si="258"/>
        <v>364</v>
      </c>
      <c r="O1180" s="819">
        <f t="shared" si="259"/>
        <v>1395</v>
      </c>
      <c r="P1180" s="819">
        <f t="shared" si="262"/>
        <v>162</v>
      </c>
      <c r="Q1180" s="819">
        <f t="shared" si="263"/>
        <v>215</v>
      </c>
      <c r="R1180" s="819">
        <f t="shared" si="264"/>
        <v>1478</v>
      </c>
      <c r="S1180" s="819">
        <f t="shared" si="265"/>
        <v>338</v>
      </c>
      <c r="T1180" s="819">
        <f t="shared" si="266"/>
        <v>1373</v>
      </c>
      <c r="U1180" s="819">
        <f t="shared" si="267"/>
        <v>3566</v>
      </c>
      <c r="V1180" s="819">
        <f t="shared" si="268"/>
        <v>1607</v>
      </c>
      <c r="W1180" s="379">
        <f t="shared" si="269"/>
        <v>1607</v>
      </c>
      <c r="X1180" s="819" t="str">
        <f t="shared" si="270"/>
        <v/>
      </c>
      <c r="Y1180" s="837"/>
      <c r="Z1180" s="839"/>
      <c r="AA1180" s="838"/>
      <c r="AB1180" s="839"/>
    </row>
    <row r="1181" spans="1:28" ht="14.45">
      <c r="A1181" s="816"/>
      <c r="B1181" s="819" t="s">
        <v>2784</v>
      </c>
      <c r="C1181" s="819" t="s">
        <v>2785</v>
      </c>
      <c r="D1181" s="379" t="s">
        <v>336</v>
      </c>
      <c r="E1181" s="818" t="s">
        <v>418</v>
      </c>
      <c r="F1181" s="820">
        <v>2.0519453319999998</v>
      </c>
      <c r="G1181" s="821">
        <v>4.8854685379999996</v>
      </c>
      <c r="H1181" s="822">
        <v>499694242.027578</v>
      </c>
      <c r="I1181" s="819"/>
      <c r="J1181" s="820">
        <v>-3.8411700000000001E-4</v>
      </c>
      <c r="K1181" s="819">
        <f t="shared" si="260"/>
        <v>349</v>
      </c>
      <c r="L1181" s="819">
        <f t="shared" si="261"/>
        <v>383</v>
      </c>
      <c r="M1181" s="819">
        <f t="shared" si="257"/>
        <v>349</v>
      </c>
      <c r="N1181" s="819">
        <f t="shared" si="258"/>
        <v>364</v>
      </c>
      <c r="O1181" s="819">
        <f t="shared" si="259"/>
        <v>1211</v>
      </c>
      <c r="P1181" s="819">
        <f t="shared" si="262"/>
        <v>1049</v>
      </c>
      <c r="Q1181" s="819">
        <f t="shared" si="263"/>
        <v>40</v>
      </c>
      <c r="R1181" s="819">
        <f t="shared" si="264"/>
        <v>267</v>
      </c>
      <c r="S1181" s="819">
        <f t="shared" si="265"/>
        <v>338</v>
      </c>
      <c r="T1181" s="819">
        <f t="shared" si="266"/>
        <v>1189</v>
      </c>
      <c r="U1181" s="819">
        <f t="shared" si="267"/>
        <v>2883</v>
      </c>
      <c r="V1181" s="819">
        <f t="shared" si="268"/>
        <v>779</v>
      </c>
      <c r="W1181" s="379">
        <f t="shared" si="269"/>
        <v>779</v>
      </c>
      <c r="X1181" s="819" t="str">
        <f t="shared" si="270"/>
        <v/>
      </c>
      <c r="Y1181" s="837"/>
      <c r="Z1181" s="839"/>
      <c r="AA1181" s="838"/>
      <c r="AB1181" s="839"/>
    </row>
    <row r="1182" spans="1:28" ht="13.15">
      <c r="B1182" s="819" t="s">
        <v>2786</v>
      </c>
      <c r="C1182" s="819" t="s">
        <v>2787</v>
      </c>
      <c r="D1182" s="379" t="s">
        <v>336</v>
      </c>
      <c r="E1182" s="818" t="s">
        <v>441</v>
      </c>
      <c r="F1182" s="820">
        <v>0.73158316300000004</v>
      </c>
      <c r="G1182" s="821">
        <v>-1.0581156839999999</v>
      </c>
      <c r="H1182" s="822">
        <v>639553767.07156301</v>
      </c>
      <c r="I1182" s="819"/>
      <c r="J1182" s="820">
        <v>3.10809E-4</v>
      </c>
      <c r="K1182" s="819">
        <f t="shared" si="260"/>
        <v>301</v>
      </c>
      <c r="L1182" s="819">
        <f t="shared" si="261"/>
        <v>1297</v>
      </c>
      <c r="M1182" s="819">
        <f t="shared" si="257"/>
        <v>301</v>
      </c>
      <c r="N1182" s="819">
        <f t="shared" si="258"/>
        <v>364</v>
      </c>
      <c r="O1182" s="819">
        <f t="shared" si="259"/>
        <v>231</v>
      </c>
      <c r="P1182" s="819">
        <f t="shared" si="262"/>
        <v>1097</v>
      </c>
      <c r="Q1182" s="819">
        <f t="shared" si="263"/>
        <v>874</v>
      </c>
      <c r="R1182" s="819">
        <f t="shared" si="264"/>
        <v>219</v>
      </c>
      <c r="S1182" s="819">
        <f t="shared" si="265"/>
        <v>338</v>
      </c>
      <c r="T1182" s="819">
        <f t="shared" si="266"/>
        <v>209</v>
      </c>
      <c r="U1182" s="819">
        <f t="shared" si="267"/>
        <v>2737</v>
      </c>
      <c r="V1182" s="819">
        <f t="shared" si="268"/>
        <v>402</v>
      </c>
      <c r="W1182" s="379">
        <f t="shared" si="269"/>
        <v>402</v>
      </c>
      <c r="X1182" s="819" t="str">
        <f t="shared" si="270"/>
        <v/>
      </c>
      <c r="Y1182" s="837"/>
      <c r="Z1182" s="839"/>
      <c r="AA1182" s="838"/>
      <c r="AB1182" s="839"/>
    </row>
    <row r="1183" spans="1:28" ht="14.45">
      <c r="A1183" s="816"/>
      <c r="B1183" s="819" t="s">
        <v>2788</v>
      </c>
      <c r="C1183" s="819" t="s">
        <v>2789</v>
      </c>
      <c r="D1183" s="379" t="s">
        <v>336</v>
      </c>
      <c r="E1183" s="818" t="s">
        <v>418</v>
      </c>
      <c r="F1183" s="820"/>
      <c r="G1183" s="821"/>
      <c r="H1183" s="822">
        <v>84810276.830452502</v>
      </c>
      <c r="I1183" s="819"/>
      <c r="J1183" s="820">
        <v>0</v>
      </c>
      <c r="K1183" s="819">
        <f t="shared" si="260"/>
        <v>757</v>
      </c>
      <c r="L1183" s="819">
        <f t="shared" si="261"/>
        <v>1084</v>
      </c>
      <c r="M1183" s="819">
        <f t="shared" si="257"/>
        <v>757</v>
      </c>
      <c r="N1183" s="819">
        <f t="shared" si="258"/>
        <v>364</v>
      </c>
      <c r="O1183" s="819">
        <f t="shared" si="259"/>
        <v>492</v>
      </c>
      <c r="P1183" s="819">
        <f t="shared" si="262"/>
        <v>641</v>
      </c>
      <c r="Q1183" s="819">
        <f t="shared" si="263"/>
        <v>661</v>
      </c>
      <c r="R1183" s="819">
        <f t="shared" si="264"/>
        <v>675</v>
      </c>
      <c r="S1183" s="819">
        <f t="shared" si="265"/>
        <v>338</v>
      </c>
      <c r="T1183" s="819">
        <f t="shared" si="266"/>
        <v>470</v>
      </c>
      <c r="U1183" s="819">
        <f t="shared" si="267"/>
        <v>2785</v>
      </c>
      <c r="V1183" s="819">
        <f t="shared" si="268"/>
        <v>463</v>
      </c>
      <c r="W1183" s="379">
        <f t="shared" si="269"/>
        <v>463</v>
      </c>
      <c r="X1183" s="819" t="str">
        <f t="shared" si="270"/>
        <v/>
      </c>
      <c r="Y1183" s="837"/>
      <c r="Z1183" s="839"/>
      <c r="AA1183" s="838"/>
      <c r="AB1183" s="839"/>
    </row>
    <row r="1184" spans="1:28" ht="13.15">
      <c r="B1184" s="819" t="s">
        <v>2790</v>
      </c>
      <c r="C1184" s="819" t="s">
        <v>2791</v>
      </c>
      <c r="D1184" s="379" t="s">
        <v>336</v>
      </c>
      <c r="E1184" s="818" t="s">
        <v>441</v>
      </c>
      <c r="F1184" s="820">
        <v>1.7722067850000001</v>
      </c>
      <c r="G1184" s="821">
        <v>9.0044890770000006</v>
      </c>
      <c r="H1184" s="822">
        <v>434879358.665892</v>
      </c>
      <c r="I1184" s="819"/>
      <c r="J1184" s="820">
        <v>-2.0132629999999999E-3</v>
      </c>
      <c r="K1184" s="819">
        <f t="shared" si="260"/>
        <v>387</v>
      </c>
      <c r="L1184" s="819">
        <f t="shared" si="261"/>
        <v>225</v>
      </c>
      <c r="M1184" s="819">
        <f t="shared" si="257"/>
        <v>387</v>
      </c>
      <c r="N1184" s="819">
        <f t="shared" si="258"/>
        <v>364</v>
      </c>
      <c r="O1184" s="819">
        <f t="shared" si="259"/>
        <v>1492</v>
      </c>
      <c r="P1184" s="819">
        <f t="shared" si="262"/>
        <v>1011</v>
      </c>
      <c r="Q1184" s="819">
        <f t="shared" si="263"/>
        <v>198</v>
      </c>
      <c r="R1184" s="819">
        <f t="shared" si="264"/>
        <v>305</v>
      </c>
      <c r="S1184" s="819">
        <f t="shared" si="265"/>
        <v>338</v>
      </c>
      <c r="T1184" s="819">
        <f t="shared" si="266"/>
        <v>1470</v>
      </c>
      <c r="U1184" s="819">
        <f t="shared" si="267"/>
        <v>3322</v>
      </c>
      <c r="V1184" s="819">
        <f t="shared" si="268"/>
        <v>1372</v>
      </c>
      <c r="W1184" s="379">
        <f t="shared" si="269"/>
        <v>1372</v>
      </c>
      <c r="X1184" s="819" t="str">
        <f t="shared" si="270"/>
        <v/>
      </c>
      <c r="Y1184" s="837"/>
      <c r="Z1184" s="839"/>
      <c r="AA1184" s="838"/>
      <c r="AB1184" s="839"/>
    </row>
    <row r="1185" spans="1:28" ht="14.45">
      <c r="A1185" s="816"/>
      <c r="B1185" s="819" t="s">
        <v>2792</v>
      </c>
      <c r="C1185" s="819" t="s">
        <v>2793</v>
      </c>
      <c r="D1185" s="379" t="s">
        <v>336</v>
      </c>
      <c r="E1185" s="818" t="s">
        <v>2377</v>
      </c>
      <c r="F1185" s="820">
        <v>5.2241614270000003</v>
      </c>
      <c r="G1185" s="821">
        <v>-1.3341493630000001</v>
      </c>
      <c r="H1185" s="822">
        <v>24422678.736073099</v>
      </c>
      <c r="I1185" s="819"/>
      <c r="J1185" s="820">
        <v>2.3265199999999999E-4</v>
      </c>
      <c r="K1185" s="819">
        <f t="shared" si="260"/>
        <v>1050</v>
      </c>
      <c r="L1185" s="819">
        <f t="shared" si="261"/>
        <v>1311</v>
      </c>
      <c r="M1185" s="819">
        <f t="shared" si="257"/>
        <v>1050</v>
      </c>
      <c r="N1185" s="819">
        <f t="shared" si="258"/>
        <v>364</v>
      </c>
      <c r="O1185" s="819">
        <f t="shared" si="259"/>
        <v>245</v>
      </c>
      <c r="P1185" s="819">
        <f t="shared" si="262"/>
        <v>348</v>
      </c>
      <c r="Q1185" s="819">
        <f t="shared" si="263"/>
        <v>888</v>
      </c>
      <c r="R1185" s="819">
        <f t="shared" si="264"/>
        <v>968</v>
      </c>
      <c r="S1185" s="819">
        <f t="shared" si="265"/>
        <v>338</v>
      </c>
      <c r="T1185" s="819">
        <f t="shared" si="266"/>
        <v>223</v>
      </c>
      <c r="U1185" s="819">
        <f t="shared" si="267"/>
        <v>2765</v>
      </c>
      <c r="V1185" s="819">
        <f t="shared" si="268"/>
        <v>437</v>
      </c>
      <c r="W1185" s="379">
        <f t="shared" si="269"/>
        <v>437</v>
      </c>
      <c r="X1185" s="819" t="str">
        <f t="shared" si="270"/>
        <v/>
      </c>
      <c r="Y1185" s="837"/>
      <c r="Z1185" s="839"/>
      <c r="AA1185" s="838"/>
      <c r="AB1185" s="839"/>
    </row>
    <row r="1186" spans="1:28" ht="13.15">
      <c r="B1186" s="819" t="s">
        <v>2794</v>
      </c>
      <c r="C1186" s="819" t="s">
        <v>2795</v>
      </c>
      <c r="D1186" s="379" t="s">
        <v>336</v>
      </c>
      <c r="E1186" s="818" t="s">
        <v>941</v>
      </c>
      <c r="F1186" s="820">
        <v>1.3361162200000001</v>
      </c>
      <c r="G1186" s="821">
        <v>1.375564783</v>
      </c>
      <c r="H1186" s="822">
        <v>383763176.65995997</v>
      </c>
      <c r="I1186" s="819"/>
      <c r="J1186" s="820">
        <v>-1.11581E-4</v>
      </c>
      <c r="K1186" s="819">
        <f t="shared" si="260"/>
        <v>418</v>
      </c>
      <c r="L1186" s="819">
        <f t="shared" si="261"/>
        <v>759</v>
      </c>
      <c r="M1186" s="819">
        <f t="shared" si="257"/>
        <v>418</v>
      </c>
      <c r="N1186" s="819">
        <f t="shared" si="258"/>
        <v>364</v>
      </c>
      <c r="O1186" s="819">
        <f t="shared" si="259"/>
        <v>1019</v>
      </c>
      <c r="P1186" s="819">
        <f t="shared" si="262"/>
        <v>980</v>
      </c>
      <c r="Q1186" s="819">
        <f t="shared" si="263"/>
        <v>336</v>
      </c>
      <c r="R1186" s="819">
        <f t="shared" si="264"/>
        <v>336</v>
      </c>
      <c r="S1186" s="819">
        <f t="shared" si="265"/>
        <v>338</v>
      </c>
      <c r="T1186" s="819">
        <f t="shared" si="266"/>
        <v>997</v>
      </c>
      <c r="U1186" s="819">
        <f t="shared" si="267"/>
        <v>2987</v>
      </c>
      <c r="V1186" s="819">
        <f t="shared" si="268"/>
        <v>910</v>
      </c>
      <c r="W1186" s="379">
        <f t="shared" si="269"/>
        <v>910</v>
      </c>
      <c r="X1186" s="819" t="str">
        <f t="shared" si="270"/>
        <v/>
      </c>
      <c r="Y1186" s="837"/>
      <c r="Z1186" s="839"/>
      <c r="AA1186" s="838"/>
      <c r="AB1186" s="839"/>
    </row>
    <row r="1187" spans="1:28" ht="14.45">
      <c r="A1187" s="816"/>
      <c r="B1187" s="819" t="s">
        <v>2796</v>
      </c>
      <c r="C1187" s="819" t="s">
        <v>2797</v>
      </c>
      <c r="D1187" s="379" t="s">
        <v>336</v>
      </c>
      <c r="E1187" s="818" t="s">
        <v>607</v>
      </c>
      <c r="F1187" s="820">
        <v>7.6221691290000004</v>
      </c>
      <c r="G1187" s="821">
        <v>45.675795639999997</v>
      </c>
      <c r="H1187" s="822">
        <v>73061679.149329603</v>
      </c>
      <c r="I1187" s="819"/>
      <c r="J1187" s="820">
        <v>-2.9581000000000001E-6</v>
      </c>
      <c r="K1187" s="819">
        <f t="shared" si="260"/>
        <v>786</v>
      </c>
      <c r="L1187" s="819">
        <f t="shared" si="261"/>
        <v>39</v>
      </c>
      <c r="M1187" s="819">
        <f t="shared" si="257"/>
        <v>786</v>
      </c>
      <c r="N1187" s="819">
        <f t="shared" si="258"/>
        <v>364</v>
      </c>
      <c r="O1187" s="819">
        <f t="shared" si="259"/>
        <v>772</v>
      </c>
      <c r="P1187" s="819">
        <f t="shared" si="262"/>
        <v>612</v>
      </c>
      <c r="Q1187" s="819">
        <f t="shared" si="263"/>
        <v>384</v>
      </c>
      <c r="R1187" s="819">
        <f t="shared" si="264"/>
        <v>704</v>
      </c>
      <c r="S1187" s="819">
        <f t="shared" si="265"/>
        <v>338</v>
      </c>
      <c r="T1187" s="819">
        <f t="shared" si="266"/>
        <v>750</v>
      </c>
      <c r="U1187" s="819">
        <f t="shared" si="267"/>
        <v>2788</v>
      </c>
      <c r="V1187" s="819">
        <f t="shared" si="268"/>
        <v>608</v>
      </c>
      <c r="W1187" s="379">
        <f t="shared" si="269"/>
        <v>608</v>
      </c>
      <c r="X1187" s="819" t="str">
        <f t="shared" si="270"/>
        <v/>
      </c>
      <c r="Y1187" s="837"/>
      <c r="Z1187" s="839"/>
      <c r="AA1187" s="838"/>
      <c r="AB1187" s="839"/>
    </row>
    <row r="1188" spans="1:28" ht="13.15">
      <c r="B1188" s="819" t="s">
        <v>2798</v>
      </c>
      <c r="C1188" s="819" t="s">
        <v>2799</v>
      </c>
      <c r="D1188" s="379" t="s">
        <v>336</v>
      </c>
      <c r="E1188" s="818" t="s">
        <v>453</v>
      </c>
      <c r="F1188" s="820">
        <v>0.411087808</v>
      </c>
      <c r="G1188" s="821">
        <v>6.0399744569999996</v>
      </c>
      <c r="H1188" s="822">
        <v>30197341.056490999</v>
      </c>
      <c r="I1188" s="819"/>
      <c r="J1188" s="820">
        <v>-4.0942700000000002E-4</v>
      </c>
      <c r="K1188" s="819">
        <f t="shared" si="260"/>
        <v>1001</v>
      </c>
      <c r="L1188" s="819">
        <f t="shared" si="261"/>
        <v>325</v>
      </c>
      <c r="M1188" s="819">
        <f t="shared" si="257"/>
        <v>1001</v>
      </c>
      <c r="N1188" s="819">
        <f t="shared" si="258"/>
        <v>364</v>
      </c>
      <c r="O1188" s="819">
        <f t="shared" si="259"/>
        <v>1232</v>
      </c>
      <c r="P1188" s="819">
        <f t="shared" si="262"/>
        <v>397</v>
      </c>
      <c r="Q1188" s="819">
        <f t="shared" si="263"/>
        <v>98</v>
      </c>
      <c r="R1188" s="819">
        <f t="shared" si="264"/>
        <v>919</v>
      </c>
      <c r="S1188" s="819">
        <f t="shared" si="265"/>
        <v>338</v>
      </c>
      <c r="T1188" s="819">
        <f t="shared" si="266"/>
        <v>1210</v>
      </c>
      <c r="U1188" s="819">
        <f t="shared" si="267"/>
        <v>2962</v>
      </c>
      <c r="V1188" s="819">
        <f t="shared" si="268"/>
        <v>881</v>
      </c>
      <c r="W1188" s="379">
        <f t="shared" si="269"/>
        <v>881</v>
      </c>
      <c r="X1188" s="819" t="str">
        <f t="shared" si="270"/>
        <v/>
      </c>
      <c r="Y1188" s="837"/>
      <c r="Z1188" s="839"/>
      <c r="AA1188" s="838"/>
      <c r="AB1188" s="839"/>
    </row>
    <row r="1189" spans="1:28" ht="14.45">
      <c r="A1189" s="816"/>
      <c r="B1189" s="819" t="s">
        <v>2800</v>
      </c>
      <c r="C1189" s="819" t="s">
        <v>2801</v>
      </c>
      <c r="D1189" s="379" t="s">
        <v>336</v>
      </c>
      <c r="E1189" s="818" t="s">
        <v>460</v>
      </c>
      <c r="F1189" s="820">
        <v>2.4119584829999998</v>
      </c>
      <c r="G1189" s="821">
        <v>7.0807703870000003</v>
      </c>
      <c r="H1189" s="822">
        <v>7908637.8618085897</v>
      </c>
      <c r="I1189" s="819"/>
      <c r="J1189" s="820">
        <v>-1.4000899999999999E-4</v>
      </c>
      <c r="K1189" s="819">
        <f t="shared" si="260"/>
        <v>1301</v>
      </c>
      <c r="L1189" s="819">
        <f t="shared" si="261"/>
        <v>284</v>
      </c>
      <c r="M1189" s="819">
        <f t="shared" si="257"/>
        <v>1301</v>
      </c>
      <c r="N1189" s="819">
        <f t="shared" si="258"/>
        <v>364</v>
      </c>
      <c r="O1189" s="819">
        <f t="shared" si="259"/>
        <v>1054</v>
      </c>
      <c r="P1189" s="819">
        <f t="shared" si="262"/>
        <v>97</v>
      </c>
      <c r="Q1189" s="819">
        <f t="shared" si="263"/>
        <v>139</v>
      </c>
      <c r="R1189" s="819">
        <f t="shared" si="264"/>
        <v>1219</v>
      </c>
      <c r="S1189" s="819">
        <f t="shared" si="265"/>
        <v>338</v>
      </c>
      <c r="T1189" s="819">
        <f t="shared" si="266"/>
        <v>1032</v>
      </c>
      <c r="U1189" s="819">
        <f t="shared" si="267"/>
        <v>2825</v>
      </c>
      <c r="V1189" s="819">
        <f t="shared" si="268"/>
        <v>668</v>
      </c>
      <c r="W1189" s="379">
        <f t="shared" si="269"/>
        <v>668</v>
      </c>
      <c r="X1189" s="819" t="str">
        <f t="shared" si="270"/>
        <v/>
      </c>
      <c r="Y1189" s="837"/>
      <c r="Z1189" s="839"/>
      <c r="AA1189" s="838"/>
      <c r="AB1189" s="839"/>
    </row>
    <row r="1190" spans="1:28" ht="13.15">
      <c r="B1190" s="819" t="s">
        <v>2802</v>
      </c>
      <c r="C1190" s="819" t="s">
        <v>2803</v>
      </c>
      <c r="D1190" s="379" t="s">
        <v>336</v>
      </c>
      <c r="E1190" s="818" t="s">
        <v>740</v>
      </c>
      <c r="F1190" s="820">
        <v>2.164637296</v>
      </c>
      <c r="G1190" s="821">
        <v>-14.561319859999999</v>
      </c>
      <c r="H1190" s="822">
        <v>107862536.051948</v>
      </c>
      <c r="I1190" s="819"/>
      <c r="J1190" s="820">
        <v>5.2604699999999997E-4</v>
      </c>
      <c r="K1190" s="819">
        <f t="shared" si="260"/>
        <v>702</v>
      </c>
      <c r="L1190" s="819">
        <f t="shared" si="261"/>
        <v>1473</v>
      </c>
      <c r="M1190" s="819">
        <f t="shared" si="257"/>
        <v>702</v>
      </c>
      <c r="N1190" s="819">
        <f t="shared" si="258"/>
        <v>364</v>
      </c>
      <c r="O1190" s="819">
        <f t="shared" si="259"/>
        <v>211</v>
      </c>
      <c r="P1190" s="819">
        <f t="shared" si="262"/>
        <v>696</v>
      </c>
      <c r="Q1190" s="819">
        <f t="shared" si="263"/>
        <v>1050</v>
      </c>
      <c r="R1190" s="819">
        <f t="shared" si="264"/>
        <v>620</v>
      </c>
      <c r="S1190" s="819">
        <f t="shared" si="265"/>
        <v>338</v>
      </c>
      <c r="T1190" s="819">
        <f t="shared" si="266"/>
        <v>189</v>
      </c>
      <c r="U1190" s="819">
        <f t="shared" si="267"/>
        <v>2893</v>
      </c>
      <c r="V1190" s="819">
        <f t="shared" si="268"/>
        <v>796</v>
      </c>
      <c r="W1190" s="379">
        <f t="shared" si="269"/>
        <v>796</v>
      </c>
      <c r="X1190" s="819" t="str">
        <f t="shared" si="270"/>
        <v/>
      </c>
      <c r="Y1190" s="837"/>
      <c r="Z1190" s="839"/>
      <c r="AA1190" s="838"/>
      <c r="AB1190" s="839"/>
    </row>
    <row r="1191" spans="1:28" ht="14.45">
      <c r="A1191" s="816"/>
      <c r="B1191" s="819" t="s">
        <v>2804</v>
      </c>
      <c r="C1191" s="819" t="s">
        <v>2805</v>
      </c>
      <c r="D1191" s="379" t="s">
        <v>336</v>
      </c>
      <c r="E1191" s="818" t="s">
        <v>460</v>
      </c>
      <c r="F1191" s="820">
        <v>3.7692609159999999</v>
      </c>
      <c r="G1191" s="821">
        <v>5.6771210630000004</v>
      </c>
      <c r="H1191" s="822">
        <v>37360196.560196601</v>
      </c>
      <c r="I1191" s="819"/>
      <c r="J1191" s="820">
        <v>-3.6392199999999998E-4</v>
      </c>
      <c r="K1191" s="819">
        <f t="shared" si="260"/>
        <v>944</v>
      </c>
      <c r="L1191" s="819">
        <f t="shared" si="261"/>
        <v>338</v>
      </c>
      <c r="M1191" s="819">
        <f t="shared" si="257"/>
        <v>944</v>
      </c>
      <c r="N1191" s="819">
        <f t="shared" si="258"/>
        <v>364</v>
      </c>
      <c r="O1191" s="819">
        <f t="shared" si="259"/>
        <v>1201</v>
      </c>
      <c r="P1191" s="819">
        <f t="shared" si="262"/>
        <v>454</v>
      </c>
      <c r="Q1191" s="819">
        <f t="shared" si="263"/>
        <v>85</v>
      </c>
      <c r="R1191" s="819">
        <f t="shared" si="264"/>
        <v>862</v>
      </c>
      <c r="S1191" s="819">
        <f t="shared" si="265"/>
        <v>338</v>
      </c>
      <c r="T1191" s="819">
        <f t="shared" si="266"/>
        <v>1179</v>
      </c>
      <c r="U1191" s="819">
        <f t="shared" si="267"/>
        <v>2918</v>
      </c>
      <c r="V1191" s="819">
        <f t="shared" si="268"/>
        <v>830</v>
      </c>
      <c r="W1191" s="379">
        <f t="shared" si="269"/>
        <v>830</v>
      </c>
      <c r="X1191" s="819" t="str">
        <f t="shared" si="270"/>
        <v/>
      </c>
      <c r="Y1191" s="837"/>
      <c r="Z1191" s="839"/>
      <c r="AA1191" s="838"/>
      <c r="AB1191" s="839"/>
    </row>
    <row r="1192" spans="1:28" ht="13.15">
      <c r="B1192" s="819" t="s">
        <v>2806</v>
      </c>
      <c r="C1192" s="819" t="s">
        <v>2807</v>
      </c>
      <c r="D1192" s="379" t="s">
        <v>336</v>
      </c>
      <c r="E1192" s="818" t="s">
        <v>441</v>
      </c>
      <c r="F1192" s="820">
        <v>1.819577835</v>
      </c>
      <c r="G1192" s="821">
        <v>9.4465123549999994</v>
      </c>
      <c r="H1192" s="822">
        <v>367994689.092619</v>
      </c>
      <c r="I1192" s="819">
        <v>5.56</v>
      </c>
      <c r="J1192" s="820">
        <v>-1.4602385000000001E-2</v>
      </c>
      <c r="K1192" s="819">
        <f t="shared" si="260"/>
        <v>425</v>
      </c>
      <c r="L1192" s="819">
        <f t="shared" si="261"/>
        <v>211</v>
      </c>
      <c r="M1192" s="819">
        <f t="shared" si="257"/>
        <v>425</v>
      </c>
      <c r="N1192" s="819">
        <f t="shared" si="258"/>
        <v>43</v>
      </c>
      <c r="O1192" s="819">
        <f t="shared" si="259"/>
        <v>1672</v>
      </c>
      <c r="P1192" s="819">
        <f t="shared" si="262"/>
        <v>973</v>
      </c>
      <c r="Q1192" s="819">
        <f t="shared" si="263"/>
        <v>212</v>
      </c>
      <c r="R1192" s="819">
        <f t="shared" si="264"/>
        <v>343</v>
      </c>
      <c r="S1192" s="819">
        <f t="shared" si="265"/>
        <v>17</v>
      </c>
      <c r="T1192" s="819">
        <f t="shared" si="266"/>
        <v>1650</v>
      </c>
      <c r="U1192" s="819">
        <f t="shared" si="267"/>
        <v>3195</v>
      </c>
      <c r="V1192" s="819">
        <f t="shared" si="268"/>
        <v>1188</v>
      </c>
      <c r="W1192" s="379">
        <f t="shared" si="269"/>
        <v>1188</v>
      </c>
      <c r="X1192" s="819" t="str">
        <f t="shared" si="270"/>
        <v/>
      </c>
      <c r="Y1192" s="837"/>
      <c r="Z1192" s="839"/>
      <c r="AA1192" s="838"/>
      <c r="AB1192" s="839"/>
    </row>
    <row r="1193" spans="1:28" ht="14.45">
      <c r="A1193" s="816"/>
      <c r="B1193" s="819" t="s">
        <v>2808</v>
      </c>
      <c r="C1193" s="819" t="s">
        <v>2809</v>
      </c>
      <c r="D1193" s="379" t="s">
        <v>336</v>
      </c>
      <c r="E1193" s="818" t="s">
        <v>896</v>
      </c>
      <c r="F1193" s="820">
        <v>1.3927986910000001</v>
      </c>
      <c r="G1193" s="821">
        <v>-0.181705955</v>
      </c>
      <c r="H1193" s="822">
        <v>181920903.95480201</v>
      </c>
      <c r="I1193" s="819"/>
      <c r="J1193" s="820">
        <v>2.9302000000000001E-4</v>
      </c>
      <c r="K1193" s="819">
        <f t="shared" si="260"/>
        <v>593</v>
      </c>
      <c r="L1193" s="819">
        <f t="shared" si="261"/>
        <v>1237</v>
      </c>
      <c r="M1193" s="819">
        <f t="shared" si="257"/>
        <v>593</v>
      </c>
      <c r="N1193" s="819">
        <f t="shared" si="258"/>
        <v>364</v>
      </c>
      <c r="O1193" s="819">
        <f t="shared" si="259"/>
        <v>235</v>
      </c>
      <c r="P1193" s="819">
        <f t="shared" si="262"/>
        <v>805</v>
      </c>
      <c r="Q1193" s="819">
        <f t="shared" si="263"/>
        <v>814</v>
      </c>
      <c r="R1193" s="819">
        <f t="shared" si="264"/>
        <v>511</v>
      </c>
      <c r="S1193" s="819">
        <f t="shared" si="265"/>
        <v>338</v>
      </c>
      <c r="T1193" s="819">
        <f t="shared" si="266"/>
        <v>213</v>
      </c>
      <c r="U1193" s="819">
        <f t="shared" si="267"/>
        <v>2681</v>
      </c>
      <c r="V1193" s="819">
        <f t="shared" si="268"/>
        <v>339</v>
      </c>
      <c r="W1193" s="379">
        <f t="shared" si="269"/>
        <v>339</v>
      </c>
      <c r="X1193" s="819" t="str">
        <f t="shared" si="270"/>
        <v/>
      </c>
      <c r="Y1193" s="837"/>
      <c r="Z1193" s="839"/>
      <c r="AA1193" s="838"/>
      <c r="AB1193" s="839"/>
    </row>
    <row r="1194" spans="1:28" ht="13.15">
      <c r="B1194" s="819" t="s">
        <v>2810</v>
      </c>
      <c r="C1194" s="819" t="s">
        <v>2811</v>
      </c>
      <c r="D1194" s="379" t="s">
        <v>336</v>
      </c>
      <c r="E1194" s="818" t="s">
        <v>337</v>
      </c>
      <c r="F1194" s="820">
        <v>0.974777263</v>
      </c>
      <c r="G1194" s="821">
        <v>1.3917530659999999</v>
      </c>
      <c r="H1194" s="822">
        <v>6365459768.1999998</v>
      </c>
      <c r="I1194" s="819">
        <v>0.3</v>
      </c>
      <c r="J1194" s="820">
        <v>-7.8341299999999995E-4</v>
      </c>
      <c r="K1194" s="819">
        <f t="shared" si="260"/>
        <v>63</v>
      </c>
      <c r="L1194" s="819">
        <f t="shared" si="261"/>
        <v>757</v>
      </c>
      <c r="M1194" s="819">
        <f t="shared" si="257"/>
        <v>63</v>
      </c>
      <c r="N1194" s="819">
        <f t="shared" si="258"/>
        <v>188</v>
      </c>
      <c r="O1194" s="819">
        <f t="shared" si="259"/>
        <v>1362</v>
      </c>
      <c r="P1194" s="819">
        <f t="shared" si="262"/>
        <v>1335</v>
      </c>
      <c r="Q1194" s="819">
        <f t="shared" si="263"/>
        <v>334</v>
      </c>
      <c r="R1194" s="819">
        <f t="shared" si="264"/>
        <v>19</v>
      </c>
      <c r="S1194" s="819">
        <f t="shared" si="265"/>
        <v>162</v>
      </c>
      <c r="T1194" s="819">
        <f t="shared" si="266"/>
        <v>1340</v>
      </c>
      <c r="U1194" s="819">
        <f t="shared" si="267"/>
        <v>3190</v>
      </c>
      <c r="V1194" s="819">
        <f t="shared" si="268"/>
        <v>1183</v>
      </c>
      <c r="W1194" s="379">
        <f t="shared" si="269"/>
        <v>1183</v>
      </c>
      <c r="X1194" s="819" t="str">
        <f t="shared" si="270"/>
        <v/>
      </c>
      <c r="Y1194" s="837"/>
      <c r="Z1194" s="839"/>
      <c r="AA1194" s="838"/>
      <c r="AB1194" s="839"/>
    </row>
    <row r="1195" spans="1:28" ht="14.45">
      <c r="A1195" s="816"/>
      <c r="B1195" s="819" t="s">
        <v>2812</v>
      </c>
      <c r="C1195" s="819" t="s">
        <v>2813</v>
      </c>
      <c r="D1195" s="379" t="s">
        <v>336</v>
      </c>
      <c r="E1195" s="818" t="s">
        <v>752</v>
      </c>
      <c r="F1195" s="820">
        <v>-1.417386198</v>
      </c>
      <c r="G1195" s="821">
        <v>-1.5395715590000001</v>
      </c>
      <c r="H1195" s="822">
        <v>26806027.289270598</v>
      </c>
      <c r="I1195" s="819"/>
      <c r="J1195" s="820">
        <v>5.77796E-4</v>
      </c>
      <c r="K1195" s="819">
        <f t="shared" si="260"/>
        <v>1032</v>
      </c>
      <c r="L1195" s="819">
        <f t="shared" si="261"/>
        <v>1327</v>
      </c>
      <c r="M1195" s="819">
        <f t="shared" si="257"/>
        <v>1032</v>
      </c>
      <c r="N1195" s="819">
        <f t="shared" si="258"/>
        <v>364</v>
      </c>
      <c r="O1195" s="819">
        <f t="shared" si="259"/>
        <v>201</v>
      </c>
      <c r="P1195" s="819">
        <f t="shared" si="262"/>
        <v>366</v>
      </c>
      <c r="Q1195" s="819">
        <f t="shared" si="263"/>
        <v>904</v>
      </c>
      <c r="R1195" s="819">
        <f t="shared" si="264"/>
        <v>950</v>
      </c>
      <c r="S1195" s="819">
        <f t="shared" si="265"/>
        <v>338</v>
      </c>
      <c r="T1195" s="819">
        <f t="shared" si="266"/>
        <v>179</v>
      </c>
      <c r="U1195" s="819">
        <f t="shared" si="267"/>
        <v>2737</v>
      </c>
      <c r="V1195" s="819">
        <f t="shared" si="268"/>
        <v>402</v>
      </c>
      <c r="W1195" s="379">
        <f t="shared" si="269"/>
        <v>402</v>
      </c>
      <c r="X1195" s="819" t="str">
        <f t="shared" si="270"/>
        <v/>
      </c>
      <c r="Y1195" s="837"/>
      <c r="Z1195" s="839"/>
      <c r="AA1195" s="838"/>
      <c r="AB1195" s="839"/>
    </row>
    <row r="1196" spans="1:28" ht="13.15">
      <c r="B1196" s="819" t="s">
        <v>2814</v>
      </c>
      <c r="C1196" s="819" t="s">
        <v>2815</v>
      </c>
      <c r="D1196" s="379" t="s">
        <v>336</v>
      </c>
      <c r="E1196" s="818" t="s">
        <v>425</v>
      </c>
      <c r="F1196" s="820">
        <v>3.9179009360000001</v>
      </c>
      <c r="G1196" s="821">
        <v>-4.7002441150000003</v>
      </c>
      <c r="H1196" s="822">
        <v>539227562.67581701</v>
      </c>
      <c r="I1196" s="819"/>
      <c r="J1196" s="820">
        <v>4.3232100000000002E-5</v>
      </c>
      <c r="K1196" s="819">
        <f t="shared" si="260"/>
        <v>332</v>
      </c>
      <c r="L1196" s="819">
        <f t="shared" si="261"/>
        <v>1402</v>
      </c>
      <c r="M1196" s="819">
        <f t="shared" si="257"/>
        <v>332</v>
      </c>
      <c r="N1196" s="819">
        <f t="shared" si="258"/>
        <v>364</v>
      </c>
      <c r="O1196" s="819">
        <f t="shared" si="259"/>
        <v>358</v>
      </c>
      <c r="P1196" s="819">
        <f t="shared" si="262"/>
        <v>1066</v>
      </c>
      <c r="Q1196" s="819">
        <f t="shared" si="263"/>
        <v>979</v>
      </c>
      <c r="R1196" s="819">
        <f t="shared" si="264"/>
        <v>250</v>
      </c>
      <c r="S1196" s="819">
        <f t="shared" si="265"/>
        <v>338</v>
      </c>
      <c r="T1196" s="819">
        <f t="shared" si="266"/>
        <v>336</v>
      </c>
      <c r="U1196" s="819">
        <f t="shared" si="267"/>
        <v>2969</v>
      </c>
      <c r="V1196" s="819">
        <f t="shared" si="268"/>
        <v>890</v>
      </c>
      <c r="W1196" s="379">
        <f t="shared" si="269"/>
        <v>890</v>
      </c>
      <c r="X1196" s="819" t="str">
        <f t="shared" si="270"/>
        <v/>
      </c>
      <c r="Y1196" s="837"/>
      <c r="Z1196" s="839"/>
      <c r="AA1196" s="838"/>
      <c r="AB1196" s="839"/>
    </row>
    <row r="1197" spans="1:28" ht="14.45">
      <c r="A1197" s="816"/>
      <c r="B1197" s="819" t="s">
        <v>2816</v>
      </c>
      <c r="C1197" s="819" t="s">
        <v>2817</v>
      </c>
      <c r="D1197" s="379" t="s">
        <v>336</v>
      </c>
      <c r="E1197" s="818" t="s">
        <v>441</v>
      </c>
      <c r="F1197" s="820"/>
      <c r="G1197" s="821"/>
      <c r="H1197" s="822">
        <v>8844171.5668078903</v>
      </c>
      <c r="I1197" s="819"/>
      <c r="J1197" s="820">
        <v>0</v>
      </c>
      <c r="K1197" s="819">
        <f t="shared" si="260"/>
        <v>1274</v>
      </c>
      <c r="L1197" s="819">
        <f t="shared" si="261"/>
        <v>1084</v>
      </c>
      <c r="M1197" s="819">
        <f t="shared" si="257"/>
        <v>1274</v>
      </c>
      <c r="N1197" s="819">
        <f t="shared" si="258"/>
        <v>364</v>
      </c>
      <c r="O1197" s="819">
        <f t="shared" si="259"/>
        <v>492</v>
      </c>
      <c r="P1197" s="819">
        <f t="shared" si="262"/>
        <v>124</v>
      </c>
      <c r="Q1197" s="819">
        <f t="shared" si="263"/>
        <v>661</v>
      </c>
      <c r="R1197" s="819">
        <f t="shared" si="264"/>
        <v>1192</v>
      </c>
      <c r="S1197" s="819">
        <f t="shared" si="265"/>
        <v>338</v>
      </c>
      <c r="T1197" s="819">
        <f t="shared" si="266"/>
        <v>470</v>
      </c>
      <c r="U1197" s="819">
        <f t="shared" si="267"/>
        <v>2785</v>
      </c>
      <c r="V1197" s="819">
        <f t="shared" si="268"/>
        <v>463</v>
      </c>
      <c r="W1197" s="379">
        <f t="shared" si="269"/>
        <v>463</v>
      </c>
      <c r="X1197" s="819" t="str">
        <f t="shared" si="270"/>
        <v/>
      </c>
      <c r="Y1197" s="837"/>
      <c r="Z1197" s="839"/>
      <c r="AA1197" s="838"/>
      <c r="AB1197" s="839"/>
    </row>
    <row r="1198" spans="1:28" ht="13.15">
      <c r="B1198" s="819" t="s">
        <v>2818</v>
      </c>
      <c r="C1198" s="819" t="s">
        <v>2819</v>
      </c>
      <c r="D1198" s="379" t="s">
        <v>336</v>
      </c>
      <c r="E1198" s="818" t="s">
        <v>600</v>
      </c>
      <c r="F1198" s="820"/>
      <c r="G1198" s="821"/>
      <c r="H1198" s="822">
        <v>33053815.3167639</v>
      </c>
      <c r="I1198" s="819"/>
      <c r="J1198" s="820">
        <v>0</v>
      </c>
      <c r="K1198" s="819">
        <f t="shared" si="260"/>
        <v>970</v>
      </c>
      <c r="L1198" s="819">
        <f t="shared" si="261"/>
        <v>1084</v>
      </c>
      <c r="M1198" s="819">
        <f t="shared" si="257"/>
        <v>970</v>
      </c>
      <c r="N1198" s="819">
        <f t="shared" si="258"/>
        <v>364</v>
      </c>
      <c r="O1198" s="819">
        <f t="shared" si="259"/>
        <v>492</v>
      </c>
      <c r="P1198" s="819">
        <f t="shared" si="262"/>
        <v>428</v>
      </c>
      <c r="Q1198" s="819">
        <f t="shared" si="263"/>
        <v>661</v>
      </c>
      <c r="R1198" s="819">
        <f t="shared" si="264"/>
        <v>888</v>
      </c>
      <c r="S1198" s="819">
        <f t="shared" si="265"/>
        <v>338</v>
      </c>
      <c r="T1198" s="819">
        <f t="shared" si="266"/>
        <v>470</v>
      </c>
      <c r="U1198" s="819">
        <f t="shared" si="267"/>
        <v>2785</v>
      </c>
      <c r="V1198" s="819">
        <f t="shared" si="268"/>
        <v>463</v>
      </c>
      <c r="W1198" s="379">
        <f t="shared" si="269"/>
        <v>463</v>
      </c>
      <c r="X1198" s="819" t="str">
        <f t="shared" si="270"/>
        <v/>
      </c>
      <c r="Y1198" s="837"/>
      <c r="Z1198" s="839"/>
      <c r="AA1198" s="838"/>
      <c r="AB1198" s="839"/>
    </row>
    <row r="1199" spans="1:28" ht="14.45">
      <c r="A1199" s="816"/>
      <c r="B1199" s="819" t="s">
        <v>2820</v>
      </c>
      <c r="C1199" s="819" t="s">
        <v>2821</v>
      </c>
      <c r="D1199" s="379" t="s">
        <v>336</v>
      </c>
      <c r="E1199" s="818" t="s">
        <v>2322</v>
      </c>
      <c r="F1199" s="820">
        <v>0.88847316600000004</v>
      </c>
      <c r="G1199" s="821">
        <v>0</v>
      </c>
      <c r="H1199" s="822">
        <v>627870.22501308203</v>
      </c>
      <c r="I1199" s="819"/>
      <c r="J1199" s="820">
        <v>-1.6031500000000001E-5</v>
      </c>
      <c r="K1199" s="819">
        <f t="shared" si="260"/>
        <v>1590</v>
      </c>
      <c r="L1199" s="819">
        <f t="shared" si="261"/>
        <v>1084</v>
      </c>
      <c r="M1199" s="819">
        <f t="shared" si="257"/>
        <v>1590</v>
      </c>
      <c r="N1199" s="819">
        <f t="shared" si="258"/>
        <v>364</v>
      </c>
      <c r="O1199" s="819">
        <f t="shared" si="259"/>
        <v>835</v>
      </c>
      <c r="P1199" s="819">
        <f t="shared" si="262"/>
        <v>192</v>
      </c>
      <c r="Q1199" s="819">
        <f t="shared" si="263"/>
        <v>661</v>
      </c>
      <c r="R1199" s="819">
        <f t="shared" si="264"/>
        <v>1508</v>
      </c>
      <c r="S1199" s="819">
        <f t="shared" si="265"/>
        <v>338</v>
      </c>
      <c r="T1199" s="819">
        <f t="shared" si="266"/>
        <v>813</v>
      </c>
      <c r="U1199" s="819">
        <f t="shared" si="267"/>
        <v>3512</v>
      </c>
      <c r="V1199" s="819">
        <f t="shared" si="268"/>
        <v>1564</v>
      </c>
      <c r="W1199" s="379">
        <f t="shared" si="269"/>
        <v>1564</v>
      </c>
      <c r="X1199" s="819" t="str">
        <f t="shared" si="270"/>
        <v/>
      </c>
      <c r="Y1199" s="837"/>
      <c r="Z1199" s="839"/>
      <c r="AA1199" s="838"/>
      <c r="AB1199" s="839"/>
    </row>
    <row r="1200" spans="1:28" ht="13.15">
      <c r="B1200" s="819" t="s">
        <v>2822</v>
      </c>
      <c r="C1200" s="819" t="s">
        <v>2823</v>
      </c>
      <c r="D1200" s="379" t="s">
        <v>336</v>
      </c>
      <c r="E1200" s="818" t="s">
        <v>2322</v>
      </c>
      <c r="F1200" s="820"/>
      <c r="G1200" s="821"/>
      <c r="H1200" s="822"/>
      <c r="I1200" s="819"/>
      <c r="J1200" s="820">
        <v>0</v>
      </c>
      <c r="K1200" s="819" t="str">
        <f t="shared" si="260"/>
        <v>N/A</v>
      </c>
      <c r="L1200" s="819">
        <f t="shared" si="261"/>
        <v>1084</v>
      </c>
      <c r="M1200" s="819" t="str">
        <f t="shared" si="257"/>
        <v>N/A</v>
      </c>
      <c r="N1200" s="819">
        <f t="shared" si="258"/>
        <v>364</v>
      </c>
      <c r="O1200" s="819">
        <f t="shared" si="259"/>
        <v>492</v>
      </c>
      <c r="P1200" s="819" t="str">
        <f t="shared" si="262"/>
        <v>N/A</v>
      </c>
      <c r="Q1200" s="819">
        <f t="shared" si="263"/>
        <v>661</v>
      </c>
      <c r="R1200" s="819" t="str">
        <f t="shared" si="264"/>
        <v>N/A</v>
      </c>
      <c r="S1200" s="819">
        <f t="shared" si="265"/>
        <v>338</v>
      </c>
      <c r="T1200" s="819">
        <f t="shared" si="266"/>
        <v>470</v>
      </c>
      <c r="U1200" s="819">
        <f t="shared" si="267"/>
        <v>1469</v>
      </c>
      <c r="V1200" s="819">
        <f t="shared" si="268"/>
        <v>22</v>
      </c>
      <c r="W1200" s="379">
        <f t="shared" si="269"/>
        <v>22</v>
      </c>
      <c r="X1200" s="819" t="str">
        <f t="shared" si="270"/>
        <v/>
      </c>
      <c r="Y1200" s="837"/>
      <c r="Z1200" s="839"/>
      <c r="AA1200" s="838"/>
      <c r="AB1200" s="839"/>
    </row>
    <row r="1201" spans="1:28" ht="14.45">
      <c r="A1201" s="816"/>
      <c r="B1201" s="819" t="s">
        <v>2824</v>
      </c>
      <c r="C1201" s="819" t="s">
        <v>2825</v>
      </c>
      <c r="D1201" s="379" t="s">
        <v>336</v>
      </c>
      <c r="E1201" s="818" t="s">
        <v>2322</v>
      </c>
      <c r="F1201" s="820"/>
      <c r="G1201" s="821"/>
      <c r="H1201" s="822">
        <v>14123267.8178964</v>
      </c>
      <c r="I1201" s="819"/>
      <c r="J1201" s="820">
        <v>0</v>
      </c>
      <c r="K1201" s="819">
        <f t="shared" si="260"/>
        <v>1177</v>
      </c>
      <c r="L1201" s="819">
        <f t="shared" si="261"/>
        <v>1084</v>
      </c>
      <c r="M1201" s="819">
        <f t="shared" si="257"/>
        <v>1177</v>
      </c>
      <c r="N1201" s="819">
        <f t="shared" si="258"/>
        <v>364</v>
      </c>
      <c r="O1201" s="819">
        <f t="shared" si="259"/>
        <v>492</v>
      </c>
      <c r="P1201" s="819">
        <f t="shared" si="262"/>
        <v>221</v>
      </c>
      <c r="Q1201" s="819">
        <f t="shared" si="263"/>
        <v>661</v>
      </c>
      <c r="R1201" s="819">
        <f t="shared" si="264"/>
        <v>1095</v>
      </c>
      <c r="S1201" s="819">
        <f t="shared" si="265"/>
        <v>338</v>
      </c>
      <c r="T1201" s="819">
        <f t="shared" si="266"/>
        <v>470</v>
      </c>
      <c r="U1201" s="819">
        <f t="shared" si="267"/>
        <v>2785</v>
      </c>
      <c r="V1201" s="819">
        <f t="shared" si="268"/>
        <v>463</v>
      </c>
      <c r="W1201" s="379">
        <f t="shared" si="269"/>
        <v>463</v>
      </c>
      <c r="X1201" s="819" t="str">
        <f t="shared" si="270"/>
        <v/>
      </c>
      <c r="Y1201" s="837"/>
      <c r="Z1201" s="839"/>
      <c r="AA1201" s="838"/>
      <c r="AB1201" s="839"/>
    </row>
    <row r="1202" spans="1:28" ht="13.15">
      <c r="B1202" s="819" t="s">
        <v>2826</v>
      </c>
      <c r="C1202" s="819" t="s">
        <v>2827</v>
      </c>
      <c r="D1202" s="379" t="s">
        <v>336</v>
      </c>
      <c r="E1202" s="818" t="s">
        <v>2322</v>
      </c>
      <c r="F1202" s="820"/>
      <c r="G1202" s="821"/>
      <c r="H1202" s="822">
        <v>119899.790685505</v>
      </c>
      <c r="I1202" s="819"/>
      <c r="J1202" s="820">
        <v>0</v>
      </c>
      <c r="K1202" s="819">
        <f t="shared" si="260"/>
        <v>1653</v>
      </c>
      <c r="L1202" s="819">
        <f t="shared" si="261"/>
        <v>1084</v>
      </c>
      <c r="M1202" s="819">
        <f t="shared" si="257"/>
        <v>1653</v>
      </c>
      <c r="N1202" s="819">
        <f t="shared" si="258"/>
        <v>364</v>
      </c>
      <c r="O1202" s="819">
        <f t="shared" si="259"/>
        <v>492</v>
      </c>
      <c r="P1202" s="819">
        <f t="shared" si="262"/>
        <v>255</v>
      </c>
      <c r="Q1202" s="819">
        <f t="shared" si="263"/>
        <v>661</v>
      </c>
      <c r="R1202" s="819">
        <f t="shared" si="264"/>
        <v>1571</v>
      </c>
      <c r="S1202" s="819">
        <f t="shared" si="265"/>
        <v>338</v>
      </c>
      <c r="T1202" s="819">
        <f t="shared" si="266"/>
        <v>470</v>
      </c>
      <c r="U1202" s="819">
        <f t="shared" si="267"/>
        <v>3295</v>
      </c>
      <c r="V1202" s="819">
        <f t="shared" si="268"/>
        <v>1332</v>
      </c>
      <c r="W1202" s="379">
        <f t="shared" si="269"/>
        <v>1332</v>
      </c>
      <c r="X1202" s="819" t="str">
        <f t="shared" si="270"/>
        <v/>
      </c>
      <c r="Y1202" s="837"/>
      <c r="Z1202" s="839"/>
      <c r="AA1202" s="838"/>
      <c r="AB1202" s="839"/>
    </row>
    <row r="1203" spans="1:28" ht="14.45">
      <c r="A1203" s="816"/>
      <c r="B1203" s="819" t="s">
        <v>2828</v>
      </c>
      <c r="C1203" s="819" t="s">
        <v>2829</v>
      </c>
      <c r="D1203" s="379" t="s">
        <v>336</v>
      </c>
      <c r="E1203" s="818" t="s">
        <v>2322</v>
      </c>
      <c r="F1203" s="820"/>
      <c r="G1203" s="821"/>
      <c r="H1203" s="822">
        <v>2213312.43676958</v>
      </c>
      <c r="I1203" s="819"/>
      <c r="J1203" s="820">
        <v>0</v>
      </c>
      <c r="K1203" s="819">
        <f t="shared" si="260"/>
        <v>1483</v>
      </c>
      <c r="L1203" s="819">
        <f t="shared" si="261"/>
        <v>1084</v>
      </c>
      <c r="M1203" s="819">
        <f t="shared" si="257"/>
        <v>1483</v>
      </c>
      <c r="N1203" s="819">
        <f t="shared" si="258"/>
        <v>364</v>
      </c>
      <c r="O1203" s="819">
        <f t="shared" si="259"/>
        <v>492</v>
      </c>
      <c r="P1203" s="819">
        <f t="shared" si="262"/>
        <v>85</v>
      </c>
      <c r="Q1203" s="819">
        <f t="shared" si="263"/>
        <v>661</v>
      </c>
      <c r="R1203" s="819">
        <f t="shared" si="264"/>
        <v>1401</v>
      </c>
      <c r="S1203" s="819">
        <f t="shared" si="265"/>
        <v>338</v>
      </c>
      <c r="T1203" s="819">
        <f t="shared" si="266"/>
        <v>470</v>
      </c>
      <c r="U1203" s="819">
        <f t="shared" si="267"/>
        <v>2955</v>
      </c>
      <c r="V1203" s="819">
        <f t="shared" si="268"/>
        <v>874</v>
      </c>
      <c r="W1203" s="379">
        <f t="shared" si="269"/>
        <v>874</v>
      </c>
      <c r="X1203" s="819" t="str">
        <f t="shared" si="270"/>
        <v/>
      </c>
      <c r="Y1203" s="837"/>
      <c r="Z1203" s="839"/>
      <c r="AA1203" s="838"/>
      <c r="AB1203" s="839"/>
    </row>
    <row r="1204" spans="1:28" ht="13.15">
      <c r="B1204" s="819" t="s">
        <v>2830</v>
      </c>
      <c r="C1204" s="819" t="s">
        <v>2831</v>
      </c>
      <c r="D1204" s="379" t="s">
        <v>336</v>
      </c>
      <c r="E1204" s="818" t="s">
        <v>2322</v>
      </c>
      <c r="F1204" s="820"/>
      <c r="G1204" s="821"/>
      <c r="H1204" s="822">
        <v>707491.36577707995</v>
      </c>
      <c r="I1204" s="819"/>
      <c r="J1204" s="820">
        <v>0</v>
      </c>
      <c r="K1204" s="819">
        <f t="shared" si="260"/>
        <v>1584</v>
      </c>
      <c r="L1204" s="819">
        <f t="shared" si="261"/>
        <v>1084</v>
      </c>
      <c r="M1204" s="819">
        <f t="shared" si="257"/>
        <v>1584</v>
      </c>
      <c r="N1204" s="819">
        <f t="shared" si="258"/>
        <v>364</v>
      </c>
      <c r="O1204" s="819">
        <f t="shared" si="259"/>
        <v>492</v>
      </c>
      <c r="P1204" s="819">
        <f t="shared" si="262"/>
        <v>186</v>
      </c>
      <c r="Q1204" s="819">
        <f t="shared" si="263"/>
        <v>661</v>
      </c>
      <c r="R1204" s="819">
        <f t="shared" si="264"/>
        <v>1502</v>
      </c>
      <c r="S1204" s="819">
        <f t="shared" si="265"/>
        <v>338</v>
      </c>
      <c r="T1204" s="819">
        <f t="shared" si="266"/>
        <v>470</v>
      </c>
      <c r="U1204" s="819">
        <f t="shared" si="267"/>
        <v>3157</v>
      </c>
      <c r="V1204" s="819">
        <f t="shared" si="268"/>
        <v>1137</v>
      </c>
      <c r="W1204" s="379">
        <f t="shared" si="269"/>
        <v>1137</v>
      </c>
      <c r="X1204" s="819" t="str">
        <f t="shared" si="270"/>
        <v/>
      </c>
      <c r="Y1204" s="837"/>
      <c r="Z1204" s="839"/>
      <c r="AA1204" s="838"/>
      <c r="AB1204" s="839"/>
    </row>
    <row r="1205" spans="1:28" ht="14.45">
      <c r="A1205" s="816"/>
      <c r="B1205" s="819" t="s">
        <v>2832</v>
      </c>
      <c r="C1205" s="819" t="s">
        <v>2833</v>
      </c>
      <c r="D1205" s="379" t="s">
        <v>336</v>
      </c>
      <c r="E1205" s="818" t="s">
        <v>2322</v>
      </c>
      <c r="F1205" s="820"/>
      <c r="G1205" s="821"/>
      <c r="H1205" s="822">
        <v>1179798.82067291</v>
      </c>
      <c r="I1205" s="819"/>
      <c r="J1205" s="820">
        <v>0</v>
      </c>
      <c r="K1205" s="819">
        <f t="shared" si="260"/>
        <v>1544</v>
      </c>
      <c r="L1205" s="819">
        <f t="shared" si="261"/>
        <v>1084</v>
      </c>
      <c r="M1205" s="819">
        <f t="shared" si="257"/>
        <v>1544</v>
      </c>
      <c r="N1205" s="819">
        <f t="shared" si="258"/>
        <v>364</v>
      </c>
      <c r="O1205" s="819">
        <f t="shared" si="259"/>
        <v>492</v>
      </c>
      <c r="P1205" s="819">
        <f t="shared" si="262"/>
        <v>146</v>
      </c>
      <c r="Q1205" s="819">
        <f t="shared" si="263"/>
        <v>661</v>
      </c>
      <c r="R1205" s="819">
        <f t="shared" si="264"/>
        <v>1462</v>
      </c>
      <c r="S1205" s="819">
        <f t="shared" si="265"/>
        <v>338</v>
      </c>
      <c r="T1205" s="819">
        <f t="shared" si="266"/>
        <v>470</v>
      </c>
      <c r="U1205" s="819">
        <f t="shared" si="267"/>
        <v>3077</v>
      </c>
      <c r="V1205" s="819">
        <f t="shared" si="268"/>
        <v>1021</v>
      </c>
      <c r="W1205" s="379">
        <f t="shared" si="269"/>
        <v>1021</v>
      </c>
      <c r="X1205" s="819" t="str">
        <f t="shared" si="270"/>
        <v/>
      </c>
      <c r="Y1205" s="837"/>
      <c r="Z1205" s="839"/>
      <c r="AA1205" s="838"/>
      <c r="AB1205" s="839"/>
    </row>
    <row r="1206" spans="1:28" ht="13.15">
      <c r="B1206" s="819" t="s">
        <v>2834</v>
      </c>
      <c r="C1206" s="819" t="s">
        <v>2835</v>
      </c>
      <c r="D1206" s="379" t="s">
        <v>336</v>
      </c>
      <c r="E1206" s="818" t="s">
        <v>2322</v>
      </c>
      <c r="F1206" s="820">
        <v>1.396647411</v>
      </c>
      <c r="G1206" s="821">
        <v>4.6834690810000001</v>
      </c>
      <c r="H1206" s="822">
        <v>9339351.1250654105</v>
      </c>
      <c r="I1206" s="819"/>
      <c r="J1206" s="820">
        <v>-1.2884199999999999E-5</v>
      </c>
      <c r="K1206" s="819">
        <f t="shared" si="260"/>
        <v>1263</v>
      </c>
      <c r="L1206" s="819">
        <f t="shared" si="261"/>
        <v>400</v>
      </c>
      <c r="M1206" s="819">
        <f t="shared" si="257"/>
        <v>1263</v>
      </c>
      <c r="N1206" s="819">
        <f t="shared" si="258"/>
        <v>364</v>
      </c>
      <c r="O1206" s="819">
        <f t="shared" si="259"/>
        <v>825</v>
      </c>
      <c r="P1206" s="819">
        <f t="shared" si="262"/>
        <v>135</v>
      </c>
      <c r="Q1206" s="819">
        <f t="shared" si="263"/>
        <v>23</v>
      </c>
      <c r="R1206" s="819">
        <f t="shared" si="264"/>
        <v>1181</v>
      </c>
      <c r="S1206" s="819">
        <f t="shared" si="265"/>
        <v>338</v>
      </c>
      <c r="T1206" s="819">
        <f t="shared" si="266"/>
        <v>803</v>
      </c>
      <c r="U1206" s="819">
        <f t="shared" si="267"/>
        <v>2480</v>
      </c>
      <c r="V1206" s="819">
        <f t="shared" si="268"/>
        <v>244</v>
      </c>
      <c r="W1206" s="379">
        <f t="shared" si="269"/>
        <v>244</v>
      </c>
      <c r="X1206" s="819" t="str">
        <f t="shared" si="270"/>
        <v/>
      </c>
      <c r="Y1206" s="837"/>
      <c r="Z1206" s="839"/>
      <c r="AA1206" s="838"/>
      <c r="AB1206" s="839"/>
    </row>
    <row r="1207" spans="1:28" ht="14.45">
      <c r="A1207" s="816"/>
      <c r="B1207" s="819" t="s">
        <v>2836</v>
      </c>
      <c r="C1207" s="819" t="s">
        <v>2837</v>
      </c>
      <c r="D1207" s="379" t="s">
        <v>336</v>
      </c>
      <c r="E1207" s="818" t="s">
        <v>2322</v>
      </c>
      <c r="F1207" s="820"/>
      <c r="G1207" s="821"/>
      <c r="H1207" s="822"/>
      <c r="I1207" s="819"/>
      <c r="J1207" s="820">
        <v>0</v>
      </c>
      <c r="K1207" s="819" t="str">
        <f t="shared" si="260"/>
        <v>N/A</v>
      </c>
      <c r="L1207" s="819">
        <f t="shared" si="261"/>
        <v>1084</v>
      </c>
      <c r="M1207" s="819" t="str">
        <f t="shared" si="257"/>
        <v>N/A</v>
      </c>
      <c r="N1207" s="819">
        <f t="shared" si="258"/>
        <v>364</v>
      </c>
      <c r="O1207" s="819">
        <f t="shared" si="259"/>
        <v>492</v>
      </c>
      <c r="P1207" s="819" t="str">
        <f t="shared" si="262"/>
        <v>N/A</v>
      </c>
      <c r="Q1207" s="819">
        <f t="shared" si="263"/>
        <v>661</v>
      </c>
      <c r="R1207" s="819" t="str">
        <f t="shared" si="264"/>
        <v>N/A</v>
      </c>
      <c r="S1207" s="819">
        <f t="shared" si="265"/>
        <v>338</v>
      </c>
      <c r="T1207" s="819">
        <f t="shared" si="266"/>
        <v>470</v>
      </c>
      <c r="U1207" s="819">
        <f t="shared" si="267"/>
        <v>1469</v>
      </c>
      <c r="V1207" s="819">
        <f t="shared" si="268"/>
        <v>22</v>
      </c>
      <c r="W1207" s="379">
        <f t="shared" si="269"/>
        <v>22</v>
      </c>
      <c r="X1207" s="819" t="str">
        <f t="shared" si="270"/>
        <v/>
      </c>
      <c r="Y1207" s="837"/>
      <c r="Z1207" s="839"/>
      <c r="AA1207" s="838"/>
      <c r="AB1207" s="839"/>
    </row>
    <row r="1208" spans="1:28" ht="13.15">
      <c r="B1208" s="819" t="s">
        <v>2838</v>
      </c>
      <c r="C1208" s="819" t="s">
        <v>2839</v>
      </c>
      <c r="D1208" s="379" t="s">
        <v>336</v>
      </c>
      <c r="E1208" s="818" t="s">
        <v>2322</v>
      </c>
      <c r="F1208" s="820">
        <v>1.451366645</v>
      </c>
      <c r="G1208" s="821">
        <v>-1.4737602190000001</v>
      </c>
      <c r="H1208" s="822">
        <v>1422082.67922554</v>
      </c>
      <c r="I1208" s="819"/>
      <c r="J1208" s="820">
        <v>8.6747599999999995E-4</v>
      </c>
      <c r="K1208" s="819">
        <f t="shared" si="260"/>
        <v>1532</v>
      </c>
      <c r="L1208" s="819">
        <f t="shared" si="261"/>
        <v>1322</v>
      </c>
      <c r="M1208" s="819">
        <f t="shared" si="257"/>
        <v>1532</v>
      </c>
      <c r="N1208" s="819">
        <f t="shared" si="258"/>
        <v>364</v>
      </c>
      <c r="O1208" s="819">
        <f t="shared" si="259"/>
        <v>181</v>
      </c>
      <c r="P1208" s="819">
        <f t="shared" si="262"/>
        <v>134</v>
      </c>
      <c r="Q1208" s="819">
        <f t="shared" si="263"/>
        <v>899</v>
      </c>
      <c r="R1208" s="819">
        <f t="shared" si="264"/>
        <v>1450</v>
      </c>
      <c r="S1208" s="819">
        <f t="shared" si="265"/>
        <v>338</v>
      </c>
      <c r="T1208" s="819">
        <f t="shared" si="266"/>
        <v>159</v>
      </c>
      <c r="U1208" s="819">
        <f t="shared" si="267"/>
        <v>2980</v>
      </c>
      <c r="V1208" s="819">
        <f t="shared" si="268"/>
        <v>901</v>
      </c>
      <c r="W1208" s="379">
        <f t="shared" si="269"/>
        <v>901</v>
      </c>
      <c r="X1208" s="819" t="str">
        <f t="shared" si="270"/>
        <v/>
      </c>
      <c r="Y1208" s="837"/>
      <c r="Z1208" s="839"/>
      <c r="AA1208" s="838"/>
      <c r="AB1208" s="839"/>
    </row>
    <row r="1209" spans="1:28" ht="14.45">
      <c r="A1209" s="816"/>
      <c r="B1209" s="819" t="s">
        <v>2840</v>
      </c>
      <c r="C1209" s="819" t="s">
        <v>2841</v>
      </c>
      <c r="D1209" s="379" t="s">
        <v>336</v>
      </c>
      <c r="E1209" s="818" t="s">
        <v>2322</v>
      </c>
      <c r="F1209" s="820">
        <v>1.0433987520000001</v>
      </c>
      <c r="G1209" s="821">
        <v>0.54453848000000005</v>
      </c>
      <c r="H1209" s="822">
        <v>2616431.1878597601</v>
      </c>
      <c r="I1209" s="819"/>
      <c r="J1209" s="820">
        <v>-5.6756099999999996E-4</v>
      </c>
      <c r="K1209" s="819">
        <f t="shared" si="260"/>
        <v>1464</v>
      </c>
      <c r="L1209" s="819">
        <f t="shared" si="261"/>
        <v>914</v>
      </c>
      <c r="M1209" s="819">
        <f t="shared" si="257"/>
        <v>1464</v>
      </c>
      <c r="N1209" s="819">
        <f t="shared" si="258"/>
        <v>364</v>
      </c>
      <c r="O1209" s="819">
        <f t="shared" si="259"/>
        <v>1296</v>
      </c>
      <c r="P1209" s="819">
        <f t="shared" si="262"/>
        <v>66</v>
      </c>
      <c r="Q1209" s="819">
        <f t="shared" si="263"/>
        <v>491</v>
      </c>
      <c r="R1209" s="819">
        <f t="shared" si="264"/>
        <v>1382</v>
      </c>
      <c r="S1209" s="819">
        <f t="shared" si="265"/>
        <v>338</v>
      </c>
      <c r="T1209" s="819">
        <f t="shared" si="266"/>
        <v>1274</v>
      </c>
      <c r="U1209" s="819">
        <f t="shared" si="267"/>
        <v>3551</v>
      </c>
      <c r="V1209" s="819">
        <f t="shared" si="268"/>
        <v>1595</v>
      </c>
      <c r="W1209" s="379">
        <f t="shared" si="269"/>
        <v>1595</v>
      </c>
      <c r="X1209" s="819" t="str">
        <f t="shared" si="270"/>
        <v/>
      </c>
      <c r="Y1209" s="837"/>
      <c r="Z1209" s="839"/>
      <c r="AA1209" s="838"/>
      <c r="AB1209" s="839"/>
    </row>
    <row r="1210" spans="1:28" ht="13.15">
      <c r="B1210" s="819" t="s">
        <v>2842</v>
      </c>
      <c r="C1210" s="819" t="s">
        <v>2843</v>
      </c>
      <c r="D1210" s="379" t="s">
        <v>336</v>
      </c>
      <c r="E1210" s="818" t="s">
        <v>441</v>
      </c>
      <c r="F1210" s="820">
        <v>0.68744130000000003</v>
      </c>
      <c r="G1210" s="821">
        <v>1.6640191339999999</v>
      </c>
      <c r="H1210" s="822">
        <v>11514585.226618201</v>
      </c>
      <c r="I1210" s="819">
        <v>0.04</v>
      </c>
      <c r="J1210" s="820">
        <v>-2.2405E-4</v>
      </c>
      <c r="K1210" s="819">
        <f t="shared" si="260"/>
        <v>1220</v>
      </c>
      <c r="L1210" s="819">
        <f t="shared" si="261"/>
        <v>723</v>
      </c>
      <c r="M1210" s="819">
        <f t="shared" si="257"/>
        <v>1220</v>
      </c>
      <c r="N1210" s="819">
        <f t="shared" si="258"/>
        <v>309</v>
      </c>
      <c r="O1210" s="819">
        <f t="shared" si="259"/>
        <v>1129</v>
      </c>
      <c r="P1210" s="819">
        <f t="shared" si="262"/>
        <v>178</v>
      </c>
      <c r="Q1210" s="819">
        <f t="shared" si="263"/>
        <v>300</v>
      </c>
      <c r="R1210" s="819">
        <f t="shared" si="264"/>
        <v>1138</v>
      </c>
      <c r="S1210" s="819">
        <f t="shared" si="265"/>
        <v>283</v>
      </c>
      <c r="T1210" s="819">
        <f t="shared" si="266"/>
        <v>1107</v>
      </c>
      <c r="U1210" s="819">
        <f t="shared" si="267"/>
        <v>3006</v>
      </c>
      <c r="V1210" s="819">
        <f t="shared" si="268"/>
        <v>934</v>
      </c>
      <c r="W1210" s="379">
        <f t="shared" si="269"/>
        <v>934</v>
      </c>
      <c r="X1210" s="819" t="str">
        <f t="shared" si="270"/>
        <v/>
      </c>
      <c r="Y1210" s="837"/>
      <c r="Z1210" s="839"/>
      <c r="AA1210" s="838"/>
      <c r="AB1210" s="839"/>
    </row>
    <row r="1211" spans="1:28" ht="14.45">
      <c r="A1211" s="816"/>
      <c r="B1211" s="819" t="s">
        <v>2844</v>
      </c>
      <c r="C1211" s="819" t="s">
        <v>2845</v>
      </c>
      <c r="D1211" s="379" t="s">
        <v>336</v>
      </c>
      <c r="E1211" s="818" t="s">
        <v>441</v>
      </c>
      <c r="F1211" s="820">
        <v>2.9257504430000001</v>
      </c>
      <c r="G1211" s="821">
        <v>2.5080966290000002</v>
      </c>
      <c r="H1211" s="822">
        <v>402749949.16894799</v>
      </c>
      <c r="I1211" s="819"/>
      <c r="J1211" s="820">
        <v>-4.5721779999999997E-3</v>
      </c>
      <c r="K1211" s="819">
        <f t="shared" si="260"/>
        <v>405</v>
      </c>
      <c r="L1211" s="819">
        <f t="shared" si="261"/>
        <v>599</v>
      </c>
      <c r="M1211" s="819">
        <f t="shared" si="257"/>
        <v>405</v>
      </c>
      <c r="N1211" s="819">
        <f t="shared" si="258"/>
        <v>364</v>
      </c>
      <c r="O1211" s="819">
        <f t="shared" si="259"/>
        <v>1594</v>
      </c>
      <c r="P1211" s="819">
        <f t="shared" si="262"/>
        <v>993</v>
      </c>
      <c r="Q1211" s="819">
        <f t="shared" si="263"/>
        <v>176</v>
      </c>
      <c r="R1211" s="819">
        <f t="shared" si="264"/>
        <v>323</v>
      </c>
      <c r="S1211" s="819">
        <f t="shared" si="265"/>
        <v>338</v>
      </c>
      <c r="T1211" s="819">
        <f t="shared" si="266"/>
        <v>1572</v>
      </c>
      <c r="U1211" s="819">
        <f t="shared" si="267"/>
        <v>3402</v>
      </c>
      <c r="V1211" s="819">
        <f t="shared" si="268"/>
        <v>1466</v>
      </c>
      <c r="W1211" s="379">
        <f t="shared" si="269"/>
        <v>1466</v>
      </c>
      <c r="X1211" s="819" t="str">
        <f t="shared" si="270"/>
        <v/>
      </c>
      <c r="Y1211" s="837"/>
      <c r="Z1211" s="839"/>
      <c r="AA1211" s="838"/>
      <c r="AB1211" s="839"/>
    </row>
    <row r="1212" spans="1:28" ht="13.15">
      <c r="B1212" s="819" t="s">
        <v>2846</v>
      </c>
      <c r="C1212" s="819" t="s">
        <v>2847</v>
      </c>
      <c r="D1212" s="379" t="s">
        <v>336</v>
      </c>
      <c r="E1212" s="818" t="s">
        <v>441</v>
      </c>
      <c r="F1212" s="820">
        <v>0.97014794100000001</v>
      </c>
      <c r="G1212" s="821">
        <v>3.7457435999999997E-2</v>
      </c>
      <c r="H1212" s="822">
        <v>633051938.08180499</v>
      </c>
      <c r="I1212" s="819">
        <v>0.15</v>
      </c>
      <c r="J1212" s="820">
        <v>-2.3868179E-2</v>
      </c>
      <c r="K1212" s="819">
        <f t="shared" si="260"/>
        <v>303</v>
      </c>
      <c r="L1212" s="819">
        <f t="shared" si="261"/>
        <v>1047</v>
      </c>
      <c r="M1212" s="819">
        <f t="shared" si="257"/>
        <v>303</v>
      </c>
      <c r="N1212" s="819">
        <f t="shared" si="258"/>
        <v>235</v>
      </c>
      <c r="O1212" s="819">
        <f t="shared" si="259"/>
        <v>1702</v>
      </c>
      <c r="P1212" s="819">
        <f t="shared" si="262"/>
        <v>1095</v>
      </c>
      <c r="Q1212" s="819">
        <f t="shared" si="263"/>
        <v>624</v>
      </c>
      <c r="R1212" s="819">
        <f t="shared" si="264"/>
        <v>221</v>
      </c>
      <c r="S1212" s="819">
        <f t="shared" si="265"/>
        <v>209</v>
      </c>
      <c r="T1212" s="819">
        <f t="shared" si="266"/>
        <v>1680</v>
      </c>
      <c r="U1212" s="819">
        <f t="shared" si="267"/>
        <v>3829</v>
      </c>
      <c r="V1212" s="819">
        <f t="shared" si="268"/>
        <v>1723</v>
      </c>
      <c r="W1212" s="379">
        <f t="shared" si="269"/>
        <v>1723</v>
      </c>
      <c r="X1212" s="819" t="str">
        <f t="shared" si="270"/>
        <v/>
      </c>
      <c r="Y1212" s="837"/>
      <c r="Z1212" s="839"/>
      <c r="AA1212" s="838"/>
      <c r="AB1212" s="839"/>
    </row>
    <row r="1213" spans="1:28" ht="14.45">
      <c r="A1213" s="816"/>
      <c r="B1213" s="819" t="s">
        <v>2848</v>
      </c>
      <c r="C1213" s="819" t="s">
        <v>2849</v>
      </c>
      <c r="D1213" s="379" t="s">
        <v>336</v>
      </c>
      <c r="E1213" s="818" t="s">
        <v>863</v>
      </c>
      <c r="F1213" s="820">
        <v>1.3399942119999999</v>
      </c>
      <c r="G1213" s="821">
        <v>1.7814847119999999</v>
      </c>
      <c r="H1213" s="822">
        <v>414742100.15361798</v>
      </c>
      <c r="I1213" s="819">
        <v>0.16</v>
      </c>
      <c r="J1213" s="820">
        <v>-2.2634629999999998E-3</v>
      </c>
      <c r="K1213" s="819">
        <f t="shared" si="260"/>
        <v>398</v>
      </c>
      <c r="L1213" s="819">
        <f t="shared" si="261"/>
        <v>705</v>
      </c>
      <c r="M1213" s="819">
        <f t="shared" si="257"/>
        <v>398</v>
      </c>
      <c r="N1213" s="819">
        <f t="shared" si="258"/>
        <v>230</v>
      </c>
      <c r="O1213" s="819">
        <f t="shared" si="259"/>
        <v>1511</v>
      </c>
      <c r="P1213" s="819">
        <f t="shared" si="262"/>
        <v>1000</v>
      </c>
      <c r="Q1213" s="819">
        <f t="shared" si="263"/>
        <v>282</v>
      </c>
      <c r="R1213" s="819">
        <f t="shared" si="264"/>
        <v>316</v>
      </c>
      <c r="S1213" s="819">
        <f t="shared" si="265"/>
        <v>204</v>
      </c>
      <c r="T1213" s="819">
        <f t="shared" si="266"/>
        <v>1489</v>
      </c>
      <c r="U1213" s="819">
        <f t="shared" si="267"/>
        <v>3291</v>
      </c>
      <c r="V1213" s="819">
        <f t="shared" si="268"/>
        <v>1325</v>
      </c>
      <c r="W1213" s="379">
        <f t="shared" si="269"/>
        <v>1325</v>
      </c>
      <c r="X1213" s="819" t="str">
        <f t="shared" si="270"/>
        <v/>
      </c>
      <c r="Y1213" s="837"/>
      <c r="Z1213" s="839"/>
      <c r="AA1213" s="838"/>
      <c r="AB1213" s="839"/>
    </row>
    <row r="1214" spans="1:28" ht="13.15">
      <c r="B1214" s="819" t="s">
        <v>2850</v>
      </c>
      <c r="C1214" s="819" t="s">
        <v>2851</v>
      </c>
      <c r="D1214" s="379" t="s">
        <v>336</v>
      </c>
      <c r="E1214" s="818" t="s">
        <v>441</v>
      </c>
      <c r="F1214" s="820">
        <v>0.14183723300000001</v>
      </c>
      <c r="G1214" s="821">
        <v>-0.48390250000000001</v>
      </c>
      <c r="H1214" s="822">
        <v>30152784817.535702</v>
      </c>
      <c r="I1214" s="819"/>
      <c r="J1214" s="820">
        <v>4.2030699999999997E-5</v>
      </c>
      <c r="K1214" s="819">
        <f t="shared" si="260"/>
        <v>7</v>
      </c>
      <c r="L1214" s="819">
        <f t="shared" si="261"/>
        <v>1261</v>
      </c>
      <c r="M1214" s="819">
        <f t="shared" si="257"/>
        <v>7</v>
      </c>
      <c r="N1214" s="819">
        <f t="shared" si="258"/>
        <v>364</v>
      </c>
      <c r="O1214" s="819">
        <f t="shared" si="259"/>
        <v>361</v>
      </c>
      <c r="P1214" s="819">
        <f t="shared" si="262"/>
        <v>1391</v>
      </c>
      <c r="Q1214" s="819">
        <f t="shared" si="263"/>
        <v>838</v>
      </c>
      <c r="R1214" s="819">
        <f t="shared" si="264"/>
        <v>75</v>
      </c>
      <c r="S1214" s="819">
        <f t="shared" si="265"/>
        <v>338</v>
      </c>
      <c r="T1214" s="819">
        <f t="shared" si="266"/>
        <v>339</v>
      </c>
      <c r="U1214" s="819">
        <f t="shared" si="267"/>
        <v>2981</v>
      </c>
      <c r="V1214" s="819">
        <f t="shared" si="268"/>
        <v>903</v>
      </c>
      <c r="W1214" s="379">
        <f t="shared" si="269"/>
        <v>903</v>
      </c>
      <c r="X1214" s="819" t="str">
        <f t="shared" si="270"/>
        <v/>
      </c>
      <c r="Y1214" s="837"/>
      <c r="Z1214" s="839"/>
      <c r="AA1214" s="838"/>
      <c r="AB1214" s="839"/>
    </row>
    <row r="1215" spans="1:28" ht="14.45">
      <c r="A1215" s="816"/>
      <c r="B1215" s="819" t="s">
        <v>2852</v>
      </c>
      <c r="C1215" s="819" t="s">
        <v>2853</v>
      </c>
      <c r="D1215" s="379" t="s">
        <v>336</v>
      </c>
      <c r="E1215" s="818" t="s">
        <v>441</v>
      </c>
      <c r="F1215" s="820">
        <v>1.3975061550000001</v>
      </c>
      <c r="G1215" s="821">
        <v>0.65598009499999999</v>
      </c>
      <c r="H1215" s="822">
        <v>1437619056.5738001</v>
      </c>
      <c r="I1215" s="819"/>
      <c r="J1215" s="820">
        <v>-6.2528400000000004E-4</v>
      </c>
      <c r="K1215" s="819">
        <f t="shared" si="260"/>
        <v>180</v>
      </c>
      <c r="L1215" s="819">
        <f t="shared" si="261"/>
        <v>888</v>
      </c>
      <c r="M1215" s="819">
        <f t="shared" si="257"/>
        <v>180</v>
      </c>
      <c r="N1215" s="819">
        <f t="shared" si="258"/>
        <v>364</v>
      </c>
      <c r="O1215" s="819">
        <f t="shared" si="259"/>
        <v>1320</v>
      </c>
      <c r="P1215" s="819">
        <f t="shared" si="262"/>
        <v>1218</v>
      </c>
      <c r="Q1215" s="819">
        <f t="shared" si="263"/>
        <v>465</v>
      </c>
      <c r="R1215" s="819">
        <f t="shared" si="264"/>
        <v>98</v>
      </c>
      <c r="S1215" s="819">
        <f t="shared" si="265"/>
        <v>338</v>
      </c>
      <c r="T1215" s="819">
        <f t="shared" si="266"/>
        <v>1298</v>
      </c>
      <c r="U1215" s="819">
        <f t="shared" si="267"/>
        <v>3417</v>
      </c>
      <c r="V1215" s="819">
        <f t="shared" si="268"/>
        <v>1480</v>
      </c>
      <c r="W1215" s="379">
        <f t="shared" si="269"/>
        <v>1480</v>
      </c>
      <c r="X1215" s="819" t="str">
        <f t="shared" si="270"/>
        <v/>
      </c>
      <c r="Y1215" s="837"/>
      <c r="Z1215" s="839"/>
      <c r="AA1215" s="838"/>
      <c r="AB1215" s="839"/>
    </row>
    <row r="1216" spans="1:28" ht="13.15">
      <c r="B1216" s="819" t="s">
        <v>2854</v>
      </c>
      <c r="C1216" s="819" t="s">
        <v>2855</v>
      </c>
      <c r="D1216" s="379" t="s">
        <v>336</v>
      </c>
      <c r="E1216" s="818" t="s">
        <v>1077</v>
      </c>
      <c r="F1216" s="820"/>
      <c r="G1216" s="821"/>
      <c r="H1216" s="822">
        <v>16208077.244305501</v>
      </c>
      <c r="I1216" s="819"/>
      <c r="J1216" s="820">
        <v>0</v>
      </c>
      <c r="K1216" s="819">
        <f t="shared" si="260"/>
        <v>1146</v>
      </c>
      <c r="L1216" s="819">
        <f t="shared" si="261"/>
        <v>1084</v>
      </c>
      <c r="M1216" s="819">
        <f t="shared" si="257"/>
        <v>1146</v>
      </c>
      <c r="N1216" s="819">
        <f t="shared" si="258"/>
        <v>364</v>
      </c>
      <c r="O1216" s="819">
        <f t="shared" si="259"/>
        <v>492</v>
      </c>
      <c r="P1216" s="819">
        <f t="shared" si="262"/>
        <v>252</v>
      </c>
      <c r="Q1216" s="819">
        <f t="shared" si="263"/>
        <v>661</v>
      </c>
      <c r="R1216" s="819">
        <f t="shared" si="264"/>
        <v>1064</v>
      </c>
      <c r="S1216" s="819">
        <f t="shared" si="265"/>
        <v>338</v>
      </c>
      <c r="T1216" s="819">
        <f t="shared" si="266"/>
        <v>470</v>
      </c>
      <c r="U1216" s="819">
        <f t="shared" si="267"/>
        <v>2785</v>
      </c>
      <c r="V1216" s="819">
        <f t="shared" si="268"/>
        <v>463</v>
      </c>
      <c r="W1216" s="379">
        <f t="shared" si="269"/>
        <v>463</v>
      </c>
      <c r="X1216" s="819" t="str">
        <f t="shared" si="270"/>
        <v/>
      </c>
      <c r="Y1216" s="837"/>
      <c r="Z1216" s="839"/>
      <c r="AA1216" s="838"/>
      <c r="AB1216" s="839"/>
    </row>
    <row r="1217" spans="1:28" ht="14.45">
      <c r="A1217" s="816"/>
      <c r="B1217" s="819" t="s">
        <v>2856</v>
      </c>
      <c r="C1217" s="819" t="s">
        <v>2857</v>
      </c>
      <c r="D1217" s="379" t="s">
        <v>336</v>
      </c>
      <c r="E1217" s="818" t="s">
        <v>441</v>
      </c>
      <c r="F1217" s="820">
        <v>1.1477467159999999</v>
      </c>
      <c r="G1217" s="821">
        <v>6.1746669299999999</v>
      </c>
      <c r="H1217" s="822">
        <v>357049904.58806902</v>
      </c>
      <c r="I1217" s="819"/>
      <c r="J1217" s="820">
        <v>-3.1051100000000002E-4</v>
      </c>
      <c r="K1217" s="819">
        <f t="shared" si="260"/>
        <v>433</v>
      </c>
      <c r="L1217" s="819">
        <f t="shared" si="261"/>
        <v>314</v>
      </c>
      <c r="M1217" s="819">
        <f t="shared" si="257"/>
        <v>433</v>
      </c>
      <c r="N1217" s="819">
        <f t="shared" si="258"/>
        <v>364</v>
      </c>
      <c r="O1217" s="819">
        <f t="shared" si="259"/>
        <v>1183</v>
      </c>
      <c r="P1217" s="819">
        <f t="shared" si="262"/>
        <v>965</v>
      </c>
      <c r="Q1217" s="819">
        <f t="shared" si="263"/>
        <v>109</v>
      </c>
      <c r="R1217" s="819">
        <f t="shared" si="264"/>
        <v>351</v>
      </c>
      <c r="S1217" s="819">
        <f t="shared" si="265"/>
        <v>338</v>
      </c>
      <c r="T1217" s="819">
        <f t="shared" si="266"/>
        <v>1161</v>
      </c>
      <c r="U1217" s="819">
        <f t="shared" si="267"/>
        <v>2924</v>
      </c>
      <c r="V1217" s="819">
        <f t="shared" si="268"/>
        <v>838</v>
      </c>
      <c r="W1217" s="379">
        <f t="shared" si="269"/>
        <v>838</v>
      </c>
      <c r="X1217" s="819" t="str">
        <f t="shared" si="270"/>
        <v/>
      </c>
      <c r="Y1217" s="837"/>
      <c r="Z1217" s="839"/>
      <c r="AA1217" s="838"/>
      <c r="AB1217" s="839"/>
    </row>
    <row r="1218" spans="1:28" ht="13.15">
      <c r="B1218" s="819" t="s">
        <v>2858</v>
      </c>
      <c r="C1218" s="819" t="s">
        <v>2859</v>
      </c>
      <c r="D1218" s="379" t="s">
        <v>336</v>
      </c>
      <c r="E1218" s="818" t="s">
        <v>460</v>
      </c>
      <c r="F1218" s="820">
        <v>1.1606112</v>
      </c>
      <c r="G1218" s="821">
        <v>0.68320402499999999</v>
      </c>
      <c r="H1218" s="822"/>
      <c r="I1218" s="819">
        <v>0.08</v>
      </c>
      <c r="J1218" s="820">
        <v>-5.5173840000000002E-3</v>
      </c>
      <c r="K1218" s="819" t="str">
        <f t="shared" si="260"/>
        <v>N/A</v>
      </c>
      <c r="L1218" s="819">
        <f t="shared" si="261"/>
        <v>878</v>
      </c>
      <c r="M1218" s="819" t="str">
        <f t="shared" si="257"/>
        <v>N/A</v>
      </c>
      <c r="N1218" s="819">
        <f t="shared" si="258"/>
        <v>283</v>
      </c>
      <c r="O1218" s="819">
        <f t="shared" si="259"/>
        <v>1609</v>
      </c>
      <c r="P1218" s="819" t="str">
        <f t="shared" si="262"/>
        <v>N/A</v>
      </c>
      <c r="Q1218" s="819">
        <f t="shared" si="263"/>
        <v>455</v>
      </c>
      <c r="R1218" s="819" t="str">
        <f t="shared" si="264"/>
        <v>N/A</v>
      </c>
      <c r="S1218" s="819">
        <f t="shared" si="265"/>
        <v>257</v>
      </c>
      <c r="T1218" s="819">
        <f t="shared" si="266"/>
        <v>1587</v>
      </c>
      <c r="U1218" s="819">
        <f t="shared" si="267"/>
        <v>2299</v>
      </c>
      <c r="V1218" s="819">
        <f t="shared" si="268"/>
        <v>217</v>
      </c>
      <c r="W1218" s="379">
        <f t="shared" si="269"/>
        <v>217</v>
      </c>
      <c r="X1218" s="819" t="str">
        <f t="shared" si="270"/>
        <v/>
      </c>
      <c r="Y1218" s="837"/>
      <c r="Z1218" s="839"/>
      <c r="AA1218" s="838"/>
      <c r="AB1218" s="839"/>
    </row>
    <row r="1219" spans="1:28" ht="14.45">
      <c r="A1219" s="816"/>
      <c r="B1219" s="819" t="s">
        <v>2860</v>
      </c>
      <c r="C1219" s="819" t="s">
        <v>2861</v>
      </c>
      <c r="D1219" s="379" t="s">
        <v>336</v>
      </c>
      <c r="E1219" s="818" t="s">
        <v>441</v>
      </c>
      <c r="F1219" s="820">
        <v>3.1090311160000002</v>
      </c>
      <c r="G1219" s="821">
        <v>2.3037037040000001</v>
      </c>
      <c r="H1219" s="822">
        <v>729431455.03332496</v>
      </c>
      <c r="I1219" s="819"/>
      <c r="J1219" s="820">
        <v>-2.4230545999999999E-2</v>
      </c>
      <c r="K1219" s="819">
        <f t="shared" si="260"/>
        <v>274</v>
      </c>
      <c r="L1219" s="819">
        <f t="shared" si="261"/>
        <v>629</v>
      </c>
      <c r="M1219" s="819">
        <f t="shared" si="257"/>
        <v>274</v>
      </c>
      <c r="N1219" s="819">
        <f t="shared" si="258"/>
        <v>364</v>
      </c>
      <c r="O1219" s="819">
        <f t="shared" si="259"/>
        <v>1704</v>
      </c>
      <c r="P1219" s="819">
        <f t="shared" si="262"/>
        <v>1124</v>
      </c>
      <c r="Q1219" s="819">
        <f t="shared" si="263"/>
        <v>206</v>
      </c>
      <c r="R1219" s="819">
        <f t="shared" si="264"/>
        <v>192</v>
      </c>
      <c r="S1219" s="819">
        <f t="shared" si="265"/>
        <v>338</v>
      </c>
      <c r="T1219" s="819">
        <f t="shared" si="266"/>
        <v>1682</v>
      </c>
      <c r="U1219" s="819">
        <f t="shared" si="267"/>
        <v>3542</v>
      </c>
      <c r="V1219" s="819">
        <f t="shared" si="268"/>
        <v>1589</v>
      </c>
      <c r="W1219" s="379">
        <f t="shared" si="269"/>
        <v>1589</v>
      </c>
      <c r="X1219" s="819" t="str">
        <f t="shared" si="270"/>
        <v/>
      </c>
      <c r="Y1219" s="837"/>
      <c r="Z1219" s="839"/>
      <c r="AA1219" s="838"/>
      <c r="AB1219" s="839"/>
    </row>
    <row r="1220" spans="1:28" ht="13.15">
      <c r="B1220" s="819" t="s">
        <v>2862</v>
      </c>
      <c r="C1220" s="819" t="s">
        <v>2863</v>
      </c>
      <c r="D1220" s="379" t="s">
        <v>336</v>
      </c>
      <c r="E1220" s="818" t="s">
        <v>625</v>
      </c>
      <c r="F1220" s="820">
        <v>2.7578154810000002</v>
      </c>
      <c r="G1220" s="821">
        <v>2.441489802</v>
      </c>
      <c r="H1220" s="822">
        <v>895441905.30901599</v>
      </c>
      <c r="I1220" s="819"/>
      <c r="J1220" s="820">
        <v>-1.5900339999999999E-3</v>
      </c>
      <c r="K1220" s="819">
        <f t="shared" si="260"/>
        <v>242</v>
      </c>
      <c r="L1220" s="819">
        <f t="shared" si="261"/>
        <v>610</v>
      </c>
      <c r="M1220" s="819">
        <f t="shared" ref="M1220:M1283" si="271">IFERROR(_xlfn.RANK.EQ(H1220,H$3:H$1787),"N/A")</f>
        <v>242</v>
      </c>
      <c r="N1220" s="819">
        <f t="shared" ref="N1220:N1283" si="272">IFERROR(_xlfn.RANK.EQ(I1220,I$3:I$1787),"N/A")</f>
        <v>364</v>
      </c>
      <c r="O1220" s="819">
        <f t="shared" ref="O1220:O1283" si="273">IFERROR(_xlfn.RANK.EQ(J1220,J$3:J$1787),"N/A")</f>
        <v>1471</v>
      </c>
      <c r="P1220" s="819">
        <f t="shared" si="262"/>
        <v>1156</v>
      </c>
      <c r="Q1220" s="819">
        <f t="shared" si="263"/>
        <v>187</v>
      </c>
      <c r="R1220" s="819">
        <f t="shared" si="264"/>
        <v>160</v>
      </c>
      <c r="S1220" s="819">
        <f t="shared" si="265"/>
        <v>338</v>
      </c>
      <c r="T1220" s="819">
        <f t="shared" si="266"/>
        <v>1449</v>
      </c>
      <c r="U1220" s="819">
        <f t="shared" si="267"/>
        <v>3290</v>
      </c>
      <c r="V1220" s="819">
        <f t="shared" si="268"/>
        <v>1324</v>
      </c>
      <c r="W1220" s="379">
        <f t="shared" si="269"/>
        <v>1324</v>
      </c>
      <c r="X1220" s="819" t="str">
        <f t="shared" si="270"/>
        <v/>
      </c>
      <c r="Y1220" s="837"/>
      <c r="Z1220" s="839"/>
      <c r="AA1220" s="838"/>
      <c r="AB1220" s="839"/>
    </row>
    <row r="1221" spans="1:28" ht="14.45">
      <c r="A1221" s="816"/>
      <c r="B1221" s="819" t="s">
        <v>2864</v>
      </c>
      <c r="C1221" s="819" t="s">
        <v>2865</v>
      </c>
      <c r="D1221" s="379" t="s">
        <v>336</v>
      </c>
      <c r="E1221" s="818" t="s">
        <v>1957</v>
      </c>
      <c r="F1221" s="820">
        <v>0.88904245699999995</v>
      </c>
      <c r="G1221" s="821">
        <v>0.82988311100000001</v>
      </c>
      <c r="H1221" s="822">
        <v>2319022154.4608898</v>
      </c>
      <c r="I1221" s="819"/>
      <c r="J1221" s="820">
        <v>-1.11097E-4</v>
      </c>
      <c r="K1221" s="819">
        <f t="shared" ref="K1221:K1284" si="274">IFERROR(_xlfn.RANK.EQ(H1221,H$3:H$1787),"N/A")</f>
        <v>133</v>
      </c>
      <c r="L1221" s="819">
        <f t="shared" ref="L1221:L1284" si="275">IFERROR(_xlfn.RANK.EQ(G1221,G$3:G$1787),"N/A")</f>
        <v>840</v>
      </c>
      <c r="M1221" s="819">
        <f t="shared" si="271"/>
        <v>133</v>
      </c>
      <c r="N1221" s="819">
        <f t="shared" si="272"/>
        <v>364</v>
      </c>
      <c r="O1221" s="819">
        <f t="shared" si="273"/>
        <v>1018</v>
      </c>
      <c r="P1221" s="819">
        <f t="shared" ref="P1221:P1284" si="276">IFERROR(ABS(K$3-K1221),"N/A")</f>
        <v>1265</v>
      </c>
      <c r="Q1221" s="819">
        <f t="shared" ref="Q1221:Q1284" si="277">IFERROR(ABS(L$3-L1221),"N/A")</f>
        <v>417</v>
      </c>
      <c r="R1221" s="819">
        <f t="shared" ref="R1221:R1284" si="278">IFERROR(ABS(M$3-M1221),"N/A")</f>
        <v>51</v>
      </c>
      <c r="S1221" s="819">
        <f t="shared" ref="S1221:S1284" si="279">IFERROR(ABS(N$3-N1221),"N/A")</f>
        <v>338</v>
      </c>
      <c r="T1221" s="819">
        <f t="shared" ref="T1221:T1284" si="280">IFERROR(ABS(O$3-O1221),"N/A")</f>
        <v>996</v>
      </c>
      <c r="U1221" s="819">
        <f t="shared" ref="U1221:U1284" si="281">SUM(P1221:T1221)</f>
        <v>3067</v>
      </c>
      <c r="V1221" s="819">
        <f t="shared" ref="V1221:V1284" si="282">_xlfn.RANK.EQ(U1221,$U$4:$U$1787,1)</f>
        <v>1011</v>
      </c>
      <c r="W1221" s="379">
        <f t="shared" ref="W1221:W1284" si="283">IF(Y1221="Not suitable","-",V1221)</f>
        <v>1011</v>
      </c>
      <c r="X1221" s="819" t="str">
        <f t="shared" si="270"/>
        <v/>
      </c>
      <c r="Y1221" s="837"/>
      <c r="Z1221" s="839"/>
      <c r="AA1221" s="838"/>
      <c r="AB1221" s="839"/>
    </row>
    <row r="1222" spans="1:28" ht="13.15">
      <c r="B1222" s="819" t="s">
        <v>2866</v>
      </c>
      <c r="C1222" s="819" t="s">
        <v>2867</v>
      </c>
      <c r="D1222" s="379" t="s">
        <v>336</v>
      </c>
      <c r="E1222" s="818" t="s">
        <v>2218</v>
      </c>
      <c r="F1222" s="820">
        <v>-18.005214330000001</v>
      </c>
      <c r="G1222" s="821">
        <v>-61.888340900000003</v>
      </c>
      <c r="H1222" s="822">
        <v>709707822.03470504</v>
      </c>
      <c r="I1222" s="819"/>
      <c r="J1222" s="820">
        <v>1.36815E-7</v>
      </c>
      <c r="K1222" s="819">
        <f t="shared" si="274"/>
        <v>282</v>
      </c>
      <c r="L1222" s="819">
        <f t="shared" si="275"/>
        <v>1512</v>
      </c>
      <c r="M1222" s="819">
        <f t="shared" si="271"/>
        <v>282</v>
      </c>
      <c r="N1222" s="819">
        <f t="shared" si="272"/>
        <v>364</v>
      </c>
      <c r="O1222" s="819">
        <f t="shared" si="273"/>
        <v>489</v>
      </c>
      <c r="P1222" s="819">
        <f t="shared" si="276"/>
        <v>1116</v>
      </c>
      <c r="Q1222" s="819">
        <f t="shared" si="277"/>
        <v>1089</v>
      </c>
      <c r="R1222" s="819">
        <f t="shared" si="278"/>
        <v>200</v>
      </c>
      <c r="S1222" s="819">
        <f t="shared" si="279"/>
        <v>338</v>
      </c>
      <c r="T1222" s="819">
        <f t="shared" si="280"/>
        <v>467</v>
      </c>
      <c r="U1222" s="819">
        <f t="shared" si="281"/>
        <v>3210</v>
      </c>
      <c r="V1222" s="819">
        <f t="shared" si="282"/>
        <v>1213</v>
      </c>
      <c r="W1222" s="379">
        <f t="shared" si="283"/>
        <v>1213</v>
      </c>
      <c r="X1222" s="819" t="str">
        <f t="shared" ref="X1222:X1285" si="284">IF(L1222="N/A","Y","")</f>
        <v/>
      </c>
      <c r="Y1222" s="837"/>
      <c r="Z1222" s="839"/>
      <c r="AA1222" s="838"/>
      <c r="AB1222" s="839"/>
    </row>
    <row r="1223" spans="1:28" ht="14.45">
      <c r="A1223" s="816"/>
      <c r="B1223" s="819" t="s">
        <v>2868</v>
      </c>
      <c r="C1223" s="819" t="s">
        <v>2869</v>
      </c>
      <c r="D1223" s="379" t="s">
        <v>336</v>
      </c>
      <c r="E1223" s="818" t="s">
        <v>425</v>
      </c>
      <c r="F1223" s="820">
        <v>1.1393268510000001</v>
      </c>
      <c r="G1223" s="821">
        <v>3.0128614730000001</v>
      </c>
      <c r="H1223" s="822">
        <v>70233906.964666605</v>
      </c>
      <c r="I1223" s="819"/>
      <c r="J1223" s="820">
        <v>-3.6718899999999998E-5</v>
      </c>
      <c r="K1223" s="819">
        <f t="shared" si="274"/>
        <v>794</v>
      </c>
      <c r="L1223" s="819">
        <f t="shared" si="275"/>
        <v>543</v>
      </c>
      <c r="M1223" s="819">
        <f t="shared" si="271"/>
        <v>794</v>
      </c>
      <c r="N1223" s="819">
        <f t="shared" si="272"/>
        <v>364</v>
      </c>
      <c r="O1223" s="819">
        <f t="shared" si="273"/>
        <v>888</v>
      </c>
      <c r="P1223" s="819">
        <f t="shared" si="276"/>
        <v>604</v>
      </c>
      <c r="Q1223" s="819">
        <f t="shared" si="277"/>
        <v>120</v>
      </c>
      <c r="R1223" s="819">
        <f t="shared" si="278"/>
        <v>712</v>
      </c>
      <c r="S1223" s="819">
        <f t="shared" si="279"/>
        <v>338</v>
      </c>
      <c r="T1223" s="819">
        <f t="shared" si="280"/>
        <v>866</v>
      </c>
      <c r="U1223" s="819">
        <f t="shared" si="281"/>
        <v>2640</v>
      </c>
      <c r="V1223" s="819">
        <f t="shared" si="282"/>
        <v>314</v>
      </c>
      <c r="W1223" s="379">
        <f t="shared" si="283"/>
        <v>314</v>
      </c>
      <c r="X1223" s="819" t="str">
        <f t="shared" si="284"/>
        <v/>
      </c>
      <c r="Y1223" s="837"/>
      <c r="Z1223" s="839"/>
      <c r="AA1223" s="838"/>
      <c r="AB1223" s="839"/>
    </row>
    <row r="1224" spans="1:28" ht="13.15">
      <c r="B1224" s="819" t="s">
        <v>2870</v>
      </c>
      <c r="C1224" s="819" t="s">
        <v>2871</v>
      </c>
      <c r="D1224" s="379" t="s">
        <v>336</v>
      </c>
      <c r="E1224" s="818" t="s">
        <v>460</v>
      </c>
      <c r="F1224" s="820">
        <v>0.80795315899999998</v>
      </c>
      <c r="G1224" s="821">
        <v>-2.0845376670000002</v>
      </c>
      <c r="H1224" s="822">
        <v>2018589.9202972399</v>
      </c>
      <c r="I1224" s="819"/>
      <c r="J1224" s="820">
        <v>6.2018700000000002E-4</v>
      </c>
      <c r="K1224" s="819">
        <f t="shared" si="274"/>
        <v>1497</v>
      </c>
      <c r="L1224" s="819">
        <f t="shared" si="275"/>
        <v>1346</v>
      </c>
      <c r="M1224" s="819">
        <f t="shared" si="271"/>
        <v>1497</v>
      </c>
      <c r="N1224" s="819">
        <f t="shared" si="272"/>
        <v>364</v>
      </c>
      <c r="O1224" s="819">
        <f t="shared" si="273"/>
        <v>198</v>
      </c>
      <c r="P1224" s="819">
        <f t="shared" si="276"/>
        <v>99</v>
      </c>
      <c r="Q1224" s="819">
        <f t="shared" si="277"/>
        <v>923</v>
      </c>
      <c r="R1224" s="819">
        <f t="shared" si="278"/>
        <v>1415</v>
      </c>
      <c r="S1224" s="819">
        <f t="shared" si="279"/>
        <v>338</v>
      </c>
      <c r="T1224" s="819">
        <f t="shared" si="280"/>
        <v>176</v>
      </c>
      <c r="U1224" s="819">
        <f t="shared" si="281"/>
        <v>2951</v>
      </c>
      <c r="V1224" s="819">
        <f t="shared" si="282"/>
        <v>864</v>
      </c>
      <c r="W1224" s="379">
        <f t="shared" si="283"/>
        <v>864</v>
      </c>
      <c r="X1224" s="819" t="str">
        <f t="shared" si="284"/>
        <v/>
      </c>
      <c r="Y1224" s="837"/>
      <c r="Z1224" s="839"/>
      <c r="AA1224" s="838"/>
      <c r="AB1224" s="839"/>
    </row>
    <row r="1225" spans="1:28" ht="14.45">
      <c r="A1225" s="816"/>
      <c r="B1225" s="819" t="s">
        <v>2872</v>
      </c>
      <c r="C1225" s="819" t="s">
        <v>2873</v>
      </c>
      <c r="D1225" s="379" t="s">
        <v>336</v>
      </c>
      <c r="E1225" s="818" t="s">
        <v>453</v>
      </c>
      <c r="F1225" s="820">
        <v>5.7680456099999997</v>
      </c>
      <c r="G1225" s="821">
        <v>1.8790992120000001</v>
      </c>
      <c r="H1225" s="822">
        <v>29279189.0684455</v>
      </c>
      <c r="I1225" s="819"/>
      <c r="J1225" s="820">
        <v>-6.0275400000000005E-4</v>
      </c>
      <c r="K1225" s="819">
        <f t="shared" si="274"/>
        <v>1009</v>
      </c>
      <c r="L1225" s="819">
        <f t="shared" si="275"/>
        <v>691</v>
      </c>
      <c r="M1225" s="819">
        <f t="shared" si="271"/>
        <v>1009</v>
      </c>
      <c r="N1225" s="819">
        <f t="shared" si="272"/>
        <v>364</v>
      </c>
      <c r="O1225" s="819">
        <f t="shared" si="273"/>
        <v>1312</v>
      </c>
      <c r="P1225" s="819">
        <f t="shared" si="276"/>
        <v>389</v>
      </c>
      <c r="Q1225" s="819">
        <f t="shared" si="277"/>
        <v>268</v>
      </c>
      <c r="R1225" s="819">
        <f t="shared" si="278"/>
        <v>927</v>
      </c>
      <c r="S1225" s="819">
        <f t="shared" si="279"/>
        <v>338</v>
      </c>
      <c r="T1225" s="819">
        <f t="shared" si="280"/>
        <v>1290</v>
      </c>
      <c r="U1225" s="819">
        <f t="shared" si="281"/>
        <v>3212</v>
      </c>
      <c r="V1225" s="819">
        <f t="shared" si="282"/>
        <v>1219</v>
      </c>
      <c r="W1225" s="379">
        <f t="shared" si="283"/>
        <v>1219</v>
      </c>
      <c r="X1225" s="819" t="str">
        <f t="shared" si="284"/>
        <v/>
      </c>
      <c r="Y1225" s="837"/>
      <c r="Z1225" s="839"/>
      <c r="AA1225" s="838"/>
      <c r="AB1225" s="839"/>
    </row>
    <row r="1226" spans="1:28" ht="13.15">
      <c r="B1226" s="819" t="s">
        <v>2874</v>
      </c>
      <c r="C1226" s="819" t="s">
        <v>2875</v>
      </c>
      <c r="D1226" s="379" t="s">
        <v>336</v>
      </c>
      <c r="E1226" s="818" t="s">
        <v>941</v>
      </c>
      <c r="F1226" s="820">
        <v>2.4069804850000001</v>
      </c>
      <c r="G1226" s="821">
        <v>1.9040477309999999</v>
      </c>
      <c r="H1226" s="822">
        <v>42959745.110664003</v>
      </c>
      <c r="I1226" s="819"/>
      <c r="J1226" s="820">
        <v>-1.2264089999999999E-3</v>
      </c>
      <c r="K1226" s="819">
        <f t="shared" si="274"/>
        <v>911</v>
      </c>
      <c r="L1226" s="819">
        <f t="shared" si="275"/>
        <v>689</v>
      </c>
      <c r="M1226" s="819">
        <f t="shared" si="271"/>
        <v>911</v>
      </c>
      <c r="N1226" s="819">
        <f t="shared" si="272"/>
        <v>364</v>
      </c>
      <c r="O1226" s="819">
        <f t="shared" si="273"/>
        <v>1430</v>
      </c>
      <c r="P1226" s="819">
        <f t="shared" si="276"/>
        <v>487</v>
      </c>
      <c r="Q1226" s="819">
        <f t="shared" si="277"/>
        <v>266</v>
      </c>
      <c r="R1226" s="819">
        <f t="shared" si="278"/>
        <v>829</v>
      </c>
      <c r="S1226" s="819">
        <f t="shared" si="279"/>
        <v>338</v>
      </c>
      <c r="T1226" s="819">
        <f t="shared" si="280"/>
        <v>1408</v>
      </c>
      <c r="U1226" s="819">
        <f t="shared" si="281"/>
        <v>3328</v>
      </c>
      <c r="V1226" s="819">
        <f t="shared" si="282"/>
        <v>1378</v>
      </c>
      <c r="W1226" s="379">
        <f t="shared" si="283"/>
        <v>1378</v>
      </c>
      <c r="X1226" s="819" t="str">
        <f t="shared" si="284"/>
        <v/>
      </c>
      <c r="Y1226" s="837"/>
      <c r="Z1226" s="839"/>
      <c r="AA1226" s="838"/>
      <c r="AB1226" s="839"/>
    </row>
    <row r="1227" spans="1:28" ht="14.45">
      <c r="A1227" s="816"/>
      <c r="B1227" s="819" t="s">
        <v>2876</v>
      </c>
      <c r="C1227" s="819" t="s">
        <v>2877</v>
      </c>
      <c r="D1227" s="379" t="s">
        <v>336</v>
      </c>
      <c r="E1227" s="818" t="s">
        <v>728</v>
      </c>
      <c r="F1227" s="820"/>
      <c r="G1227" s="821"/>
      <c r="H1227" s="822">
        <v>63399358.088020101</v>
      </c>
      <c r="I1227" s="819"/>
      <c r="J1227" s="820">
        <v>0</v>
      </c>
      <c r="K1227" s="819">
        <f t="shared" si="274"/>
        <v>828</v>
      </c>
      <c r="L1227" s="819">
        <f t="shared" si="275"/>
        <v>1084</v>
      </c>
      <c r="M1227" s="819">
        <f t="shared" si="271"/>
        <v>828</v>
      </c>
      <c r="N1227" s="819">
        <f t="shared" si="272"/>
        <v>364</v>
      </c>
      <c r="O1227" s="819">
        <f t="shared" si="273"/>
        <v>492</v>
      </c>
      <c r="P1227" s="819">
        <f t="shared" si="276"/>
        <v>570</v>
      </c>
      <c r="Q1227" s="819">
        <f t="shared" si="277"/>
        <v>661</v>
      </c>
      <c r="R1227" s="819">
        <f t="shared" si="278"/>
        <v>746</v>
      </c>
      <c r="S1227" s="819">
        <f t="shared" si="279"/>
        <v>338</v>
      </c>
      <c r="T1227" s="819">
        <f t="shared" si="280"/>
        <v>470</v>
      </c>
      <c r="U1227" s="819">
        <f t="shared" si="281"/>
        <v>2785</v>
      </c>
      <c r="V1227" s="819">
        <f t="shared" si="282"/>
        <v>463</v>
      </c>
      <c r="W1227" s="379">
        <f t="shared" si="283"/>
        <v>463</v>
      </c>
      <c r="X1227" s="819" t="str">
        <f t="shared" si="284"/>
        <v/>
      </c>
      <c r="Y1227" s="837"/>
      <c r="Z1227" s="839"/>
      <c r="AA1227" s="838"/>
      <c r="AB1227" s="839"/>
    </row>
    <row r="1228" spans="1:28" ht="13.15">
      <c r="B1228" s="819" t="s">
        <v>2878</v>
      </c>
      <c r="C1228" s="819" t="s">
        <v>2879</v>
      </c>
      <c r="D1228" s="379" t="s">
        <v>336</v>
      </c>
      <c r="E1228" s="818" t="s">
        <v>676</v>
      </c>
      <c r="F1228" s="820"/>
      <c r="G1228" s="821"/>
      <c r="H1228" s="822">
        <v>352147706.58702099</v>
      </c>
      <c r="I1228" s="819"/>
      <c r="J1228" s="820">
        <v>0</v>
      </c>
      <c r="K1228" s="819">
        <f t="shared" si="274"/>
        <v>438</v>
      </c>
      <c r="L1228" s="819">
        <f t="shared" si="275"/>
        <v>1084</v>
      </c>
      <c r="M1228" s="819">
        <f t="shared" si="271"/>
        <v>438</v>
      </c>
      <c r="N1228" s="819">
        <f t="shared" si="272"/>
        <v>364</v>
      </c>
      <c r="O1228" s="819">
        <f t="shared" si="273"/>
        <v>492</v>
      </c>
      <c r="P1228" s="819">
        <f t="shared" si="276"/>
        <v>960</v>
      </c>
      <c r="Q1228" s="819">
        <f t="shared" si="277"/>
        <v>661</v>
      </c>
      <c r="R1228" s="819">
        <f t="shared" si="278"/>
        <v>356</v>
      </c>
      <c r="S1228" s="819">
        <f t="shared" si="279"/>
        <v>338</v>
      </c>
      <c r="T1228" s="819">
        <f t="shared" si="280"/>
        <v>470</v>
      </c>
      <c r="U1228" s="819">
        <f t="shared" si="281"/>
        <v>2785</v>
      </c>
      <c r="V1228" s="819">
        <f t="shared" si="282"/>
        <v>463</v>
      </c>
      <c r="W1228" s="379">
        <f t="shared" si="283"/>
        <v>463</v>
      </c>
      <c r="X1228" s="819" t="str">
        <f t="shared" si="284"/>
        <v/>
      </c>
      <c r="Y1228" s="837"/>
      <c r="Z1228" s="839"/>
      <c r="AA1228" s="838"/>
      <c r="AB1228" s="839"/>
    </row>
    <row r="1229" spans="1:28" ht="14.45">
      <c r="A1229" s="816"/>
      <c r="B1229" s="819" t="s">
        <v>2880</v>
      </c>
      <c r="C1229" s="819" t="s">
        <v>2881</v>
      </c>
      <c r="D1229" s="379" t="s">
        <v>336</v>
      </c>
      <c r="E1229" s="818" t="s">
        <v>1077</v>
      </c>
      <c r="F1229" s="820">
        <v>-4.5900704000000001E-2</v>
      </c>
      <c r="G1229" s="821">
        <v>-3.7113510879999998</v>
      </c>
      <c r="H1229" s="822">
        <v>4847960.3989876397</v>
      </c>
      <c r="I1229" s="819"/>
      <c r="J1229" s="820">
        <v>1.08511E-5</v>
      </c>
      <c r="K1229" s="819">
        <f t="shared" si="274"/>
        <v>1370</v>
      </c>
      <c r="L1229" s="819">
        <f t="shared" si="275"/>
        <v>1383</v>
      </c>
      <c r="M1229" s="819">
        <f t="shared" si="271"/>
        <v>1370</v>
      </c>
      <c r="N1229" s="819">
        <f t="shared" si="272"/>
        <v>364</v>
      </c>
      <c r="O1229" s="819">
        <f t="shared" si="273"/>
        <v>418</v>
      </c>
      <c r="P1229" s="819">
        <f t="shared" si="276"/>
        <v>28</v>
      </c>
      <c r="Q1229" s="819">
        <f t="shared" si="277"/>
        <v>960</v>
      </c>
      <c r="R1229" s="819">
        <f t="shared" si="278"/>
        <v>1288</v>
      </c>
      <c r="S1229" s="819">
        <f t="shared" si="279"/>
        <v>338</v>
      </c>
      <c r="T1229" s="819">
        <f t="shared" si="280"/>
        <v>396</v>
      </c>
      <c r="U1229" s="819">
        <f t="shared" si="281"/>
        <v>3010</v>
      </c>
      <c r="V1229" s="819">
        <f t="shared" si="282"/>
        <v>938</v>
      </c>
      <c r="W1229" s="379">
        <f t="shared" si="283"/>
        <v>938</v>
      </c>
      <c r="X1229" s="819" t="str">
        <f t="shared" si="284"/>
        <v/>
      </c>
      <c r="Y1229" s="837"/>
      <c r="Z1229" s="839"/>
      <c r="AA1229" s="838"/>
      <c r="AB1229" s="839"/>
    </row>
    <row r="1230" spans="1:28" ht="13.15">
      <c r="B1230" s="819" t="s">
        <v>2882</v>
      </c>
      <c r="C1230" s="819" t="s">
        <v>2883</v>
      </c>
      <c r="D1230" s="379" t="s">
        <v>336</v>
      </c>
      <c r="E1230" s="818" t="s">
        <v>460</v>
      </c>
      <c r="F1230" s="820">
        <v>3.3645019199999999</v>
      </c>
      <c r="G1230" s="821">
        <v>188.92096219999999</v>
      </c>
      <c r="H1230" s="822">
        <v>303469.76688440097</v>
      </c>
      <c r="I1230" s="819"/>
      <c r="J1230" s="820">
        <v>-3.2017699999999997E-5</v>
      </c>
      <c r="K1230" s="819">
        <f t="shared" si="274"/>
        <v>1626</v>
      </c>
      <c r="L1230" s="819">
        <f t="shared" si="275"/>
        <v>8</v>
      </c>
      <c r="M1230" s="819">
        <f t="shared" si="271"/>
        <v>1626</v>
      </c>
      <c r="N1230" s="819">
        <f t="shared" si="272"/>
        <v>364</v>
      </c>
      <c r="O1230" s="819">
        <f t="shared" si="273"/>
        <v>881</v>
      </c>
      <c r="P1230" s="819">
        <f t="shared" si="276"/>
        <v>228</v>
      </c>
      <c r="Q1230" s="819">
        <f t="shared" si="277"/>
        <v>415</v>
      </c>
      <c r="R1230" s="819">
        <f t="shared" si="278"/>
        <v>1544</v>
      </c>
      <c r="S1230" s="819">
        <f t="shared" si="279"/>
        <v>338</v>
      </c>
      <c r="T1230" s="819">
        <f t="shared" si="280"/>
        <v>859</v>
      </c>
      <c r="U1230" s="819">
        <f t="shared" si="281"/>
        <v>3384</v>
      </c>
      <c r="V1230" s="819">
        <f t="shared" si="282"/>
        <v>1447</v>
      </c>
      <c r="W1230" s="379">
        <f t="shared" si="283"/>
        <v>1447</v>
      </c>
      <c r="X1230" s="819" t="str">
        <f t="shared" si="284"/>
        <v/>
      </c>
      <c r="Y1230" s="837"/>
      <c r="Z1230" s="839"/>
      <c r="AA1230" s="838"/>
      <c r="AB1230" s="839"/>
    </row>
    <row r="1231" spans="1:28" ht="14.45">
      <c r="A1231" s="816"/>
      <c r="B1231" s="819" t="s">
        <v>2884</v>
      </c>
      <c r="C1231" s="819" t="s">
        <v>2885</v>
      </c>
      <c r="D1231" s="379" t="s">
        <v>336</v>
      </c>
      <c r="E1231" s="818" t="s">
        <v>337</v>
      </c>
      <c r="F1231" s="820">
        <v>-9.6644144000000001E-2</v>
      </c>
      <c r="G1231" s="821">
        <v>-2.9720434280000001</v>
      </c>
      <c r="H1231" s="822">
        <v>10556753.5075</v>
      </c>
      <c r="I1231" s="819"/>
      <c r="J1231" s="820">
        <v>1.21148E-4</v>
      </c>
      <c r="K1231" s="819">
        <f t="shared" si="274"/>
        <v>1244</v>
      </c>
      <c r="L1231" s="819">
        <f t="shared" si="275"/>
        <v>1370</v>
      </c>
      <c r="M1231" s="819">
        <f t="shared" si="271"/>
        <v>1244</v>
      </c>
      <c r="N1231" s="819">
        <f t="shared" si="272"/>
        <v>364</v>
      </c>
      <c r="O1231" s="819">
        <f t="shared" si="273"/>
        <v>285</v>
      </c>
      <c r="P1231" s="819">
        <f t="shared" si="276"/>
        <v>154</v>
      </c>
      <c r="Q1231" s="819">
        <f t="shared" si="277"/>
        <v>947</v>
      </c>
      <c r="R1231" s="819">
        <f t="shared" si="278"/>
        <v>1162</v>
      </c>
      <c r="S1231" s="819">
        <f t="shared" si="279"/>
        <v>338</v>
      </c>
      <c r="T1231" s="819">
        <f t="shared" si="280"/>
        <v>263</v>
      </c>
      <c r="U1231" s="819">
        <f t="shared" si="281"/>
        <v>2864</v>
      </c>
      <c r="V1231" s="819">
        <f t="shared" si="282"/>
        <v>745</v>
      </c>
      <c r="W1231" s="379">
        <f t="shared" si="283"/>
        <v>745</v>
      </c>
      <c r="X1231" s="819" t="str">
        <f t="shared" si="284"/>
        <v/>
      </c>
      <c r="Y1231" s="837"/>
      <c r="Z1231" s="839"/>
      <c r="AA1231" s="838"/>
      <c r="AB1231" s="839"/>
    </row>
    <row r="1232" spans="1:28" ht="13.15">
      <c r="B1232" s="819" t="s">
        <v>2886</v>
      </c>
      <c r="C1232" s="819" t="s">
        <v>2887</v>
      </c>
      <c r="D1232" s="379" t="s">
        <v>336</v>
      </c>
      <c r="E1232" s="818" t="s">
        <v>373</v>
      </c>
      <c r="F1232" s="820">
        <v>0</v>
      </c>
      <c r="G1232" s="821">
        <v>-11.14608166</v>
      </c>
      <c r="H1232" s="822">
        <v>110820337.569224</v>
      </c>
      <c r="I1232" s="819"/>
      <c r="J1232" s="820">
        <v>1.0540500000000001E-6</v>
      </c>
      <c r="K1232" s="819">
        <f t="shared" si="274"/>
        <v>696</v>
      </c>
      <c r="L1232" s="819">
        <f t="shared" si="275"/>
        <v>1455</v>
      </c>
      <c r="M1232" s="819">
        <f t="shared" si="271"/>
        <v>696</v>
      </c>
      <c r="N1232" s="819">
        <f t="shared" si="272"/>
        <v>364</v>
      </c>
      <c r="O1232" s="819">
        <f t="shared" si="273"/>
        <v>479</v>
      </c>
      <c r="P1232" s="819">
        <f t="shared" si="276"/>
        <v>702</v>
      </c>
      <c r="Q1232" s="819">
        <f t="shared" si="277"/>
        <v>1032</v>
      </c>
      <c r="R1232" s="819">
        <f t="shared" si="278"/>
        <v>614</v>
      </c>
      <c r="S1232" s="819">
        <f t="shared" si="279"/>
        <v>338</v>
      </c>
      <c r="T1232" s="819">
        <f t="shared" si="280"/>
        <v>457</v>
      </c>
      <c r="U1232" s="819">
        <f t="shared" si="281"/>
        <v>3143</v>
      </c>
      <c r="V1232" s="819">
        <f t="shared" si="282"/>
        <v>1114</v>
      </c>
      <c r="W1232" s="379">
        <f t="shared" si="283"/>
        <v>1114</v>
      </c>
      <c r="X1232" s="819" t="str">
        <f t="shared" si="284"/>
        <v/>
      </c>
      <c r="Y1232" s="837"/>
      <c r="Z1232" s="839"/>
      <c r="AA1232" s="838"/>
      <c r="AB1232" s="839"/>
    </row>
    <row r="1233" spans="1:28" ht="14.45">
      <c r="A1233" s="816"/>
      <c r="B1233" s="819" t="s">
        <v>2888</v>
      </c>
      <c r="C1233" s="819" t="s">
        <v>2889</v>
      </c>
      <c r="D1233" s="379" t="s">
        <v>336</v>
      </c>
      <c r="E1233" s="818" t="s">
        <v>2890</v>
      </c>
      <c r="F1233" s="820">
        <v>0.152314804</v>
      </c>
      <c r="G1233" s="821">
        <v>0</v>
      </c>
      <c r="H1233" s="822">
        <v>32223.003799999999</v>
      </c>
      <c r="I1233" s="819"/>
      <c r="J1233" s="820">
        <v>6.41164E-6</v>
      </c>
      <c r="K1233" s="819">
        <f t="shared" si="274"/>
        <v>1661</v>
      </c>
      <c r="L1233" s="819">
        <f t="shared" si="275"/>
        <v>1084</v>
      </c>
      <c r="M1233" s="819">
        <f t="shared" si="271"/>
        <v>1661</v>
      </c>
      <c r="N1233" s="819">
        <f t="shared" si="272"/>
        <v>364</v>
      </c>
      <c r="O1233" s="819">
        <f t="shared" si="273"/>
        <v>435</v>
      </c>
      <c r="P1233" s="819">
        <f t="shared" si="276"/>
        <v>263</v>
      </c>
      <c r="Q1233" s="819">
        <f t="shared" si="277"/>
        <v>661</v>
      </c>
      <c r="R1233" s="819">
        <f t="shared" si="278"/>
        <v>1579</v>
      </c>
      <c r="S1233" s="819">
        <f t="shared" si="279"/>
        <v>338</v>
      </c>
      <c r="T1233" s="819">
        <f t="shared" si="280"/>
        <v>413</v>
      </c>
      <c r="U1233" s="819">
        <f t="shared" si="281"/>
        <v>3254</v>
      </c>
      <c r="V1233" s="819">
        <f t="shared" si="282"/>
        <v>1278</v>
      </c>
      <c r="W1233" s="379">
        <f t="shared" si="283"/>
        <v>1278</v>
      </c>
      <c r="X1233" s="819" t="str">
        <f t="shared" si="284"/>
        <v/>
      </c>
      <c r="Y1233" s="837"/>
      <c r="Z1233" s="839"/>
      <c r="AA1233" s="838"/>
      <c r="AB1233" s="839"/>
    </row>
    <row r="1234" spans="1:28" ht="13.15">
      <c r="B1234" s="819" t="s">
        <v>2891</v>
      </c>
      <c r="C1234" s="819" t="s">
        <v>2892</v>
      </c>
      <c r="D1234" s="379" t="s">
        <v>336</v>
      </c>
      <c r="E1234" s="818" t="s">
        <v>460</v>
      </c>
      <c r="F1234" s="820">
        <v>2.7380554000000001E-2</v>
      </c>
      <c r="G1234" s="821">
        <v>0.36363636399999999</v>
      </c>
      <c r="H1234" s="822">
        <v>5794810.3313956996</v>
      </c>
      <c r="I1234" s="819"/>
      <c r="J1234" s="820">
        <v>-1.6538599999999999E-6</v>
      </c>
      <c r="K1234" s="819">
        <f t="shared" si="274"/>
        <v>1346</v>
      </c>
      <c r="L1234" s="819">
        <f t="shared" si="275"/>
        <v>946</v>
      </c>
      <c r="M1234" s="819">
        <f t="shared" si="271"/>
        <v>1346</v>
      </c>
      <c r="N1234" s="819">
        <f t="shared" si="272"/>
        <v>364</v>
      </c>
      <c r="O1234" s="819">
        <f t="shared" si="273"/>
        <v>760</v>
      </c>
      <c r="P1234" s="819">
        <f t="shared" si="276"/>
        <v>52</v>
      </c>
      <c r="Q1234" s="819">
        <f t="shared" si="277"/>
        <v>523</v>
      </c>
      <c r="R1234" s="819">
        <f t="shared" si="278"/>
        <v>1264</v>
      </c>
      <c r="S1234" s="819">
        <f t="shared" si="279"/>
        <v>338</v>
      </c>
      <c r="T1234" s="819">
        <f t="shared" si="280"/>
        <v>738</v>
      </c>
      <c r="U1234" s="819">
        <f t="shared" si="281"/>
        <v>2915</v>
      </c>
      <c r="V1234" s="819">
        <f t="shared" si="282"/>
        <v>827</v>
      </c>
      <c r="W1234" s="379">
        <f t="shared" si="283"/>
        <v>827</v>
      </c>
      <c r="X1234" s="819" t="str">
        <f t="shared" si="284"/>
        <v/>
      </c>
      <c r="Y1234" s="837"/>
      <c r="Z1234" s="839"/>
      <c r="AA1234" s="838"/>
      <c r="AB1234" s="839"/>
    </row>
    <row r="1235" spans="1:28" ht="14.45">
      <c r="A1235" s="816"/>
      <c r="B1235" s="819" t="s">
        <v>2893</v>
      </c>
      <c r="C1235" s="819" t="s">
        <v>2894</v>
      </c>
      <c r="D1235" s="379" t="s">
        <v>336</v>
      </c>
      <c r="E1235" s="818" t="s">
        <v>2895</v>
      </c>
      <c r="F1235" s="820"/>
      <c r="G1235" s="821"/>
      <c r="H1235" s="822">
        <v>22402597.402597401</v>
      </c>
      <c r="I1235" s="819"/>
      <c r="J1235" s="820">
        <v>0</v>
      </c>
      <c r="K1235" s="819">
        <f t="shared" si="274"/>
        <v>1078</v>
      </c>
      <c r="L1235" s="819">
        <f t="shared" si="275"/>
        <v>1084</v>
      </c>
      <c r="M1235" s="819">
        <f t="shared" si="271"/>
        <v>1078</v>
      </c>
      <c r="N1235" s="819">
        <f t="shared" si="272"/>
        <v>364</v>
      </c>
      <c r="O1235" s="819">
        <f t="shared" si="273"/>
        <v>492</v>
      </c>
      <c r="P1235" s="819">
        <f t="shared" si="276"/>
        <v>320</v>
      </c>
      <c r="Q1235" s="819">
        <f t="shared" si="277"/>
        <v>661</v>
      </c>
      <c r="R1235" s="819">
        <f t="shared" si="278"/>
        <v>996</v>
      </c>
      <c r="S1235" s="819">
        <f t="shared" si="279"/>
        <v>338</v>
      </c>
      <c r="T1235" s="819">
        <f t="shared" si="280"/>
        <v>470</v>
      </c>
      <c r="U1235" s="819">
        <f t="shared" si="281"/>
        <v>2785</v>
      </c>
      <c r="V1235" s="819">
        <f t="shared" si="282"/>
        <v>463</v>
      </c>
      <c r="W1235" s="379">
        <f t="shared" si="283"/>
        <v>463</v>
      </c>
      <c r="X1235" s="819" t="str">
        <f t="shared" si="284"/>
        <v/>
      </c>
      <c r="Y1235" s="837"/>
      <c r="Z1235" s="839"/>
      <c r="AA1235" s="838"/>
      <c r="AB1235" s="839"/>
    </row>
    <row r="1236" spans="1:28" ht="13.15">
      <c r="B1236" s="819" t="s">
        <v>2896</v>
      </c>
      <c r="C1236" s="819" t="s">
        <v>2897</v>
      </c>
      <c r="D1236" s="379" t="s">
        <v>336</v>
      </c>
      <c r="E1236" s="818" t="s">
        <v>2895</v>
      </c>
      <c r="F1236" s="820">
        <v>1.224190844</v>
      </c>
      <c r="G1236" s="821">
        <v>0.10108988100000001</v>
      </c>
      <c r="H1236" s="822">
        <v>7676229.9465240603</v>
      </c>
      <c r="I1236" s="819"/>
      <c r="J1236" s="820">
        <v>-3.98071E-4</v>
      </c>
      <c r="K1236" s="819">
        <f t="shared" si="274"/>
        <v>1303</v>
      </c>
      <c r="L1236" s="819">
        <f t="shared" si="275"/>
        <v>1014</v>
      </c>
      <c r="M1236" s="819">
        <f t="shared" si="271"/>
        <v>1303</v>
      </c>
      <c r="N1236" s="819">
        <f t="shared" si="272"/>
        <v>364</v>
      </c>
      <c r="O1236" s="819">
        <f t="shared" si="273"/>
        <v>1222</v>
      </c>
      <c r="P1236" s="819">
        <f t="shared" si="276"/>
        <v>95</v>
      </c>
      <c r="Q1236" s="819">
        <f t="shared" si="277"/>
        <v>591</v>
      </c>
      <c r="R1236" s="819">
        <f t="shared" si="278"/>
        <v>1221</v>
      </c>
      <c r="S1236" s="819">
        <f t="shared" si="279"/>
        <v>338</v>
      </c>
      <c r="T1236" s="819">
        <f t="shared" si="280"/>
        <v>1200</v>
      </c>
      <c r="U1236" s="819">
        <f t="shared" si="281"/>
        <v>3445</v>
      </c>
      <c r="V1236" s="819">
        <f t="shared" si="282"/>
        <v>1503</v>
      </c>
      <c r="W1236" s="379">
        <f t="shared" si="283"/>
        <v>1503</v>
      </c>
      <c r="X1236" s="819" t="str">
        <f t="shared" si="284"/>
        <v/>
      </c>
      <c r="Y1236" s="837"/>
      <c r="Z1236" s="839"/>
      <c r="AA1236" s="838"/>
      <c r="AB1236" s="839"/>
    </row>
    <row r="1237" spans="1:28" ht="14.45">
      <c r="A1237" s="816"/>
      <c r="B1237" s="819" t="s">
        <v>2898</v>
      </c>
      <c r="C1237" s="819" t="s">
        <v>2899</v>
      </c>
      <c r="D1237" s="379" t="s">
        <v>336</v>
      </c>
      <c r="E1237" s="818" t="s">
        <v>460</v>
      </c>
      <c r="F1237" s="820">
        <v>2.386688253</v>
      </c>
      <c r="G1237" s="821">
        <v>0.275688618</v>
      </c>
      <c r="H1237" s="822">
        <v>1625669.5631329799</v>
      </c>
      <c r="I1237" s="819">
        <v>0.02</v>
      </c>
      <c r="J1237" s="820">
        <v>-5.1375699999999999E-4</v>
      </c>
      <c r="K1237" s="819">
        <f t="shared" si="274"/>
        <v>1520</v>
      </c>
      <c r="L1237" s="819">
        <f t="shared" si="275"/>
        <v>966</v>
      </c>
      <c r="M1237" s="819">
        <f t="shared" si="271"/>
        <v>1520</v>
      </c>
      <c r="N1237" s="819">
        <f t="shared" si="272"/>
        <v>337</v>
      </c>
      <c r="O1237" s="819">
        <f t="shared" si="273"/>
        <v>1275</v>
      </c>
      <c r="P1237" s="819">
        <f t="shared" si="276"/>
        <v>122</v>
      </c>
      <c r="Q1237" s="819">
        <f t="shared" si="277"/>
        <v>543</v>
      </c>
      <c r="R1237" s="819">
        <f t="shared" si="278"/>
        <v>1438</v>
      </c>
      <c r="S1237" s="819">
        <f t="shared" si="279"/>
        <v>311</v>
      </c>
      <c r="T1237" s="819">
        <f t="shared" si="280"/>
        <v>1253</v>
      </c>
      <c r="U1237" s="819">
        <f t="shared" si="281"/>
        <v>3667</v>
      </c>
      <c r="V1237" s="819">
        <f t="shared" si="282"/>
        <v>1662</v>
      </c>
      <c r="W1237" s="379">
        <f t="shared" si="283"/>
        <v>1662</v>
      </c>
      <c r="X1237" s="819" t="str">
        <f t="shared" si="284"/>
        <v/>
      </c>
      <c r="Y1237" s="837"/>
      <c r="Z1237" s="839"/>
      <c r="AA1237" s="838"/>
      <c r="AB1237" s="839"/>
    </row>
    <row r="1238" spans="1:28" ht="13.15">
      <c r="B1238" s="819" t="s">
        <v>2900</v>
      </c>
      <c r="C1238" s="819" t="s">
        <v>2901</v>
      </c>
      <c r="D1238" s="379" t="s">
        <v>336</v>
      </c>
      <c r="E1238" s="818" t="s">
        <v>441</v>
      </c>
      <c r="F1238" s="820">
        <v>-46.194911429999998</v>
      </c>
      <c r="G1238" s="821">
        <v>-0.103454299</v>
      </c>
      <c r="H1238" s="822">
        <v>225970093.66595599</v>
      </c>
      <c r="I1238" s="819"/>
      <c r="J1238" s="820">
        <v>7.4050799999999996E-3</v>
      </c>
      <c r="K1238" s="819">
        <f t="shared" si="274"/>
        <v>533</v>
      </c>
      <c r="L1238" s="819">
        <f t="shared" si="275"/>
        <v>1221</v>
      </c>
      <c r="M1238" s="819">
        <f t="shared" si="271"/>
        <v>533</v>
      </c>
      <c r="N1238" s="819">
        <f t="shared" si="272"/>
        <v>364</v>
      </c>
      <c r="O1238" s="819">
        <f t="shared" si="273"/>
        <v>139</v>
      </c>
      <c r="P1238" s="819">
        <f t="shared" si="276"/>
        <v>865</v>
      </c>
      <c r="Q1238" s="819">
        <f t="shared" si="277"/>
        <v>798</v>
      </c>
      <c r="R1238" s="819">
        <f t="shared" si="278"/>
        <v>451</v>
      </c>
      <c r="S1238" s="819">
        <f t="shared" si="279"/>
        <v>338</v>
      </c>
      <c r="T1238" s="819">
        <f t="shared" si="280"/>
        <v>117</v>
      </c>
      <c r="U1238" s="819">
        <f t="shared" si="281"/>
        <v>2569</v>
      </c>
      <c r="V1238" s="819">
        <f t="shared" si="282"/>
        <v>272</v>
      </c>
      <c r="W1238" s="379">
        <f t="shared" si="283"/>
        <v>272</v>
      </c>
      <c r="X1238" s="819" t="str">
        <f t="shared" si="284"/>
        <v/>
      </c>
      <c r="Y1238" s="837"/>
      <c r="Z1238" s="839"/>
      <c r="AA1238" s="838"/>
      <c r="AB1238" s="839"/>
    </row>
    <row r="1239" spans="1:28" ht="14.45">
      <c r="A1239" s="816"/>
      <c r="B1239" s="819" t="s">
        <v>2902</v>
      </c>
      <c r="C1239" s="819" t="s">
        <v>2903</v>
      </c>
      <c r="D1239" s="379" t="s">
        <v>336</v>
      </c>
      <c r="E1239" s="818" t="s">
        <v>676</v>
      </c>
      <c r="F1239" s="820">
        <v>2.0000656970000001</v>
      </c>
      <c r="G1239" s="821">
        <v>-3.471745E-3</v>
      </c>
      <c r="H1239" s="822">
        <v>385935378.76730901</v>
      </c>
      <c r="I1239" s="819">
        <v>-3.01</v>
      </c>
      <c r="J1239" s="820">
        <v>1.9355199999999999E-4</v>
      </c>
      <c r="K1239" s="819">
        <f t="shared" si="274"/>
        <v>417</v>
      </c>
      <c r="L1239" s="819">
        <f t="shared" si="275"/>
        <v>1193</v>
      </c>
      <c r="M1239" s="819">
        <f t="shared" si="271"/>
        <v>417</v>
      </c>
      <c r="N1239" s="819">
        <f t="shared" si="272"/>
        <v>386</v>
      </c>
      <c r="O1239" s="819">
        <f t="shared" si="273"/>
        <v>256</v>
      </c>
      <c r="P1239" s="819">
        <f t="shared" si="276"/>
        <v>981</v>
      </c>
      <c r="Q1239" s="819">
        <f t="shared" si="277"/>
        <v>770</v>
      </c>
      <c r="R1239" s="819">
        <f t="shared" si="278"/>
        <v>335</v>
      </c>
      <c r="S1239" s="819">
        <f t="shared" si="279"/>
        <v>360</v>
      </c>
      <c r="T1239" s="819">
        <f t="shared" si="280"/>
        <v>234</v>
      </c>
      <c r="U1239" s="819">
        <f t="shared" si="281"/>
        <v>2680</v>
      </c>
      <c r="V1239" s="819">
        <f t="shared" si="282"/>
        <v>337</v>
      </c>
      <c r="W1239" s="379">
        <f t="shared" si="283"/>
        <v>337</v>
      </c>
      <c r="X1239" s="819" t="str">
        <f t="shared" si="284"/>
        <v/>
      </c>
      <c r="Y1239" s="837"/>
      <c r="Z1239" s="839"/>
      <c r="AA1239" s="838"/>
      <c r="AB1239" s="839"/>
    </row>
    <row r="1240" spans="1:28" ht="13.15">
      <c r="B1240" s="819" t="s">
        <v>2904</v>
      </c>
      <c r="C1240" s="819" t="s">
        <v>2905</v>
      </c>
      <c r="D1240" s="379" t="s">
        <v>336</v>
      </c>
      <c r="E1240" s="818" t="s">
        <v>2049</v>
      </c>
      <c r="F1240" s="820">
        <v>1.6054743950000001</v>
      </c>
      <c r="G1240" s="821">
        <v>4.8685286290000001</v>
      </c>
      <c r="H1240" s="822">
        <v>2.2210920000000001</v>
      </c>
      <c r="I1240" s="819">
        <v>0.01</v>
      </c>
      <c r="J1240" s="820">
        <v>-1.4298889999999999E-3</v>
      </c>
      <c r="K1240" s="819">
        <f t="shared" si="274"/>
        <v>1697</v>
      </c>
      <c r="L1240" s="819">
        <f t="shared" si="275"/>
        <v>386</v>
      </c>
      <c r="M1240" s="819">
        <f t="shared" si="271"/>
        <v>1697</v>
      </c>
      <c r="N1240" s="819">
        <f t="shared" si="272"/>
        <v>344</v>
      </c>
      <c r="O1240" s="819">
        <f t="shared" si="273"/>
        <v>1453</v>
      </c>
      <c r="P1240" s="819">
        <f t="shared" si="276"/>
        <v>299</v>
      </c>
      <c r="Q1240" s="819">
        <f t="shared" si="277"/>
        <v>37</v>
      </c>
      <c r="R1240" s="819">
        <f t="shared" si="278"/>
        <v>1615</v>
      </c>
      <c r="S1240" s="819">
        <f t="shared" si="279"/>
        <v>318</v>
      </c>
      <c r="T1240" s="819">
        <f t="shared" si="280"/>
        <v>1431</v>
      </c>
      <c r="U1240" s="819">
        <f t="shared" si="281"/>
        <v>3700</v>
      </c>
      <c r="V1240" s="819">
        <f t="shared" si="282"/>
        <v>1679</v>
      </c>
      <c r="W1240" s="379">
        <f t="shared" si="283"/>
        <v>1679</v>
      </c>
      <c r="X1240" s="819" t="str">
        <f t="shared" si="284"/>
        <v/>
      </c>
      <c r="Y1240" s="837"/>
      <c r="Z1240" s="839"/>
      <c r="AA1240" s="838"/>
      <c r="AB1240" s="839"/>
    </row>
    <row r="1241" spans="1:28" ht="14.45">
      <c r="A1241" s="816"/>
      <c r="B1241" s="819" t="s">
        <v>2906</v>
      </c>
      <c r="C1241" s="819" t="s">
        <v>2907</v>
      </c>
      <c r="D1241" s="379" t="s">
        <v>336</v>
      </c>
      <c r="E1241" s="818" t="s">
        <v>337</v>
      </c>
      <c r="F1241" s="820">
        <v>6.9126472449999996</v>
      </c>
      <c r="G1241" s="821">
        <v>-0.164672922</v>
      </c>
      <c r="H1241" s="822">
        <v>1973873.44</v>
      </c>
      <c r="I1241" s="819"/>
      <c r="J1241" s="820">
        <v>7.4265E-6</v>
      </c>
      <c r="K1241" s="819">
        <f t="shared" si="274"/>
        <v>1504</v>
      </c>
      <c r="L1241" s="819">
        <f t="shared" si="275"/>
        <v>1232</v>
      </c>
      <c r="M1241" s="819">
        <f t="shared" si="271"/>
        <v>1504</v>
      </c>
      <c r="N1241" s="819">
        <f t="shared" si="272"/>
        <v>364</v>
      </c>
      <c r="O1241" s="819">
        <f t="shared" si="273"/>
        <v>431</v>
      </c>
      <c r="P1241" s="819">
        <f t="shared" si="276"/>
        <v>106</v>
      </c>
      <c r="Q1241" s="819">
        <f t="shared" si="277"/>
        <v>809</v>
      </c>
      <c r="R1241" s="819">
        <f t="shared" si="278"/>
        <v>1422</v>
      </c>
      <c r="S1241" s="819">
        <f t="shared" si="279"/>
        <v>338</v>
      </c>
      <c r="T1241" s="819">
        <f t="shared" si="280"/>
        <v>409</v>
      </c>
      <c r="U1241" s="819">
        <f t="shared" si="281"/>
        <v>3084</v>
      </c>
      <c r="V1241" s="819">
        <f t="shared" si="282"/>
        <v>1042</v>
      </c>
      <c r="W1241" s="379">
        <f t="shared" si="283"/>
        <v>1042</v>
      </c>
      <c r="X1241" s="819" t="str">
        <f t="shared" si="284"/>
        <v/>
      </c>
      <c r="Y1241" s="837"/>
      <c r="Z1241" s="839"/>
      <c r="AA1241" s="838"/>
      <c r="AB1241" s="839"/>
    </row>
    <row r="1242" spans="1:28" ht="13.15">
      <c r="B1242" s="819" t="s">
        <v>2908</v>
      </c>
      <c r="C1242" s="819" t="s">
        <v>2909</v>
      </c>
      <c r="D1242" s="379" t="s">
        <v>336</v>
      </c>
      <c r="E1242" s="818" t="s">
        <v>645</v>
      </c>
      <c r="F1242" s="820">
        <v>2.8446502169999999</v>
      </c>
      <c r="G1242" s="821">
        <v>10.250483020000001</v>
      </c>
      <c r="H1242" s="822">
        <v>757948609.03524303</v>
      </c>
      <c r="I1242" s="819"/>
      <c r="J1242" s="820">
        <v>-7.6221899999999996E-5</v>
      </c>
      <c r="K1242" s="819">
        <f t="shared" si="274"/>
        <v>265</v>
      </c>
      <c r="L1242" s="819">
        <f t="shared" si="275"/>
        <v>190</v>
      </c>
      <c r="M1242" s="819">
        <f t="shared" si="271"/>
        <v>265</v>
      </c>
      <c r="N1242" s="819">
        <f t="shared" si="272"/>
        <v>364</v>
      </c>
      <c r="O1242" s="819">
        <f t="shared" si="273"/>
        <v>965</v>
      </c>
      <c r="P1242" s="819">
        <f t="shared" si="276"/>
        <v>1133</v>
      </c>
      <c r="Q1242" s="819">
        <f t="shared" si="277"/>
        <v>233</v>
      </c>
      <c r="R1242" s="819">
        <f t="shared" si="278"/>
        <v>183</v>
      </c>
      <c r="S1242" s="819">
        <f t="shared" si="279"/>
        <v>338</v>
      </c>
      <c r="T1242" s="819">
        <f t="shared" si="280"/>
        <v>943</v>
      </c>
      <c r="U1242" s="819">
        <f t="shared" si="281"/>
        <v>2830</v>
      </c>
      <c r="V1242" s="819">
        <f t="shared" si="282"/>
        <v>685</v>
      </c>
      <c r="W1242" s="379">
        <f t="shared" si="283"/>
        <v>685</v>
      </c>
      <c r="X1242" s="819" t="str">
        <f t="shared" si="284"/>
        <v/>
      </c>
      <c r="Y1242" s="837"/>
      <c r="Z1242" s="839"/>
      <c r="AA1242" s="838"/>
      <c r="AB1242" s="839"/>
    </row>
    <row r="1243" spans="1:28" ht="14.45">
      <c r="A1243" s="816"/>
      <c r="B1243" s="819" t="s">
        <v>2910</v>
      </c>
      <c r="C1243" s="819" t="s">
        <v>2911</v>
      </c>
      <c r="D1243" s="379" t="s">
        <v>336</v>
      </c>
      <c r="E1243" s="818" t="s">
        <v>191</v>
      </c>
      <c r="F1243" s="820">
        <v>1.4533872409999999</v>
      </c>
      <c r="G1243" s="821">
        <v>9.5948962999999998E-2</v>
      </c>
      <c r="H1243" s="822">
        <v>4435115.7082544798</v>
      </c>
      <c r="I1243" s="819"/>
      <c r="J1243" s="820">
        <v>-4.81383E-4</v>
      </c>
      <c r="K1243" s="819">
        <f t="shared" si="274"/>
        <v>1383</v>
      </c>
      <c r="L1243" s="819">
        <f t="shared" si="275"/>
        <v>1016</v>
      </c>
      <c r="M1243" s="819">
        <f t="shared" si="271"/>
        <v>1383</v>
      </c>
      <c r="N1243" s="819">
        <f t="shared" si="272"/>
        <v>364</v>
      </c>
      <c r="O1243" s="819">
        <f t="shared" si="273"/>
        <v>1262</v>
      </c>
      <c r="P1243" s="819">
        <f t="shared" si="276"/>
        <v>15</v>
      </c>
      <c r="Q1243" s="819">
        <f t="shared" si="277"/>
        <v>593</v>
      </c>
      <c r="R1243" s="819">
        <f t="shared" si="278"/>
        <v>1301</v>
      </c>
      <c r="S1243" s="819">
        <f t="shared" si="279"/>
        <v>338</v>
      </c>
      <c r="T1243" s="819">
        <f t="shared" si="280"/>
        <v>1240</v>
      </c>
      <c r="U1243" s="819">
        <f t="shared" si="281"/>
        <v>3487</v>
      </c>
      <c r="V1243" s="819">
        <f t="shared" si="282"/>
        <v>1540</v>
      </c>
      <c r="W1243" s="379">
        <f t="shared" si="283"/>
        <v>1540</v>
      </c>
      <c r="X1243" s="819" t="str">
        <f t="shared" si="284"/>
        <v/>
      </c>
      <c r="Y1243" s="837"/>
      <c r="Z1243" s="839"/>
      <c r="AA1243" s="838"/>
      <c r="AB1243" s="839"/>
    </row>
    <row r="1244" spans="1:28" ht="13.15">
      <c r="B1244" s="819" t="s">
        <v>2912</v>
      </c>
      <c r="C1244" s="819" t="s">
        <v>2913</v>
      </c>
      <c r="D1244" s="379" t="s">
        <v>336</v>
      </c>
      <c r="E1244" s="818" t="s">
        <v>625</v>
      </c>
      <c r="F1244" s="820">
        <v>0.75551186299999995</v>
      </c>
      <c r="G1244" s="821">
        <v>0</v>
      </c>
      <c r="H1244" s="822">
        <v>30581552.5378245</v>
      </c>
      <c r="I1244" s="819"/>
      <c r="J1244" s="820">
        <v>4.4584600000000003E-6</v>
      </c>
      <c r="K1244" s="819">
        <f t="shared" si="274"/>
        <v>998</v>
      </c>
      <c r="L1244" s="819">
        <f t="shared" si="275"/>
        <v>1084</v>
      </c>
      <c r="M1244" s="819">
        <f t="shared" si="271"/>
        <v>998</v>
      </c>
      <c r="N1244" s="819">
        <f t="shared" si="272"/>
        <v>364</v>
      </c>
      <c r="O1244" s="819">
        <f t="shared" si="273"/>
        <v>449</v>
      </c>
      <c r="P1244" s="819">
        <f t="shared" si="276"/>
        <v>400</v>
      </c>
      <c r="Q1244" s="819">
        <f t="shared" si="277"/>
        <v>661</v>
      </c>
      <c r="R1244" s="819">
        <f t="shared" si="278"/>
        <v>916</v>
      </c>
      <c r="S1244" s="819">
        <f t="shared" si="279"/>
        <v>338</v>
      </c>
      <c r="T1244" s="819">
        <f t="shared" si="280"/>
        <v>427</v>
      </c>
      <c r="U1244" s="819">
        <f t="shared" si="281"/>
        <v>2742</v>
      </c>
      <c r="V1244" s="819">
        <f t="shared" si="282"/>
        <v>407</v>
      </c>
      <c r="W1244" s="379">
        <f t="shared" si="283"/>
        <v>407</v>
      </c>
      <c r="X1244" s="819" t="str">
        <f t="shared" si="284"/>
        <v/>
      </c>
      <c r="Y1244" s="837"/>
      <c r="Z1244" s="839"/>
      <c r="AA1244" s="838"/>
      <c r="AB1244" s="839"/>
    </row>
    <row r="1245" spans="1:28" ht="14.45">
      <c r="A1245" s="816"/>
      <c r="B1245" s="819" t="s">
        <v>2914</v>
      </c>
      <c r="C1245" s="819" t="s">
        <v>2915</v>
      </c>
      <c r="D1245" s="379" t="s">
        <v>336</v>
      </c>
      <c r="E1245" s="818" t="s">
        <v>1832</v>
      </c>
      <c r="F1245" s="820">
        <v>1.389410311</v>
      </c>
      <c r="G1245" s="821">
        <v>3.0911067820000002</v>
      </c>
      <c r="H1245" s="822">
        <v>62477159.905474603</v>
      </c>
      <c r="I1245" s="819"/>
      <c r="J1245" s="820">
        <v>-2.6965699999999998E-5</v>
      </c>
      <c r="K1245" s="819">
        <f t="shared" si="274"/>
        <v>830</v>
      </c>
      <c r="L1245" s="819">
        <f t="shared" si="275"/>
        <v>538</v>
      </c>
      <c r="M1245" s="819">
        <f t="shared" si="271"/>
        <v>830</v>
      </c>
      <c r="N1245" s="819">
        <f t="shared" si="272"/>
        <v>364</v>
      </c>
      <c r="O1245" s="819">
        <f t="shared" si="273"/>
        <v>870</v>
      </c>
      <c r="P1245" s="819">
        <f t="shared" si="276"/>
        <v>568</v>
      </c>
      <c r="Q1245" s="819">
        <f t="shared" si="277"/>
        <v>115</v>
      </c>
      <c r="R1245" s="819">
        <f t="shared" si="278"/>
        <v>748</v>
      </c>
      <c r="S1245" s="819">
        <f t="shared" si="279"/>
        <v>338</v>
      </c>
      <c r="T1245" s="819">
        <f t="shared" si="280"/>
        <v>848</v>
      </c>
      <c r="U1245" s="819">
        <f t="shared" si="281"/>
        <v>2617</v>
      </c>
      <c r="V1245" s="819">
        <f t="shared" si="282"/>
        <v>294</v>
      </c>
      <c r="W1245" s="379">
        <f t="shared" si="283"/>
        <v>294</v>
      </c>
      <c r="X1245" s="819" t="str">
        <f t="shared" si="284"/>
        <v/>
      </c>
      <c r="Y1245" s="837"/>
      <c r="Z1245" s="839"/>
      <c r="AA1245" s="838"/>
      <c r="AB1245" s="839"/>
    </row>
    <row r="1246" spans="1:28" ht="13.15">
      <c r="B1246" s="819" t="s">
        <v>2916</v>
      </c>
      <c r="C1246" s="819" t="s">
        <v>2917</v>
      </c>
      <c r="D1246" s="379" t="s">
        <v>336</v>
      </c>
      <c r="E1246" s="818" t="s">
        <v>453</v>
      </c>
      <c r="F1246" s="820">
        <v>-0.186306577</v>
      </c>
      <c r="G1246" s="821">
        <v>-0.70371780900000003</v>
      </c>
      <c r="H1246" s="822">
        <v>387589042.25655901</v>
      </c>
      <c r="I1246" s="819"/>
      <c r="J1246" s="820">
        <v>7.9431400000000007E-5</v>
      </c>
      <c r="K1246" s="819">
        <f t="shared" si="274"/>
        <v>416</v>
      </c>
      <c r="L1246" s="819">
        <f t="shared" si="275"/>
        <v>1275</v>
      </c>
      <c r="M1246" s="819">
        <f t="shared" si="271"/>
        <v>416</v>
      </c>
      <c r="N1246" s="819">
        <f t="shared" si="272"/>
        <v>364</v>
      </c>
      <c r="O1246" s="819">
        <f t="shared" si="273"/>
        <v>312</v>
      </c>
      <c r="P1246" s="819">
        <f t="shared" si="276"/>
        <v>982</v>
      </c>
      <c r="Q1246" s="819">
        <f t="shared" si="277"/>
        <v>852</v>
      </c>
      <c r="R1246" s="819">
        <f t="shared" si="278"/>
        <v>334</v>
      </c>
      <c r="S1246" s="819">
        <f t="shared" si="279"/>
        <v>338</v>
      </c>
      <c r="T1246" s="819">
        <f t="shared" si="280"/>
        <v>290</v>
      </c>
      <c r="U1246" s="819">
        <f t="shared" si="281"/>
        <v>2796</v>
      </c>
      <c r="V1246" s="819">
        <f t="shared" si="282"/>
        <v>620</v>
      </c>
      <c r="W1246" s="379">
        <f t="shared" si="283"/>
        <v>620</v>
      </c>
      <c r="X1246" s="819" t="str">
        <f t="shared" si="284"/>
        <v/>
      </c>
      <c r="Y1246" s="837"/>
      <c r="Z1246" s="839"/>
      <c r="AA1246" s="838"/>
      <c r="AB1246" s="839"/>
    </row>
    <row r="1247" spans="1:28" ht="14.45">
      <c r="A1247" s="816"/>
      <c r="B1247" s="819" t="s">
        <v>2918</v>
      </c>
      <c r="C1247" s="819" t="s">
        <v>2919</v>
      </c>
      <c r="D1247" s="379" t="s">
        <v>336</v>
      </c>
      <c r="E1247" s="818" t="s">
        <v>460</v>
      </c>
      <c r="F1247" s="820">
        <v>2.299495399</v>
      </c>
      <c r="G1247" s="821">
        <v>-11.458409509999999</v>
      </c>
      <c r="H1247" s="822">
        <v>4721584.4226044202</v>
      </c>
      <c r="I1247" s="819"/>
      <c r="J1247" s="820">
        <v>3.3585100000000002E-4</v>
      </c>
      <c r="K1247" s="819">
        <f t="shared" si="274"/>
        <v>1374</v>
      </c>
      <c r="L1247" s="819">
        <f t="shared" si="275"/>
        <v>1457</v>
      </c>
      <c r="M1247" s="819">
        <f t="shared" si="271"/>
        <v>1374</v>
      </c>
      <c r="N1247" s="819">
        <f t="shared" si="272"/>
        <v>364</v>
      </c>
      <c r="O1247" s="819">
        <f t="shared" si="273"/>
        <v>227</v>
      </c>
      <c r="P1247" s="819">
        <f t="shared" si="276"/>
        <v>24</v>
      </c>
      <c r="Q1247" s="819">
        <f t="shared" si="277"/>
        <v>1034</v>
      </c>
      <c r="R1247" s="819">
        <f t="shared" si="278"/>
        <v>1292</v>
      </c>
      <c r="S1247" s="819">
        <f t="shared" si="279"/>
        <v>338</v>
      </c>
      <c r="T1247" s="819">
        <f t="shared" si="280"/>
        <v>205</v>
      </c>
      <c r="U1247" s="819">
        <f t="shared" si="281"/>
        <v>2893</v>
      </c>
      <c r="V1247" s="819">
        <f t="shared" si="282"/>
        <v>796</v>
      </c>
      <c r="W1247" s="379">
        <f t="shared" si="283"/>
        <v>796</v>
      </c>
      <c r="X1247" s="819" t="str">
        <f t="shared" si="284"/>
        <v/>
      </c>
      <c r="Y1247" s="837"/>
      <c r="Z1247" s="839"/>
      <c r="AA1247" s="838"/>
      <c r="AB1247" s="839"/>
    </row>
    <row r="1248" spans="1:28" ht="13.15">
      <c r="B1248" s="819" t="s">
        <v>2920</v>
      </c>
      <c r="C1248" s="819" t="s">
        <v>2921</v>
      </c>
      <c r="D1248" s="379" t="s">
        <v>336</v>
      </c>
      <c r="E1248" s="818" t="s">
        <v>191</v>
      </c>
      <c r="F1248" s="820">
        <v>2.168468941</v>
      </c>
      <c r="G1248" s="821">
        <v>5.3698269510000003</v>
      </c>
      <c r="H1248" s="822">
        <v>4882091.3616832104</v>
      </c>
      <c r="I1248" s="819"/>
      <c r="J1248" s="820">
        <v>-2.3809499999999999E-4</v>
      </c>
      <c r="K1248" s="819">
        <f t="shared" si="274"/>
        <v>1368</v>
      </c>
      <c r="L1248" s="819">
        <f t="shared" si="275"/>
        <v>361</v>
      </c>
      <c r="M1248" s="819">
        <f t="shared" si="271"/>
        <v>1368</v>
      </c>
      <c r="N1248" s="819">
        <f t="shared" si="272"/>
        <v>364</v>
      </c>
      <c r="O1248" s="819">
        <f t="shared" si="273"/>
        <v>1138</v>
      </c>
      <c r="P1248" s="819">
        <f t="shared" si="276"/>
        <v>30</v>
      </c>
      <c r="Q1248" s="819">
        <f t="shared" si="277"/>
        <v>62</v>
      </c>
      <c r="R1248" s="819">
        <f t="shared" si="278"/>
        <v>1286</v>
      </c>
      <c r="S1248" s="819">
        <f t="shared" si="279"/>
        <v>338</v>
      </c>
      <c r="T1248" s="819">
        <f t="shared" si="280"/>
        <v>1116</v>
      </c>
      <c r="U1248" s="819">
        <f t="shared" si="281"/>
        <v>2832</v>
      </c>
      <c r="V1248" s="819">
        <f t="shared" si="282"/>
        <v>691</v>
      </c>
      <c r="W1248" s="379">
        <f t="shared" si="283"/>
        <v>691</v>
      </c>
      <c r="X1248" s="819" t="str">
        <f t="shared" si="284"/>
        <v/>
      </c>
      <c r="Y1248" s="837"/>
      <c r="Z1248" s="839"/>
      <c r="AA1248" s="838"/>
      <c r="AB1248" s="839"/>
    </row>
    <row r="1249" spans="1:28" ht="14.45">
      <c r="A1249" s="816"/>
      <c r="B1249" s="819" t="s">
        <v>2922</v>
      </c>
      <c r="C1249" s="819" t="s">
        <v>2923</v>
      </c>
      <c r="D1249" s="379" t="s">
        <v>336</v>
      </c>
      <c r="E1249" s="818" t="s">
        <v>418</v>
      </c>
      <c r="F1249" s="820">
        <v>-10.919049429999999</v>
      </c>
      <c r="G1249" s="821">
        <v>2.8789208300000002</v>
      </c>
      <c r="H1249" s="822">
        <v>459754424.61966699</v>
      </c>
      <c r="I1249" s="819"/>
      <c r="J1249" s="820">
        <v>-6.5661199999999994E-5</v>
      </c>
      <c r="K1249" s="819">
        <f t="shared" si="274"/>
        <v>373</v>
      </c>
      <c r="L1249" s="819">
        <f t="shared" si="275"/>
        <v>563</v>
      </c>
      <c r="M1249" s="819">
        <f t="shared" si="271"/>
        <v>373</v>
      </c>
      <c r="N1249" s="819">
        <f t="shared" si="272"/>
        <v>364</v>
      </c>
      <c r="O1249" s="819">
        <f t="shared" si="273"/>
        <v>947</v>
      </c>
      <c r="P1249" s="819">
        <f t="shared" si="276"/>
        <v>1025</v>
      </c>
      <c r="Q1249" s="819">
        <f t="shared" si="277"/>
        <v>140</v>
      </c>
      <c r="R1249" s="819">
        <f t="shared" si="278"/>
        <v>291</v>
      </c>
      <c r="S1249" s="819">
        <f t="shared" si="279"/>
        <v>338</v>
      </c>
      <c r="T1249" s="819">
        <f t="shared" si="280"/>
        <v>925</v>
      </c>
      <c r="U1249" s="819">
        <f t="shared" si="281"/>
        <v>2719</v>
      </c>
      <c r="V1249" s="819">
        <f t="shared" si="282"/>
        <v>379</v>
      </c>
      <c r="W1249" s="379">
        <f t="shared" si="283"/>
        <v>379</v>
      </c>
      <c r="X1249" s="819" t="str">
        <f t="shared" si="284"/>
        <v/>
      </c>
      <c r="Y1249" s="837"/>
      <c r="Z1249" s="839"/>
      <c r="AA1249" s="838"/>
      <c r="AB1249" s="839"/>
    </row>
    <row r="1250" spans="1:28" ht="13.15">
      <c r="B1250" s="819" t="s">
        <v>2924</v>
      </c>
      <c r="C1250" s="819" t="s">
        <v>2925</v>
      </c>
      <c r="D1250" s="379" t="s">
        <v>336</v>
      </c>
      <c r="E1250" s="818" t="s">
        <v>425</v>
      </c>
      <c r="F1250" s="820"/>
      <c r="G1250" s="821"/>
      <c r="H1250" s="822">
        <v>85215954.5581007</v>
      </c>
      <c r="I1250" s="819"/>
      <c r="J1250" s="820">
        <v>0</v>
      </c>
      <c r="K1250" s="819">
        <f t="shared" si="274"/>
        <v>754</v>
      </c>
      <c r="L1250" s="819">
        <f t="shared" si="275"/>
        <v>1084</v>
      </c>
      <c r="M1250" s="819">
        <f t="shared" si="271"/>
        <v>754</v>
      </c>
      <c r="N1250" s="819">
        <f t="shared" si="272"/>
        <v>364</v>
      </c>
      <c r="O1250" s="819">
        <f t="shared" si="273"/>
        <v>492</v>
      </c>
      <c r="P1250" s="819">
        <f t="shared" si="276"/>
        <v>644</v>
      </c>
      <c r="Q1250" s="819">
        <f t="shared" si="277"/>
        <v>661</v>
      </c>
      <c r="R1250" s="819">
        <f t="shared" si="278"/>
        <v>672</v>
      </c>
      <c r="S1250" s="819">
        <f t="shared" si="279"/>
        <v>338</v>
      </c>
      <c r="T1250" s="819">
        <f t="shared" si="280"/>
        <v>470</v>
      </c>
      <c r="U1250" s="819">
        <f t="shared" si="281"/>
        <v>2785</v>
      </c>
      <c r="V1250" s="819">
        <f t="shared" si="282"/>
        <v>463</v>
      </c>
      <c r="W1250" s="379">
        <f t="shared" si="283"/>
        <v>463</v>
      </c>
      <c r="X1250" s="819" t="str">
        <f t="shared" si="284"/>
        <v/>
      </c>
      <c r="Y1250" s="837"/>
      <c r="Z1250" s="839"/>
      <c r="AA1250" s="838"/>
      <c r="AB1250" s="839"/>
    </row>
    <row r="1251" spans="1:28" ht="14.45">
      <c r="A1251" s="816"/>
      <c r="B1251" s="819" t="s">
        <v>2926</v>
      </c>
      <c r="C1251" s="819" t="s">
        <v>2927</v>
      </c>
      <c r="D1251" s="379" t="s">
        <v>336</v>
      </c>
      <c r="E1251" s="818" t="s">
        <v>337</v>
      </c>
      <c r="F1251" s="820">
        <v>0.891099376</v>
      </c>
      <c r="G1251" s="821">
        <v>-1.9721754629999999</v>
      </c>
      <c r="H1251" s="822">
        <v>898890.74</v>
      </c>
      <c r="I1251" s="819"/>
      <c r="J1251" s="820">
        <v>2.84002E-5</v>
      </c>
      <c r="K1251" s="819">
        <f t="shared" si="274"/>
        <v>1564</v>
      </c>
      <c r="L1251" s="819">
        <f t="shared" si="275"/>
        <v>1343</v>
      </c>
      <c r="M1251" s="819">
        <f t="shared" si="271"/>
        <v>1564</v>
      </c>
      <c r="N1251" s="819">
        <f t="shared" si="272"/>
        <v>364</v>
      </c>
      <c r="O1251" s="819">
        <f t="shared" si="273"/>
        <v>386</v>
      </c>
      <c r="P1251" s="819">
        <f t="shared" si="276"/>
        <v>166</v>
      </c>
      <c r="Q1251" s="819">
        <f t="shared" si="277"/>
        <v>920</v>
      </c>
      <c r="R1251" s="819">
        <f t="shared" si="278"/>
        <v>1482</v>
      </c>
      <c r="S1251" s="819">
        <f t="shared" si="279"/>
        <v>338</v>
      </c>
      <c r="T1251" s="819">
        <f t="shared" si="280"/>
        <v>364</v>
      </c>
      <c r="U1251" s="819">
        <f t="shared" si="281"/>
        <v>3270</v>
      </c>
      <c r="V1251" s="819">
        <f t="shared" si="282"/>
        <v>1297</v>
      </c>
      <c r="W1251" s="379">
        <f t="shared" si="283"/>
        <v>1297</v>
      </c>
      <c r="X1251" s="819" t="str">
        <f t="shared" si="284"/>
        <v/>
      </c>
      <c r="Y1251" s="837"/>
      <c r="Z1251" s="839"/>
      <c r="AA1251" s="838"/>
      <c r="AB1251" s="839"/>
    </row>
    <row r="1252" spans="1:28" ht="13.15">
      <c r="B1252" s="819" t="s">
        <v>2928</v>
      </c>
      <c r="C1252" s="819" t="s">
        <v>2929</v>
      </c>
      <c r="D1252" s="379" t="s">
        <v>336</v>
      </c>
      <c r="E1252" s="818" t="s">
        <v>1870</v>
      </c>
      <c r="F1252" s="820"/>
      <c r="G1252" s="821"/>
      <c r="H1252" s="822">
        <v>2925101.1385526699</v>
      </c>
      <c r="I1252" s="819"/>
      <c r="J1252" s="820">
        <v>0</v>
      </c>
      <c r="K1252" s="819">
        <f t="shared" si="274"/>
        <v>1451</v>
      </c>
      <c r="L1252" s="819">
        <f t="shared" si="275"/>
        <v>1084</v>
      </c>
      <c r="M1252" s="819">
        <f t="shared" si="271"/>
        <v>1451</v>
      </c>
      <c r="N1252" s="819">
        <f t="shared" si="272"/>
        <v>364</v>
      </c>
      <c r="O1252" s="819">
        <f t="shared" si="273"/>
        <v>492</v>
      </c>
      <c r="P1252" s="819">
        <f t="shared" si="276"/>
        <v>53</v>
      </c>
      <c r="Q1252" s="819">
        <f t="shared" si="277"/>
        <v>661</v>
      </c>
      <c r="R1252" s="819">
        <f t="shared" si="278"/>
        <v>1369</v>
      </c>
      <c r="S1252" s="819">
        <f t="shared" si="279"/>
        <v>338</v>
      </c>
      <c r="T1252" s="819">
        <f t="shared" si="280"/>
        <v>470</v>
      </c>
      <c r="U1252" s="819">
        <f t="shared" si="281"/>
        <v>2891</v>
      </c>
      <c r="V1252" s="819">
        <f t="shared" si="282"/>
        <v>794</v>
      </c>
      <c r="W1252" s="379">
        <f t="shared" si="283"/>
        <v>794</v>
      </c>
      <c r="X1252" s="819" t="str">
        <f t="shared" si="284"/>
        <v/>
      </c>
      <c r="Y1252" s="837"/>
      <c r="Z1252" s="839"/>
      <c r="AA1252" s="838"/>
      <c r="AB1252" s="839"/>
    </row>
    <row r="1253" spans="1:28" ht="14.45">
      <c r="A1253" s="816"/>
      <c r="B1253" s="819" t="s">
        <v>2930</v>
      </c>
      <c r="C1253" s="819" t="s">
        <v>2931</v>
      </c>
      <c r="D1253" s="379" t="s">
        <v>336</v>
      </c>
      <c r="E1253" s="818" t="s">
        <v>425</v>
      </c>
      <c r="F1253" s="820">
        <v>6.6133880000000004E-3</v>
      </c>
      <c r="G1253" s="821">
        <v>0</v>
      </c>
      <c r="H1253" s="822">
        <v>17945600.791369099</v>
      </c>
      <c r="I1253" s="819"/>
      <c r="J1253" s="820">
        <v>1.37211E-6</v>
      </c>
      <c r="K1253" s="819">
        <f t="shared" si="274"/>
        <v>1128</v>
      </c>
      <c r="L1253" s="819">
        <f t="shared" si="275"/>
        <v>1084</v>
      </c>
      <c r="M1253" s="819">
        <f t="shared" si="271"/>
        <v>1128</v>
      </c>
      <c r="N1253" s="819">
        <f t="shared" si="272"/>
        <v>364</v>
      </c>
      <c r="O1253" s="819">
        <f t="shared" si="273"/>
        <v>476</v>
      </c>
      <c r="P1253" s="819">
        <f t="shared" si="276"/>
        <v>270</v>
      </c>
      <c r="Q1253" s="819">
        <f t="shared" si="277"/>
        <v>661</v>
      </c>
      <c r="R1253" s="819">
        <f t="shared" si="278"/>
        <v>1046</v>
      </c>
      <c r="S1253" s="819">
        <f t="shared" si="279"/>
        <v>338</v>
      </c>
      <c r="T1253" s="819">
        <f t="shared" si="280"/>
        <v>454</v>
      </c>
      <c r="U1253" s="819">
        <f t="shared" si="281"/>
        <v>2769</v>
      </c>
      <c r="V1253" s="819">
        <f t="shared" si="282"/>
        <v>444</v>
      </c>
      <c r="W1253" s="379">
        <f t="shared" si="283"/>
        <v>444</v>
      </c>
      <c r="X1253" s="819" t="str">
        <f t="shared" si="284"/>
        <v/>
      </c>
      <c r="Y1253" s="837"/>
      <c r="Z1253" s="839"/>
      <c r="AA1253" s="838"/>
      <c r="AB1253" s="839"/>
    </row>
    <row r="1254" spans="1:28" ht="13.15">
      <c r="B1254" s="819" t="s">
        <v>2932</v>
      </c>
      <c r="C1254" s="819" t="s">
        <v>2933</v>
      </c>
      <c r="D1254" s="379" t="s">
        <v>336</v>
      </c>
      <c r="E1254" s="818" t="s">
        <v>337</v>
      </c>
      <c r="F1254" s="820">
        <v>0.33461607599999998</v>
      </c>
      <c r="G1254" s="821">
        <v>9.5546355009999999</v>
      </c>
      <c r="H1254" s="822">
        <v>6060152.8976100003</v>
      </c>
      <c r="I1254" s="819"/>
      <c r="J1254" s="820">
        <v>-4.35834E-5</v>
      </c>
      <c r="K1254" s="819">
        <f t="shared" si="274"/>
        <v>1342</v>
      </c>
      <c r="L1254" s="819">
        <f t="shared" si="275"/>
        <v>208</v>
      </c>
      <c r="M1254" s="819">
        <f t="shared" si="271"/>
        <v>1342</v>
      </c>
      <c r="N1254" s="819">
        <f t="shared" si="272"/>
        <v>364</v>
      </c>
      <c r="O1254" s="819">
        <f t="shared" si="273"/>
        <v>908</v>
      </c>
      <c r="P1254" s="819">
        <f t="shared" si="276"/>
        <v>56</v>
      </c>
      <c r="Q1254" s="819">
        <f t="shared" si="277"/>
        <v>215</v>
      </c>
      <c r="R1254" s="819">
        <f t="shared" si="278"/>
        <v>1260</v>
      </c>
      <c r="S1254" s="819">
        <f t="shared" si="279"/>
        <v>338</v>
      </c>
      <c r="T1254" s="819">
        <f t="shared" si="280"/>
        <v>886</v>
      </c>
      <c r="U1254" s="819">
        <f t="shared" si="281"/>
        <v>2755</v>
      </c>
      <c r="V1254" s="819">
        <f t="shared" si="282"/>
        <v>425</v>
      </c>
      <c r="W1254" s="379">
        <f t="shared" si="283"/>
        <v>425</v>
      </c>
      <c r="X1254" s="819" t="str">
        <f t="shared" si="284"/>
        <v/>
      </c>
      <c r="Y1254" s="837"/>
      <c r="Z1254" s="839"/>
      <c r="AA1254" s="838"/>
      <c r="AB1254" s="839"/>
    </row>
    <row r="1255" spans="1:28" ht="14.45">
      <c r="A1255" s="816"/>
      <c r="B1255" s="819" t="s">
        <v>2934</v>
      </c>
      <c r="C1255" s="819" t="s">
        <v>2935</v>
      </c>
      <c r="D1255" s="379" t="s">
        <v>336</v>
      </c>
      <c r="E1255" s="818" t="s">
        <v>460</v>
      </c>
      <c r="F1255" s="820">
        <v>2.0360824740000001</v>
      </c>
      <c r="G1255" s="821">
        <v>28.65531915</v>
      </c>
      <c r="H1255" s="822">
        <v>50561536.898923397</v>
      </c>
      <c r="I1255" s="819"/>
      <c r="J1255" s="820">
        <v>-2.70235E-5</v>
      </c>
      <c r="K1255" s="819">
        <f t="shared" si="274"/>
        <v>876</v>
      </c>
      <c r="L1255" s="819">
        <f t="shared" si="275"/>
        <v>64</v>
      </c>
      <c r="M1255" s="819">
        <f t="shared" si="271"/>
        <v>876</v>
      </c>
      <c r="N1255" s="819">
        <f t="shared" si="272"/>
        <v>364</v>
      </c>
      <c r="O1255" s="819">
        <f t="shared" si="273"/>
        <v>871</v>
      </c>
      <c r="P1255" s="819">
        <f t="shared" si="276"/>
        <v>522</v>
      </c>
      <c r="Q1255" s="819">
        <f t="shared" si="277"/>
        <v>359</v>
      </c>
      <c r="R1255" s="819">
        <f t="shared" si="278"/>
        <v>794</v>
      </c>
      <c r="S1255" s="819">
        <f t="shared" si="279"/>
        <v>338</v>
      </c>
      <c r="T1255" s="819">
        <f t="shared" si="280"/>
        <v>849</v>
      </c>
      <c r="U1255" s="819">
        <f t="shared" si="281"/>
        <v>2862</v>
      </c>
      <c r="V1255" s="819">
        <f t="shared" si="282"/>
        <v>743</v>
      </c>
      <c r="W1255" s="379">
        <f t="shared" si="283"/>
        <v>743</v>
      </c>
      <c r="X1255" s="819" t="str">
        <f t="shared" si="284"/>
        <v/>
      </c>
      <c r="Y1255" s="837"/>
      <c r="Z1255" s="839"/>
      <c r="AA1255" s="838"/>
      <c r="AB1255" s="839"/>
    </row>
    <row r="1256" spans="1:28" ht="13.15">
      <c r="B1256" s="819" t="s">
        <v>2936</v>
      </c>
      <c r="C1256" s="819" t="s">
        <v>2937</v>
      </c>
      <c r="D1256" s="379" t="s">
        <v>336</v>
      </c>
      <c r="E1256" s="818" t="s">
        <v>2377</v>
      </c>
      <c r="F1256" s="820">
        <v>2.1455577859999999</v>
      </c>
      <c r="G1256" s="821">
        <v>-25.443092010000001</v>
      </c>
      <c r="H1256" s="822">
        <v>28778349.466666698</v>
      </c>
      <c r="I1256" s="819"/>
      <c r="J1256" s="820">
        <v>1.9249599999999999E-5</v>
      </c>
      <c r="K1256" s="819">
        <f t="shared" si="274"/>
        <v>1012</v>
      </c>
      <c r="L1256" s="819">
        <f t="shared" si="275"/>
        <v>1485</v>
      </c>
      <c r="M1256" s="819">
        <f t="shared" si="271"/>
        <v>1012</v>
      </c>
      <c r="N1256" s="819">
        <f t="shared" si="272"/>
        <v>364</v>
      </c>
      <c r="O1256" s="819">
        <f t="shared" si="273"/>
        <v>405</v>
      </c>
      <c r="P1256" s="819">
        <f t="shared" si="276"/>
        <v>386</v>
      </c>
      <c r="Q1256" s="819">
        <f t="shared" si="277"/>
        <v>1062</v>
      </c>
      <c r="R1256" s="819">
        <f t="shared" si="278"/>
        <v>930</v>
      </c>
      <c r="S1256" s="819">
        <f t="shared" si="279"/>
        <v>338</v>
      </c>
      <c r="T1256" s="819">
        <f t="shared" si="280"/>
        <v>383</v>
      </c>
      <c r="U1256" s="819">
        <f t="shared" si="281"/>
        <v>3099</v>
      </c>
      <c r="V1256" s="819">
        <f t="shared" si="282"/>
        <v>1068</v>
      </c>
      <c r="W1256" s="379">
        <f t="shared" si="283"/>
        <v>1068</v>
      </c>
      <c r="X1256" s="819" t="str">
        <f t="shared" si="284"/>
        <v/>
      </c>
      <c r="Y1256" s="837"/>
      <c r="Z1256" s="839"/>
      <c r="AA1256" s="838"/>
      <c r="AB1256" s="839"/>
    </row>
    <row r="1257" spans="1:28" ht="14.45">
      <c r="A1257" s="816"/>
      <c r="B1257" s="819" t="s">
        <v>2938</v>
      </c>
      <c r="C1257" s="819" t="s">
        <v>2939</v>
      </c>
      <c r="D1257" s="379" t="s">
        <v>336</v>
      </c>
      <c r="E1257" s="818" t="s">
        <v>189</v>
      </c>
      <c r="F1257" s="820">
        <v>0.55794713900000004</v>
      </c>
      <c r="G1257" s="821">
        <v>7.9118680059999997</v>
      </c>
      <c r="H1257" s="822">
        <v>8417948.1913827695</v>
      </c>
      <c r="I1257" s="819"/>
      <c r="J1257" s="820">
        <v>-4.1009999999999999E-4</v>
      </c>
      <c r="K1257" s="819">
        <f t="shared" si="274"/>
        <v>1286</v>
      </c>
      <c r="L1257" s="819">
        <f t="shared" si="275"/>
        <v>256</v>
      </c>
      <c r="M1257" s="819">
        <f t="shared" si="271"/>
        <v>1286</v>
      </c>
      <c r="N1257" s="819">
        <f t="shared" si="272"/>
        <v>364</v>
      </c>
      <c r="O1257" s="819">
        <f t="shared" si="273"/>
        <v>1233</v>
      </c>
      <c r="P1257" s="819">
        <f t="shared" si="276"/>
        <v>112</v>
      </c>
      <c r="Q1257" s="819">
        <f t="shared" si="277"/>
        <v>167</v>
      </c>
      <c r="R1257" s="819">
        <f t="shared" si="278"/>
        <v>1204</v>
      </c>
      <c r="S1257" s="819">
        <f t="shared" si="279"/>
        <v>338</v>
      </c>
      <c r="T1257" s="819">
        <f t="shared" si="280"/>
        <v>1211</v>
      </c>
      <c r="U1257" s="819">
        <f t="shared" si="281"/>
        <v>3032</v>
      </c>
      <c r="V1257" s="819">
        <f t="shared" si="282"/>
        <v>967</v>
      </c>
      <c r="W1257" s="379">
        <f t="shared" si="283"/>
        <v>967</v>
      </c>
      <c r="X1257" s="819" t="str">
        <f t="shared" si="284"/>
        <v/>
      </c>
      <c r="Y1257" s="837"/>
      <c r="Z1257" s="839"/>
      <c r="AA1257" s="838"/>
      <c r="AB1257" s="839"/>
    </row>
    <row r="1258" spans="1:28" ht="13.15">
      <c r="B1258" s="819" t="s">
        <v>2940</v>
      </c>
      <c r="C1258" s="819" t="s">
        <v>2941</v>
      </c>
      <c r="D1258" s="379" t="s">
        <v>336</v>
      </c>
      <c r="E1258" s="818" t="s">
        <v>745</v>
      </c>
      <c r="F1258" s="820">
        <v>1.538248134</v>
      </c>
      <c r="G1258" s="821">
        <v>0.182776404</v>
      </c>
      <c r="H1258" s="822">
        <v>32694507.853236701</v>
      </c>
      <c r="I1258" s="819"/>
      <c r="J1258" s="820">
        <v>-2.0325700000000001E-4</v>
      </c>
      <c r="K1258" s="819">
        <f t="shared" si="274"/>
        <v>976</v>
      </c>
      <c r="L1258" s="819">
        <f t="shared" si="275"/>
        <v>989</v>
      </c>
      <c r="M1258" s="819">
        <f t="shared" si="271"/>
        <v>976</v>
      </c>
      <c r="N1258" s="819">
        <f t="shared" si="272"/>
        <v>364</v>
      </c>
      <c r="O1258" s="819">
        <f t="shared" si="273"/>
        <v>1107</v>
      </c>
      <c r="P1258" s="819">
        <f t="shared" si="276"/>
        <v>422</v>
      </c>
      <c r="Q1258" s="819">
        <f t="shared" si="277"/>
        <v>566</v>
      </c>
      <c r="R1258" s="819">
        <f t="shared" si="278"/>
        <v>894</v>
      </c>
      <c r="S1258" s="819">
        <f t="shared" si="279"/>
        <v>338</v>
      </c>
      <c r="T1258" s="819">
        <f t="shared" si="280"/>
        <v>1085</v>
      </c>
      <c r="U1258" s="819">
        <f t="shared" si="281"/>
        <v>3305</v>
      </c>
      <c r="V1258" s="819">
        <f t="shared" si="282"/>
        <v>1353</v>
      </c>
      <c r="W1258" s="379">
        <f t="shared" si="283"/>
        <v>1353</v>
      </c>
      <c r="X1258" s="819" t="str">
        <f t="shared" si="284"/>
        <v/>
      </c>
      <c r="Y1258" s="837"/>
      <c r="Z1258" s="839"/>
      <c r="AA1258" s="838"/>
      <c r="AB1258" s="839"/>
    </row>
    <row r="1259" spans="1:28" ht="14.45">
      <c r="A1259" s="816"/>
      <c r="B1259" s="819" t="s">
        <v>2942</v>
      </c>
      <c r="C1259" s="819" t="s">
        <v>2943</v>
      </c>
      <c r="D1259" s="379" t="s">
        <v>336</v>
      </c>
      <c r="E1259" s="818" t="s">
        <v>625</v>
      </c>
      <c r="F1259" s="820">
        <v>1.5828100570000001</v>
      </c>
      <c r="G1259" s="821">
        <v>-1.478464515</v>
      </c>
      <c r="H1259" s="822">
        <v>140966563.658838</v>
      </c>
      <c r="I1259" s="819"/>
      <c r="J1259" s="820">
        <v>2.5435799999999999E-4</v>
      </c>
      <c r="K1259" s="819">
        <f t="shared" si="274"/>
        <v>637</v>
      </c>
      <c r="L1259" s="819">
        <f t="shared" si="275"/>
        <v>1323</v>
      </c>
      <c r="M1259" s="819">
        <f t="shared" si="271"/>
        <v>637</v>
      </c>
      <c r="N1259" s="819">
        <f t="shared" si="272"/>
        <v>364</v>
      </c>
      <c r="O1259" s="819">
        <f t="shared" si="273"/>
        <v>241</v>
      </c>
      <c r="P1259" s="819">
        <f t="shared" si="276"/>
        <v>761</v>
      </c>
      <c r="Q1259" s="819">
        <f t="shared" si="277"/>
        <v>900</v>
      </c>
      <c r="R1259" s="819">
        <f t="shared" si="278"/>
        <v>555</v>
      </c>
      <c r="S1259" s="819">
        <f t="shared" si="279"/>
        <v>338</v>
      </c>
      <c r="T1259" s="819">
        <f t="shared" si="280"/>
        <v>219</v>
      </c>
      <c r="U1259" s="819">
        <f t="shared" si="281"/>
        <v>2773</v>
      </c>
      <c r="V1259" s="819">
        <f t="shared" si="282"/>
        <v>448</v>
      </c>
      <c r="W1259" s="379">
        <f t="shared" si="283"/>
        <v>448</v>
      </c>
      <c r="X1259" s="819" t="str">
        <f t="shared" si="284"/>
        <v/>
      </c>
      <c r="Y1259" s="837"/>
      <c r="Z1259" s="839"/>
      <c r="AA1259" s="838"/>
      <c r="AB1259" s="839"/>
    </row>
    <row r="1260" spans="1:28" ht="13.15">
      <c r="B1260" s="819" t="s">
        <v>2944</v>
      </c>
      <c r="C1260" s="819" t="s">
        <v>2945</v>
      </c>
      <c r="D1260" s="379" t="s">
        <v>336</v>
      </c>
      <c r="E1260" s="818" t="s">
        <v>685</v>
      </c>
      <c r="F1260" s="820">
        <v>3.495931288</v>
      </c>
      <c r="G1260" s="821">
        <v>3.5742591730000002</v>
      </c>
      <c r="H1260" s="822">
        <v>3595251.17682721</v>
      </c>
      <c r="I1260" s="819"/>
      <c r="J1260" s="820">
        <v>-6.4703299999999998E-4</v>
      </c>
      <c r="K1260" s="819">
        <f t="shared" si="274"/>
        <v>1422</v>
      </c>
      <c r="L1260" s="819">
        <f t="shared" si="275"/>
        <v>489</v>
      </c>
      <c r="M1260" s="819">
        <f t="shared" si="271"/>
        <v>1422</v>
      </c>
      <c r="N1260" s="819">
        <f t="shared" si="272"/>
        <v>364</v>
      </c>
      <c r="O1260" s="819">
        <f t="shared" si="273"/>
        <v>1331</v>
      </c>
      <c r="P1260" s="819">
        <f t="shared" si="276"/>
        <v>24</v>
      </c>
      <c r="Q1260" s="819">
        <f t="shared" si="277"/>
        <v>66</v>
      </c>
      <c r="R1260" s="819">
        <f t="shared" si="278"/>
        <v>1340</v>
      </c>
      <c r="S1260" s="819">
        <f t="shared" si="279"/>
        <v>338</v>
      </c>
      <c r="T1260" s="819">
        <f t="shared" si="280"/>
        <v>1309</v>
      </c>
      <c r="U1260" s="819">
        <f t="shared" si="281"/>
        <v>3077</v>
      </c>
      <c r="V1260" s="819">
        <f t="shared" si="282"/>
        <v>1021</v>
      </c>
      <c r="W1260" s="379">
        <f t="shared" si="283"/>
        <v>1021</v>
      </c>
      <c r="X1260" s="819" t="str">
        <f t="shared" si="284"/>
        <v/>
      </c>
      <c r="Y1260" s="837"/>
      <c r="Z1260" s="839"/>
      <c r="AA1260" s="838"/>
      <c r="AB1260" s="839"/>
    </row>
    <row r="1261" spans="1:28" ht="14.45">
      <c r="A1261" s="816"/>
      <c r="B1261" s="819" t="s">
        <v>2946</v>
      </c>
      <c r="C1261" s="819" t="s">
        <v>2947</v>
      </c>
      <c r="D1261" s="379" t="s">
        <v>336</v>
      </c>
      <c r="E1261" s="818" t="s">
        <v>189</v>
      </c>
      <c r="F1261" s="820"/>
      <c r="G1261" s="821"/>
      <c r="H1261" s="822">
        <v>35956833.169463903</v>
      </c>
      <c r="I1261" s="819"/>
      <c r="J1261" s="820">
        <v>0</v>
      </c>
      <c r="K1261" s="819">
        <f t="shared" si="274"/>
        <v>954</v>
      </c>
      <c r="L1261" s="819">
        <f t="shared" si="275"/>
        <v>1084</v>
      </c>
      <c r="M1261" s="819">
        <f t="shared" si="271"/>
        <v>954</v>
      </c>
      <c r="N1261" s="819">
        <f t="shared" si="272"/>
        <v>364</v>
      </c>
      <c r="O1261" s="819">
        <f t="shared" si="273"/>
        <v>492</v>
      </c>
      <c r="P1261" s="819">
        <f t="shared" si="276"/>
        <v>444</v>
      </c>
      <c r="Q1261" s="819">
        <f t="shared" si="277"/>
        <v>661</v>
      </c>
      <c r="R1261" s="819">
        <f t="shared" si="278"/>
        <v>872</v>
      </c>
      <c r="S1261" s="819">
        <f t="shared" si="279"/>
        <v>338</v>
      </c>
      <c r="T1261" s="819">
        <f t="shared" si="280"/>
        <v>470</v>
      </c>
      <c r="U1261" s="819">
        <f t="shared" si="281"/>
        <v>2785</v>
      </c>
      <c r="V1261" s="819">
        <f t="shared" si="282"/>
        <v>463</v>
      </c>
      <c r="W1261" s="379">
        <f t="shared" si="283"/>
        <v>463</v>
      </c>
      <c r="X1261" s="819" t="str">
        <f t="shared" si="284"/>
        <v/>
      </c>
      <c r="Y1261" s="837"/>
      <c r="Z1261" s="839"/>
      <c r="AA1261" s="838"/>
      <c r="AB1261" s="839"/>
    </row>
    <row r="1262" spans="1:28" ht="13.15">
      <c r="B1262" s="819" t="s">
        <v>2948</v>
      </c>
      <c r="C1262" s="819" t="s">
        <v>2949</v>
      </c>
      <c r="D1262" s="379" t="s">
        <v>336</v>
      </c>
      <c r="E1262" s="818" t="s">
        <v>1077</v>
      </c>
      <c r="F1262" s="820">
        <v>-1.7811538929999999</v>
      </c>
      <c r="G1262" s="821">
        <v>-2.2996431300000002</v>
      </c>
      <c r="H1262" s="822">
        <v>177375060.294774</v>
      </c>
      <c r="I1262" s="819"/>
      <c r="J1262" s="820">
        <v>1.3401999999999999E-4</v>
      </c>
      <c r="K1262" s="819">
        <f t="shared" si="274"/>
        <v>601</v>
      </c>
      <c r="L1262" s="819">
        <f t="shared" si="275"/>
        <v>1353</v>
      </c>
      <c r="M1262" s="819">
        <f t="shared" si="271"/>
        <v>601</v>
      </c>
      <c r="N1262" s="819">
        <f t="shared" si="272"/>
        <v>364</v>
      </c>
      <c r="O1262" s="819">
        <f t="shared" si="273"/>
        <v>280</v>
      </c>
      <c r="P1262" s="819">
        <f t="shared" si="276"/>
        <v>797</v>
      </c>
      <c r="Q1262" s="819">
        <f t="shared" si="277"/>
        <v>930</v>
      </c>
      <c r="R1262" s="819">
        <f t="shared" si="278"/>
        <v>519</v>
      </c>
      <c r="S1262" s="819">
        <f t="shared" si="279"/>
        <v>338</v>
      </c>
      <c r="T1262" s="819">
        <f t="shared" si="280"/>
        <v>258</v>
      </c>
      <c r="U1262" s="819">
        <f t="shared" si="281"/>
        <v>2842</v>
      </c>
      <c r="V1262" s="819">
        <f t="shared" si="282"/>
        <v>706</v>
      </c>
      <c r="W1262" s="379">
        <f t="shared" si="283"/>
        <v>706</v>
      </c>
      <c r="X1262" s="819" t="str">
        <f t="shared" si="284"/>
        <v/>
      </c>
      <c r="Y1262" s="837"/>
      <c r="Z1262" s="839"/>
      <c r="AA1262" s="838"/>
      <c r="AB1262" s="839"/>
    </row>
    <row r="1263" spans="1:28" ht="14.45">
      <c r="A1263" s="816"/>
      <c r="B1263" s="819" t="s">
        <v>2950</v>
      </c>
      <c r="C1263" s="819" t="s">
        <v>2951</v>
      </c>
      <c r="D1263" s="379" t="s">
        <v>336</v>
      </c>
      <c r="E1263" s="818" t="s">
        <v>1720</v>
      </c>
      <c r="F1263" s="820">
        <v>1.480250947</v>
      </c>
      <c r="G1263" s="821">
        <v>3.4147412479999999</v>
      </c>
      <c r="H1263" s="822"/>
      <c r="I1263" s="819"/>
      <c r="J1263" s="820">
        <v>-1.3242899999999999E-4</v>
      </c>
      <c r="K1263" s="819" t="str">
        <f t="shared" si="274"/>
        <v>N/A</v>
      </c>
      <c r="L1263" s="819">
        <f t="shared" si="275"/>
        <v>512</v>
      </c>
      <c r="M1263" s="819" t="str">
        <f t="shared" si="271"/>
        <v>N/A</v>
      </c>
      <c r="N1263" s="819">
        <f t="shared" si="272"/>
        <v>364</v>
      </c>
      <c r="O1263" s="819">
        <f t="shared" si="273"/>
        <v>1043</v>
      </c>
      <c r="P1263" s="819" t="str">
        <f t="shared" si="276"/>
        <v>N/A</v>
      </c>
      <c r="Q1263" s="819">
        <f t="shared" si="277"/>
        <v>89</v>
      </c>
      <c r="R1263" s="819" t="str">
        <f t="shared" si="278"/>
        <v>N/A</v>
      </c>
      <c r="S1263" s="819">
        <f t="shared" si="279"/>
        <v>338</v>
      </c>
      <c r="T1263" s="819">
        <f t="shared" si="280"/>
        <v>1021</v>
      </c>
      <c r="U1263" s="819">
        <f t="shared" si="281"/>
        <v>1448</v>
      </c>
      <c r="V1263" s="819">
        <f t="shared" si="282"/>
        <v>16</v>
      </c>
      <c r="W1263" s="379">
        <f t="shared" si="283"/>
        <v>16</v>
      </c>
      <c r="X1263" s="819" t="str">
        <f t="shared" si="284"/>
        <v/>
      </c>
      <c r="Y1263" s="837"/>
      <c r="Z1263" s="839"/>
      <c r="AA1263" s="838"/>
      <c r="AB1263" s="839"/>
    </row>
    <row r="1264" spans="1:28" ht="13.15">
      <c r="B1264" s="819" t="s">
        <v>2952</v>
      </c>
      <c r="C1264" s="819" t="s">
        <v>2953</v>
      </c>
      <c r="D1264" s="379" t="s">
        <v>336</v>
      </c>
      <c r="E1264" s="818" t="s">
        <v>191</v>
      </c>
      <c r="F1264" s="820">
        <v>1.8844313399999999</v>
      </c>
      <c r="G1264" s="821">
        <v>11.3240619</v>
      </c>
      <c r="H1264" s="822">
        <v>1853953.5667491599</v>
      </c>
      <c r="I1264" s="819"/>
      <c r="J1264" s="820">
        <v>-1.3798900000000001E-4</v>
      </c>
      <c r="K1264" s="819">
        <f t="shared" si="274"/>
        <v>1508</v>
      </c>
      <c r="L1264" s="819">
        <f t="shared" si="275"/>
        <v>167</v>
      </c>
      <c r="M1264" s="819">
        <f t="shared" si="271"/>
        <v>1508</v>
      </c>
      <c r="N1264" s="819">
        <f t="shared" si="272"/>
        <v>364</v>
      </c>
      <c r="O1264" s="819">
        <f t="shared" si="273"/>
        <v>1051</v>
      </c>
      <c r="P1264" s="819">
        <f t="shared" si="276"/>
        <v>110</v>
      </c>
      <c r="Q1264" s="819">
        <f t="shared" si="277"/>
        <v>256</v>
      </c>
      <c r="R1264" s="819">
        <f t="shared" si="278"/>
        <v>1426</v>
      </c>
      <c r="S1264" s="819">
        <f t="shared" si="279"/>
        <v>338</v>
      </c>
      <c r="T1264" s="819">
        <f t="shared" si="280"/>
        <v>1029</v>
      </c>
      <c r="U1264" s="819">
        <f t="shared" si="281"/>
        <v>3159</v>
      </c>
      <c r="V1264" s="819">
        <f t="shared" si="282"/>
        <v>1140</v>
      </c>
      <c r="W1264" s="379">
        <f t="shared" si="283"/>
        <v>1140</v>
      </c>
      <c r="X1264" s="819" t="str">
        <f t="shared" si="284"/>
        <v/>
      </c>
      <c r="Y1264" s="837"/>
      <c r="Z1264" s="839"/>
      <c r="AA1264" s="838"/>
      <c r="AB1264" s="839"/>
    </row>
    <row r="1265" spans="1:28" ht="14.45">
      <c r="A1265" s="816"/>
      <c r="B1265" s="819" t="s">
        <v>2954</v>
      </c>
      <c r="C1265" s="819" t="s">
        <v>2955</v>
      </c>
      <c r="D1265" s="379" t="s">
        <v>336</v>
      </c>
      <c r="E1265" s="818" t="s">
        <v>378</v>
      </c>
      <c r="F1265" s="820">
        <v>-1.7350589E-2</v>
      </c>
      <c r="G1265" s="821">
        <v>-1.3595737649999999</v>
      </c>
      <c r="H1265" s="822">
        <v>18298808.125232</v>
      </c>
      <c r="I1265" s="819"/>
      <c r="J1265" s="820">
        <v>5.15487E-6</v>
      </c>
      <c r="K1265" s="819">
        <f t="shared" si="274"/>
        <v>1121</v>
      </c>
      <c r="L1265" s="819">
        <f t="shared" si="275"/>
        <v>1315</v>
      </c>
      <c r="M1265" s="819">
        <f t="shared" si="271"/>
        <v>1121</v>
      </c>
      <c r="N1265" s="819">
        <f t="shared" si="272"/>
        <v>364</v>
      </c>
      <c r="O1265" s="819">
        <f t="shared" si="273"/>
        <v>443</v>
      </c>
      <c r="P1265" s="819">
        <f t="shared" si="276"/>
        <v>277</v>
      </c>
      <c r="Q1265" s="819">
        <f t="shared" si="277"/>
        <v>892</v>
      </c>
      <c r="R1265" s="819">
        <f t="shared" si="278"/>
        <v>1039</v>
      </c>
      <c r="S1265" s="819">
        <f t="shared" si="279"/>
        <v>338</v>
      </c>
      <c r="T1265" s="819">
        <f t="shared" si="280"/>
        <v>421</v>
      </c>
      <c r="U1265" s="819">
        <f t="shared" si="281"/>
        <v>2967</v>
      </c>
      <c r="V1265" s="819">
        <f t="shared" si="282"/>
        <v>888</v>
      </c>
      <c r="W1265" s="379">
        <f t="shared" si="283"/>
        <v>888</v>
      </c>
      <c r="X1265" s="819" t="str">
        <f t="shared" si="284"/>
        <v/>
      </c>
      <c r="Y1265" s="837"/>
      <c r="Z1265" s="839"/>
      <c r="AA1265" s="838"/>
      <c r="AB1265" s="839"/>
    </row>
    <row r="1266" spans="1:28" ht="13.15">
      <c r="B1266" s="819" t="s">
        <v>2956</v>
      </c>
      <c r="C1266" s="819" t="s">
        <v>2957</v>
      </c>
      <c r="D1266" s="379" t="s">
        <v>336</v>
      </c>
      <c r="E1266" s="818" t="s">
        <v>941</v>
      </c>
      <c r="F1266" s="820">
        <v>1.280564415</v>
      </c>
      <c r="G1266" s="821">
        <v>0</v>
      </c>
      <c r="H1266" s="822">
        <v>61275518.3025425</v>
      </c>
      <c r="I1266" s="819"/>
      <c r="J1266" s="820">
        <v>2.1450700000000001E-5</v>
      </c>
      <c r="K1266" s="819">
        <f t="shared" si="274"/>
        <v>836</v>
      </c>
      <c r="L1266" s="819">
        <f t="shared" si="275"/>
        <v>1084</v>
      </c>
      <c r="M1266" s="819">
        <f t="shared" si="271"/>
        <v>836</v>
      </c>
      <c r="N1266" s="819">
        <f t="shared" si="272"/>
        <v>364</v>
      </c>
      <c r="O1266" s="819">
        <f t="shared" si="273"/>
        <v>400</v>
      </c>
      <c r="P1266" s="819">
        <f t="shared" si="276"/>
        <v>562</v>
      </c>
      <c r="Q1266" s="819">
        <f t="shared" si="277"/>
        <v>661</v>
      </c>
      <c r="R1266" s="819">
        <f t="shared" si="278"/>
        <v>754</v>
      </c>
      <c r="S1266" s="819">
        <f t="shared" si="279"/>
        <v>338</v>
      </c>
      <c r="T1266" s="819">
        <f t="shared" si="280"/>
        <v>378</v>
      </c>
      <c r="U1266" s="819">
        <f t="shared" si="281"/>
        <v>2693</v>
      </c>
      <c r="V1266" s="819">
        <f t="shared" si="282"/>
        <v>347</v>
      </c>
      <c r="W1266" s="379">
        <f t="shared" si="283"/>
        <v>347</v>
      </c>
      <c r="X1266" s="819" t="str">
        <f t="shared" si="284"/>
        <v/>
      </c>
      <c r="Y1266" s="837"/>
      <c r="Z1266" s="839"/>
      <c r="AA1266" s="838"/>
      <c r="AB1266" s="839"/>
    </row>
    <row r="1267" spans="1:28" ht="14.45">
      <c r="A1267" s="816"/>
      <c r="B1267" s="819" t="s">
        <v>2958</v>
      </c>
      <c r="C1267" s="819" t="s">
        <v>2959</v>
      </c>
      <c r="D1267" s="379" t="s">
        <v>336</v>
      </c>
      <c r="E1267" s="818" t="s">
        <v>337</v>
      </c>
      <c r="F1267" s="820">
        <v>1.6136751899999999</v>
      </c>
      <c r="G1267" s="821">
        <v>7.519688908</v>
      </c>
      <c r="H1267" s="822">
        <v>486080.32049999997</v>
      </c>
      <c r="I1267" s="819"/>
      <c r="J1267" s="820">
        <v>-8.3844799999999994E-5</v>
      </c>
      <c r="K1267" s="819">
        <f t="shared" si="274"/>
        <v>1602</v>
      </c>
      <c r="L1267" s="819">
        <f t="shared" si="275"/>
        <v>274</v>
      </c>
      <c r="M1267" s="819">
        <f t="shared" si="271"/>
        <v>1602</v>
      </c>
      <c r="N1267" s="819">
        <f t="shared" si="272"/>
        <v>364</v>
      </c>
      <c r="O1267" s="819">
        <f t="shared" si="273"/>
        <v>984</v>
      </c>
      <c r="P1267" s="819">
        <f t="shared" si="276"/>
        <v>204</v>
      </c>
      <c r="Q1267" s="819">
        <f t="shared" si="277"/>
        <v>149</v>
      </c>
      <c r="R1267" s="819">
        <f t="shared" si="278"/>
        <v>1520</v>
      </c>
      <c r="S1267" s="819">
        <f t="shared" si="279"/>
        <v>338</v>
      </c>
      <c r="T1267" s="819">
        <f t="shared" si="280"/>
        <v>962</v>
      </c>
      <c r="U1267" s="819">
        <f t="shared" si="281"/>
        <v>3173</v>
      </c>
      <c r="V1267" s="819">
        <f t="shared" si="282"/>
        <v>1162</v>
      </c>
      <c r="W1267" s="379">
        <f t="shared" si="283"/>
        <v>1162</v>
      </c>
      <c r="X1267" s="819" t="str">
        <f t="shared" si="284"/>
        <v/>
      </c>
      <c r="Y1267" s="837"/>
      <c r="Z1267" s="839"/>
      <c r="AA1267" s="838"/>
      <c r="AB1267" s="839"/>
    </row>
    <row r="1268" spans="1:28" ht="13.15">
      <c r="B1268" s="819" t="s">
        <v>2960</v>
      </c>
      <c r="C1268" s="819" t="s">
        <v>2961</v>
      </c>
      <c r="D1268" s="379" t="s">
        <v>336</v>
      </c>
      <c r="E1268" s="818" t="s">
        <v>2962</v>
      </c>
      <c r="F1268" s="820">
        <v>1.397755286</v>
      </c>
      <c r="G1268" s="821">
        <v>6.3936339999999994E-2</v>
      </c>
      <c r="H1268" s="822">
        <v>6925943.2961313203</v>
      </c>
      <c r="I1268" s="819">
        <v>0.06</v>
      </c>
      <c r="J1268" s="820">
        <v>-5.0153100000000005E-4</v>
      </c>
      <c r="K1268" s="819">
        <f t="shared" si="274"/>
        <v>1324</v>
      </c>
      <c r="L1268" s="819">
        <f t="shared" si="275"/>
        <v>1036</v>
      </c>
      <c r="M1268" s="819">
        <f t="shared" si="271"/>
        <v>1324</v>
      </c>
      <c r="N1268" s="819">
        <f t="shared" si="272"/>
        <v>300</v>
      </c>
      <c r="O1268" s="819">
        <f t="shared" si="273"/>
        <v>1271</v>
      </c>
      <c r="P1268" s="819">
        <f t="shared" si="276"/>
        <v>74</v>
      </c>
      <c r="Q1268" s="819">
        <f t="shared" si="277"/>
        <v>613</v>
      </c>
      <c r="R1268" s="819">
        <f t="shared" si="278"/>
        <v>1242</v>
      </c>
      <c r="S1268" s="819">
        <f t="shared" si="279"/>
        <v>274</v>
      </c>
      <c r="T1268" s="819">
        <f t="shared" si="280"/>
        <v>1249</v>
      </c>
      <c r="U1268" s="819">
        <f t="shared" si="281"/>
        <v>3452</v>
      </c>
      <c r="V1268" s="819">
        <f t="shared" si="282"/>
        <v>1508</v>
      </c>
      <c r="W1268" s="379">
        <f t="shared" si="283"/>
        <v>1508</v>
      </c>
      <c r="X1268" s="819" t="str">
        <f t="shared" si="284"/>
        <v/>
      </c>
      <c r="Y1268" s="837"/>
      <c r="Z1268" s="839"/>
      <c r="AA1268" s="838"/>
      <c r="AB1268" s="839"/>
    </row>
    <row r="1269" spans="1:28" ht="14.45">
      <c r="A1269" s="816"/>
      <c r="B1269" s="819" t="s">
        <v>2963</v>
      </c>
      <c r="C1269" s="819" t="s">
        <v>2964</v>
      </c>
      <c r="D1269" s="379" t="s">
        <v>336</v>
      </c>
      <c r="E1269" s="818" t="s">
        <v>941</v>
      </c>
      <c r="F1269" s="820">
        <v>-9.7946412999999996E-2</v>
      </c>
      <c r="G1269" s="821">
        <v>-67.413246939999993</v>
      </c>
      <c r="H1269" s="822">
        <v>8969195.53685751</v>
      </c>
      <c r="I1269" s="819"/>
      <c r="J1269" s="820">
        <v>2.9463199999999999E-5</v>
      </c>
      <c r="K1269" s="819">
        <f t="shared" si="274"/>
        <v>1269</v>
      </c>
      <c r="L1269" s="819">
        <f t="shared" si="275"/>
        <v>1514</v>
      </c>
      <c r="M1269" s="819">
        <f t="shared" si="271"/>
        <v>1269</v>
      </c>
      <c r="N1269" s="819">
        <f t="shared" si="272"/>
        <v>364</v>
      </c>
      <c r="O1269" s="819">
        <f t="shared" si="273"/>
        <v>380</v>
      </c>
      <c r="P1269" s="819">
        <f t="shared" si="276"/>
        <v>129</v>
      </c>
      <c r="Q1269" s="819">
        <f t="shared" si="277"/>
        <v>1091</v>
      </c>
      <c r="R1269" s="819">
        <f t="shared" si="278"/>
        <v>1187</v>
      </c>
      <c r="S1269" s="819">
        <f t="shared" si="279"/>
        <v>338</v>
      </c>
      <c r="T1269" s="819">
        <f t="shared" si="280"/>
        <v>358</v>
      </c>
      <c r="U1269" s="819">
        <f t="shared" si="281"/>
        <v>3103</v>
      </c>
      <c r="V1269" s="819">
        <f t="shared" si="282"/>
        <v>1070</v>
      </c>
      <c r="W1269" s="379">
        <f t="shared" si="283"/>
        <v>1070</v>
      </c>
      <c r="X1269" s="819" t="str">
        <f t="shared" si="284"/>
        <v/>
      </c>
      <c r="Y1269" s="837"/>
      <c r="Z1269" s="839"/>
      <c r="AA1269" s="838"/>
      <c r="AB1269" s="839"/>
    </row>
    <row r="1270" spans="1:28" ht="13.15">
      <c r="B1270" s="819" t="s">
        <v>2965</v>
      </c>
      <c r="C1270" s="819" t="s">
        <v>2966</v>
      </c>
      <c r="D1270" s="379" t="s">
        <v>336</v>
      </c>
      <c r="E1270" s="818" t="s">
        <v>676</v>
      </c>
      <c r="F1270" s="820">
        <v>1.778552967</v>
      </c>
      <c r="G1270" s="821">
        <v>-0.66951980799999999</v>
      </c>
      <c r="H1270" s="822">
        <v>347661412.16399699</v>
      </c>
      <c r="I1270" s="819"/>
      <c r="J1270" s="820">
        <v>8.5557799999999996E-4</v>
      </c>
      <c r="K1270" s="819">
        <f t="shared" si="274"/>
        <v>440</v>
      </c>
      <c r="L1270" s="819">
        <f t="shared" si="275"/>
        <v>1271</v>
      </c>
      <c r="M1270" s="819">
        <f t="shared" si="271"/>
        <v>440</v>
      </c>
      <c r="N1270" s="819">
        <f t="shared" si="272"/>
        <v>364</v>
      </c>
      <c r="O1270" s="819">
        <f t="shared" si="273"/>
        <v>183</v>
      </c>
      <c r="P1270" s="819">
        <f t="shared" si="276"/>
        <v>958</v>
      </c>
      <c r="Q1270" s="819">
        <f t="shared" si="277"/>
        <v>848</v>
      </c>
      <c r="R1270" s="819">
        <f t="shared" si="278"/>
        <v>358</v>
      </c>
      <c r="S1270" s="819">
        <f t="shared" si="279"/>
        <v>338</v>
      </c>
      <c r="T1270" s="819">
        <f t="shared" si="280"/>
        <v>161</v>
      </c>
      <c r="U1270" s="819">
        <f t="shared" si="281"/>
        <v>2663</v>
      </c>
      <c r="V1270" s="819">
        <f t="shared" si="282"/>
        <v>327</v>
      </c>
      <c r="W1270" s="379">
        <f t="shared" si="283"/>
        <v>327</v>
      </c>
      <c r="X1270" s="819" t="str">
        <f t="shared" si="284"/>
        <v/>
      </c>
      <c r="Y1270" s="837"/>
      <c r="Z1270" s="839"/>
      <c r="AA1270" s="838"/>
      <c r="AB1270" s="839"/>
    </row>
    <row r="1271" spans="1:28" ht="14.45">
      <c r="A1271" s="816"/>
      <c r="B1271" s="819" t="s">
        <v>2967</v>
      </c>
      <c r="C1271" s="819" t="s">
        <v>2968</v>
      </c>
      <c r="D1271" s="379" t="s">
        <v>336</v>
      </c>
      <c r="E1271" s="818" t="s">
        <v>337</v>
      </c>
      <c r="F1271" s="820">
        <v>-7.6193195000000005E-2</v>
      </c>
      <c r="G1271" s="821">
        <v>-0.68689361699999996</v>
      </c>
      <c r="H1271" s="822">
        <v>2785247.95475</v>
      </c>
      <c r="I1271" s="819"/>
      <c r="J1271" s="820">
        <v>4.5980499999999998E-5</v>
      </c>
      <c r="K1271" s="819">
        <f t="shared" si="274"/>
        <v>1455</v>
      </c>
      <c r="L1271" s="819">
        <f t="shared" si="275"/>
        <v>1274</v>
      </c>
      <c r="M1271" s="819">
        <f t="shared" si="271"/>
        <v>1455</v>
      </c>
      <c r="N1271" s="819">
        <f t="shared" si="272"/>
        <v>364</v>
      </c>
      <c r="O1271" s="819">
        <f t="shared" si="273"/>
        <v>353</v>
      </c>
      <c r="P1271" s="819">
        <f t="shared" si="276"/>
        <v>57</v>
      </c>
      <c r="Q1271" s="819">
        <f t="shared" si="277"/>
        <v>851</v>
      </c>
      <c r="R1271" s="819">
        <f t="shared" si="278"/>
        <v>1373</v>
      </c>
      <c r="S1271" s="819">
        <f t="shared" si="279"/>
        <v>338</v>
      </c>
      <c r="T1271" s="819">
        <f t="shared" si="280"/>
        <v>331</v>
      </c>
      <c r="U1271" s="819">
        <f t="shared" si="281"/>
        <v>2950</v>
      </c>
      <c r="V1271" s="819">
        <f t="shared" si="282"/>
        <v>862</v>
      </c>
      <c r="W1271" s="379">
        <f t="shared" si="283"/>
        <v>862</v>
      </c>
      <c r="X1271" s="819" t="str">
        <f t="shared" si="284"/>
        <v/>
      </c>
      <c r="Y1271" s="837"/>
      <c r="Z1271" s="839"/>
      <c r="AA1271" s="838"/>
      <c r="AB1271" s="839"/>
    </row>
    <row r="1272" spans="1:28" ht="13.15">
      <c r="B1272" s="819" t="s">
        <v>2969</v>
      </c>
      <c r="C1272" s="819" t="s">
        <v>2970</v>
      </c>
      <c r="D1272" s="379" t="s">
        <v>336</v>
      </c>
      <c r="E1272" s="818" t="s">
        <v>441</v>
      </c>
      <c r="F1272" s="820">
        <v>-0.110897511</v>
      </c>
      <c r="G1272" s="821">
        <v>-8.5249862650000008</v>
      </c>
      <c r="H1272" s="822">
        <v>171206551.51829401</v>
      </c>
      <c r="I1272" s="819"/>
      <c r="J1272" s="820">
        <v>9.81813E-4</v>
      </c>
      <c r="K1272" s="819">
        <f t="shared" si="274"/>
        <v>607</v>
      </c>
      <c r="L1272" s="819">
        <f t="shared" si="275"/>
        <v>1439</v>
      </c>
      <c r="M1272" s="819">
        <f t="shared" si="271"/>
        <v>607</v>
      </c>
      <c r="N1272" s="819">
        <f t="shared" si="272"/>
        <v>364</v>
      </c>
      <c r="O1272" s="819">
        <f t="shared" si="273"/>
        <v>177</v>
      </c>
      <c r="P1272" s="819">
        <f t="shared" si="276"/>
        <v>791</v>
      </c>
      <c r="Q1272" s="819">
        <f t="shared" si="277"/>
        <v>1016</v>
      </c>
      <c r="R1272" s="819">
        <f t="shared" si="278"/>
        <v>525</v>
      </c>
      <c r="S1272" s="819">
        <f t="shared" si="279"/>
        <v>338</v>
      </c>
      <c r="T1272" s="819">
        <f t="shared" si="280"/>
        <v>155</v>
      </c>
      <c r="U1272" s="819">
        <f t="shared" si="281"/>
        <v>2825</v>
      </c>
      <c r="V1272" s="819">
        <f t="shared" si="282"/>
        <v>668</v>
      </c>
      <c r="W1272" s="379">
        <f t="shared" si="283"/>
        <v>668</v>
      </c>
      <c r="X1272" s="819" t="str">
        <f t="shared" si="284"/>
        <v/>
      </c>
      <c r="Y1272" s="837"/>
      <c r="Z1272" s="839"/>
      <c r="AA1272" s="838"/>
      <c r="AB1272" s="839"/>
    </row>
    <row r="1273" spans="1:28" ht="14.45">
      <c r="A1273" s="816"/>
      <c r="B1273" s="819" t="s">
        <v>2971</v>
      </c>
      <c r="C1273" s="819" t="s">
        <v>2972</v>
      </c>
      <c r="D1273" s="379" t="s">
        <v>336</v>
      </c>
      <c r="E1273" s="818" t="s">
        <v>337</v>
      </c>
      <c r="F1273" s="820">
        <v>0</v>
      </c>
      <c r="G1273" s="821"/>
      <c r="H1273" s="822">
        <v>1726749.9945</v>
      </c>
      <c r="I1273" s="819">
        <v>0.03</v>
      </c>
      <c r="J1273" s="820">
        <v>0</v>
      </c>
      <c r="K1273" s="819">
        <f t="shared" si="274"/>
        <v>1515</v>
      </c>
      <c r="L1273" s="819">
        <f t="shared" si="275"/>
        <v>1084</v>
      </c>
      <c r="M1273" s="819">
        <f t="shared" si="271"/>
        <v>1515</v>
      </c>
      <c r="N1273" s="819">
        <f t="shared" si="272"/>
        <v>323</v>
      </c>
      <c r="O1273" s="819">
        <f t="shared" si="273"/>
        <v>492</v>
      </c>
      <c r="P1273" s="819">
        <f t="shared" si="276"/>
        <v>117</v>
      </c>
      <c r="Q1273" s="819">
        <f t="shared" si="277"/>
        <v>661</v>
      </c>
      <c r="R1273" s="819">
        <f t="shared" si="278"/>
        <v>1433</v>
      </c>
      <c r="S1273" s="819">
        <f t="shared" si="279"/>
        <v>297</v>
      </c>
      <c r="T1273" s="819">
        <f t="shared" si="280"/>
        <v>470</v>
      </c>
      <c r="U1273" s="819">
        <f t="shared" si="281"/>
        <v>2978</v>
      </c>
      <c r="V1273" s="819">
        <f t="shared" si="282"/>
        <v>899</v>
      </c>
      <c r="W1273" s="379">
        <f t="shared" si="283"/>
        <v>899</v>
      </c>
      <c r="X1273" s="819" t="str">
        <f t="shared" si="284"/>
        <v/>
      </c>
      <c r="Y1273" s="837"/>
      <c r="Z1273" s="839"/>
      <c r="AA1273" s="838"/>
      <c r="AB1273" s="839"/>
    </row>
    <row r="1274" spans="1:28" ht="13.15">
      <c r="B1274" s="819" t="s">
        <v>2973</v>
      </c>
      <c r="C1274" s="819" t="s">
        <v>2974</v>
      </c>
      <c r="D1274" s="379" t="s">
        <v>336</v>
      </c>
      <c r="E1274" s="818" t="s">
        <v>441</v>
      </c>
      <c r="F1274" s="820">
        <v>0.16226882200000001</v>
      </c>
      <c r="G1274" s="821">
        <v>-6.9418500000000005E-4</v>
      </c>
      <c r="H1274" s="822">
        <v>30372022.476224601</v>
      </c>
      <c r="I1274" s="819"/>
      <c r="J1274" s="820">
        <v>4.3709599999999999E-4</v>
      </c>
      <c r="K1274" s="819">
        <f t="shared" si="274"/>
        <v>999</v>
      </c>
      <c r="L1274" s="819">
        <f t="shared" si="275"/>
        <v>1191</v>
      </c>
      <c r="M1274" s="819">
        <f t="shared" si="271"/>
        <v>999</v>
      </c>
      <c r="N1274" s="819">
        <f t="shared" si="272"/>
        <v>364</v>
      </c>
      <c r="O1274" s="819">
        <f t="shared" si="273"/>
        <v>214</v>
      </c>
      <c r="P1274" s="819">
        <f t="shared" si="276"/>
        <v>399</v>
      </c>
      <c r="Q1274" s="819">
        <f t="shared" si="277"/>
        <v>768</v>
      </c>
      <c r="R1274" s="819">
        <f t="shared" si="278"/>
        <v>917</v>
      </c>
      <c r="S1274" s="819">
        <f t="shared" si="279"/>
        <v>338</v>
      </c>
      <c r="T1274" s="819">
        <f t="shared" si="280"/>
        <v>192</v>
      </c>
      <c r="U1274" s="819">
        <f t="shared" si="281"/>
        <v>2614</v>
      </c>
      <c r="V1274" s="819">
        <f t="shared" si="282"/>
        <v>290</v>
      </c>
      <c r="W1274" s="379">
        <f t="shared" si="283"/>
        <v>290</v>
      </c>
      <c r="X1274" s="819" t="str">
        <f t="shared" si="284"/>
        <v/>
      </c>
      <c r="Y1274" s="837"/>
      <c r="Z1274" s="839"/>
      <c r="AA1274" s="838"/>
      <c r="AB1274" s="839"/>
    </row>
    <row r="1275" spans="1:28" ht="14.45">
      <c r="A1275" s="816"/>
      <c r="B1275" s="819" t="s">
        <v>2975</v>
      </c>
      <c r="C1275" s="819" t="s">
        <v>2976</v>
      </c>
      <c r="D1275" s="379" t="s">
        <v>336</v>
      </c>
      <c r="E1275" s="818" t="s">
        <v>645</v>
      </c>
      <c r="F1275" s="820"/>
      <c r="G1275" s="821"/>
      <c r="H1275" s="822">
        <v>2286083461.6167402</v>
      </c>
      <c r="I1275" s="819"/>
      <c r="J1275" s="820">
        <v>0</v>
      </c>
      <c r="K1275" s="819">
        <f t="shared" si="274"/>
        <v>134</v>
      </c>
      <c r="L1275" s="819">
        <f t="shared" si="275"/>
        <v>1084</v>
      </c>
      <c r="M1275" s="819">
        <f t="shared" si="271"/>
        <v>134</v>
      </c>
      <c r="N1275" s="819">
        <f t="shared" si="272"/>
        <v>364</v>
      </c>
      <c r="O1275" s="819">
        <f t="shared" si="273"/>
        <v>492</v>
      </c>
      <c r="P1275" s="819">
        <f t="shared" si="276"/>
        <v>1264</v>
      </c>
      <c r="Q1275" s="819">
        <f t="shared" si="277"/>
        <v>661</v>
      </c>
      <c r="R1275" s="819">
        <f t="shared" si="278"/>
        <v>52</v>
      </c>
      <c r="S1275" s="819">
        <f t="shared" si="279"/>
        <v>338</v>
      </c>
      <c r="T1275" s="819">
        <f t="shared" si="280"/>
        <v>470</v>
      </c>
      <c r="U1275" s="819">
        <f t="shared" si="281"/>
        <v>2785</v>
      </c>
      <c r="V1275" s="819">
        <f t="shared" si="282"/>
        <v>463</v>
      </c>
      <c r="W1275" s="379">
        <f t="shared" si="283"/>
        <v>463</v>
      </c>
      <c r="X1275" s="819" t="str">
        <f t="shared" si="284"/>
        <v/>
      </c>
      <c r="Y1275" s="837"/>
      <c r="Z1275" s="839"/>
      <c r="AA1275" s="838"/>
      <c r="AB1275" s="839"/>
    </row>
    <row r="1276" spans="1:28" ht="13.15">
      <c r="B1276" s="819" t="s">
        <v>2977</v>
      </c>
      <c r="C1276" s="819" t="s">
        <v>2978</v>
      </c>
      <c r="D1276" s="379" t="s">
        <v>336</v>
      </c>
      <c r="E1276" s="818" t="s">
        <v>441</v>
      </c>
      <c r="F1276" s="820">
        <v>6.5868628579999999</v>
      </c>
      <c r="G1276" s="821">
        <v>7.6304383600000003</v>
      </c>
      <c r="H1276" s="822">
        <v>4848008.2429889804</v>
      </c>
      <c r="I1276" s="819"/>
      <c r="J1276" s="820">
        <v>-1.1307859999999999E-3</v>
      </c>
      <c r="K1276" s="819">
        <f t="shared" si="274"/>
        <v>1369</v>
      </c>
      <c r="L1276" s="819">
        <f t="shared" si="275"/>
        <v>268</v>
      </c>
      <c r="M1276" s="819">
        <f t="shared" si="271"/>
        <v>1369</v>
      </c>
      <c r="N1276" s="819">
        <f t="shared" si="272"/>
        <v>364</v>
      </c>
      <c r="O1276" s="819">
        <f t="shared" si="273"/>
        <v>1417</v>
      </c>
      <c r="P1276" s="819">
        <f t="shared" si="276"/>
        <v>29</v>
      </c>
      <c r="Q1276" s="819">
        <f t="shared" si="277"/>
        <v>155</v>
      </c>
      <c r="R1276" s="819">
        <f t="shared" si="278"/>
        <v>1287</v>
      </c>
      <c r="S1276" s="819">
        <f t="shared" si="279"/>
        <v>338</v>
      </c>
      <c r="T1276" s="819">
        <f t="shared" si="280"/>
        <v>1395</v>
      </c>
      <c r="U1276" s="819">
        <f t="shared" si="281"/>
        <v>3204</v>
      </c>
      <c r="V1276" s="819">
        <f t="shared" si="282"/>
        <v>1202</v>
      </c>
      <c r="W1276" s="379">
        <f t="shared" si="283"/>
        <v>1202</v>
      </c>
      <c r="X1276" s="819" t="str">
        <f t="shared" si="284"/>
        <v/>
      </c>
      <c r="Y1276" s="837"/>
      <c r="Z1276" s="839"/>
      <c r="AA1276" s="838"/>
      <c r="AB1276" s="839"/>
    </row>
    <row r="1277" spans="1:28" ht="14.45">
      <c r="A1277" s="816"/>
      <c r="B1277" s="819" t="s">
        <v>2979</v>
      </c>
      <c r="C1277" s="819" t="s">
        <v>2980</v>
      </c>
      <c r="D1277" s="379" t="s">
        <v>336</v>
      </c>
      <c r="E1277" s="818" t="s">
        <v>2377</v>
      </c>
      <c r="F1277" s="820">
        <v>0.72764783399999999</v>
      </c>
      <c r="G1277" s="821">
        <v>0</v>
      </c>
      <c r="H1277" s="822">
        <v>41926774.440182596</v>
      </c>
      <c r="I1277" s="819">
        <v>7.0000000000000007E-2</v>
      </c>
      <c r="J1277" s="820">
        <v>-1.585555E-3</v>
      </c>
      <c r="K1277" s="819">
        <f t="shared" si="274"/>
        <v>916</v>
      </c>
      <c r="L1277" s="819">
        <f t="shared" si="275"/>
        <v>1084</v>
      </c>
      <c r="M1277" s="819">
        <f t="shared" si="271"/>
        <v>916</v>
      </c>
      <c r="N1277" s="819">
        <f t="shared" si="272"/>
        <v>293</v>
      </c>
      <c r="O1277" s="819">
        <f t="shared" si="273"/>
        <v>1470</v>
      </c>
      <c r="P1277" s="819">
        <f t="shared" si="276"/>
        <v>482</v>
      </c>
      <c r="Q1277" s="819">
        <f t="shared" si="277"/>
        <v>661</v>
      </c>
      <c r="R1277" s="819">
        <f t="shared" si="278"/>
        <v>834</v>
      </c>
      <c r="S1277" s="819">
        <f t="shared" si="279"/>
        <v>267</v>
      </c>
      <c r="T1277" s="819">
        <f t="shared" si="280"/>
        <v>1448</v>
      </c>
      <c r="U1277" s="819">
        <f t="shared" si="281"/>
        <v>3692</v>
      </c>
      <c r="V1277" s="819">
        <f t="shared" si="282"/>
        <v>1675</v>
      </c>
      <c r="W1277" s="379">
        <f t="shared" si="283"/>
        <v>1675</v>
      </c>
      <c r="X1277" s="819" t="str">
        <f t="shared" si="284"/>
        <v/>
      </c>
      <c r="Y1277" s="837"/>
      <c r="Z1277" s="839"/>
      <c r="AA1277" s="838"/>
      <c r="AB1277" s="839"/>
    </row>
    <row r="1278" spans="1:28" ht="13.15">
      <c r="B1278" s="819" t="s">
        <v>2981</v>
      </c>
      <c r="C1278" s="819" t="s">
        <v>2982</v>
      </c>
      <c r="D1278" s="379" t="s">
        <v>336</v>
      </c>
      <c r="E1278" s="818" t="s">
        <v>896</v>
      </c>
      <c r="F1278" s="820"/>
      <c r="G1278" s="821"/>
      <c r="H1278" s="822">
        <v>306540000</v>
      </c>
      <c r="I1278" s="819"/>
      <c r="J1278" s="820">
        <v>0</v>
      </c>
      <c r="K1278" s="819">
        <f t="shared" si="274"/>
        <v>464</v>
      </c>
      <c r="L1278" s="819">
        <f t="shared" si="275"/>
        <v>1084</v>
      </c>
      <c r="M1278" s="819">
        <f t="shared" si="271"/>
        <v>464</v>
      </c>
      <c r="N1278" s="819">
        <f t="shared" si="272"/>
        <v>364</v>
      </c>
      <c r="O1278" s="819">
        <f t="shared" si="273"/>
        <v>492</v>
      </c>
      <c r="P1278" s="819">
        <f t="shared" si="276"/>
        <v>934</v>
      </c>
      <c r="Q1278" s="819">
        <f t="shared" si="277"/>
        <v>661</v>
      </c>
      <c r="R1278" s="819">
        <f t="shared" si="278"/>
        <v>382</v>
      </c>
      <c r="S1278" s="819">
        <f t="shared" si="279"/>
        <v>338</v>
      </c>
      <c r="T1278" s="819">
        <f t="shared" si="280"/>
        <v>470</v>
      </c>
      <c r="U1278" s="819">
        <f t="shared" si="281"/>
        <v>2785</v>
      </c>
      <c r="V1278" s="819">
        <f t="shared" si="282"/>
        <v>463</v>
      </c>
      <c r="W1278" s="379">
        <f t="shared" si="283"/>
        <v>463</v>
      </c>
      <c r="X1278" s="819" t="str">
        <f t="shared" si="284"/>
        <v/>
      </c>
      <c r="Y1278" s="837"/>
      <c r="Z1278" s="839"/>
      <c r="AA1278" s="838"/>
      <c r="AB1278" s="839"/>
    </row>
    <row r="1279" spans="1:28" ht="14.45">
      <c r="A1279" s="816"/>
      <c r="B1279" s="819" t="s">
        <v>2983</v>
      </c>
      <c r="C1279" s="819" t="s">
        <v>2984</v>
      </c>
      <c r="D1279" s="379" t="s">
        <v>336</v>
      </c>
      <c r="E1279" s="818" t="s">
        <v>441</v>
      </c>
      <c r="F1279" s="820"/>
      <c r="G1279" s="821"/>
      <c r="H1279" s="822">
        <v>2055672570.2103601</v>
      </c>
      <c r="I1279" s="819"/>
      <c r="J1279" s="820">
        <v>0</v>
      </c>
      <c r="K1279" s="819">
        <f t="shared" si="274"/>
        <v>144</v>
      </c>
      <c r="L1279" s="819">
        <f t="shared" si="275"/>
        <v>1084</v>
      </c>
      <c r="M1279" s="819">
        <f t="shared" si="271"/>
        <v>144</v>
      </c>
      <c r="N1279" s="819">
        <f t="shared" si="272"/>
        <v>364</v>
      </c>
      <c r="O1279" s="819">
        <f t="shared" si="273"/>
        <v>492</v>
      </c>
      <c r="P1279" s="819">
        <f t="shared" si="276"/>
        <v>1254</v>
      </c>
      <c r="Q1279" s="819">
        <f t="shared" si="277"/>
        <v>661</v>
      </c>
      <c r="R1279" s="819">
        <f t="shared" si="278"/>
        <v>62</v>
      </c>
      <c r="S1279" s="819">
        <f t="shared" si="279"/>
        <v>338</v>
      </c>
      <c r="T1279" s="819">
        <f t="shared" si="280"/>
        <v>470</v>
      </c>
      <c r="U1279" s="819">
        <f t="shared" si="281"/>
        <v>2785</v>
      </c>
      <c r="V1279" s="819">
        <f t="shared" si="282"/>
        <v>463</v>
      </c>
      <c r="W1279" s="379">
        <f t="shared" si="283"/>
        <v>463</v>
      </c>
      <c r="X1279" s="819" t="str">
        <f t="shared" si="284"/>
        <v/>
      </c>
      <c r="Y1279" s="837"/>
      <c r="Z1279" s="839"/>
      <c r="AA1279" s="838"/>
      <c r="AB1279" s="839"/>
    </row>
    <row r="1280" spans="1:28" ht="13.15">
      <c r="B1280" s="819" t="s">
        <v>2985</v>
      </c>
      <c r="C1280" s="819" t="s">
        <v>2986</v>
      </c>
      <c r="D1280" s="379" t="s">
        <v>336</v>
      </c>
      <c r="E1280" s="818" t="s">
        <v>2987</v>
      </c>
      <c r="F1280" s="820"/>
      <c r="G1280" s="821"/>
      <c r="H1280" s="822">
        <v>974.89395429563206</v>
      </c>
      <c r="I1280" s="819"/>
      <c r="J1280" s="820">
        <v>0</v>
      </c>
      <c r="K1280" s="819">
        <f t="shared" si="274"/>
        <v>1683</v>
      </c>
      <c r="L1280" s="819">
        <f t="shared" si="275"/>
        <v>1084</v>
      </c>
      <c r="M1280" s="819">
        <f t="shared" si="271"/>
        <v>1683</v>
      </c>
      <c r="N1280" s="819">
        <f t="shared" si="272"/>
        <v>364</v>
      </c>
      <c r="O1280" s="819">
        <f t="shared" si="273"/>
        <v>492</v>
      </c>
      <c r="P1280" s="819">
        <f t="shared" si="276"/>
        <v>285</v>
      </c>
      <c r="Q1280" s="819">
        <f t="shared" si="277"/>
        <v>661</v>
      </c>
      <c r="R1280" s="819">
        <f t="shared" si="278"/>
        <v>1601</v>
      </c>
      <c r="S1280" s="819">
        <f t="shared" si="279"/>
        <v>338</v>
      </c>
      <c r="T1280" s="819">
        <f t="shared" si="280"/>
        <v>470</v>
      </c>
      <c r="U1280" s="819">
        <f t="shared" si="281"/>
        <v>3355</v>
      </c>
      <c r="V1280" s="819">
        <f t="shared" si="282"/>
        <v>1417</v>
      </c>
      <c r="W1280" s="379">
        <f t="shared" si="283"/>
        <v>1417</v>
      </c>
      <c r="X1280" s="819" t="str">
        <f t="shared" si="284"/>
        <v/>
      </c>
      <c r="Y1280" s="837"/>
      <c r="Z1280" s="839"/>
      <c r="AA1280" s="838"/>
      <c r="AB1280" s="839"/>
    </row>
    <row r="1281" spans="1:28" ht="14.45">
      <c r="A1281" s="816"/>
      <c r="B1281" s="819" t="s">
        <v>2988</v>
      </c>
      <c r="C1281" s="819" t="s">
        <v>2989</v>
      </c>
      <c r="D1281" s="379" t="s">
        <v>336</v>
      </c>
      <c r="E1281" s="818" t="s">
        <v>2987</v>
      </c>
      <c r="F1281" s="820"/>
      <c r="G1281" s="821"/>
      <c r="H1281" s="822">
        <v>311202.479928635</v>
      </c>
      <c r="I1281" s="819"/>
      <c r="J1281" s="820">
        <v>0</v>
      </c>
      <c r="K1281" s="819">
        <f t="shared" si="274"/>
        <v>1624</v>
      </c>
      <c r="L1281" s="819">
        <f t="shared" si="275"/>
        <v>1084</v>
      </c>
      <c r="M1281" s="819">
        <f t="shared" si="271"/>
        <v>1624</v>
      </c>
      <c r="N1281" s="819">
        <f t="shared" si="272"/>
        <v>364</v>
      </c>
      <c r="O1281" s="819">
        <f t="shared" si="273"/>
        <v>492</v>
      </c>
      <c r="P1281" s="819">
        <f t="shared" si="276"/>
        <v>226</v>
      </c>
      <c r="Q1281" s="819">
        <f t="shared" si="277"/>
        <v>661</v>
      </c>
      <c r="R1281" s="819">
        <f t="shared" si="278"/>
        <v>1542</v>
      </c>
      <c r="S1281" s="819">
        <f t="shared" si="279"/>
        <v>338</v>
      </c>
      <c r="T1281" s="819">
        <f t="shared" si="280"/>
        <v>470</v>
      </c>
      <c r="U1281" s="819">
        <f t="shared" si="281"/>
        <v>3237</v>
      </c>
      <c r="V1281" s="819">
        <f t="shared" si="282"/>
        <v>1253</v>
      </c>
      <c r="W1281" s="379">
        <f t="shared" si="283"/>
        <v>1253</v>
      </c>
      <c r="X1281" s="819" t="str">
        <f t="shared" si="284"/>
        <v/>
      </c>
      <c r="Y1281" s="837"/>
      <c r="Z1281" s="839"/>
      <c r="AA1281" s="838"/>
      <c r="AB1281" s="839"/>
    </row>
    <row r="1282" spans="1:28" ht="13.15">
      <c r="B1282" s="819" t="s">
        <v>2990</v>
      </c>
      <c r="C1282" s="819" t="s">
        <v>2991</v>
      </c>
      <c r="D1282" s="379" t="s">
        <v>336</v>
      </c>
      <c r="E1282" s="818" t="s">
        <v>2987</v>
      </c>
      <c r="F1282" s="820"/>
      <c r="G1282" s="821"/>
      <c r="H1282" s="822">
        <v>108133.73892357999</v>
      </c>
      <c r="I1282" s="819"/>
      <c r="J1282" s="820">
        <v>0</v>
      </c>
      <c r="K1282" s="819">
        <f t="shared" si="274"/>
        <v>1655</v>
      </c>
      <c r="L1282" s="819">
        <f t="shared" si="275"/>
        <v>1084</v>
      </c>
      <c r="M1282" s="819">
        <f t="shared" si="271"/>
        <v>1655</v>
      </c>
      <c r="N1282" s="819">
        <f t="shared" si="272"/>
        <v>364</v>
      </c>
      <c r="O1282" s="819">
        <f t="shared" si="273"/>
        <v>492</v>
      </c>
      <c r="P1282" s="819">
        <f t="shared" si="276"/>
        <v>257</v>
      </c>
      <c r="Q1282" s="819">
        <f t="shared" si="277"/>
        <v>661</v>
      </c>
      <c r="R1282" s="819">
        <f t="shared" si="278"/>
        <v>1573</v>
      </c>
      <c r="S1282" s="819">
        <f t="shared" si="279"/>
        <v>338</v>
      </c>
      <c r="T1282" s="819">
        <f t="shared" si="280"/>
        <v>470</v>
      </c>
      <c r="U1282" s="819">
        <f t="shared" si="281"/>
        <v>3299</v>
      </c>
      <c r="V1282" s="819">
        <f t="shared" si="282"/>
        <v>1342</v>
      </c>
      <c r="W1282" s="379">
        <f t="shared" si="283"/>
        <v>1342</v>
      </c>
      <c r="X1282" s="819" t="str">
        <f t="shared" si="284"/>
        <v/>
      </c>
      <c r="Y1282" s="837"/>
      <c r="Z1282" s="839"/>
      <c r="AA1282" s="838"/>
      <c r="AB1282" s="839"/>
    </row>
    <row r="1283" spans="1:28" ht="14.45">
      <c r="A1283" s="816"/>
      <c r="B1283" s="819" t="s">
        <v>2992</v>
      </c>
      <c r="C1283" s="819" t="s">
        <v>2993</v>
      </c>
      <c r="D1283" s="379" t="s">
        <v>336</v>
      </c>
      <c r="E1283" s="818" t="s">
        <v>2987</v>
      </c>
      <c r="F1283" s="820"/>
      <c r="G1283" s="821"/>
      <c r="H1283" s="822">
        <v>363696.81712756498</v>
      </c>
      <c r="I1283" s="819"/>
      <c r="J1283" s="820">
        <v>0</v>
      </c>
      <c r="K1283" s="819">
        <f t="shared" si="274"/>
        <v>1614</v>
      </c>
      <c r="L1283" s="819">
        <f t="shared" si="275"/>
        <v>1084</v>
      </c>
      <c r="M1283" s="819">
        <f t="shared" si="271"/>
        <v>1614</v>
      </c>
      <c r="N1283" s="819">
        <f t="shared" si="272"/>
        <v>364</v>
      </c>
      <c r="O1283" s="819">
        <f t="shared" si="273"/>
        <v>492</v>
      </c>
      <c r="P1283" s="819">
        <f t="shared" si="276"/>
        <v>216</v>
      </c>
      <c r="Q1283" s="819">
        <f t="shared" si="277"/>
        <v>661</v>
      </c>
      <c r="R1283" s="819">
        <f t="shared" si="278"/>
        <v>1532</v>
      </c>
      <c r="S1283" s="819">
        <f t="shared" si="279"/>
        <v>338</v>
      </c>
      <c r="T1283" s="819">
        <f t="shared" si="280"/>
        <v>470</v>
      </c>
      <c r="U1283" s="819">
        <f t="shared" si="281"/>
        <v>3217</v>
      </c>
      <c r="V1283" s="819">
        <f t="shared" si="282"/>
        <v>1224</v>
      </c>
      <c r="W1283" s="379">
        <f t="shared" si="283"/>
        <v>1224</v>
      </c>
      <c r="X1283" s="819" t="str">
        <f t="shared" si="284"/>
        <v/>
      </c>
      <c r="Y1283" s="837"/>
      <c r="Z1283" s="839"/>
      <c r="AA1283" s="838"/>
      <c r="AB1283" s="839"/>
    </row>
    <row r="1284" spans="1:28" ht="13.15">
      <c r="B1284" s="819" t="s">
        <v>2994</v>
      </c>
      <c r="C1284" s="819" t="s">
        <v>2995</v>
      </c>
      <c r="D1284" s="379" t="s">
        <v>336</v>
      </c>
      <c r="E1284" s="818" t="s">
        <v>2987</v>
      </c>
      <c r="F1284" s="820"/>
      <c r="G1284" s="821"/>
      <c r="H1284" s="822">
        <v>9294.4418595656098</v>
      </c>
      <c r="I1284" s="819"/>
      <c r="J1284" s="820">
        <v>0</v>
      </c>
      <c r="K1284" s="819">
        <f t="shared" si="274"/>
        <v>1667</v>
      </c>
      <c r="L1284" s="819">
        <f t="shared" si="275"/>
        <v>1084</v>
      </c>
      <c r="M1284" s="819">
        <f t="shared" ref="M1284:M1347" si="285">IFERROR(_xlfn.RANK.EQ(H1284,H$3:H$1787),"N/A")</f>
        <v>1667</v>
      </c>
      <c r="N1284" s="819">
        <f t="shared" ref="N1284:N1347" si="286">IFERROR(_xlfn.RANK.EQ(I1284,I$3:I$1787),"N/A")</f>
        <v>364</v>
      </c>
      <c r="O1284" s="819">
        <f t="shared" ref="O1284:O1347" si="287">IFERROR(_xlfn.RANK.EQ(J1284,J$3:J$1787),"N/A")</f>
        <v>492</v>
      </c>
      <c r="P1284" s="819">
        <f t="shared" si="276"/>
        <v>269</v>
      </c>
      <c r="Q1284" s="819">
        <f t="shared" si="277"/>
        <v>661</v>
      </c>
      <c r="R1284" s="819">
        <f t="shared" si="278"/>
        <v>1585</v>
      </c>
      <c r="S1284" s="819">
        <f t="shared" si="279"/>
        <v>338</v>
      </c>
      <c r="T1284" s="819">
        <f t="shared" si="280"/>
        <v>470</v>
      </c>
      <c r="U1284" s="819">
        <f t="shared" si="281"/>
        <v>3323</v>
      </c>
      <c r="V1284" s="819">
        <f t="shared" si="282"/>
        <v>1375</v>
      </c>
      <c r="W1284" s="379">
        <f t="shared" si="283"/>
        <v>1375</v>
      </c>
      <c r="X1284" s="819" t="str">
        <f t="shared" si="284"/>
        <v/>
      </c>
      <c r="Y1284" s="837"/>
      <c r="Z1284" s="839"/>
      <c r="AA1284" s="838"/>
      <c r="AB1284" s="839"/>
    </row>
    <row r="1285" spans="1:28" ht="14.45">
      <c r="A1285" s="816"/>
      <c r="B1285" s="819" t="s">
        <v>2996</v>
      </c>
      <c r="C1285" s="819" t="s">
        <v>2997</v>
      </c>
      <c r="D1285" s="379" t="s">
        <v>336</v>
      </c>
      <c r="E1285" s="818" t="s">
        <v>2987</v>
      </c>
      <c r="F1285" s="820"/>
      <c r="G1285" s="821"/>
      <c r="H1285" s="822">
        <v>1656958.66785608</v>
      </c>
      <c r="I1285" s="819"/>
      <c r="J1285" s="820">
        <v>0</v>
      </c>
      <c r="K1285" s="819">
        <f t="shared" ref="K1285:K1348" si="288">IFERROR(_xlfn.RANK.EQ(H1285,H$3:H$1787),"N/A")</f>
        <v>1518</v>
      </c>
      <c r="L1285" s="819">
        <f t="shared" ref="L1285:L1348" si="289">IFERROR(_xlfn.RANK.EQ(G1285,G$3:G$1787),"N/A")</f>
        <v>1084</v>
      </c>
      <c r="M1285" s="819">
        <f t="shared" si="285"/>
        <v>1518</v>
      </c>
      <c r="N1285" s="819">
        <f t="shared" si="286"/>
        <v>364</v>
      </c>
      <c r="O1285" s="819">
        <f t="shared" si="287"/>
        <v>492</v>
      </c>
      <c r="P1285" s="819">
        <f t="shared" ref="P1285:P1348" si="290">IFERROR(ABS(K$3-K1285),"N/A")</f>
        <v>120</v>
      </c>
      <c r="Q1285" s="819">
        <f t="shared" ref="Q1285:Q1348" si="291">IFERROR(ABS(L$3-L1285),"N/A")</f>
        <v>661</v>
      </c>
      <c r="R1285" s="819">
        <f t="shared" ref="R1285:R1348" si="292">IFERROR(ABS(M$3-M1285),"N/A")</f>
        <v>1436</v>
      </c>
      <c r="S1285" s="819">
        <f t="shared" ref="S1285:S1348" si="293">IFERROR(ABS(N$3-N1285),"N/A")</f>
        <v>338</v>
      </c>
      <c r="T1285" s="819">
        <f t="shared" ref="T1285:T1348" si="294">IFERROR(ABS(O$3-O1285),"N/A")</f>
        <v>470</v>
      </c>
      <c r="U1285" s="819">
        <f t="shared" ref="U1285:U1348" si="295">SUM(P1285:T1285)</f>
        <v>3025</v>
      </c>
      <c r="V1285" s="819">
        <f t="shared" ref="V1285:V1348" si="296">_xlfn.RANK.EQ(U1285,$U$4:$U$1787,1)</f>
        <v>956</v>
      </c>
      <c r="W1285" s="379">
        <f t="shared" ref="W1285:W1348" si="297">IF(Y1285="Not suitable","-",V1285)</f>
        <v>956</v>
      </c>
      <c r="X1285" s="819" t="str">
        <f t="shared" si="284"/>
        <v/>
      </c>
      <c r="Y1285" s="837"/>
      <c r="Z1285" s="839"/>
      <c r="AA1285" s="838"/>
      <c r="AB1285" s="839"/>
    </row>
    <row r="1286" spans="1:28" ht="13.15">
      <c r="B1286" s="819" t="s">
        <v>2998</v>
      </c>
      <c r="C1286" s="819" t="s">
        <v>2999</v>
      </c>
      <c r="D1286" s="379" t="s">
        <v>336</v>
      </c>
      <c r="E1286" s="818" t="s">
        <v>2987</v>
      </c>
      <c r="F1286" s="820"/>
      <c r="G1286" s="821"/>
      <c r="H1286" s="822">
        <v>64233.676479333903</v>
      </c>
      <c r="I1286" s="819"/>
      <c r="J1286" s="820">
        <v>0</v>
      </c>
      <c r="K1286" s="819">
        <f t="shared" si="288"/>
        <v>1657</v>
      </c>
      <c r="L1286" s="819">
        <f t="shared" si="289"/>
        <v>1084</v>
      </c>
      <c r="M1286" s="819">
        <f t="shared" si="285"/>
        <v>1657</v>
      </c>
      <c r="N1286" s="819">
        <f t="shared" si="286"/>
        <v>364</v>
      </c>
      <c r="O1286" s="819">
        <f t="shared" si="287"/>
        <v>492</v>
      </c>
      <c r="P1286" s="819">
        <f t="shared" si="290"/>
        <v>259</v>
      </c>
      <c r="Q1286" s="819">
        <f t="shared" si="291"/>
        <v>661</v>
      </c>
      <c r="R1286" s="819">
        <f t="shared" si="292"/>
        <v>1575</v>
      </c>
      <c r="S1286" s="819">
        <f t="shared" si="293"/>
        <v>338</v>
      </c>
      <c r="T1286" s="819">
        <f t="shared" si="294"/>
        <v>470</v>
      </c>
      <c r="U1286" s="819">
        <f t="shared" si="295"/>
        <v>3303</v>
      </c>
      <c r="V1286" s="819">
        <f t="shared" si="296"/>
        <v>1349</v>
      </c>
      <c r="W1286" s="379">
        <f t="shared" si="297"/>
        <v>1349</v>
      </c>
      <c r="X1286" s="819" t="str">
        <f t="shared" ref="X1286:X1349" si="298">IF(L1286="N/A","Y","")</f>
        <v/>
      </c>
      <c r="Y1286" s="837"/>
      <c r="Z1286" s="839"/>
      <c r="AA1286" s="838"/>
      <c r="AB1286" s="839"/>
    </row>
    <row r="1287" spans="1:28" ht="14.45">
      <c r="A1287" s="816"/>
      <c r="B1287" s="819" t="s">
        <v>3000</v>
      </c>
      <c r="C1287" s="819" t="s">
        <v>3001</v>
      </c>
      <c r="D1287" s="379" t="s">
        <v>336</v>
      </c>
      <c r="E1287" s="818" t="s">
        <v>2987</v>
      </c>
      <c r="F1287" s="820"/>
      <c r="G1287" s="821"/>
      <c r="H1287" s="822">
        <v>42137187.035385102</v>
      </c>
      <c r="I1287" s="819"/>
      <c r="J1287" s="820">
        <v>0</v>
      </c>
      <c r="K1287" s="819">
        <f t="shared" si="288"/>
        <v>914</v>
      </c>
      <c r="L1287" s="819">
        <f t="shared" si="289"/>
        <v>1084</v>
      </c>
      <c r="M1287" s="819">
        <f t="shared" si="285"/>
        <v>914</v>
      </c>
      <c r="N1287" s="819">
        <f t="shared" si="286"/>
        <v>364</v>
      </c>
      <c r="O1287" s="819">
        <f t="shared" si="287"/>
        <v>492</v>
      </c>
      <c r="P1287" s="819">
        <f t="shared" si="290"/>
        <v>484</v>
      </c>
      <c r="Q1287" s="819">
        <f t="shared" si="291"/>
        <v>661</v>
      </c>
      <c r="R1287" s="819">
        <f t="shared" si="292"/>
        <v>832</v>
      </c>
      <c r="S1287" s="819">
        <f t="shared" si="293"/>
        <v>338</v>
      </c>
      <c r="T1287" s="819">
        <f t="shared" si="294"/>
        <v>470</v>
      </c>
      <c r="U1287" s="819">
        <f t="shared" si="295"/>
        <v>2785</v>
      </c>
      <c r="V1287" s="819">
        <f t="shared" si="296"/>
        <v>463</v>
      </c>
      <c r="W1287" s="379">
        <f t="shared" si="297"/>
        <v>463</v>
      </c>
      <c r="X1287" s="819" t="str">
        <f t="shared" si="298"/>
        <v/>
      </c>
      <c r="Y1287" s="837"/>
      <c r="Z1287" s="839"/>
      <c r="AA1287" s="838"/>
      <c r="AB1287" s="839"/>
    </row>
    <row r="1288" spans="1:28" ht="13.15">
      <c r="B1288" s="819" t="s">
        <v>3002</v>
      </c>
      <c r="C1288" s="819" t="s">
        <v>3003</v>
      </c>
      <c r="D1288" s="379" t="s">
        <v>336</v>
      </c>
      <c r="E1288" s="818" t="s">
        <v>2987</v>
      </c>
      <c r="F1288" s="820"/>
      <c r="G1288" s="821"/>
      <c r="H1288" s="822">
        <v>1174333.6901576</v>
      </c>
      <c r="I1288" s="819"/>
      <c r="J1288" s="820">
        <v>0</v>
      </c>
      <c r="K1288" s="819">
        <f t="shared" si="288"/>
        <v>1545</v>
      </c>
      <c r="L1288" s="819">
        <f t="shared" si="289"/>
        <v>1084</v>
      </c>
      <c r="M1288" s="819">
        <f t="shared" si="285"/>
        <v>1545</v>
      </c>
      <c r="N1288" s="819">
        <f t="shared" si="286"/>
        <v>364</v>
      </c>
      <c r="O1288" s="819">
        <f t="shared" si="287"/>
        <v>492</v>
      </c>
      <c r="P1288" s="819">
        <f t="shared" si="290"/>
        <v>147</v>
      </c>
      <c r="Q1288" s="819">
        <f t="shared" si="291"/>
        <v>661</v>
      </c>
      <c r="R1288" s="819">
        <f t="shared" si="292"/>
        <v>1463</v>
      </c>
      <c r="S1288" s="819">
        <f t="shared" si="293"/>
        <v>338</v>
      </c>
      <c r="T1288" s="819">
        <f t="shared" si="294"/>
        <v>470</v>
      </c>
      <c r="U1288" s="819">
        <f t="shared" si="295"/>
        <v>3079</v>
      </c>
      <c r="V1288" s="819">
        <f t="shared" si="296"/>
        <v>1025</v>
      </c>
      <c r="W1288" s="379">
        <f t="shared" si="297"/>
        <v>1025</v>
      </c>
      <c r="X1288" s="819" t="str">
        <f t="shared" si="298"/>
        <v/>
      </c>
      <c r="Y1288" s="837"/>
      <c r="Z1288" s="839"/>
      <c r="AA1288" s="838"/>
      <c r="AB1288" s="839"/>
    </row>
    <row r="1289" spans="1:28" ht="14.45">
      <c r="A1289" s="816"/>
      <c r="B1289" s="819" t="s">
        <v>3004</v>
      </c>
      <c r="C1289" s="819" t="s">
        <v>3005</v>
      </c>
      <c r="D1289" s="379" t="s">
        <v>336</v>
      </c>
      <c r="E1289" s="818" t="s">
        <v>2987</v>
      </c>
      <c r="F1289" s="820"/>
      <c r="G1289" s="821"/>
      <c r="H1289" s="822">
        <v>144281.370799881</v>
      </c>
      <c r="I1289" s="819"/>
      <c r="J1289" s="820">
        <v>0</v>
      </c>
      <c r="K1289" s="819">
        <f t="shared" si="288"/>
        <v>1648</v>
      </c>
      <c r="L1289" s="819">
        <f t="shared" si="289"/>
        <v>1084</v>
      </c>
      <c r="M1289" s="819">
        <f t="shared" si="285"/>
        <v>1648</v>
      </c>
      <c r="N1289" s="819">
        <f t="shared" si="286"/>
        <v>364</v>
      </c>
      <c r="O1289" s="819">
        <f t="shared" si="287"/>
        <v>492</v>
      </c>
      <c r="P1289" s="819">
        <f t="shared" si="290"/>
        <v>250</v>
      </c>
      <c r="Q1289" s="819">
        <f t="shared" si="291"/>
        <v>661</v>
      </c>
      <c r="R1289" s="819">
        <f t="shared" si="292"/>
        <v>1566</v>
      </c>
      <c r="S1289" s="819">
        <f t="shared" si="293"/>
        <v>338</v>
      </c>
      <c r="T1289" s="819">
        <f t="shared" si="294"/>
        <v>470</v>
      </c>
      <c r="U1289" s="819">
        <f t="shared" si="295"/>
        <v>3285</v>
      </c>
      <c r="V1289" s="819">
        <f t="shared" si="296"/>
        <v>1318</v>
      </c>
      <c r="W1289" s="379">
        <f t="shared" si="297"/>
        <v>1318</v>
      </c>
      <c r="X1289" s="819" t="str">
        <f t="shared" si="298"/>
        <v/>
      </c>
      <c r="Y1289" s="837"/>
      <c r="Z1289" s="839"/>
      <c r="AA1289" s="838"/>
      <c r="AB1289" s="839"/>
    </row>
    <row r="1290" spans="1:28" ht="13.15">
      <c r="B1290" s="819" t="s">
        <v>3006</v>
      </c>
      <c r="C1290" s="819" t="s">
        <v>3007</v>
      </c>
      <c r="D1290" s="379" t="s">
        <v>336</v>
      </c>
      <c r="E1290" s="818" t="s">
        <v>2987</v>
      </c>
      <c r="F1290" s="820"/>
      <c r="G1290" s="821"/>
      <c r="H1290" s="822">
        <v>443.09845376152202</v>
      </c>
      <c r="I1290" s="819"/>
      <c r="J1290" s="820">
        <v>0</v>
      </c>
      <c r="K1290" s="819">
        <f t="shared" si="288"/>
        <v>1685</v>
      </c>
      <c r="L1290" s="819">
        <f t="shared" si="289"/>
        <v>1084</v>
      </c>
      <c r="M1290" s="819">
        <f t="shared" si="285"/>
        <v>1685</v>
      </c>
      <c r="N1290" s="819">
        <f t="shared" si="286"/>
        <v>364</v>
      </c>
      <c r="O1290" s="819">
        <f t="shared" si="287"/>
        <v>492</v>
      </c>
      <c r="P1290" s="819">
        <f t="shared" si="290"/>
        <v>287</v>
      </c>
      <c r="Q1290" s="819">
        <f t="shared" si="291"/>
        <v>661</v>
      </c>
      <c r="R1290" s="819">
        <f t="shared" si="292"/>
        <v>1603</v>
      </c>
      <c r="S1290" s="819">
        <f t="shared" si="293"/>
        <v>338</v>
      </c>
      <c r="T1290" s="819">
        <f t="shared" si="294"/>
        <v>470</v>
      </c>
      <c r="U1290" s="819">
        <f t="shared" si="295"/>
        <v>3359</v>
      </c>
      <c r="V1290" s="819">
        <f t="shared" si="296"/>
        <v>1420</v>
      </c>
      <c r="W1290" s="379">
        <f t="shared" si="297"/>
        <v>1420</v>
      </c>
      <c r="X1290" s="819" t="str">
        <f t="shared" si="298"/>
        <v/>
      </c>
      <c r="Y1290" s="837"/>
      <c r="Z1290" s="839"/>
      <c r="AA1290" s="838"/>
      <c r="AB1290" s="839"/>
    </row>
    <row r="1291" spans="1:28" ht="14.45">
      <c r="A1291" s="816"/>
      <c r="B1291" s="819" t="s">
        <v>3008</v>
      </c>
      <c r="C1291" s="819" t="s">
        <v>3009</v>
      </c>
      <c r="D1291" s="379" t="s">
        <v>336</v>
      </c>
      <c r="E1291" s="818" t="s">
        <v>2987</v>
      </c>
      <c r="F1291" s="820"/>
      <c r="G1291" s="821"/>
      <c r="H1291" s="822">
        <v>139377.14094558399</v>
      </c>
      <c r="I1291" s="819"/>
      <c r="J1291" s="820">
        <v>0</v>
      </c>
      <c r="K1291" s="819">
        <f t="shared" si="288"/>
        <v>1649</v>
      </c>
      <c r="L1291" s="819">
        <f t="shared" si="289"/>
        <v>1084</v>
      </c>
      <c r="M1291" s="819">
        <f t="shared" si="285"/>
        <v>1649</v>
      </c>
      <c r="N1291" s="819">
        <f t="shared" si="286"/>
        <v>364</v>
      </c>
      <c r="O1291" s="819">
        <f t="shared" si="287"/>
        <v>492</v>
      </c>
      <c r="P1291" s="819">
        <f t="shared" si="290"/>
        <v>251</v>
      </c>
      <c r="Q1291" s="819">
        <f t="shared" si="291"/>
        <v>661</v>
      </c>
      <c r="R1291" s="819">
        <f t="shared" si="292"/>
        <v>1567</v>
      </c>
      <c r="S1291" s="819">
        <f t="shared" si="293"/>
        <v>338</v>
      </c>
      <c r="T1291" s="819">
        <f t="shared" si="294"/>
        <v>470</v>
      </c>
      <c r="U1291" s="819">
        <f t="shared" si="295"/>
        <v>3287</v>
      </c>
      <c r="V1291" s="819">
        <f t="shared" si="296"/>
        <v>1320</v>
      </c>
      <c r="W1291" s="379">
        <f t="shared" si="297"/>
        <v>1320</v>
      </c>
      <c r="X1291" s="819" t="str">
        <f t="shared" si="298"/>
        <v/>
      </c>
      <c r="Y1291" s="837"/>
      <c r="Z1291" s="839"/>
      <c r="AA1291" s="838"/>
      <c r="AB1291" s="839"/>
    </row>
    <row r="1292" spans="1:28" ht="13.15">
      <c r="B1292" s="819" t="s">
        <v>3010</v>
      </c>
      <c r="C1292" s="819" t="s">
        <v>3011</v>
      </c>
      <c r="D1292" s="379" t="s">
        <v>336</v>
      </c>
      <c r="E1292" s="818" t="s">
        <v>2987</v>
      </c>
      <c r="F1292" s="820"/>
      <c r="G1292" s="821"/>
      <c r="H1292" s="822">
        <v>295725.83407671697</v>
      </c>
      <c r="I1292" s="819"/>
      <c r="J1292" s="820">
        <v>0</v>
      </c>
      <c r="K1292" s="819">
        <f t="shared" si="288"/>
        <v>1629</v>
      </c>
      <c r="L1292" s="819">
        <f t="shared" si="289"/>
        <v>1084</v>
      </c>
      <c r="M1292" s="819">
        <f t="shared" si="285"/>
        <v>1629</v>
      </c>
      <c r="N1292" s="819">
        <f t="shared" si="286"/>
        <v>364</v>
      </c>
      <c r="O1292" s="819">
        <f t="shared" si="287"/>
        <v>492</v>
      </c>
      <c r="P1292" s="819">
        <f t="shared" si="290"/>
        <v>231</v>
      </c>
      <c r="Q1292" s="819">
        <f t="shared" si="291"/>
        <v>661</v>
      </c>
      <c r="R1292" s="819">
        <f t="shared" si="292"/>
        <v>1547</v>
      </c>
      <c r="S1292" s="819">
        <f t="shared" si="293"/>
        <v>338</v>
      </c>
      <c r="T1292" s="819">
        <f t="shared" si="294"/>
        <v>470</v>
      </c>
      <c r="U1292" s="819">
        <f t="shared" si="295"/>
        <v>3247</v>
      </c>
      <c r="V1292" s="819">
        <f t="shared" si="296"/>
        <v>1265</v>
      </c>
      <c r="W1292" s="379">
        <f t="shared" si="297"/>
        <v>1265</v>
      </c>
      <c r="X1292" s="819" t="str">
        <f t="shared" si="298"/>
        <v/>
      </c>
      <c r="Y1292" s="837"/>
      <c r="Z1292" s="839"/>
      <c r="AA1292" s="838"/>
      <c r="AB1292" s="839"/>
    </row>
    <row r="1293" spans="1:28" ht="14.45">
      <c r="A1293" s="816"/>
      <c r="B1293" s="819" t="s">
        <v>3012</v>
      </c>
      <c r="C1293" s="819" t="s">
        <v>3013</v>
      </c>
      <c r="D1293" s="379" t="s">
        <v>336</v>
      </c>
      <c r="E1293" s="818" t="s">
        <v>2987</v>
      </c>
      <c r="F1293" s="820"/>
      <c r="G1293" s="821"/>
      <c r="H1293" s="822">
        <v>419837.34165923297</v>
      </c>
      <c r="I1293" s="819"/>
      <c r="J1293" s="820">
        <v>0</v>
      </c>
      <c r="K1293" s="819">
        <f t="shared" si="288"/>
        <v>1607</v>
      </c>
      <c r="L1293" s="819">
        <f t="shared" si="289"/>
        <v>1084</v>
      </c>
      <c r="M1293" s="819">
        <f t="shared" si="285"/>
        <v>1607</v>
      </c>
      <c r="N1293" s="819">
        <f t="shared" si="286"/>
        <v>364</v>
      </c>
      <c r="O1293" s="819">
        <f t="shared" si="287"/>
        <v>492</v>
      </c>
      <c r="P1293" s="819">
        <f t="shared" si="290"/>
        <v>209</v>
      </c>
      <c r="Q1293" s="819">
        <f t="shared" si="291"/>
        <v>661</v>
      </c>
      <c r="R1293" s="819">
        <f t="shared" si="292"/>
        <v>1525</v>
      </c>
      <c r="S1293" s="819">
        <f t="shared" si="293"/>
        <v>338</v>
      </c>
      <c r="T1293" s="819">
        <f t="shared" si="294"/>
        <v>470</v>
      </c>
      <c r="U1293" s="819">
        <f t="shared" si="295"/>
        <v>3203</v>
      </c>
      <c r="V1293" s="819">
        <f t="shared" si="296"/>
        <v>1198</v>
      </c>
      <c r="W1293" s="379">
        <f t="shared" si="297"/>
        <v>1198</v>
      </c>
      <c r="X1293" s="819" t="str">
        <f t="shared" si="298"/>
        <v/>
      </c>
      <c r="Y1293" s="837"/>
      <c r="Z1293" s="839"/>
      <c r="AA1293" s="838"/>
      <c r="AB1293" s="839"/>
    </row>
    <row r="1294" spans="1:28" ht="13.15">
      <c r="B1294" s="819" t="s">
        <v>3014</v>
      </c>
      <c r="C1294" s="819" t="s">
        <v>3015</v>
      </c>
      <c r="D1294" s="379" t="s">
        <v>336</v>
      </c>
      <c r="E1294" s="818" t="s">
        <v>2987</v>
      </c>
      <c r="F1294" s="820"/>
      <c r="G1294" s="821"/>
      <c r="H1294" s="822">
        <v>4902624.9473684197</v>
      </c>
      <c r="I1294" s="819"/>
      <c r="J1294" s="820">
        <v>0</v>
      </c>
      <c r="K1294" s="819">
        <f t="shared" si="288"/>
        <v>1366</v>
      </c>
      <c r="L1294" s="819">
        <f t="shared" si="289"/>
        <v>1084</v>
      </c>
      <c r="M1294" s="819">
        <f t="shared" si="285"/>
        <v>1366</v>
      </c>
      <c r="N1294" s="819">
        <f t="shared" si="286"/>
        <v>364</v>
      </c>
      <c r="O1294" s="819">
        <f t="shared" si="287"/>
        <v>492</v>
      </c>
      <c r="P1294" s="819">
        <f t="shared" si="290"/>
        <v>32</v>
      </c>
      <c r="Q1294" s="819">
        <f t="shared" si="291"/>
        <v>661</v>
      </c>
      <c r="R1294" s="819">
        <f t="shared" si="292"/>
        <v>1284</v>
      </c>
      <c r="S1294" s="819">
        <f t="shared" si="293"/>
        <v>338</v>
      </c>
      <c r="T1294" s="819">
        <f t="shared" si="294"/>
        <v>470</v>
      </c>
      <c r="U1294" s="819">
        <f t="shared" si="295"/>
        <v>2785</v>
      </c>
      <c r="V1294" s="819">
        <f t="shared" si="296"/>
        <v>463</v>
      </c>
      <c r="W1294" s="379">
        <f t="shared" si="297"/>
        <v>463</v>
      </c>
      <c r="X1294" s="819" t="str">
        <f t="shared" si="298"/>
        <v/>
      </c>
      <c r="Y1294" s="837"/>
      <c r="Z1294" s="839"/>
      <c r="AA1294" s="838"/>
      <c r="AB1294" s="839"/>
    </row>
    <row r="1295" spans="1:28" ht="14.45">
      <c r="A1295" s="816"/>
      <c r="B1295" s="819" t="s">
        <v>3016</v>
      </c>
      <c r="C1295" s="819" t="s">
        <v>3017</v>
      </c>
      <c r="D1295" s="379" t="s">
        <v>336</v>
      </c>
      <c r="E1295" s="818" t="s">
        <v>2987</v>
      </c>
      <c r="F1295" s="820"/>
      <c r="G1295" s="821"/>
      <c r="H1295" s="822">
        <v>2665.6284688999999</v>
      </c>
      <c r="I1295" s="819"/>
      <c r="J1295" s="820">
        <v>0</v>
      </c>
      <c r="K1295" s="819">
        <f t="shared" si="288"/>
        <v>1680</v>
      </c>
      <c r="L1295" s="819">
        <f t="shared" si="289"/>
        <v>1084</v>
      </c>
      <c r="M1295" s="819">
        <f t="shared" si="285"/>
        <v>1680</v>
      </c>
      <c r="N1295" s="819">
        <f t="shared" si="286"/>
        <v>364</v>
      </c>
      <c r="O1295" s="819">
        <f t="shared" si="287"/>
        <v>492</v>
      </c>
      <c r="P1295" s="819">
        <f t="shared" si="290"/>
        <v>282</v>
      </c>
      <c r="Q1295" s="819">
        <f t="shared" si="291"/>
        <v>661</v>
      </c>
      <c r="R1295" s="819">
        <f t="shared" si="292"/>
        <v>1598</v>
      </c>
      <c r="S1295" s="819">
        <f t="shared" si="293"/>
        <v>338</v>
      </c>
      <c r="T1295" s="819">
        <f t="shared" si="294"/>
        <v>470</v>
      </c>
      <c r="U1295" s="819">
        <f t="shared" si="295"/>
        <v>3349</v>
      </c>
      <c r="V1295" s="819">
        <f t="shared" si="296"/>
        <v>1404</v>
      </c>
      <c r="W1295" s="379">
        <f t="shared" si="297"/>
        <v>1404</v>
      </c>
      <c r="X1295" s="819" t="str">
        <f t="shared" si="298"/>
        <v/>
      </c>
      <c r="Y1295" s="837"/>
      <c r="Z1295" s="839"/>
      <c r="AA1295" s="838"/>
      <c r="AB1295" s="839"/>
    </row>
    <row r="1296" spans="1:28" ht="13.15">
      <c r="B1296" s="819" t="s">
        <v>3018</v>
      </c>
      <c r="C1296" s="819" t="s">
        <v>3019</v>
      </c>
      <c r="D1296" s="379" t="s">
        <v>336</v>
      </c>
      <c r="E1296" s="818" t="s">
        <v>2987</v>
      </c>
      <c r="F1296" s="820"/>
      <c r="G1296" s="821"/>
      <c r="H1296" s="822">
        <v>10349658.6381207</v>
      </c>
      <c r="I1296" s="819"/>
      <c r="J1296" s="820">
        <v>0</v>
      </c>
      <c r="K1296" s="819">
        <f t="shared" si="288"/>
        <v>1248</v>
      </c>
      <c r="L1296" s="819">
        <f t="shared" si="289"/>
        <v>1084</v>
      </c>
      <c r="M1296" s="819">
        <f t="shared" si="285"/>
        <v>1248</v>
      </c>
      <c r="N1296" s="819">
        <f t="shared" si="286"/>
        <v>364</v>
      </c>
      <c r="O1296" s="819">
        <f t="shared" si="287"/>
        <v>492</v>
      </c>
      <c r="P1296" s="819">
        <f t="shared" si="290"/>
        <v>150</v>
      </c>
      <c r="Q1296" s="819">
        <f t="shared" si="291"/>
        <v>661</v>
      </c>
      <c r="R1296" s="819">
        <f t="shared" si="292"/>
        <v>1166</v>
      </c>
      <c r="S1296" s="819">
        <f t="shared" si="293"/>
        <v>338</v>
      </c>
      <c r="T1296" s="819">
        <f t="shared" si="294"/>
        <v>470</v>
      </c>
      <c r="U1296" s="819">
        <f t="shared" si="295"/>
        <v>2785</v>
      </c>
      <c r="V1296" s="819">
        <f t="shared" si="296"/>
        <v>463</v>
      </c>
      <c r="W1296" s="379">
        <f t="shared" si="297"/>
        <v>463</v>
      </c>
      <c r="X1296" s="819" t="str">
        <f t="shared" si="298"/>
        <v/>
      </c>
      <c r="Y1296" s="837"/>
      <c r="Z1296" s="839"/>
      <c r="AA1296" s="838"/>
      <c r="AB1296" s="839"/>
    </row>
    <row r="1297" spans="1:28" ht="14.45">
      <c r="A1297" s="816"/>
      <c r="B1297" s="819" t="s">
        <v>3020</v>
      </c>
      <c r="C1297" s="819" t="s">
        <v>3021</v>
      </c>
      <c r="D1297" s="379" t="s">
        <v>336</v>
      </c>
      <c r="E1297" s="818" t="s">
        <v>2987</v>
      </c>
      <c r="F1297" s="820">
        <v>2.668701048</v>
      </c>
      <c r="G1297" s="821">
        <v>2.9414556959999998</v>
      </c>
      <c r="H1297" s="822">
        <v>3497.3707106749898</v>
      </c>
      <c r="I1297" s="819">
        <v>0.09</v>
      </c>
      <c r="J1297" s="820">
        <v>-2.6135169E-2</v>
      </c>
      <c r="K1297" s="819">
        <f t="shared" si="288"/>
        <v>1677</v>
      </c>
      <c r="L1297" s="819">
        <f t="shared" si="289"/>
        <v>556</v>
      </c>
      <c r="M1297" s="819">
        <f t="shared" si="285"/>
        <v>1677</v>
      </c>
      <c r="N1297" s="819">
        <f t="shared" si="286"/>
        <v>275</v>
      </c>
      <c r="O1297" s="819">
        <f t="shared" si="287"/>
        <v>1707</v>
      </c>
      <c r="P1297" s="819">
        <f t="shared" si="290"/>
        <v>279</v>
      </c>
      <c r="Q1297" s="819">
        <f t="shared" si="291"/>
        <v>133</v>
      </c>
      <c r="R1297" s="819">
        <f t="shared" si="292"/>
        <v>1595</v>
      </c>
      <c r="S1297" s="819">
        <f t="shared" si="293"/>
        <v>249</v>
      </c>
      <c r="T1297" s="819">
        <f t="shared" si="294"/>
        <v>1685</v>
      </c>
      <c r="U1297" s="819">
        <f t="shared" si="295"/>
        <v>3941</v>
      </c>
      <c r="V1297" s="819">
        <f t="shared" si="296"/>
        <v>1741</v>
      </c>
      <c r="W1297" s="379">
        <f t="shared" si="297"/>
        <v>1741</v>
      </c>
      <c r="X1297" s="819" t="str">
        <f t="shared" si="298"/>
        <v/>
      </c>
      <c r="Y1297" s="837"/>
      <c r="Z1297" s="839"/>
      <c r="AA1297" s="838"/>
      <c r="AB1297" s="839"/>
    </row>
    <row r="1298" spans="1:28" ht="13.15">
      <c r="B1298" s="819" t="s">
        <v>3022</v>
      </c>
      <c r="C1298" s="819" t="s">
        <v>3023</v>
      </c>
      <c r="D1298" s="379" t="s">
        <v>336</v>
      </c>
      <c r="E1298" s="818" t="s">
        <v>2987</v>
      </c>
      <c r="F1298" s="820">
        <v>1.035464478</v>
      </c>
      <c r="G1298" s="821">
        <v>0.32078579800000001</v>
      </c>
      <c r="H1298" s="822">
        <v>785843.85964912304</v>
      </c>
      <c r="I1298" s="819"/>
      <c r="J1298" s="820">
        <v>-1.199089E-3</v>
      </c>
      <c r="K1298" s="819">
        <f t="shared" si="288"/>
        <v>1575</v>
      </c>
      <c r="L1298" s="819">
        <f t="shared" si="289"/>
        <v>954</v>
      </c>
      <c r="M1298" s="819">
        <f t="shared" si="285"/>
        <v>1575</v>
      </c>
      <c r="N1298" s="819">
        <f t="shared" si="286"/>
        <v>364</v>
      </c>
      <c r="O1298" s="819">
        <f t="shared" si="287"/>
        <v>1428</v>
      </c>
      <c r="P1298" s="819">
        <f t="shared" si="290"/>
        <v>177</v>
      </c>
      <c r="Q1298" s="819">
        <f t="shared" si="291"/>
        <v>531</v>
      </c>
      <c r="R1298" s="819">
        <f t="shared" si="292"/>
        <v>1493</v>
      </c>
      <c r="S1298" s="819">
        <f t="shared" si="293"/>
        <v>338</v>
      </c>
      <c r="T1298" s="819">
        <f t="shared" si="294"/>
        <v>1406</v>
      </c>
      <c r="U1298" s="819">
        <f t="shared" si="295"/>
        <v>3945</v>
      </c>
      <c r="V1298" s="819">
        <f t="shared" si="296"/>
        <v>1742</v>
      </c>
      <c r="W1298" s="379">
        <f t="shared" si="297"/>
        <v>1742</v>
      </c>
      <c r="X1298" s="819" t="str">
        <f t="shared" si="298"/>
        <v/>
      </c>
      <c r="Y1298" s="837"/>
      <c r="Z1298" s="839"/>
      <c r="AA1298" s="838"/>
      <c r="AB1298" s="839"/>
    </row>
    <row r="1299" spans="1:28" ht="14.45">
      <c r="A1299" s="816"/>
      <c r="B1299" s="819" t="s">
        <v>3024</v>
      </c>
      <c r="C1299" s="819" t="s">
        <v>3025</v>
      </c>
      <c r="D1299" s="379" t="s">
        <v>336</v>
      </c>
      <c r="E1299" s="818" t="s">
        <v>378</v>
      </c>
      <c r="F1299" s="820">
        <v>1.174620934</v>
      </c>
      <c r="G1299" s="821">
        <v>6.3055474020000002</v>
      </c>
      <c r="H1299" s="822">
        <v>9294999507.5966091</v>
      </c>
      <c r="I1299" s="819">
        <v>1.94</v>
      </c>
      <c r="J1299" s="820">
        <v>-7.7602870000000003E-3</v>
      </c>
      <c r="K1299" s="819">
        <f t="shared" si="288"/>
        <v>37</v>
      </c>
      <c r="L1299" s="819">
        <f t="shared" si="289"/>
        <v>310</v>
      </c>
      <c r="M1299" s="819">
        <f t="shared" si="285"/>
        <v>37</v>
      </c>
      <c r="N1299" s="819">
        <f t="shared" si="286"/>
        <v>82</v>
      </c>
      <c r="O1299" s="819">
        <f t="shared" si="287"/>
        <v>1636</v>
      </c>
      <c r="P1299" s="819">
        <f t="shared" si="290"/>
        <v>1361</v>
      </c>
      <c r="Q1299" s="819">
        <f t="shared" si="291"/>
        <v>113</v>
      </c>
      <c r="R1299" s="819">
        <f t="shared" si="292"/>
        <v>45</v>
      </c>
      <c r="S1299" s="819">
        <f t="shared" si="293"/>
        <v>56</v>
      </c>
      <c r="T1299" s="819">
        <f t="shared" si="294"/>
        <v>1614</v>
      </c>
      <c r="U1299" s="819">
        <f t="shared" si="295"/>
        <v>3189</v>
      </c>
      <c r="V1299" s="819">
        <f t="shared" si="296"/>
        <v>1181</v>
      </c>
      <c r="W1299" s="379">
        <f t="shared" si="297"/>
        <v>1181</v>
      </c>
      <c r="X1299" s="819" t="str">
        <f t="shared" si="298"/>
        <v/>
      </c>
      <c r="Y1299" s="837"/>
      <c r="Z1299" s="839"/>
      <c r="AA1299" s="838"/>
      <c r="AB1299" s="839"/>
    </row>
    <row r="1300" spans="1:28" ht="13.15">
      <c r="B1300" s="819" t="s">
        <v>3026</v>
      </c>
      <c r="C1300" s="819" t="s">
        <v>3027</v>
      </c>
      <c r="D1300" s="379" t="s">
        <v>336</v>
      </c>
      <c r="E1300" s="818" t="s">
        <v>441</v>
      </c>
      <c r="F1300" s="820">
        <v>3.5942260789999998</v>
      </c>
      <c r="G1300" s="821">
        <v>1.061191453</v>
      </c>
      <c r="H1300" s="822">
        <v>2198803127.3242102</v>
      </c>
      <c r="I1300" s="819">
        <v>0.06</v>
      </c>
      <c r="J1300" s="820">
        <v>-1.4115320000000001E-3</v>
      </c>
      <c r="K1300" s="819">
        <f t="shared" si="288"/>
        <v>138</v>
      </c>
      <c r="L1300" s="819">
        <f t="shared" si="289"/>
        <v>801</v>
      </c>
      <c r="M1300" s="819">
        <f t="shared" si="285"/>
        <v>138</v>
      </c>
      <c r="N1300" s="819">
        <f t="shared" si="286"/>
        <v>300</v>
      </c>
      <c r="O1300" s="819">
        <f t="shared" si="287"/>
        <v>1449</v>
      </c>
      <c r="P1300" s="819">
        <f t="shared" si="290"/>
        <v>1260</v>
      </c>
      <c r="Q1300" s="819">
        <f t="shared" si="291"/>
        <v>378</v>
      </c>
      <c r="R1300" s="819">
        <f t="shared" si="292"/>
        <v>56</v>
      </c>
      <c r="S1300" s="819">
        <f t="shared" si="293"/>
        <v>274</v>
      </c>
      <c r="T1300" s="819">
        <f t="shared" si="294"/>
        <v>1427</v>
      </c>
      <c r="U1300" s="819">
        <f t="shared" si="295"/>
        <v>3395</v>
      </c>
      <c r="V1300" s="819">
        <f t="shared" si="296"/>
        <v>1457</v>
      </c>
      <c r="W1300" s="379">
        <f t="shared" si="297"/>
        <v>1457</v>
      </c>
      <c r="X1300" s="819" t="str">
        <f t="shared" si="298"/>
        <v/>
      </c>
      <c r="Y1300" s="837"/>
      <c r="Z1300" s="839"/>
      <c r="AA1300" s="838"/>
      <c r="AB1300" s="839"/>
    </row>
    <row r="1301" spans="1:28" ht="14.45">
      <c r="A1301" s="816"/>
      <c r="B1301" s="819" t="s">
        <v>3028</v>
      </c>
      <c r="C1301" s="819" t="s">
        <v>3029</v>
      </c>
      <c r="D1301" s="379" t="s">
        <v>336</v>
      </c>
      <c r="E1301" s="818" t="s">
        <v>189</v>
      </c>
      <c r="F1301" s="820">
        <v>-0.30333431399999999</v>
      </c>
      <c r="G1301" s="821">
        <v>-6.6523750000000006E-2</v>
      </c>
      <c r="H1301" s="822">
        <v>2941962629.7600002</v>
      </c>
      <c r="I1301" s="819"/>
      <c r="J1301" s="820">
        <v>5.6156700000000001E-4</v>
      </c>
      <c r="K1301" s="819">
        <f t="shared" si="288"/>
        <v>109</v>
      </c>
      <c r="L1301" s="819">
        <f t="shared" si="289"/>
        <v>1211</v>
      </c>
      <c r="M1301" s="819">
        <f t="shared" si="285"/>
        <v>109</v>
      </c>
      <c r="N1301" s="819">
        <f t="shared" si="286"/>
        <v>364</v>
      </c>
      <c r="O1301" s="819">
        <f t="shared" si="287"/>
        <v>205</v>
      </c>
      <c r="P1301" s="819">
        <f t="shared" si="290"/>
        <v>1289</v>
      </c>
      <c r="Q1301" s="819">
        <f t="shared" si="291"/>
        <v>788</v>
      </c>
      <c r="R1301" s="819">
        <f t="shared" si="292"/>
        <v>27</v>
      </c>
      <c r="S1301" s="819">
        <f t="shared" si="293"/>
        <v>338</v>
      </c>
      <c r="T1301" s="819">
        <f t="shared" si="294"/>
        <v>183</v>
      </c>
      <c r="U1301" s="819">
        <f t="shared" si="295"/>
        <v>2625</v>
      </c>
      <c r="V1301" s="819">
        <f t="shared" si="296"/>
        <v>297</v>
      </c>
      <c r="W1301" s="379">
        <f t="shared" si="297"/>
        <v>297</v>
      </c>
      <c r="X1301" s="819" t="str">
        <f t="shared" si="298"/>
        <v/>
      </c>
      <c r="Y1301" s="837"/>
      <c r="Z1301" s="839"/>
      <c r="AA1301" s="838"/>
      <c r="AB1301" s="839"/>
    </row>
    <row r="1302" spans="1:28" ht="13.15">
      <c r="B1302" s="819" t="s">
        <v>3030</v>
      </c>
      <c r="C1302" s="819" t="s">
        <v>3031</v>
      </c>
      <c r="D1302" s="379" t="s">
        <v>336</v>
      </c>
      <c r="E1302" s="818" t="s">
        <v>728</v>
      </c>
      <c r="F1302" s="820">
        <v>27.391235869999999</v>
      </c>
      <c r="G1302" s="821">
        <v>-0.15100925900000001</v>
      </c>
      <c r="H1302" s="822">
        <v>416378601.57223499</v>
      </c>
      <c r="I1302" s="819"/>
      <c r="J1302" s="820">
        <v>3.3063399999999999E-5</v>
      </c>
      <c r="K1302" s="819">
        <f t="shared" si="288"/>
        <v>397</v>
      </c>
      <c r="L1302" s="819">
        <f t="shared" si="289"/>
        <v>1230</v>
      </c>
      <c r="M1302" s="819">
        <f t="shared" si="285"/>
        <v>397</v>
      </c>
      <c r="N1302" s="819">
        <f t="shared" si="286"/>
        <v>364</v>
      </c>
      <c r="O1302" s="819">
        <f t="shared" si="287"/>
        <v>373</v>
      </c>
      <c r="P1302" s="819">
        <f t="shared" si="290"/>
        <v>1001</v>
      </c>
      <c r="Q1302" s="819">
        <f t="shared" si="291"/>
        <v>807</v>
      </c>
      <c r="R1302" s="819">
        <f t="shared" si="292"/>
        <v>315</v>
      </c>
      <c r="S1302" s="819">
        <f t="shared" si="293"/>
        <v>338</v>
      </c>
      <c r="T1302" s="819">
        <f t="shared" si="294"/>
        <v>351</v>
      </c>
      <c r="U1302" s="819">
        <f t="shared" si="295"/>
        <v>2812</v>
      </c>
      <c r="V1302" s="819">
        <f t="shared" si="296"/>
        <v>651</v>
      </c>
      <c r="W1302" s="379">
        <f t="shared" si="297"/>
        <v>651</v>
      </c>
      <c r="X1302" s="819" t="str">
        <f t="shared" si="298"/>
        <v/>
      </c>
      <c r="Y1302" s="837"/>
      <c r="Z1302" s="839"/>
      <c r="AA1302" s="838"/>
      <c r="AB1302" s="839"/>
    </row>
    <row r="1303" spans="1:28" ht="14.45">
      <c r="A1303" s="816"/>
      <c r="B1303" s="819" t="s">
        <v>3032</v>
      </c>
      <c r="C1303" s="819" t="s">
        <v>3033</v>
      </c>
      <c r="D1303" s="379" t="s">
        <v>336</v>
      </c>
      <c r="E1303" s="818" t="s">
        <v>191</v>
      </c>
      <c r="F1303" s="820">
        <v>8.9869355459999998</v>
      </c>
      <c r="G1303" s="821"/>
      <c r="H1303" s="822">
        <v>131439.09004462001</v>
      </c>
      <c r="I1303" s="819"/>
      <c r="J1303" s="820">
        <v>0</v>
      </c>
      <c r="K1303" s="819">
        <f t="shared" si="288"/>
        <v>1651</v>
      </c>
      <c r="L1303" s="819">
        <f t="shared" si="289"/>
        <v>1084</v>
      </c>
      <c r="M1303" s="819">
        <f t="shared" si="285"/>
        <v>1651</v>
      </c>
      <c r="N1303" s="819">
        <f t="shared" si="286"/>
        <v>364</v>
      </c>
      <c r="O1303" s="819">
        <f t="shared" si="287"/>
        <v>492</v>
      </c>
      <c r="P1303" s="819">
        <f t="shared" si="290"/>
        <v>253</v>
      </c>
      <c r="Q1303" s="819">
        <f t="shared" si="291"/>
        <v>661</v>
      </c>
      <c r="R1303" s="819">
        <f t="shared" si="292"/>
        <v>1569</v>
      </c>
      <c r="S1303" s="819">
        <f t="shared" si="293"/>
        <v>338</v>
      </c>
      <c r="T1303" s="819">
        <f t="shared" si="294"/>
        <v>470</v>
      </c>
      <c r="U1303" s="819">
        <f t="shared" si="295"/>
        <v>3291</v>
      </c>
      <c r="V1303" s="819">
        <f t="shared" si="296"/>
        <v>1325</v>
      </c>
      <c r="W1303" s="379">
        <f t="shared" si="297"/>
        <v>1325</v>
      </c>
      <c r="X1303" s="819" t="str">
        <f t="shared" si="298"/>
        <v/>
      </c>
      <c r="Y1303" s="837"/>
      <c r="Z1303" s="839"/>
      <c r="AA1303" s="838"/>
      <c r="AB1303" s="839"/>
    </row>
    <row r="1304" spans="1:28" ht="13.15">
      <c r="B1304" s="819" t="s">
        <v>3034</v>
      </c>
      <c r="C1304" s="819" t="s">
        <v>3035</v>
      </c>
      <c r="D1304" s="379" t="s">
        <v>336</v>
      </c>
      <c r="E1304" s="818" t="s">
        <v>189</v>
      </c>
      <c r="F1304" s="820">
        <v>1.453639753</v>
      </c>
      <c r="G1304" s="821">
        <v>6.933934431</v>
      </c>
      <c r="H1304" s="822">
        <v>1280952.6108653999</v>
      </c>
      <c r="I1304" s="819"/>
      <c r="J1304" s="820">
        <v>-4.7645000000000001E-4</v>
      </c>
      <c r="K1304" s="819">
        <f t="shared" si="288"/>
        <v>1541</v>
      </c>
      <c r="L1304" s="819">
        <f t="shared" si="289"/>
        <v>289</v>
      </c>
      <c r="M1304" s="819">
        <f t="shared" si="285"/>
        <v>1541</v>
      </c>
      <c r="N1304" s="819">
        <f t="shared" si="286"/>
        <v>364</v>
      </c>
      <c r="O1304" s="819">
        <f t="shared" si="287"/>
        <v>1260</v>
      </c>
      <c r="P1304" s="819">
        <f t="shared" si="290"/>
        <v>143</v>
      </c>
      <c r="Q1304" s="819">
        <f t="shared" si="291"/>
        <v>134</v>
      </c>
      <c r="R1304" s="819">
        <f t="shared" si="292"/>
        <v>1459</v>
      </c>
      <c r="S1304" s="819">
        <f t="shared" si="293"/>
        <v>338</v>
      </c>
      <c r="T1304" s="819">
        <f t="shared" si="294"/>
        <v>1238</v>
      </c>
      <c r="U1304" s="819">
        <f t="shared" si="295"/>
        <v>3312</v>
      </c>
      <c r="V1304" s="819">
        <f t="shared" si="296"/>
        <v>1360</v>
      </c>
      <c r="W1304" s="379">
        <f t="shared" si="297"/>
        <v>1360</v>
      </c>
      <c r="X1304" s="819" t="str">
        <f t="shared" si="298"/>
        <v/>
      </c>
      <c r="Y1304" s="837"/>
      <c r="Z1304" s="839"/>
      <c r="AA1304" s="838"/>
      <c r="AB1304" s="839"/>
    </row>
    <row r="1305" spans="1:28" ht="14.45">
      <c r="A1305" s="816"/>
      <c r="B1305" s="819" t="s">
        <v>3036</v>
      </c>
      <c r="C1305" s="819" t="s">
        <v>3037</v>
      </c>
      <c r="D1305" s="379" t="s">
        <v>336</v>
      </c>
      <c r="E1305" s="818" t="s">
        <v>441</v>
      </c>
      <c r="F1305" s="820">
        <v>5.429286608</v>
      </c>
      <c r="G1305" s="821">
        <v>3.4682713349999998</v>
      </c>
      <c r="H1305" s="822">
        <v>1038600787.55497</v>
      </c>
      <c r="I1305" s="819">
        <v>0.48</v>
      </c>
      <c r="J1305" s="820">
        <v>-9.31911E-4</v>
      </c>
      <c r="K1305" s="819">
        <f t="shared" si="288"/>
        <v>217</v>
      </c>
      <c r="L1305" s="819">
        <f t="shared" si="289"/>
        <v>505</v>
      </c>
      <c r="M1305" s="819">
        <f t="shared" si="285"/>
        <v>217</v>
      </c>
      <c r="N1305" s="819">
        <f t="shared" si="286"/>
        <v>167</v>
      </c>
      <c r="O1305" s="819">
        <f t="shared" si="287"/>
        <v>1385</v>
      </c>
      <c r="P1305" s="819">
        <f t="shared" si="290"/>
        <v>1181</v>
      </c>
      <c r="Q1305" s="819">
        <f t="shared" si="291"/>
        <v>82</v>
      </c>
      <c r="R1305" s="819">
        <f t="shared" si="292"/>
        <v>135</v>
      </c>
      <c r="S1305" s="819">
        <f t="shared" si="293"/>
        <v>141</v>
      </c>
      <c r="T1305" s="819">
        <f t="shared" si="294"/>
        <v>1363</v>
      </c>
      <c r="U1305" s="819">
        <f t="shared" si="295"/>
        <v>2902</v>
      </c>
      <c r="V1305" s="819">
        <f t="shared" si="296"/>
        <v>805</v>
      </c>
      <c r="W1305" s="379">
        <f t="shared" si="297"/>
        <v>805</v>
      </c>
      <c r="X1305" s="819" t="str">
        <f t="shared" si="298"/>
        <v/>
      </c>
      <c r="Y1305" s="837"/>
      <c r="Z1305" s="839"/>
      <c r="AA1305" s="838"/>
      <c r="AB1305" s="839"/>
    </row>
    <row r="1306" spans="1:28" ht="13.15">
      <c r="B1306" s="819" t="s">
        <v>3038</v>
      </c>
      <c r="C1306" s="819" t="s">
        <v>3039</v>
      </c>
      <c r="D1306" s="379" t="s">
        <v>336</v>
      </c>
      <c r="E1306" s="818" t="s">
        <v>941</v>
      </c>
      <c r="F1306" s="820">
        <v>1.601890942</v>
      </c>
      <c r="G1306" s="821">
        <v>0.93618270000000003</v>
      </c>
      <c r="H1306" s="822">
        <v>339836591.05176502</v>
      </c>
      <c r="I1306" s="819">
        <v>0.17</v>
      </c>
      <c r="J1306" s="820">
        <v>-1.031227E-3</v>
      </c>
      <c r="K1306" s="819">
        <f t="shared" si="288"/>
        <v>445</v>
      </c>
      <c r="L1306" s="819">
        <f t="shared" si="289"/>
        <v>827</v>
      </c>
      <c r="M1306" s="819">
        <f t="shared" si="285"/>
        <v>445</v>
      </c>
      <c r="N1306" s="819">
        <f t="shared" si="286"/>
        <v>224</v>
      </c>
      <c r="O1306" s="819">
        <f t="shared" si="287"/>
        <v>1402</v>
      </c>
      <c r="P1306" s="819">
        <f t="shared" si="290"/>
        <v>953</v>
      </c>
      <c r="Q1306" s="819">
        <f t="shared" si="291"/>
        <v>404</v>
      </c>
      <c r="R1306" s="819">
        <f t="shared" si="292"/>
        <v>363</v>
      </c>
      <c r="S1306" s="819">
        <f t="shared" si="293"/>
        <v>198</v>
      </c>
      <c r="T1306" s="819">
        <f t="shared" si="294"/>
        <v>1380</v>
      </c>
      <c r="U1306" s="819">
        <f t="shared" si="295"/>
        <v>3298</v>
      </c>
      <c r="V1306" s="819">
        <f t="shared" si="296"/>
        <v>1339</v>
      </c>
      <c r="W1306" s="379">
        <f t="shared" si="297"/>
        <v>1339</v>
      </c>
      <c r="X1306" s="819" t="str">
        <f t="shared" si="298"/>
        <v/>
      </c>
      <c r="Y1306" s="837"/>
      <c r="Z1306" s="839"/>
      <c r="AA1306" s="838"/>
      <c r="AB1306" s="839"/>
    </row>
    <row r="1307" spans="1:28" ht="14.45">
      <c r="A1307" s="816"/>
      <c r="B1307" s="819" t="s">
        <v>3040</v>
      </c>
      <c r="C1307" s="819" t="s">
        <v>3041</v>
      </c>
      <c r="D1307" s="379" t="s">
        <v>336</v>
      </c>
      <c r="E1307" s="818" t="s">
        <v>998</v>
      </c>
      <c r="F1307" s="820">
        <v>1.0431002110000001</v>
      </c>
      <c r="G1307" s="821">
        <v>0.56749133799999996</v>
      </c>
      <c r="H1307" s="822">
        <v>452049071.39716399</v>
      </c>
      <c r="I1307" s="819">
        <v>0.72</v>
      </c>
      <c r="J1307" s="820">
        <v>-3.9815099999999997E-3</v>
      </c>
      <c r="K1307" s="819">
        <f t="shared" si="288"/>
        <v>378</v>
      </c>
      <c r="L1307" s="819">
        <f t="shared" si="289"/>
        <v>906</v>
      </c>
      <c r="M1307" s="819">
        <f t="shared" si="285"/>
        <v>378</v>
      </c>
      <c r="N1307" s="819">
        <f t="shared" si="286"/>
        <v>149</v>
      </c>
      <c r="O1307" s="819">
        <f t="shared" si="287"/>
        <v>1588</v>
      </c>
      <c r="P1307" s="819">
        <f t="shared" si="290"/>
        <v>1020</v>
      </c>
      <c r="Q1307" s="819">
        <f t="shared" si="291"/>
        <v>483</v>
      </c>
      <c r="R1307" s="819">
        <f t="shared" si="292"/>
        <v>296</v>
      </c>
      <c r="S1307" s="819">
        <f t="shared" si="293"/>
        <v>123</v>
      </c>
      <c r="T1307" s="819">
        <f t="shared" si="294"/>
        <v>1566</v>
      </c>
      <c r="U1307" s="819">
        <f t="shared" si="295"/>
        <v>3488</v>
      </c>
      <c r="V1307" s="819">
        <f t="shared" si="296"/>
        <v>1543</v>
      </c>
      <c r="W1307" s="379">
        <f t="shared" si="297"/>
        <v>1543</v>
      </c>
      <c r="X1307" s="819" t="str">
        <f t="shared" si="298"/>
        <v/>
      </c>
      <c r="Y1307" s="837"/>
      <c r="Z1307" s="839"/>
      <c r="AA1307" s="838"/>
      <c r="AB1307" s="839"/>
    </row>
    <row r="1308" spans="1:28" ht="13.15">
      <c r="B1308" s="819" t="s">
        <v>3042</v>
      </c>
      <c r="C1308" s="819" t="s">
        <v>3043</v>
      </c>
      <c r="D1308" s="379" t="s">
        <v>336</v>
      </c>
      <c r="E1308" s="818" t="s">
        <v>441</v>
      </c>
      <c r="F1308" s="820">
        <v>0</v>
      </c>
      <c r="G1308" s="821">
        <v>-2.505800464</v>
      </c>
      <c r="H1308" s="822">
        <v>543267236.37268698</v>
      </c>
      <c r="I1308" s="819"/>
      <c r="J1308" s="820">
        <v>2.1480299999999999E-7</v>
      </c>
      <c r="K1308" s="819">
        <f t="shared" si="288"/>
        <v>330</v>
      </c>
      <c r="L1308" s="819">
        <f t="shared" si="289"/>
        <v>1360</v>
      </c>
      <c r="M1308" s="819">
        <f t="shared" si="285"/>
        <v>330</v>
      </c>
      <c r="N1308" s="819">
        <f t="shared" si="286"/>
        <v>364</v>
      </c>
      <c r="O1308" s="819">
        <f t="shared" si="287"/>
        <v>486</v>
      </c>
      <c r="P1308" s="819">
        <f t="shared" si="290"/>
        <v>1068</v>
      </c>
      <c r="Q1308" s="819">
        <f t="shared" si="291"/>
        <v>937</v>
      </c>
      <c r="R1308" s="819">
        <f t="shared" si="292"/>
        <v>248</v>
      </c>
      <c r="S1308" s="819">
        <f t="shared" si="293"/>
        <v>338</v>
      </c>
      <c r="T1308" s="819">
        <f t="shared" si="294"/>
        <v>464</v>
      </c>
      <c r="U1308" s="819">
        <f t="shared" si="295"/>
        <v>3055</v>
      </c>
      <c r="V1308" s="819">
        <f t="shared" si="296"/>
        <v>999</v>
      </c>
      <c r="W1308" s="379">
        <f t="shared" si="297"/>
        <v>999</v>
      </c>
      <c r="X1308" s="819" t="str">
        <f t="shared" si="298"/>
        <v/>
      </c>
      <c r="Y1308" s="837"/>
      <c r="Z1308" s="839"/>
      <c r="AA1308" s="838"/>
      <c r="AB1308" s="839"/>
    </row>
    <row r="1309" spans="1:28" ht="14.45">
      <c r="A1309" s="816"/>
      <c r="B1309" s="819" t="s">
        <v>3044</v>
      </c>
      <c r="C1309" s="819" t="s">
        <v>3045</v>
      </c>
      <c r="D1309" s="379" t="s">
        <v>336</v>
      </c>
      <c r="E1309" s="818" t="s">
        <v>441</v>
      </c>
      <c r="F1309" s="820">
        <v>6.5917179999999999E-3</v>
      </c>
      <c r="G1309" s="821">
        <v>-0.23516483499999999</v>
      </c>
      <c r="H1309" s="822">
        <v>3738234517.3354001</v>
      </c>
      <c r="I1309" s="819"/>
      <c r="J1309" s="820">
        <v>1.4792399999999999E-5</v>
      </c>
      <c r="K1309" s="819">
        <f t="shared" si="288"/>
        <v>89</v>
      </c>
      <c r="L1309" s="819">
        <f t="shared" si="289"/>
        <v>1246</v>
      </c>
      <c r="M1309" s="819">
        <f t="shared" si="285"/>
        <v>89</v>
      </c>
      <c r="N1309" s="819">
        <f t="shared" si="286"/>
        <v>364</v>
      </c>
      <c r="O1309" s="819">
        <f t="shared" si="287"/>
        <v>416</v>
      </c>
      <c r="P1309" s="819">
        <f t="shared" si="290"/>
        <v>1309</v>
      </c>
      <c r="Q1309" s="819">
        <f t="shared" si="291"/>
        <v>823</v>
      </c>
      <c r="R1309" s="819">
        <f t="shared" si="292"/>
        <v>7</v>
      </c>
      <c r="S1309" s="819">
        <f t="shared" si="293"/>
        <v>338</v>
      </c>
      <c r="T1309" s="819">
        <f t="shared" si="294"/>
        <v>394</v>
      </c>
      <c r="U1309" s="819">
        <f t="shared" si="295"/>
        <v>2871</v>
      </c>
      <c r="V1309" s="819">
        <f t="shared" si="296"/>
        <v>757</v>
      </c>
      <c r="W1309" s="379">
        <f t="shared" si="297"/>
        <v>757</v>
      </c>
      <c r="X1309" s="819" t="str">
        <f t="shared" si="298"/>
        <v/>
      </c>
      <c r="Y1309" s="837"/>
      <c r="Z1309" s="839"/>
      <c r="AA1309" s="838"/>
      <c r="AB1309" s="839"/>
    </row>
    <row r="1310" spans="1:28" ht="13.15">
      <c r="B1310" s="819" t="s">
        <v>3046</v>
      </c>
      <c r="C1310" s="819" t="s">
        <v>3047</v>
      </c>
      <c r="D1310" s="379" t="s">
        <v>336</v>
      </c>
      <c r="E1310" s="818" t="s">
        <v>460</v>
      </c>
      <c r="F1310" s="820">
        <v>1.0370359689999999</v>
      </c>
      <c r="G1310" s="821">
        <v>1.4807555699999999</v>
      </c>
      <c r="H1310" s="822">
        <v>136600.65537957399</v>
      </c>
      <c r="I1310" s="819"/>
      <c r="J1310" s="820">
        <v>-4.7844499999999999E-5</v>
      </c>
      <c r="K1310" s="819">
        <f t="shared" si="288"/>
        <v>1650</v>
      </c>
      <c r="L1310" s="819">
        <f t="shared" si="289"/>
        <v>743</v>
      </c>
      <c r="M1310" s="819">
        <f t="shared" si="285"/>
        <v>1650</v>
      </c>
      <c r="N1310" s="819">
        <f t="shared" si="286"/>
        <v>364</v>
      </c>
      <c r="O1310" s="819">
        <f t="shared" si="287"/>
        <v>920</v>
      </c>
      <c r="P1310" s="819">
        <f t="shared" si="290"/>
        <v>252</v>
      </c>
      <c r="Q1310" s="819">
        <f t="shared" si="291"/>
        <v>320</v>
      </c>
      <c r="R1310" s="819">
        <f t="shared" si="292"/>
        <v>1568</v>
      </c>
      <c r="S1310" s="819">
        <f t="shared" si="293"/>
        <v>338</v>
      </c>
      <c r="T1310" s="819">
        <f t="shared" si="294"/>
        <v>898</v>
      </c>
      <c r="U1310" s="819">
        <f t="shared" si="295"/>
        <v>3376</v>
      </c>
      <c r="V1310" s="819">
        <f t="shared" si="296"/>
        <v>1440</v>
      </c>
      <c r="W1310" s="379">
        <f t="shared" si="297"/>
        <v>1440</v>
      </c>
      <c r="X1310" s="819" t="str">
        <f t="shared" si="298"/>
        <v/>
      </c>
      <c r="Y1310" s="837"/>
      <c r="Z1310" s="839"/>
      <c r="AA1310" s="838"/>
      <c r="AB1310" s="839"/>
    </row>
    <row r="1311" spans="1:28" ht="14.45">
      <c r="A1311" s="816"/>
      <c r="B1311" s="819" t="s">
        <v>3048</v>
      </c>
      <c r="C1311" s="819" t="s">
        <v>3049</v>
      </c>
      <c r="D1311" s="379" t="s">
        <v>336</v>
      </c>
      <c r="E1311" s="818" t="s">
        <v>998</v>
      </c>
      <c r="F1311" s="820">
        <v>1.32856755</v>
      </c>
      <c r="G1311" s="821">
        <v>1.5663458589999999</v>
      </c>
      <c r="H1311" s="822">
        <v>3221266.3075739299</v>
      </c>
      <c r="I1311" s="819">
        <v>0.05</v>
      </c>
      <c r="J1311" s="820">
        <v>-2.1097080000000001E-3</v>
      </c>
      <c r="K1311" s="819">
        <f t="shared" si="288"/>
        <v>1440</v>
      </c>
      <c r="L1311" s="819">
        <f t="shared" si="289"/>
        <v>734</v>
      </c>
      <c r="M1311" s="819">
        <f t="shared" si="285"/>
        <v>1440</v>
      </c>
      <c r="N1311" s="819">
        <f t="shared" si="286"/>
        <v>305</v>
      </c>
      <c r="O1311" s="819">
        <f t="shared" si="287"/>
        <v>1500</v>
      </c>
      <c r="P1311" s="819">
        <f t="shared" si="290"/>
        <v>42</v>
      </c>
      <c r="Q1311" s="819">
        <f t="shared" si="291"/>
        <v>311</v>
      </c>
      <c r="R1311" s="819">
        <f t="shared" si="292"/>
        <v>1358</v>
      </c>
      <c r="S1311" s="819">
        <f t="shared" si="293"/>
        <v>279</v>
      </c>
      <c r="T1311" s="819">
        <f t="shared" si="294"/>
        <v>1478</v>
      </c>
      <c r="U1311" s="819">
        <f t="shared" si="295"/>
        <v>3468</v>
      </c>
      <c r="V1311" s="819">
        <f t="shared" si="296"/>
        <v>1526</v>
      </c>
      <c r="W1311" s="379">
        <f t="shared" si="297"/>
        <v>1526</v>
      </c>
      <c r="X1311" s="819" t="str">
        <f t="shared" si="298"/>
        <v/>
      </c>
      <c r="Y1311" s="837"/>
      <c r="Z1311" s="839"/>
      <c r="AA1311" s="838"/>
      <c r="AB1311" s="839"/>
    </row>
    <row r="1312" spans="1:28" ht="13.15">
      <c r="B1312" s="819" t="s">
        <v>3050</v>
      </c>
      <c r="C1312" s="819" t="s">
        <v>3051</v>
      </c>
      <c r="D1312" s="379" t="s">
        <v>336</v>
      </c>
      <c r="E1312" s="818" t="s">
        <v>441</v>
      </c>
      <c r="F1312" s="820"/>
      <c r="G1312" s="821"/>
      <c r="H1312" s="822">
        <v>279052499.274872</v>
      </c>
      <c r="I1312" s="819"/>
      <c r="J1312" s="820">
        <v>0</v>
      </c>
      <c r="K1312" s="819">
        <f t="shared" si="288"/>
        <v>490</v>
      </c>
      <c r="L1312" s="819">
        <f t="shared" si="289"/>
        <v>1084</v>
      </c>
      <c r="M1312" s="819">
        <f t="shared" si="285"/>
        <v>490</v>
      </c>
      <c r="N1312" s="819">
        <f t="shared" si="286"/>
        <v>364</v>
      </c>
      <c r="O1312" s="819">
        <f t="shared" si="287"/>
        <v>492</v>
      </c>
      <c r="P1312" s="819">
        <f t="shared" si="290"/>
        <v>908</v>
      </c>
      <c r="Q1312" s="819">
        <f t="shared" si="291"/>
        <v>661</v>
      </c>
      <c r="R1312" s="819">
        <f t="shared" si="292"/>
        <v>408</v>
      </c>
      <c r="S1312" s="819">
        <f t="shared" si="293"/>
        <v>338</v>
      </c>
      <c r="T1312" s="819">
        <f t="shared" si="294"/>
        <v>470</v>
      </c>
      <c r="U1312" s="819">
        <f t="shared" si="295"/>
        <v>2785</v>
      </c>
      <c r="V1312" s="819">
        <f t="shared" si="296"/>
        <v>463</v>
      </c>
      <c r="W1312" s="379">
        <f t="shared" si="297"/>
        <v>463</v>
      </c>
      <c r="X1312" s="819" t="str">
        <f t="shared" si="298"/>
        <v/>
      </c>
      <c r="Y1312" s="837"/>
      <c r="Z1312" s="839"/>
      <c r="AA1312" s="838"/>
      <c r="AB1312" s="839"/>
    </row>
    <row r="1313" spans="1:28" ht="14.45">
      <c r="A1313" s="816"/>
      <c r="B1313" s="819" t="s">
        <v>3052</v>
      </c>
      <c r="C1313" s="819" t="s">
        <v>3053</v>
      </c>
      <c r="D1313" s="379" t="s">
        <v>336</v>
      </c>
      <c r="E1313" s="818" t="s">
        <v>441</v>
      </c>
      <c r="F1313" s="820">
        <v>0.51295374000000005</v>
      </c>
      <c r="G1313" s="821">
        <v>0.501860372</v>
      </c>
      <c r="H1313" s="822">
        <v>1354439637.59478</v>
      </c>
      <c r="I1313" s="819"/>
      <c r="J1313" s="820">
        <v>-1.9266500000000001E-4</v>
      </c>
      <c r="K1313" s="819">
        <f t="shared" si="288"/>
        <v>184</v>
      </c>
      <c r="L1313" s="819">
        <f t="shared" si="289"/>
        <v>922</v>
      </c>
      <c r="M1313" s="819">
        <f t="shared" si="285"/>
        <v>184</v>
      </c>
      <c r="N1313" s="819">
        <f t="shared" si="286"/>
        <v>364</v>
      </c>
      <c r="O1313" s="819">
        <f t="shared" si="287"/>
        <v>1101</v>
      </c>
      <c r="P1313" s="819">
        <f t="shared" si="290"/>
        <v>1214</v>
      </c>
      <c r="Q1313" s="819">
        <f t="shared" si="291"/>
        <v>499</v>
      </c>
      <c r="R1313" s="819">
        <f t="shared" si="292"/>
        <v>102</v>
      </c>
      <c r="S1313" s="819">
        <f t="shared" si="293"/>
        <v>338</v>
      </c>
      <c r="T1313" s="819">
        <f t="shared" si="294"/>
        <v>1079</v>
      </c>
      <c r="U1313" s="819">
        <f t="shared" si="295"/>
        <v>3232</v>
      </c>
      <c r="V1313" s="819">
        <f t="shared" si="296"/>
        <v>1239</v>
      </c>
      <c r="W1313" s="379">
        <f t="shared" si="297"/>
        <v>1239</v>
      </c>
      <c r="X1313" s="819" t="str">
        <f t="shared" si="298"/>
        <v/>
      </c>
      <c r="Y1313" s="837"/>
      <c r="Z1313" s="839"/>
      <c r="AA1313" s="838"/>
      <c r="AB1313" s="839"/>
    </row>
    <row r="1314" spans="1:28" ht="13.15">
      <c r="B1314" s="819" t="s">
        <v>3054</v>
      </c>
      <c r="C1314" s="819" t="s">
        <v>3055</v>
      </c>
      <c r="D1314" s="379" t="s">
        <v>336</v>
      </c>
      <c r="E1314" s="818" t="s">
        <v>460</v>
      </c>
      <c r="F1314" s="820">
        <v>1.2631304860000001</v>
      </c>
      <c r="G1314" s="821">
        <v>0</v>
      </c>
      <c r="H1314" s="822">
        <v>257163.48055372399</v>
      </c>
      <c r="I1314" s="819"/>
      <c r="J1314" s="820">
        <v>3.2675999999999999E-6</v>
      </c>
      <c r="K1314" s="819">
        <f t="shared" si="288"/>
        <v>1634</v>
      </c>
      <c r="L1314" s="819">
        <f t="shared" si="289"/>
        <v>1084</v>
      </c>
      <c r="M1314" s="819">
        <f t="shared" si="285"/>
        <v>1634</v>
      </c>
      <c r="N1314" s="819">
        <f t="shared" si="286"/>
        <v>364</v>
      </c>
      <c r="O1314" s="819">
        <f t="shared" si="287"/>
        <v>455</v>
      </c>
      <c r="P1314" s="819">
        <f t="shared" si="290"/>
        <v>236</v>
      </c>
      <c r="Q1314" s="819">
        <f t="shared" si="291"/>
        <v>661</v>
      </c>
      <c r="R1314" s="819">
        <f t="shared" si="292"/>
        <v>1552</v>
      </c>
      <c r="S1314" s="819">
        <f t="shared" si="293"/>
        <v>338</v>
      </c>
      <c r="T1314" s="819">
        <f t="shared" si="294"/>
        <v>433</v>
      </c>
      <c r="U1314" s="819">
        <f t="shared" si="295"/>
        <v>3220</v>
      </c>
      <c r="V1314" s="819">
        <f t="shared" si="296"/>
        <v>1227</v>
      </c>
      <c r="W1314" s="379">
        <f t="shared" si="297"/>
        <v>1227</v>
      </c>
      <c r="X1314" s="819" t="str">
        <f t="shared" si="298"/>
        <v/>
      </c>
      <c r="Y1314" s="837"/>
      <c r="Z1314" s="839"/>
      <c r="AA1314" s="838"/>
      <c r="AB1314" s="839"/>
    </row>
    <row r="1315" spans="1:28" ht="14.45">
      <c r="A1315" s="816"/>
      <c r="B1315" s="819" t="s">
        <v>3056</v>
      </c>
      <c r="C1315" s="819" t="s">
        <v>3057</v>
      </c>
      <c r="D1315" s="379" t="s">
        <v>336</v>
      </c>
      <c r="E1315" s="818" t="s">
        <v>441</v>
      </c>
      <c r="F1315" s="820">
        <v>5.7426549820000004</v>
      </c>
      <c r="G1315" s="821">
        <v>12.85310632</v>
      </c>
      <c r="H1315" s="822">
        <v>246925957.92886999</v>
      </c>
      <c r="I1315" s="819">
        <v>0.01</v>
      </c>
      <c r="J1315" s="820">
        <v>-2.3517910000000002E-3</v>
      </c>
      <c r="K1315" s="819">
        <f t="shared" si="288"/>
        <v>518</v>
      </c>
      <c r="L1315" s="819">
        <f t="shared" si="289"/>
        <v>151</v>
      </c>
      <c r="M1315" s="819">
        <f t="shared" si="285"/>
        <v>518</v>
      </c>
      <c r="N1315" s="819">
        <f t="shared" si="286"/>
        <v>344</v>
      </c>
      <c r="O1315" s="819">
        <f t="shared" si="287"/>
        <v>1518</v>
      </c>
      <c r="P1315" s="819">
        <f t="shared" si="290"/>
        <v>880</v>
      </c>
      <c r="Q1315" s="819">
        <f t="shared" si="291"/>
        <v>272</v>
      </c>
      <c r="R1315" s="819">
        <f t="shared" si="292"/>
        <v>436</v>
      </c>
      <c r="S1315" s="819">
        <f t="shared" si="293"/>
        <v>318</v>
      </c>
      <c r="T1315" s="819">
        <f t="shared" si="294"/>
        <v>1496</v>
      </c>
      <c r="U1315" s="819">
        <f t="shared" si="295"/>
        <v>3402</v>
      </c>
      <c r="V1315" s="819">
        <f t="shared" si="296"/>
        <v>1466</v>
      </c>
      <c r="W1315" s="379">
        <f t="shared" si="297"/>
        <v>1466</v>
      </c>
      <c r="X1315" s="819" t="str">
        <f t="shared" si="298"/>
        <v/>
      </c>
      <c r="Y1315" s="837"/>
      <c r="Z1315" s="839"/>
      <c r="AA1315" s="838"/>
      <c r="AB1315" s="839"/>
    </row>
    <row r="1316" spans="1:28" ht="13.15">
      <c r="B1316" s="819" t="s">
        <v>3058</v>
      </c>
      <c r="C1316" s="819" t="s">
        <v>3059</v>
      </c>
      <c r="D1316" s="379" t="s">
        <v>336</v>
      </c>
      <c r="E1316" s="818" t="s">
        <v>460</v>
      </c>
      <c r="F1316" s="820">
        <v>2.4514890359999999</v>
      </c>
      <c r="G1316" s="821">
        <v>-1.7741588749999999</v>
      </c>
      <c r="H1316" s="822">
        <v>9873614.1906873602</v>
      </c>
      <c r="I1316" s="819"/>
      <c r="J1316" s="820">
        <v>6.4174800000000001E-5</v>
      </c>
      <c r="K1316" s="819">
        <f t="shared" si="288"/>
        <v>1255</v>
      </c>
      <c r="L1316" s="819">
        <f t="shared" si="289"/>
        <v>1335</v>
      </c>
      <c r="M1316" s="819">
        <f t="shared" si="285"/>
        <v>1255</v>
      </c>
      <c r="N1316" s="819">
        <f t="shared" si="286"/>
        <v>364</v>
      </c>
      <c r="O1316" s="819">
        <f t="shared" si="287"/>
        <v>326</v>
      </c>
      <c r="P1316" s="819">
        <f t="shared" si="290"/>
        <v>143</v>
      </c>
      <c r="Q1316" s="819">
        <f t="shared" si="291"/>
        <v>912</v>
      </c>
      <c r="R1316" s="819">
        <f t="shared" si="292"/>
        <v>1173</v>
      </c>
      <c r="S1316" s="819">
        <f t="shared" si="293"/>
        <v>338</v>
      </c>
      <c r="T1316" s="819">
        <f t="shared" si="294"/>
        <v>304</v>
      </c>
      <c r="U1316" s="819">
        <f t="shared" si="295"/>
        <v>2870</v>
      </c>
      <c r="V1316" s="819">
        <f t="shared" si="296"/>
        <v>756</v>
      </c>
      <c r="W1316" s="379">
        <f t="shared" si="297"/>
        <v>756</v>
      </c>
      <c r="X1316" s="819" t="str">
        <f t="shared" si="298"/>
        <v/>
      </c>
      <c r="Y1316" s="837"/>
      <c r="Z1316" s="839"/>
      <c r="AA1316" s="838"/>
      <c r="AB1316" s="839"/>
    </row>
    <row r="1317" spans="1:28" ht="14.45">
      <c r="A1317" s="816"/>
      <c r="B1317" s="819" t="s">
        <v>3060</v>
      </c>
      <c r="C1317" s="819" t="s">
        <v>3061</v>
      </c>
      <c r="D1317" s="379" t="s">
        <v>336</v>
      </c>
      <c r="E1317" s="818" t="s">
        <v>444</v>
      </c>
      <c r="F1317" s="820">
        <v>3.535211828</v>
      </c>
      <c r="G1317" s="821">
        <v>29.976003030000001</v>
      </c>
      <c r="H1317" s="822">
        <v>488499935.31713802</v>
      </c>
      <c r="I1317" s="819"/>
      <c r="J1317" s="820">
        <v>-4.20973E-4</v>
      </c>
      <c r="K1317" s="819">
        <f t="shared" si="288"/>
        <v>358</v>
      </c>
      <c r="L1317" s="819">
        <f t="shared" si="289"/>
        <v>59</v>
      </c>
      <c r="M1317" s="819">
        <f t="shared" si="285"/>
        <v>358</v>
      </c>
      <c r="N1317" s="819">
        <f t="shared" si="286"/>
        <v>364</v>
      </c>
      <c r="O1317" s="819">
        <f t="shared" si="287"/>
        <v>1238</v>
      </c>
      <c r="P1317" s="819">
        <f t="shared" si="290"/>
        <v>1040</v>
      </c>
      <c r="Q1317" s="819">
        <f t="shared" si="291"/>
        <v>364</v>
      </c>
      <c r="R1317" s="819">
        <f t="shared" si="292"/>
        <v>276</v>
      </c>
      <c r="S1317" s="819">
        <f t="shared" si="293"/>
        <v>338</v>
      </c>
      <c r="T1317" s="819">
        <f t="shared" si="294"/>
        <v>1216</v>
      </c>
      <c r="U1317" s="819">
        <f t="shared" si="295"/>
        <v>3234</v>
      </c>
      <c r="V1317" s="819">
        <f t="shared" si="296"/>
        <v>1246</v>
      </c>
      <c r="W1317" s="379">
        <f t="shared" si="297"/>
        <v>1246</v>
      </c>
      <c r="X1317" s="819" t="str">
        <f t="shared" si="298"/>
        <v/>
      </c>
      <c r="Y1317" s="837"/>
      <c r="Z1317" s="839"/>
      <c r="AA1317" s="838"/>
      <c r="AB1317" s="839"/>
    </row>
    <row r="1318" spans="1:28" ht="13.15">
      <c r="B1318" s="819" t="s">
        <v>3062</v>
      </c>
      <c r="C1318" s="819" t="s">
        <v>3063</v>
      </c>
      <c r="D1318" s="379" t="s">
        <v>336</v>
      </c>
      <c r="E1318" s="818" t="s">
        <v>676</v>
      </c>
      <c r="F1318" s="820">
        <v>0.60486173399999998</v>
      </c>
      <c r="G1318" s="821">
        <v>-2.4927009130000002</v>
      </c>
      <c r="H1318" s="822">
        <v>19907683.9532989</v>
      </c>
      <c r="I1318" s="819"/>
      <c r="J1318" s="820">
        <v>5.9388800000000003E-6</v>
      </c>
      <c r="K1318" s="819">
        <f t="shared" si="288"/>
        <v>1104</v>
      </c>
      <c r="L1318" s="819">
        <f t="shared" si="289"/>
        <v>1358</v>
      </c>
      <c r="M1318" s="819">
        <f t="shared" si="285"/>
        <v>1104</v>
      </c>
      <c r="N1318" s="819">
        <f t="shared" si="286"/>
        <v>364</v>
      </c>
      <c r="O1318" s="819">
        <f t="shared" si="287"/>
        <v>439</v>
      </c>
      <c r="P1318" s="819">
        <f t="shared" si="290"/>
        <v>294</v>
      </c>
      <c r="Q1318" s="819">
        <f t="shared" si="291"/>
        <v>935</v>
      </c>
      <c r="R1318" s="819">
        <f t="shared" si="292"/>
        <v>1022</v>
      </c>
      <c r="S1318" s="819">
        <f t="shared" si="293"/>
        <v>338</v>
      </c>
      <c r="T1318" s="819">
        <f t="shared" si="294"/>
        <v>417</v>
      </c>
      <c r="U1318" s="819">
        <f t="shared" si="295"/>
        <v>3006</v>
      </c>
      <c r="V1318" s="819">
        <f t="shared" si="296"/>
        <v>934</v>
      </c>
      <c r="W1318" s="379">
        <f t="shared" si="297"/>
        <v>934</v>
      </c>
      <c r="X1318" s="819" t="str">
        <f t="shared" si="298"/>
        <v/>
      </c>
      <c r="Y1318" s="837"/>
      <c r="Z1318" s="839"/>
      <c r="AA1318" s="838"/>
      <c r="AB1318" s="839"/>
    </row>
    <row r="1319" spans="1:28" ht="14.45">
      <c r="A1319" s="816"/>
      <c r="B1319" s="819" t="s">
        <v>3064</v>
      </c>
      <c r="C1319" s="819" t="s">
        <v>3065</v>
      </c>
      <c r="D1319" s="379" t="s">
        <v>336</v>
      </c>
      <c r="E1319" s="818" t="s">
        <v>441</v>
      </c>
      <c r="F1319" s="820">
        <v>3.4354322979999998</v>
      </c>
      <c r="G1319" s="821">
        <v>1.61807404</v>
      </c>
      <c r="H1319" s="822">
        <v>1839126172.5669999</v>
      </c>
      <c r="I1319" s="819"/>
      <c r="J1319" s="820">
        <v>-3.72048E-5</v>
      </c>
      <c r="K1319" s="819">
        <f t="shared" si="288"/>
        <v>156</v>
      </c>
      <c r="L1319" s="819">
        <f t="shared" si="289"/>
        <v>726</v>
      </c>
      <c r="M1319" s="819">
        <f t="shared" si="285"/>
        <v>156</v>
      </c>
      <c r="N1319" s="819">
        <f t="shared" si="286"/>
        <v>364</v>
      </c>
      <c r="O1319" s="819">
        <f t="shared" si="287"/>
        <v>891</v>
      </c>
      <c r="P1319" s="819">
        <f t="shared" si="290"/>
        <v>1242</v>
      </c>
      <c r="Q1319" s="819">
        <f t="shared" si="291"/>
        <v>303</v>
      </c>
      <c r="R1319" s="819">
        <f t="shared" si="292"/>
        <v>74</v>
      </c>
      <c r="S1319" s="819">
        <f t="shared" si="293"/>
        <v>338</v>
      </c>
      <c r="T1319" s="819">
        <f t="shared" si="294"/>
        <v>869</v>
      </c>
      <c r="U1319" s="819">
        <f t="shared" si="295"/>
        <v>2826</v>
      </c>
      <c r="V1319" s="819">
        <f t="shared" si="296"/>
        <v>673</v>
      </c>
      <c r="W1319" s="379">
        <f t="shared" si="297"/>
        <v>673</v>
      </c>
      <c r="X1319" s="819" t="str">
        <f t="shared" si="298"/>
        <v/>
      </c>
      <c r="Y1319" s="837"/>
      <c r="Z1319" s="839"/>
      <c r="AA1319" s="838"/>
      <c r="AB1319" s="839"/>
    </row>
    <row r="1320" spans="1:28" ht="13.15">
      <c r="B1320" s="819" t="s">
        <v>3066</v>
      </c>
      <c r="C1320" s="819" t="s">
        <v>3067</v>
      </c>
      <c r="D1320" s="379" t="s">
        <v>336</v>
      </c>
      <c r="E1320" s="818" t="s">
        <v>1832</v>
      </c>
      <c r="F1320" s="820">
        <v>2.32245306</v>
      </c>
      <c r="G1320" s="821">
        <v>1.006466192</v>
      </c>
      <c r="H1320" s="822">
        <v>278393.85584875901</v>
      </c>
      <c r="I1320" s="819">
        <v>0.1</v>
      </c>
      <c r="J1320" s="820">
        <v>-8.1037100000000005E-4</v>
      </c>
      <c r="K1320" s="819">
        <f t="shared" si="288"/>
        <v>1631</v>
      </c>
      <c r="L1320" s="819">
        <f t="shared" si="289"/>
        <v>807</v>
      </c>
      <c r="M1320" s="819">
        <f t="shared" si="285"/>
        <v>1631</v>
      </c>
      <c r="N1320" s="819">
        <f t="shared" si="286"/>
        <v>268</v>
      </c>
      <c r="O1320" s="819">
        <f t="shared" si="287"/>
        <v>1365</v>
      </c>
      <c r="P1320" s="819">
        <f t="shared" si="290"/>
        <v>233</v>
      </c>
      <c r="Q1320" s="819">
        <f t="shared" si="291"/>
        <v>384</v>
      </c>
      <c r="R1320" s="819">
        <f t="shared" si="292"/>
        <v>1549</v>
      </c>
      <c r="S1320" s="819">
        <f t="shared" si="293"/>
        <v>242</v>
      </c>
      <c r="T1320" s="819">
        <f t="shared" si="294"/>
        <v>1343</v>
      </c>
      <c r="U1320" s="819">
        <f t="shared" si="295"/>
        <v>3751</v>
      </c>
      <c r="V1320" s="819">
        <f t="shared" si="296"/>
        <v>1697</v>
      </c>
      <c r="W1320" s="379">
        <f t="shared" si="297"/>
        <v>1697</v>
      </c>
      <c r="X1320" s="819" t="str">
        <f t="shared" si="298"/>
        <v/>
      </c>
      <c r="Y1320" s="837"/>
      <c r="Z1320" s="839"/>
      <c r="AA1320" s="838"/>
      <c r="AB1320" s="839"/>
    </row>
    <row r="1321" spans="1:28" ht="14.45">
      <c r="A1321" s="816"/>
      <c r="B1321" s="819" t="s">
        <v>3068</v>
      </c>
      <c r="C1321" s="819" t="s">
        <v>3069</v>
      </c>
      <c r="D1321" s="379" t="s">
        <v>336</v>
      </c>
      <c r="E1321" s="818" t="s">
        <v>1077</v>
      </c>
      <c r="F1321" s="820">
        <v>3.6357720759999999</v>
      </c>
      <c r="G1321" s="821">
        <v>1.756555482</v>
      </c>
      <c r="H1321" s="822">
        <v>8062225.1997419503</v>
      </c>
      <c r="I1321" s="819"/>
      <c r="J1321" s="820">
        <v>-6.4845699999999996E-4</v>
      </c>
      <c r="K1321" s="819">
        <f t="shared" si="288"/>
        <v>1298</v>
      </c>
      <c r="L1321" s="819">
        <f t="shared" si="289"/>
        <v>712</v>
      </c>
      <c r="M1321" s="819">
        <f t="shared" si="285"/>
        <v>1298</v>
      </c>
      <c r="N1321" s="819">
        <f t="shared" si="286"/>
        <v>364</v>
      </c>
      <c r="O1321" s="819">
        <f t="shared" si="287"/>
        <v>1332</v>
      </c>
      <c r="P1321" s="819">
        <f t="shared" si="290"/>
        <v>100</v>
      </c>
      <c r="Q1321" s="819">
        <f t="shared" si="291"/>
        <v>289</v>
      </c>
      <c r="R1321" s="819">
        <f t="shared" si="292"/>
        <v>1216</v>
      </c>
      <c r="S1321" s="819">
        <f t="shared" si="293"/>
        <v>338</v>
      </c>
      <c r="T1321" s="819">
        <f t="shared" si="294"/>
        <v>1310</v>
      </c>
      <c r="U1321" s="819">
        <f t="shared" si="295"/>
        <v>3253</v>
      </c>
      <c r="V1321" s="819">
        <f t="shared" si="296"/>
        <v>1276</v>
      </c>
      <c r="W1321" s="379">
        <f t="shared" si="297"/>
        <v>1276</v>
      </c>
      <c r="X1321" s="819" t="str">
        <f t="shared" si="298"/>
        <v/>
      </c>
      <c r="Y1321" s="837"/>
      <c r="Z1321" s="839"/>
      <c r="AA1321" s="838"/>
      <c r="AB1321" s="839"/>
    </row>
    <row r="1322" spans="1:28" ht="13.15">
      <c r="B1322" s="819" t="s">
        <v>3070</v>
      </c>
      <c r="C1322" s="819" t="s">
        <v>3071</v>
      </c>
      <c r="D1322" s="379" t="s">
        <v>336</v>
      </c>
      <c r="E1322" s="818" t="s">
        <v>341</v>
      </c>
      <c r="F1322" s="820">
        <v>1.7430417650000001</v>
      </c>
      <c r="G1322" s="821">
        <v>6.0588795920000003</v>
      </c>
      <c r="H1322" s="822">
        <v>189160490.94968799</v>
      </c>
      <c r="I1322" s="819"/>
      <c r="J1322" s="820">
        <v>-3.5272899999999998E-4</v>
      </c>
      <c r="K1322" s="819">
        <f t="shared" si="288"/>
        <v>585</v>
      </c>
      <c r="L1322" s="819">
        <f t="shared" si="289"/>
        <v>322</v>
      </c>
      <c r="M1322" s="819">
        <f t="shared" si="285"/>
        <v>585</v>
      </c>
      <c r="N1322" s="819">
        <f t="shared" si="286"/>
        <v>364</v>
      </c>
      <c r="O1322" s="819">
        <f t="shared" si="287"/>
        <v>1199</v>
      </c>
      <c r="P1322" s="819">
        <f t="shared" si="290"/>
        <v>813</v>
      </c>
      <c r="Q1322" s="819">
        <f t="shared" si="291"/>
        <v>101</v>
      </c>
      <c r="R1322" s="819">
        <f t="shared" si="292"/>
        <v>503</v>
      </c>
      <c r="S1322" s="819">
        <f t="shared" si="293"/>
        <v>338</v>
      </c>
      <c r="T1322" s="819">
        <f t="shared" si="294"/>
        <v>1177</v>
      </c>
      <c r="U1322" s="819">
        <f t="shared" si="295"/>
        <v>2932</v>
      </c>
      <c r="V1322" s="819">
        <f t="shared" si="296"/>
        <v>849</v>
      </c>
      <c r="W1322" s="379">
        <f t="shared" si="297"/>
        <v>849</v>
      </c>
      <c r="X1322" s="819" t="str">
        <f t="shared" si="298"/>
        <v/>
      </c>
      <c r="Y1322" s="837"/>
      <c r="Z1322" s="839"/>
      <c r="AA1322" s="838"/>
      <c r="AB1322" s="839"/>
    </row>
    <row r="1323" spans="1:28" ht="14.45">
      <c r="A1323" s="816"/>
      <c r="B1323" s="819" t="s">
        <v>3072</v>
      </c>
      <c r="C1323" s="819" t="s">
        <v>3073</v>
      </c>
      <c r="D1323" s="379" t="s">
        <v>336</v>
      </c>
      <c r="E1323" s="818" t="s">
        <v>745</v>
      </c>
      <c r="F1323" s="820">
        <v>0.80433350699999995</v>
      </c>
      <c r="G1323" s="821">
        <v>-13.832753070000001</v>
      </c>
      <c r="H1323" s="822">
        <v>193778013.544449</v>
      </c>
      <c r="I1323" s="819">
        <v>0</v>
      </c>
      <c r="J1323" s="820">
        <v>6.1510600000000003E-4</v>
      </c>
      <c r="K1323" s="819">
        <f t="shared" si="288"/>
        <v>577</v>
      </c>
      <c r="L1323" s="819">
        <f t="shared" si="289"/>
        <v>1470</v>
      </c>
      <c r="M1323" s="819">
        <f t="shared" si="285"/>
        <v>577</v>
      </c>
      <c r="N1323" s="819">
        <f t="shared" si="286"/>
        <v>364</v>
      </c>
      <c r="O1323" s="819">
        <f t="shared" si="287"/>
        <v>199</v>
      </c>
      <c r="P1323" s="819">
        <f t="shared" si="290"/>
        <v>821</v>
      </c>
      <c r="Q1323" s="819">
        <f t="shared" si="291"/>
        <v>1047</v>
      </c>
      <c r="R1323" s="819">
        <f t="shared" si="292"/>
        <v>495</v>
      </c>
      <c r="S1323" s="819">
        <f t="shared" si="293"/>
        <v>338</v>
      </c>
      <c r="T1323" s="819">
        <f t="shared" si="294"/>
        <v>177</v>
      </c>
      <c r="U1323" s="819">
        <f t="shared" si="295"/>
        <v>2878</v>
      </c>
      <c r="V1323" s="819">
        <f t="shared" si="296"/>
        <v>769</v>
      </c>
      <c r="W1323" s="379">
        <f t="shared" si="297"/>
        <v>769</v>
      </c>
      <c r="X1323" s="819" t="str">
        <f t="shared" si="298"/>
        <v/>
      </c>
      <c r="Y1323" s="837"/>
      <c r="Z1323" s="839"/>
      <c r="AA1323" s="838"/>
      <c r="AB1323" s="839"/>
    </row>
    <row r="1324" spans="1:28" ht="13.15">
      <c r="B1324" s="819" t="s">
        <v>3074</v>
      </c>
      <c r="C1324" s="819" t="s">
        <v>3075</v>
      </c>
      <c r="D1324" s="379" t="s">
        <v>336</v>
      </c>
      <c r="E1324" s="818" t="s">
        <v>441</v>
      </c>
      <c r="F1324" s="820"/>
      <c r="G1324" s="821"/>
      <c r="H1324" s="822">
        <v>80209146.645845905</v>
      </c>
      <c r="I1324" s="819"/>
      <c r="J1324" s="820">
        <v>0</v>
      </c>
      <c r="K1324" s="819">
        <f t="shared" si="288"/>
        <v>772</v>
      </c>
      <c r="L1324" s="819">
        <f t="shared" si="289"/>
        <v>1084</v>
      </c>
      <c r="M1324" s="819">
        <f t="shared" si="285"/>
        <v>772</v>
      </c>
      <c r="N1324" s="819">
        <f t="shared" si="286"/>
        <v>364</v>
      </c>
      <c r="O1324" s="819">
        <f t="shared" si="287"/>
        <v>492</v>
      </c>
      <c r="P1324" s="819">
        <f t="shared" si="290"/>
        <v>626</v>
      </c>
      <c r="Q1324" s="819">
        <f t="shared" si="291"/>
        <v>661</v>
      </c>
      <c r="R1324" s="819">
        <f t="shared" si="292"/>
        <v>690</v>
      </c>
      <c r="S1324" s="819">
        <f t="shared" si="293"/>
        <v>338</v>
      </c>
      <c r="T1324" s="819">
        <f t="shared" si="294"/>
        <v>470</v>
      </c>
      <c r="U1324" s="819">
        <f t="shared" si="295"/>
        <v>2785</v>
      </c>
      <c r="V1324" s="819">
        <f t="shared" si="296"/>
        <v>463</v>
      </c>
      <c r="W1324" s="379">
        <f t="shared" si="297"/>
        <v>463</v>
      </c>
      <c r="X1324" s="819" t="str">
        <f t="shared" si="298"/>
        <v/>
      </c>
      <c r="Y1324" s="837"/>
      <c r="Z1324" s="839"/>
      <c r="AA1324" s="838"/>
      <c r="AB1324" s="839"/>
    </row>
    <row r="1325" spans="1:28" ht="14.45">
      <c r="A1325" s="816"/>
      <c r="B1325" s="819" t="s">
        <v>3076</v>
      </c>
      <c r="C1325" s="819" t="s">
        <v>3077</v>
      </c>
      <c r="D1325" s="379" t="s">
        <v>336</v>
      </c>
      <c r="E1325" s="818" t="s">
        <v>337</v>
      </c>
      <c r="F1325" s="820"/>
      <c r="G1325" s="821"/>
      <c r="H1325" s="822">
        <v>5171172250.4799995</v>
      </c>
      <c r="I1325" s="819"/>
      <c r="J1325" s="820">
        <v>0</v>
      </c>
      <c r="K1325" s="819">
        <f t="shared" si="288"/>
        <v>74</v>
      </c>
      <c r="L1325" s="819">
        <f t="shared" si="289"/>
        <v>1084</v>
      </c>
      <c r="M1325" s="819">
        <f t="shared" si="285"/>
        <v>74</v>
      </c>
      <c r="N1325" s="819">
        <f t="shared" si="286"/>
        <v>364</v>
      </c>
      <c r="O1325" s="819">
        <f t="shared" si="287"/>
        <v>492</v>
      </c>
      <c r="P1325" s="819">
        <f t="shared" si="290"/>
        <v>1324</v>
      </c>
      <c r="Q1325" s="819">
        <f t="shared" si="291"/>
        <v>661</v>
      </c>
      <c r="R1325" s="819">
        <f t="shared" si="292"/>
        <v>8</v>
      </c>
      <c r="S1325" s="819">
        <f t="shared" si="293"/>
        <v>338</v>
      </c>
      <c r="T1325" s="819">
        <f t="shared" si="294"/>
        <v>470</v>
      </c>
      <c r="U1325" s="819">
        <f t="shared" si="295"/>
        <v>2801</v>
      </c>
      <c r="V1325" s="819">
        <f t="shared" si="296"/>
        <v>630</v>
      </c>
      <c r="W1325" s="379">
        <f t="shared" si="297"/>
        <v>630</v>
      </c>
      <c r="X1325" s="819" t="str">
        <f t="shared" si="298"/>
        <v/>
      </c>
      <c r="Y1325" s="837"/>
      <c r="Z1325" s="839"/>
      <c r="AA1325" s="838"/>
      <c r="AB1325" s="839"/>
    </row>
    <row r="1326" spans="1:28" ht="13.15">
      <c r="B1326" s="819" t="s">
        <v>3078</v>
      </c>
      <c r="C1326" s="819" t="s">
        <v>3079</v>
      </c>
      <c r="D1326" s="379" t="s">
        <v>336</v>
      </c>
      <c r="E1326" s="818" t="s">
        <v>1832</v>
      </c>
      <c r="F1326" s="820">
        <v>0.95894220600000002</v>
      </c>
      <c r="G1326" s="821">
        <v>2.1303642370000002</v>
      </c>
      <c r="H1326" s="822">
        <v>3938558.48759354</v>
      </c>
      <c r="I1326" s="819">
        <v>0.1</v>
      </c>
      <c r="J1326" s="820">
        <v>-1.0122410000000001E-3</v>
      </c>
      <c r="K1326" s="819">
        <f t="shared" si="288"/>
        <v>1411</v>
      </c>
      <c r="L1326" s="819">
        <f t="shared" si="289"/>
        <v>655</v>
      </c>
      <c r="M1326" s="819">
        <f t="shared" si="285"/>
        <v>1411</v>
      </c>
      <c r="N1326" s="819">
        <f t="shared" si="286"/>
        <v>268</v>
      </c>
      <c r="O1326" s="819">
        <f t="shared" si="287"/>
        <v>1399</v>
      </c>
      <c r="P1326" s="819">
        <f t="shared" si="290"/>
        <v>13</v>
      </c>
      <c r="Q1326" s="819">
        <f t="shared" si="291"/>
        <v>232</v>
      </c>
      <c r="R1326" s="819">
        <f t="shared" si="292"/>
        <v>1329</v>
      </c>
      <c r="S1326" s="819">
        <f t="shared" si="293"/>
        <v>242</v>
      </c>
      <c r="T1326" s="819">
        <f t="shared" si="294"/>
        <v>1377</v>
      </c>
      <c r="U1326" s="819">
        <f t="shared" si="295"/>
        <v>3193</v>
      </c>
      <c r="V1326" s="819">
        <f t="shared" si="296"/>
        <v>1185</v>
      </c>
      <c r="W1326" s="379">
        <f t="shared" si="297"/>
        <v>1185</v>
      </c>
      <c r="X1326" s="819" t="str">
        <f t="shared" si="298"/>
        <v/>
      </c>
      <c r="Y1326" s="837"/>
      <c r="Z1326" s="839"/>
      <c r="AA1326" s="838"/>
      <c r="AB1326" s="839"/>
    </row>
    <row r="1327" spans="1:28" ht="14.45">
      <c r="A1327" s="816"/>
      <c r="B1327" s="819" t="s">
        <v>3080</v>
      </c>
      <c r="C1327" s="819" t="s">
        <v>3081</v>
      </c>
      <c r="D1327" s="379" t="s">
        <v>336</v>
      </c>
      <c r="E1327" s="818" t="s">
        <v>1832</v>
      </c>
      <c r="F1327" s="820">
        <v>4.0838830440000002</v>
      </c>
      <c r="G1327" s="821">
        <v>84.251804199999995</v>
      </c>
      <c r="H1327" s="822">
        <v>472627.018511225</v>
      </c>
      <c r="I1327" s="819">
        <v>0.01</v>
      </c>
      <c r="J1327" s="820">
        <v>-1.8159E-4</v>
      </c>
      <c r="K1327" s="819">
        <f t="shared" si="288"/>
        <v>1604</v>
      </c>
      <c r="L1327" s="819">
        <f t="shared" si="289"/>
        <v>20</v>
      </c>
      <c r="M1327" s="819">
        <f t="shared" si="285"/>
        <v>1604</v>
      </c>
      <c r="N1327" s="819">
        <f t="shared" si="286"/>
        <v>344</v>
      </c>
      <c r="O1327" s="819">
        <f t="shared" si="287"/>
        <v>1091</v>
      </c>
      <c r="P1327" s="819">
        <f t="shared" si="290"/>
        <v>206</v>
      </c>
      <c r="Q1327" s="819">
        <f t="shared" si="291"/>
        <v>403</v>
      </c>
      <c r="R1327" s="819">
        <f t="shared" si="292"/>
        <v>1522</v>
      </c>
      <c r="S1327" s="819">
        <f t="shared" si="293"/>
        <v>318</v>
      </c>
      <c r="T1327" s="819">
        <f t="shared" si="294"/>
        <v>1069</v>
      </c>
      <c r="U1327" s="819">
        <f t="shared" si="295"/>
        <v>3518</v>
      </c>
      <c r="V1327" s="819">
        <f t="shared" si="296"/>
        <v>1570</v>
      </c>
      <c r="W1327" s="379">
        <f t="shared" si="297"/>
        <v>1570</v>
      </c>
      <c r="X1327" s="819" t="str">
        <f t="shared" si="298"/>
        <v/>
      </c>
      <c r="Y1327" s="837"/>
      <c r="Z1327" s="839"/>
      <c r="AA1327" s="838"/>
      <c r="AB1327" s="839"/>
    </row>
    <row r="1328" spans="1:28" ht="13.15">
      <c r="B1328" s="819" t="s">
        <v>3082</v>
      </c>
      <c r="C1328" s="819" t="s">
        <v>3083</v>
      </c>
      <c r="D1328" s="379" t="s">
        <v>336</v>
      </c>
      <c r="E1328" s="818" t="s">
        <v>441</v>
      </c>
      <c r="F1328" s="820">
        <v>0.95822862900000005</v>
      </c>
      <c r="G1328" s="821">
        <v>0.245463129</v>
      </c>
      <c r="H1328" s="822">
        <v>1739020426.08251</v>
      </c>
      <c r="I1328" s="819">
        <v>0.61</v>
      </c>
      <c r="J1328" s="820">
        <v>-9.9752E-4</v>
      </c>
      <c r="K1328" s="819">
        <f t="shared" si="288"/>
        <v>164</v>
      </c>
      <c r="L1328" s="819">
        <f t="shared" si="289"/>
        <v>971</v>
      </c>
      <c r="M1328" s="819">
        <f t="shared" si="285"/>
        <v>164</v>
      </c>
      <c r="N1328" s="819">
        <f t="shared" si="286"/>
        <v>160</v>
      </c>
      <c r="O1328" s="819">
        <f t="shared" si="287"/>
        <v>1396</v>
      </c>
      <c r="P1328" s="819">
        <f t="shared" si="290"/>
        <v>1234</v>
      </c>
      <c r="Q1328" s="819">
        <f t="shared" si="291"/>
        <v>548</v>
      </c>
      <c r="R1328" s="819">
        <f t="shared" si="292"/>
        <v>82</v>
      </c>
      <c r="S1328" s="819">
        <f t="shared" si="293"/>
        <v>134</v>
      </c>
      <c r="T1328" s="819">
        <f t="shared" si="294"/>
        <v>1374</v>
      </c>
      <c r="U1328" s="819">
        <f t="shared" si="295"/>
        <v>3372</v>
      </c>
      <c r="V1328" s="819">
        <f t="shared" si="296"/>
        <v>1435</v>
      </c>
      <c r="W1328" s="379">
        <f t="shared" si="297"/>
        <v>1435</v>
      </c>
      <c r="X1328" s="819" t="str">
        <f t="shared" si="298"/>
        <v/>
      </c>
      <c r="Y1328" s="837"/>
      <c r="Z1328" s="839"/>
      <c r="AA1328" s="838"/>
      <c r="AB1328" s="839"/>
    </row>
    <row r="1329" spans="1:28" ht="14.45">
      <c r="A1329" s="816"/>
      <c r="B1329" s="819" t="s">
        <v>3084</v>
      </c>
      <c r="C1329" s="819" t="s">
        <v>3085</v>
      </c>
      <c r="D1329" s="379" t="s">
        <v>336</v>
      </c>
      <c r="E1329" s="818" t="s">
        <v>676</v>
      </c>
      <c r="F1329" s="820">
        <v>2.3431973749999999</v>
      </c>
      <c r="G1329" s="821">
        <v>-10.64342315</v>
      </c>
      <c r="H1329" s="822">
        <v>621629784.43985903</v>
      </c>
      <c r="I1329" s="819"/>
      <c r="J1329" s="820">
        <v>3.8367000000000002E-4</v>
      </c>
      <c r="K1329" s="819">
        <f t="shared" si="288"/>
        <v>307</v>
      </c>
      <c r="L1329" s="819">
        <f t="shared" si="289"/>
        <v>1452</v>
      </c>
      <c r="M1329" s="819">
        <f t="shared" si="285"/>
        <v>307</v>
      </c>
      <c r="N1329" s="819">
        <f t="shared" si="286"/>
        <v>364</v>
      </c>
      <c r="O1329" s="819">
        <f t="shared" si="287"/>
        <v>219</v>
      </c>
      <c r="P1329" s="819">
        <f t="shared" si="290"/>
        <v>1091</v>
      </c>
      <c r="Q1329" s="819">
        <f t="shared" si="291"/>
        <v>1029</v>
      </c>
      <c r="R1329" s="819">
        <f t="shared" si="292"/>
        <v>225</v>
      </c>
      <c r="S1329" s="819">
        <f t="shared" si="293"/>
        <v>338</v>
      </c>
      <c r="T1329" s="819">
        <f t="shared" si="294"/>
        <v>197</v>
      </c>
      <c r="U1329" s="819">
        <f t="shared" si="295"/>
        <v>2880</v>
      </c>
      <c r="V1329" s="819">
        <f t="shared" si="296"/>
        <v>774</v>
      </c>
      <c r="W1329" s="379">
        <f t="shared" si="297"/>
        <v>774</v>
      </c>
      <c r="X1329" s="819" t="str">
        <f t="shared" si="298"/>
        <v/>
      </c>
      <c r="Y1329" s="837"/>
      <c r="Z1329" s="839"/>
      <c r="AA1329" s="838"/>
      <c r="AB1329" s="839"/>
    </row>
    <row r="1330" spans="1:28" ht="13.15">
      <c r="B1330" s="819" t="s">
        <v>3086</v>
      </c>
      <c r="C1330" s="819" t="s">
        <v>3087</v>
      </c>
      <c r="D1330" s="379" t="s">
        <v>336</v>
      </c>
      <c r="E1330" s="818" t="s">
        <v>441</v>
      </c>
      <c r="F1330" s="820">
        <v>2.4659015219999998</v>
      </c>
      <c r="G1330" s="821">
        <v>4.7923191220000003</v>
      </c>
      <c r="H1330" s="822">
        <v>2576747298.4627299</v>
      </c>
      <c r="I1330" s="819"/>
      <c r="J1330" s="820">
        <v>-1.2334589999999999E-3</v>
      </c>
      <c r="K1330" s="819">
        <f t="shared" si="288"/>
        <v>126</v>
      </c>
      <c r="L1330" s="819">
        <f t="shared" si="289"/>
        <v>394</v>
      </c>
      <c r="M1330" s="819">
        <f t="shared" si="285"/>
        <v>126</v>
      </c>
      <c r="N1330" s="819">
        <f t="shared" si="286"/>
        <v>364</v>
      </c>
      <c r="O1330" s="819">
        <f t="shared" si="287"/>
        <v>1431</v>
      </c>
      <c r="P1330" s="819">
        <f t="shared" si="290"/>
        <v>1272</v>
      </c>
      <c r="Q1330" s="819">
        <f t="shared" si="291"/>
        <v>29</v>
      </c>
      <c r="R1330" s="819">
        <f t="shared" si="292"/>
        <v>44</v>
      </c>
      <c r="S1330" s="819">
        <f t="shared" si="293"/>
        <v>338</v>
      </c>
      <c r="T1330" s="819">
        <f t="shared" si="294"/>
        <v>1409</v>
      </c>
      <c r="U1330" s="819">
        <f t="shared" si="295"/>
        <v>3092</v>
      </c>
      <c r="V1330" s="819">
        <f t="shared" si="296"/>
        <v>1059</v>
      </c>
      <c r="W1330" s="379">
        <f t="shared" si="297"/>
        <v>1059</v>
      </c>
      <c r="X1330" s="819" t="str">
        <f t="shared" si="298"/>
        <v/>
      </c>
      <c r="Y1330" s="837"/>
      <c r="Z1330" s="839"/>
      <c r="AA1330" s="838"/>
      <c r="AB1330" s="839"/>
    </row>
    <row r="1331" spans="1:28" ht="14.45">
      <c r="A1331" s="816"/>
      <c r="B1331" s="819" t="s">
        <v>3088</v>
      </c>
      <c r="C1331" s="819" t="s">
        <v>3089</v>
      </c>
      <c r="D1331" s="379" t="s">
        <v>336</v>
      </c>
      <c r="E1331" s="818" t="s">
        <v>441</v>
      </c>
      <c r="F1331" s="820">
        <v>2.0055096670000001</v>
      </c>
      <c r="G1331" s="821">
        <v>5.1028496959999998</v>
      </c>
      <c r="H1331" s="822">
        <v>326025600.560027</v>
      </c>
      <c r="I1331" s="819"/>
      <c r="J1331" s="820">
        <v>-5.2557899999999998E-4</v>
      </c>
      <c r="K1331" s="819">
        <f t="shared" si="288"/>
        <v>452</v>
      </c>
      <c r="L1331" s="819">
        <f t="shared" si="289"/>
        <v>373</v>
      </c>
      <c r="M1331" s="819">
        <f t="shared" si="285"/>
        <v>452</v>
      </c>
      <c r="N1331" s="819">
        <f t="shared" si="286"/>
        <v>364</v>
      </c>
      <c r="O1331" s="819">
        <f t="shared" si="287"/>
        <v>1277</v>
      </c>
      <c r="P1331" s="819">
        <f t="shared" si="290"/>
        <v>946</v>
      </c>
      <c r="Q1331" s="819">
        <f t="shared" si="291"/>
        <v>50</v>
      </c>
      <c r="R1331" s="819">
        <f t="shared" si="292"/>
        <v>370</v>
      </c>
      <c r="S1331" s="819">
        <f t="shared" si="293"/>
        <v>338</v>
      </c>
      <c r="T1331" s="819">
        <f t="shared" si="294"/>
        <v>1255</v>
      </c>
      <c r="U1331" s="819">
        <f t="shared" si="295"/>
        <v>2959</v>
      </c>
      <c r="V1331" s="819">
        <f t="shared" si="296"/>
        <v>877</v>
      </c>
      <c r="W1331" s="379">
        <f t="shared" si="297"/>
        <v>877</v>
      </c>
      <c r="X1331" s="819" t="str">
        <f t="shared" si="298"/>
        <v/>
      </c>
      <c r="Y1331" s="837"/>
      <c r="Z1331" s="839"/>
      <c r="AA1331" s="838"/>
      <c r="AB1331" s="839"/>
    </row>
    <row r="1332" spans="1:28" ht="13.15">
      <c r="B1332" s="819" t="s">
        <v>3090</v>
      </c>
      <c r="C1332" s="819" t="s">
        <v>3091</v>
      </c>
      <c r="D1332" s="379" t="s">
        <v>336</v>
      </c>
      <c r="E1332" s="818" t="s">
        <v>1234</v>
      </c>
      <c r="F1332" s="820">
        <v>-3.5654236840000002</v>
      </c>
      <c r="G1332" s="821">
        <v>-2.434576662</v>
      </c>
      <c r="H1332" s="822">
        <v>743151813.84170699</v>
      </c>
      <c r="I1332" s="819"/>
      <c r="J1332" s="820">
        <v>4.2569399999999999E-5</v>
      </c>
      <c r="K1332" s="819">
        <f t="shared" si="288"/>
        <v>271</v>
      </c>
      <c r="L1332" s="819">
        <f t="shared" si="289"/>
        <v>1356</v>
      </c>
      <c r="M1332" s="819">
        <f t="shared" si="285"/>
        <v>271</v>
      </c>
      <c r="N1332" s="819">
        <f t="shared" si="286"/>
        <v>364</v>
      </c>
      <c r="O1332" s="819">
        <f t="shared" si="287"/>
        <v>360</v>
      </c>
      <c r="P1332" s="819">
        <f t="shared" si="290"/>
        <v>1127</v>
      </c>
      <c r="Q1332" s="819">
        <f t="shared" si="291"/>
        <v>933</v>
      </c>
      <c r="R1332" s="819">
        <f t="shared" si="292"/>
        <v>189</v>
      </c>
      <c r="S1332" s="819">
        <f t="shared" si="293"/>
        <v>338</v>
      </c>
      <c r="T1332" s="819">
        <f t="shared" si="294"/>
        <v>338</v>
      </c>
      <c r="U1332" s="819">
        <f t="shared" si="295"/>
        <v>2925</v>
      </c>
      <c r="V1332" s="819">
        <f t="shared" si="296"/>
        <v>841</v>
      </c>
      <c r="W1332" s="379">
        <f t="shared" si="297"/>
        <v>841</v>
      </c>
      <c r="X1332" s="819" t="str">
        <f t="shared" si="298"/>
        <v/>
      </c>
      <c r="Y1332" s="837"/>
      <c r="Z1332" s="839"/>
      <c r="AA1332" s="838"/>
      <c r="AB1332" s="839"/>
    </row>
    <row r="1333" spans="1:28" ht="14.45">
      <c r="A1333" s="816"/>
      <c r="B1333" s="819" t="s">
        <v>3092</v>
      </c>
      <c r="C1333" s="819" t="s">
        <v>3093</v>
      </c>
      <c r="D1333" s="379" t="s">
        <v>336</v>
      </c>
      <c r="E1333" s="818" t="s">
        <v>676</v>
      </c>
      <c r="F1333" s="820">
        <v>6.3665672999999998</v>
      </c>
      <c r="G1333" s="821">
        <v>1.983094819</v>
      </c>
      <c r="H1333" s="822">
        <v>100988858.98126499</v>
      </c>
      <c r="I1333" s="819"/>
      <c r="J1333" s="820">
        <v>-1.747153E-3</v>
      </c>
      <c r="K1333" s="819">
        <f t="shared" si="288"/>
        <v>722</v>
      </c>
      <c r="L1333" s="819">
        <f t="shared" si="289"/>
        <v>676</v>
      </c>
      <c r="M1333" s="819">
        <f t="shared" si="285"/>
        <v>722</v>
      </c>
      <c r="N1333" s="819">
        <f t="shared" si="286"/>
        <v>364</v>
      </c>
      <c r="O1333" s="819">
        <f t="shared" si="287"/>
        <v>1478</v>
      </c>
      <c r="P1333" s="819">
        <f t="shared" si="290"/>
        <v>676</v>
      </c>
      <c r="Q1333" s="819">
        <f t="shared" si="291"/>
        <v>253</v>
      </c>
      <c r="R1333" s="819">
        <f t="shared" si="292"/>
        <v>640</v>
      </c>
      <c r="S1333" s="819">
        <f t="shared" si="293"/>
        <v>338</v>
      </c>
      <c r="T1333" s="819">
        <f t="shared" si="294"/>
        <v>1456</v>
      </c>
      <c r="U1333" s="819">
        <f t="shared" si="295"/>
        <v>3363</v>
      </c>
      <c r="V1333" s="819">
        <f t="shared" si="296"/>
        <v>1423</v>
      </c>
      <c r="W1333" s="379">
        <f t="shared" si="297"/>
        <v>1423</v>
      </c>
      <c r="X1333" s="819" t="str">
        <f t="shared" si="298"/>
        <v/>
      </c>
      <c r="Y1333" s="837"/>
      <c r="Z1333" s="839"/>
      <c r="AA1333" s="838"/>
      <c r="AB1333" s="839"/>
    </row>
    <row r="1334" spans="1:28" ht="13.15">
      <c r="B1334" s="819" t="s">
        <v>3094</v>
      </c>
      <c r="C1334" s="819" t="s">
        <v>3095</v>
      </c>
      <c r="D1334" s="379" t="s">
        <v>336</v>
      </c>
      <c r="E1334" s="818" t="s">
        <v>191</v>
      </c>
      <c r="F1334" s="820">
        <v>1.520304589</v>
      </c>
      <c r="G1334" s="821">
        <v>1.476550831</v>
      </c>
      <c r="H1334" s="822">
        <v>3381044.3295967402</v>
      </c>
      <c r="I1334" s="819"/>
      <c r="J1334" s="820">
        <v>-5.4988699999999999E-4</v>
      </c>
      <c r="K1334" s="819">
        <f t="shared" si="288"/>
        <v>1435</v>
      </c>
      <c r="L1334" s="819">
        <f t="shared" si="289"/>
        <v>744</v>
      </c>
      <c r="M1334" s="819">
        <f t="shared" si="285"/>
        <v>1435</v>
      </c>
      <c r="N1334" s="819">
        <f t="shared" si="286"/>
        <v>364</v>
      </c>
      <c r="O1334" s="819">
        <f t="shared" si="287"/>
        <v>1289</v>
      </c>
      <c r="P1334" s="819">
        <f t="shared" si="290"/>
        <v>37</v>
      </c>
      <c r="Q1334" s="819">
        <f t="shared" si="291"/>
        <v>321</v>
      </c>
      <c r="R1334" s="819">
        <f t="shared" si="292"/>
        <v>1353</v>
      </c>
      <c r="S1334" s="819">
        <f t="shared" si="293"/>
        <v>338</v>
      </c>
      <c r="T1334" s="819">
        <f t="shared" si="294"/>
        <v>1267</v>
      </c>
      <c r="U1334" s="819">
        <f t="shared" si="295"/>
        <v>3316</v>
      </c>
      <c r="V1334" s="819">
        <f t="shared" si="296"/>
        <v>1366</v>
      </c>
      <c r="W1334" s="379">
        <f t="shared" si="297"/>
        <v>1366</v>
      </c>
      <c r="X1334" s="819" t="str">
        <f t="shared" si="298"/>
        <v/>
      </c>
      <c r="Y1334" s="837"/>
      <c r="Z1334" s="839"/>
      <c r="AA1334" s="838"/>
      <c r="AB1334" s="839"/>
    </row>
    <row r="1335" spans="1:28" ht="14.45">
      <c r="A1335" s="816"/>
      <c r="B1335" s="819" t="s">
        <v>3096</v>
      </c>
      <c r="C1335" s="819" t="s">
        <v>3097</v>
      </c>
      <c r="D1335" s="379" t="s">
        <v>336</v>
      </c>
      <c r="E1335" s="818" t="s">
        <v>453</v>
      </c>
      <c r="F1335" s="820"/>
      <c r="G1335" s="821"/>
      <c r="H1335" s="822">
        <v>172397547.48663601</v>
      </c>
      <c r="I1335" s="819"/>
      <c r="J1335" s="820">
        <v>0</v>
      </c>
      <c r="K1335" s="819">
        <f t="shared" si="288"/>
        <v>605</v>
      </c>
      <c r="L1335" s="819">
        <f t="shared" si="289"/>
        <v>1084</v>
      </c>
      <c r="M1335" s="819">
        <f t="shared" si="285"/>
        <v>605</v>
      </c>
      <c r="N1335" s="819">
        <f t="shared" si="286"/>
        <v>364</v>
      </c>
      <c r="O1335" s="819">
        <f t="shared" si="287"/>
        <v>492</v>
      </c>
      <c r="P1335" s="819">
        <f t="shared" si="290"/>
        <v>793</v>
      </c>
      <c r="Q1335" s="819">
        <f t="shared" si="291"/>
        <v>661</v>
      </c>
      <c r="R1335" s="819">
        <f t="shared" si="292"/>
        <v>523</v>
      </c>
      <c r="S1335" s="819">
        <f t="shared" si="293"/>
        <v>338</v>
      </c>
      <c r="T1335" s="819">
        <f t="shared" si="294"/>
        <v>470</v>
      </c>
      <c r="U1335" s="819">
        <f t="shared" si="295"/>
        <v>2785</v>
      </c>
      <c r="V1335" s="819">
        <f t="shared" si="296"/>
        <v>463</v>
      </c>
      <c r="W1335" s="379">
        <f t="shared" si="297"/>
        <v>463</v>
      </c>
      <c r="X1335" s="819" t="str">
        <f t="shared" si="298"/>
        <v/>
      </c>
      <c r="Y1335" s="837"/>
      <c r="Z1335" s="839"/>
      <c r="AA1335" s="838"/>
      <c r="AB1335" s="839"/>
    </row>
    <row r="1336" spans="1:28" ht="13.15">
      <c r="B1336" s="819" t="s">
        <v>3098</v>
      </c>
      <c r="C1336" s="819" t="s">
        <v>3099</v>
      </c>
      <c r="D1336" s="379" t="s">
        <v>336</v>
      </c>
      <c r="E1336" s="818" t="s">
        <v>941</v>
      </c>
      <c r="F1336" s="820">
        <v>0.89500383100000003</v>
      </c>
      <c r="G1336" s="821">
        <v>-0.32050049400000002</v>
      </c>
      <c r="H1336" s="822">
        <v>77241715.441741407</v>
      </c>
      <c r="I1336" s="819"/>
      <c r="J1336" s="820">
        <v>4.69334E-5</v>
      </c>
      <c r="K1336" s="819">
        <f t="shared" si="288"/>
        <v>778</v>
      </c>
      <c r="L1336" s="819">
        <f t="shared" si="289"/>
        <v>1256</v>
      </c>
      <c r="M1336" s="819">
        <f t="shared" si="285"/>
        <v>778</v>
      </c>
      <c r="N1336" s="819">
        <f t="shared" si="286"/>
        <v>364</v>
      </c>
      <c r="O1336" s="819">
        <f t="shared" si="287"/>
        <v>350</v>
      </c>
      <c r="P1336" s="819">
        <f t="shared" si="290"/>
        <v>620</v>
      </c>
      <c r="Q1336" s="819">
        <f t="shared" si="291"/>
        <v>833</v>
      </c>
      <c r="R1336" s="819">
        <f t="shared" si="292"/>
        <v>696</v>
      </c>
      <c r="S1336" s="819">
        <f t="shared" si="293"/>
        <v>338</v>
      </c>
      <c r="T1336" s="819">
        <f t="shared" si="294"/>
        <v>328</v>
      </c>
      <c r="U1336" s="819">
        <f t="shared" si="295"/>
        <v>2815</v>
      </c>
      <c r="V1336" s="819">
        <f t="shared" si="296"/>
        <v>655</v>
      </c>
      <c r="W1336" s="379">
        <f t="shared" si="297"/>
        <v>655</v>
      </c>
      <c r="X1336" s="819" t="str">
        <f t="shared" si="298"/>
        <v/>
      </c>
      <c r="Y1336" s="837"/>
      <c r="Z1336" s="839"/>
      <c r="AA1336" s="838"/>
      <c r="AB1336" s="839"/>
    </row>
    <row r="1337" spans="1:28" ht="14.45">
      <c r="A1337" s="816"/>
      <c r="B1337" s="819" t="s">
        <v>3100</v>
      </c>
      <c r="C1337" s="819" t="s">
        <v>3101</v>
      </c>
      <c r="D1337" s="379" t="s">
        <v>336</v>
      </c>
      <c r="E1337" s="818" t="s">
        <v>409</v>
      </c>
      <c r="F1337" s="820">
        <v>6.2805559320000004</v>
      </c>
      <c r="G1337" s="821">
        <v>11.290381869999999</v>
      </c>
      <c r="H1337" s="822">
        <v>4026065.8177962899</v>
      </c>
      <c r="I1337" s="819"/>
      <c r="J1337" s="820">
        <v>-9.7079599999999998E-6</v>
      </c>
      <c r="K1337" s="819">
        <f t="shared" si="288"/>
        <v>1404</v>
      </c>
      <c r="L1337" s="819">
        <f t="shared" si="289"/>
        <v>168</v>
      </c>
      <c r="M1337" s="819">
        <f t="shared" si="285"/>
        <v>1404</v>
      </c>
      <c r="N1337" s="819">
        <f t="shared" si="286"/>
        <v>364</v>
      </c>
      <c r="O1337" s="819">
        <f t="shared" si="287"/>
        <v>803</v>
      </c>
      <c r="P1337" s="819">
        <f t="shared" si="290"/>
        <v>6</v>
      </c>
      <c r="Q1337" s="819">
        <f t="shared" si="291"/>
        <v>255</v>
      </c>
      <c r="R1337" s="819">
        <f t="shared" si="292"/>
        <v>1322</v>
      </c>
      <c r="S1337" s="819">
        <f t="shared" si="293"/>
        <v>338</v>
      </c>
      <c r="T1337" s="819">
        <f t="shared" si="294"/>
        <v>781</v>
      </c>
      <c r="U1337" s="819">
        <f t="shared" si="295"/>
        <v>2702</v>
      </c>
      <c r="V1337" s="819">
        <f t="shared" si="296"/>
        <v>358</v>
      </c>
      <c r="W1337" s="379">
        <f t="shared" si="297"/>
        <v>358</v>
      </c>
      <c r="X1337" s="819" t="str">
        <f t="shared" si="298"/>
        <v/>
      </c>
      <c r="Y1337" s="837"/>
      <c r="Z1337" s="839"/>
      <c r="AA1337" s="838"/>
      <c r="AB1337" s="839"/>
    </row>
    <row r="1338" spans="1:28" ht="13.15">
      <c r="B1338" s="819" t="s">
        <v>3102</v>
      </c>
      <c r="C1338" s="819" t="s">
        <v>3103</v>
      </c>
      <c r="D1338" s="379" t="s">
        <v>336</v>
      </c>
      <c r="E1338" s="818" t="s">
        <v>418</v>
      </c>
      <c r="F1338" s="820">
        <v>0.52650734600000004</v>
      </c>
      <c r="G1338" s="821">
        <v>0.104230408</v>
      </c>
      <c r="H1338" s="822">
        <v>9944479.6465333104</v>
      </c>
      <c r="I1338" s="819">
        <v>0.08</v>
      </c>
      <c r="J1338" s="820">
        <v>-3.8842999999999999E-4</v>
      </c>
      <c r="K1338" s="819">
        <f t="shared" si="288"/>
        <v>1254</v>
      </c>
      <c r="L1338" s="819">
        <f t="shared" si="289"/>
        <v>1010</v>
      </c>
      <c r="M1338" s="819">
        <f t="shared" si="285"/>
        <v>1254</v>
      </c>
      <c r="N1338" s="819">
        <f t="shared" si="286"/>
        <v>283</v>
      </c>
      <c r="O1338" s="819">
        <f t="shared" si="287"/>
        <v>1216</v>
      </c>
      <c r="P1338" s="819">
        <f t="shared" si="290"/>
        <v>144</v>
      </c>
      <c r="Q1338" s="819">
        <f t="shared" si="291"/>
        <v>587</v>
      </c>
      <c r="R1338" s="819">
        <f t="shared" si="292"/>
        <v>1172</v>
      </c>
      <c r="S1338" s="819">
        <f t="shared" si="293"/>
        <v>257</v>
      </c>
      <c r="T1338" s="819">
        <f t="shared" si="294"/>
        <v>1194</v>
      </c>
      <c r="U1338" s="819">
        <f t="shared" si="295"/>
        <v>3354</v>
      </c>
      <c r="V1338" s="819">
        <f t="shared" si="296"/>
        <v>1416</v>
      </c>
      <c r="W1338" s="379">
        <f t="shared" si="297"/>
        <v>1416</v>
      </c>
      <c r="X1338" s="819" t="str">
        <f t="shared" si="298"/>
        <v/>
      </c>
      <c r="Y1338" s="837"/>
      <c r="Z1338" s="839"/>
      <c r="AA1338" s="838"/>
      <c r="AB1338" s="839"/>
    </row>
    <row r="1339" spans="1:28" ht="14.45">
      <c r="A1339" s="816"/>
      <c r="B1339" s="819" t="s">
        <v>3104</v>
      </c>
      <c r="C1339" s="819" t="s">
        <v>3105</v>
      </c>
      <c r="D1339" s="379" t="s">
        <v>336</v>
      </c>
      <c r="E1339" s="818" t="s">
        <v>998</v>
      </c>
      <c r="F1339" s="820">
        <v>0</v>
      </c>
      <c r="G1339" s="821">
        <v>-6.9953159000000001E-2</v>
      </c>
      <c r="H1339" s="822">
        <v>9043715.4052618109</v>
      </c>
      <c r="I1339" s="819"/>
      <c r="J1339" s="820">
        <v>5.6696400000000002E-5</v>
      </c>
      <c r="K1339" s="819">
        <f t="shared" si="288"/>
        <v>1267</v>
      </c>
      <c r="L1339" s="819">
        <f t="shared" si="289"/>
        <v>1213</v>
      </c>
      <c r="M1339" s="819">
        <f t="shared" si="285"/>
        <v>1267</v>
      </c>
      <c r="N1339" s="819">
        <f t="shared" si="286"/>
        <v>364</v>
      </c>
      <c r="O1339" s="819">
        <f t="shared" si="287"/>
        <v>338</v>
      </c>
      <c r="P1339" s="819">
        <f t="shared" si="290"/>
        <v>131</v>
      </c>
      <c r="Q1339" s="819">
        <f t="shared" si="291"/>
        <v>790</v>
      </c>
      <c r="R1339" s="819">
        <f t="shared" si="292"/>
        <v>1185</v>
      </c>
      <c r="S1339" s="819">
        <f t="shared" si="293"/>
        <v>338</v>
      </c>
      <c r="T1339" s="819">
        <f t="shared" si="294"/>
        <v>316</v>
      </c>
      <c r="U1339" s="819">
        <f t="shared" si="295"/>
        <v>2760</v>
      </c>
      <c r="V1339" s="819">
        <f t="shared" si="296"/>
        <v>432</v>
      </c>
      <c r="W1339" s="379">
        <f t="shared" si="297"/>
        <v>432</v>
      </c>
      <c r="X1339" s="819" t="str">
        <f t="shared" si="298"/>
        <v/>
      </c>
      <c r="Y1339" s="837"/>
      <c r="Z1339" s="839"/>
      <c r="AA1339" s="838"/>
      <c r="AB1339" s="839"/>
    </row>
    <row r="1340" spans="1:28" ht="13.15">
      <c r="B1340" s="819" t="s">
        <v>3106</v>
      </c>
      <c r="C1340" s="819" t="s">
        <v>3107</v>
      </c>
      <c r="D1340" s="379" t="s">
        <v>336</v>
      </c>
      <c r="E1340" s="818" t="s">
        <v>441</v>
      </c>
      <c r="F1340" s="820">
        <v>-1.20688E-5</v>
      </c>
      <c r="G1340" s="821">
        <v>-8.6269541780000001</v>
      </c>
      <c r="H1340" s="822">
        <v>395196217.67931402</v>
      </c>
      <c r="I1340" s="819"/>
      <c r="J1340" s="820">
        <v>2.9539300000000002E-6</v>
      </c>
      <c r="K1340" s="819">
        <f t="shared" si="288"/>
        <v>413</v>
      </c>
      <c r="L1340" s="819">
        <f t="shared" si="289"/>
        <v>1440</v>
      </c>
      <c r="M1340" s="819">
        <f t="shared" si="285"/>
        <v>413</v>
      </c>
      <c r="N1340" s="819">
        <f t="shared" si="286"/>
        <v>364</v>
      </c>
      <c r="O1340" s="819">
        <f t="shared" si="287"/>
        <v>458</v>
      </c>
      <c r="P1340" s="819">
        <f t="shared" si="290"/>
        <v>985</v>
      </c>
      <c r="Q1340" s="819">
        <f t="shared" si="291"/>
        <v>1017</v>
      </c>
      <c r="R1340" s="819">
        <f t="shared" si="292"/>
        <v>331</v>
      </c>
      <c r="S1340" s="819">
        <f t="shared" si="293"/>
        <v>338</v>
      </c>
      <c r="T1340" s="819">
        <f t="shared" si="294"/>
        <v>436</v>
      </c>
      <c r="U1340" s="819">
        <f t="shared" si="295"/>
        <v>3107</v>
      </c>
      <c r="V1340" s="819">
        <f t="shared" si="296"/>
        <v>1074</v>
      </c>
      <c r="W1340" s="379">
        <f t="shared" si="297"/>
        <v>1074</v>
      </c>
      <c r="X1340" s="819" t="str">
        <f t="shared" si="298"/>
        <v/>
      </c>
      <c r="Y1340" s="837"/>
      <c r="Z1340" s="839"/>
      <c r="AA1340" s="838"/>
      <c r="AB1340" s="839"/>
    </row>
    <row r="1341" spans="1:28" ht="14.45">
      <c r="A1341" s="816"/>
      <c r="B1341" s="819" t="s">
        <v>3108</v>
      </c>
      <c r="C1341" s="819" t="s">
        <v>3109</v>
      </c>
      <c r="D1341" s="379" t="s">
        <v>336</v>
      </c>
      <c r="E1341" s="818" t="s">
        <v>191</v>
      </c>
      <c r="F1341" s="820"/>
      <c r="G1341" s="821"/>
      <c r="H1341" s="822">
        <v>3450935.66997982</v>
      </c>
      <c r="I1341" s="819"/>
      <c r="J1341" s="820">
        <v>0</v>
      </c>
      <c r="K1341" s="819">
        <f t="shared" si="288"/>
        <v>1431</v>
      </c>
      <c r="L1341" s="819">
        <f t="shared" si="289"/>
        <v>1084</v>
      </c>
      <c r="M1341" s="819">
        <f t="shared" si="285"/>
        <v>1431</v>
      </c>
      <c r="N1341" s="819">
        <f t="shared" si="286"/>
        <v>364</v>
      </c>
      <c r="O1341" s="819">
        <f t="shared" si="287"/>
        <v>492</v>
      </c>
      <c r="P1341" s="819">
        <f t="shared" si="290"/>
        <v>33</v>
      </c>
      <c r="Q1341" s="819">
        <f t="shared" si="291"/>
        <v>661</v>
      </c>
      <c r="R1341" s="819">
        <f t="shared" si="292"/>
        <v>1349</v>
      </c>
      <c r="S1341" s="819">
        <f t="shared" si="293"/>
        <v>338</v>
      </c>
      <c r="T1341" s="819">
        <f t="shared" si="294"/>
        <v>470</v>
      </c>
      <c r="U1341" s="819">
        <f t="shared" si="295"/>
        <v>2851</v>
      </c>
      <c r="V1341" s="819">
        <f t="shared" si="296"/>
        <v>724</v>
      </c>
      <c r="W1341" s="379">
        <f t="shared" si="297"/>
        <v>724</v>
      </c>
      <c r="X1341" s="819" t="str">
        <f t="shared" si="298"/>
        <v/>
      </c>
      <c r="Y1341" s="837"/>
      <c r="Z1341" s="839"/>
      <c r="AA1341" s="838"/>
      <c r="AB1341" s="839"/>
    </row>
    <row r="1342" spans="1:28" ht="13.15">
      <c r="B1342" s="819" t="s">
        <v>3110</v>
      </c>
      <c r="C1342" s="819" t="s">
        <v>3111</v>
      </c>
      <c r="D1342" s="379" t="s">
        <v>336</v>
      </c>
      <c r="E1342" s="818" t="s">
        <v>460</v>
      </c>
      <c r="F1342" s="820">
        <v>0.57975670499999998</v>
      </c>
      <c r="G1342" s="821">
        <v>9.6719912990000001</v>
      </c>
      <c r="H1342" s="822"/>
      <c r="I1342" s="819"/>
      <c r="J1342" s="820">
        <v>-2.5572399999999999E-5</v>
      </c>
      <c r="K1342" s="819" t="str">
        <f t="shared" si="288"/>
        <v>N/A</v>
      </c>
      <c r="L1342" s="819">
        <f t="shared" si="289"/>
        <v>204</v>
      </c>
      <c r="M1342" s="819" t="str">
        <f t="shared" si="285"/>
        <v>N/A</v>
      </c>
      <c r="N1342" s="819">
        <f t="shared" si="286"/>
        <v>364</v>
      </c>
      <c r="O1342" s="819">
        <f t="shared" si="287"/>
        <v>864</v>
      </c>
      <c r="P1342" s="819" t="str">
        <f t="shared" si="290"/>
        <v>N/A</v>
      </c>
      <c r="Q1342" s="819">
        <f t="shared" si="291"/>
        <v>219</v>
      </c>
      <c r="R1342" s="819" t="str">
        <f t="shared" si="292"/>
        <v>N/A</v>
      </c>
      <c r="S1342" s="819">
        <f t="shared" si="293"/>
        <v>338</v>
      </c>
      <c r="T1342" s="819">
        <f t="shared" si="294"/>
        <v>842</v>
      </c>
      <c r="U1342" s="819">
        <f t="shared" si="295"/>
        <v>1399</v>
      </c>
      <c r="V1342" s="819">
        <f t="shared" si="296"/>
        <v>11</v>
      </c>
      <c r="W1342" s="379">
        <f t="shared" si="297"/>
        <v>11</v>
      </c>
      <c r="X1342" s="819" t="str">
        <f t="shared" si="298"/>
        <v/>
      </c>
      <c r="Y1342" s="837"/>
      <c r="Z1342" s="839"/>
      <c r="AA1342" s="838"/>
      <c r="AB1342" s="839"/>
    </row>
    <row r="1343" spans="1:28" ht="14.45">
      <c r="A1343" s="816"/>
      <c r="B1343" s="819" t="s">
        <v>3112</v>
      </c>
      <c r="C1343" s="819" t="s">
        <v>3113</v>
      </c>
      <c r="D1343" s="379" t="s">
        <v>336</v>
      </c>
      <c r="E1343" s="818" t="s">
        <v>460</v>
      </c>
      <c r="F1343" s="820">
        <v>0.51284906699999999</v>
      </c>
      <c r="G1343" s="821">
        <v>-0.26144641000000002</v>
      </c>
      <c r="H1343" s="822">
        <v>84648754.243782595</v>
      </c>
      <c r="I1343" s="819"/>
      <c r="J1343" s="820">
        <v>9.2888100000000002E-7</v>
      </c>
      <c r="K1343" s="819">
        <f t="shared" si="288"/>
        <v>759</v>
      </c>
      <c r="L1343" s="819">
        <f t="shared" si="289"/>
        <v>1251</v>
      </c>
      <c r="M1343" s="819">
        <f t="shared" si="285"/>
        <v>759</v>
      </c>
      <c r="N1343" s="819">
        <f t="shared" si="286"/>
        <v>364</v>
      </c>
      <c r="O1343" s="819">
        <f t="shared" si="287"/>
        <v>480</v>
      </c>
      <c r="P1343" s="819">
        <f t="shared" si="290"/>
        <v>639</v>
      </c>
      <c r="Q1343" s="819">
        <f t="shared" si="291"/>
        <v>828</v>
      </c>
      <c r="R1343" s="819">
        <f t="shared" si="292"/>
        <v>677</v>
      </c>
      <c r="S1343" s="819">
        <f t="shared" si="293"/>
        <v>338</v>
      </c>
      <c r="T1343" s="819">
        <f t="shared" si="294"/>
        <v>458</v>
      </c>
      <c r="U1343" s="819">
        <f t="shared" si="295"/>
        <v>2940</v>
      </c>
      <c r="V1343" s="819">
        <f t="shared" si="296"/>
        <v>854</v>
      </c>
      <c r="W1343" s="379">
        <f t="shared" si="297"/>
        <v>854</v>
      </c>
      <c r="X1343" s="819" t="str">
        <f t="shared" si="298"/>
        <v/>
      </c>
      <c r="Y1343" s="837"/>
      <c r="Z1343" s="839"/>
      <c r="AA1343" s="838"/>
      <c r="AB1343" s="839"/>
    </row>
    <row r="1344" spans="1:28" ht="13.15">
      <c r="B1344" s="819" t="s">
        <v>3114</v>
      </c>
      <c r="C1344" s="819" t="s">
        <v>3115</v>
      </c>
      <c r="D1344" s="379" t="s">
        <v>336</v>
      </c>
      <c r="E1344" s="818" t="s">
        <v>460</v>
      </c>
      <c r="F1344" s="820">
        <v>0.60913780900000003</v>
      </c>
      <c r="G1344" s="821">
        <v>-46.921480649999999</v>
      </c>
      <c r="H1344" s="822">
        <v>11458320.8485648</v>
      </c>
      <c r="I1344" s="819"/>
      <c r="J1344" s="820">
        <v>4.3047999999999997E-7</v>
      </c>
      <c r="K1344" s="819">
        <f t="shared" si="288"/>
        <v>1221</v>
      </c>
      <c r="L1344" s="819">
        <f t="shared" si="289"/>
        <v>1506</v>
      </c>
      <c r="M1344" s="819">
        <f t="shared" si="285"/>
        <v>1221</v>
      </c>
      <c r="N1344" s="819">
        <f t="shared" si="286"/>
        <v>364</v>
      </c>
      <c r="O1344" s="819">
        <f t="shared" si="287"/>
        <v>484</v>
      </c>
      <c r="P1344" s="819">
        <f t="shared" si="290"/>
        <v>177</v>
      </c>
      <c r="Q1344" s="819">
        <f t="shared" si="291"/>
        <v>1083</v>
      </c>
      <c r="R1344" s="819">
        <f t="shared" si="292"/>
        <v>1139</v>
      </c>
      <c r="S1344" s="819">
        <f t="shared" si="293"/>
        <v>338</v>
      </c>
      <c r="T1344" s="819">
        <f t="shared" si="294"/>
        <v>462</v>
      </c>
      <c r="U1344" s="819">
        <f t="shared" si="295"/>
        <v>3199</v>
      </c>
      <c r="V1344" s="819">
        <f t="shared" si="296"/>
        <v>1192</v>
      </c>
      <c r="W1344" s="379">
        <f t="shared" si="297"/>
        <v>1192</v>
      </c>
      <c r="X1344" s="819" t="str">
        <f t="shared" si="298"/>
        <v/>
      </c>
      <c r="Y1344" s="837"/>
      <c r="Z1344" s="839"/>
      <c r="AA1344" s="838"/>
      <c r="AB1344" s="839"/>
    </row>
    <row r="1345" spans="1:28" ht="14.45">
      <c r="A1345" s="816"/>
      <c r="B1345" s="819" t="s">
        <v>3116</v>
      </c>
      <c r="C1345" s="819" t="s">
        <v>3117</v>
      </c>
      <c r="D1345" s="379" t="s">
        <v>336</v>
      </c>
      <c r="E1345" s="818" t="s">
        <v>460</v>
      </c>
      <c r="F1345" s="820">
        <v>2.8439375519999999</v>
      </c>
      <c r="G1345" s="821">
        <v>0.995897959</v>
      </c>
      <c r="H1345" s="822">
        <v>6033257.0264277598</v>
      </c>
      <c r="I1345" s="819">
        <v>0.47</v>
      </c>
      <c r="J1345" s="820">
        <v>-1.616606E-3</v>
      </c>
      <c r="K1345" s="819">
        <f t="shared" si="288"/>
        <v>1343</v>
      </c>
      <c r="L1345" s="819">
        <f t="shared" si="289"/>
        <v>811</v>
      </c>
      <c r="M1345" s="819">
        <f t="shared" si="285"/>
        <v>1343</v>
      </c>
      <c r="N1345" s="819">
        <f t="shared" si="286"/>
        <v>168</v>
      </c>
      <c r="O1345" s="819">
        <f t="shared" si="287"/>
        <v>1472</v>
      </c>
      <c r="P1345" s="819">
        <f t="shared" si="290"/>
        <v>55</v>
      </c>
      <c r="Q1345" s="819">
        <f t="shared" si="291"/>
        <v>388</v>
      </c>
      <c r="R1345" s="819">
        <f t="shared" si="292"/>
        <v>1261</v>
      </c>
      <c r="S1345" s="819">
        <f t="shared" si="293"/>
        <v>142</v>
      </c>
      <c r="T1345" s="819">
        <f t="shared" si="294"/>
        <v>1450</v>
      </c>
      <c r="U1345" s="819">
        <f t="shared" si="295"/>
        <v>3296</v>
      </c>
      <c r="V1345" s="819">
        <f t="shared" si="296"/>
        <v>1335</v>
      </c>
      <c r="W1345" s="379">
        <f t="shared" si="297"/>
        <v>1335</v>
      </c>
      <c r="X1345" s="819" t="str">
        <f t="shared" si="298"/>
        <v/>
      </c>
      <c r="Y1345" s="837"/>
      <c r="Z1345" s="839"/>
      <c r="AA1345" s="838"/>
      <c r="AB1345" s="839"/>
    </row>
    <row r="1346" spans="1:28" ht="13.15">
      <c r="B1346" s="819" t="s">
        <v>3118</v>
      </c>
      <c r="C1346" s="819" t="s">
        <v>3119</v>
      </c>
      <c r="D1346" s="379" t="s">
        <v>336</v>
      </c>
      <c r="E1346" s="818" t="s">
        <v>441</v>
      </c>
      <c r="F1346" s="820">
        <v>-0.92730646000000005</v>
      </c>
      <c r="G1346" s="821">
        <v>-0.99491142099999996</v>
      </c>
      <c r="H1346" s="822">
        <v>2063138210.19663</v>
      </c>
      <c r="I1346" s="819"/>
      <c r="J1346" s="820">
        <v>2.1013999999999999E-4</v>
      </c>
      <c r="K1346" s="819">
        <f t="shared" si="288"/>
        <v>143</v>
      </c>
      <c r="L1346" s="819">
        <f t="shared" si="289"/>
        <v>1291</v>
      </c>
      <c r="M1346" s="819">
        <f t="shared" si="285"/>
        <v>143</v>
      </c>
      <c r="N1346" s="819">
        <f t="shared" si="286"/>
        <v>364</v>
      </c>
      <c r="O1346" s="819">
        <f t="shared" si="287"/>
        <v>250</v>
      </c>
      <c r="P1346" s="819">
        <f t="shared" si="290"/>
        <v>1255</v>
      </c>
      <c r="Q1346" s="819">
        <f t="shared" si="291"/>
        <v>868</v>
      </c>
      <c r="R1346" s="819">
        <f t="shared" si="292"/>
        <v>61</v>
      </c>
      <c r="S1346" s="819">
        <f t="shared" si="293"/>
        <v>338</v>
      </c>
      <c r="T1346" s="819">
        <f t="shared" si="294"/>
        <v>228</v>
      </c>
      <c r="U1346" s="819">
        <f t="shared" si="295"/>
        <v>2750</v>
      </c>
      <c r="V1346" s="819">
        <f t="shared" si="296"/>
        <v>417</v>
      </c>
      <c r="W1346" s="379">
        <f t="shared" si="297"/>
        <v>417</v>
      </c>
      <c r="X1346" s="819" t="str">
        <f t="shared" si="298"/>
        <v/>
      </c>
      <c r="Y1346" s="837"/>
      <c r="Z1346" s="839"/>
      <c r="AA1346" s="838"/>
      <c r="AB1346" s="839"/>
    </row>
    <row r="1347" spans="1:28" ht="14.45">
      <c r="A1347" s="816"/>
      <c r="B1347" s="819" t="s">
        <v>3120</v>
      </c>
      <c r="C1347" s="819" t="s">
        <v>3121</v>
      </c>
      <c r="D1347" s="379" t="s">
        <v>336</v>
      </c>
      <c r="E1347" s="818" t="s">
        <v>191</v>
      </c>
      <c r="F1347" s="820">
        <v>1.6905646999999999E-2</v>
      </c>
      <c r="G1347" s="821">
        <v>-1.7496538989999999</v>
      </c>
      <c r="H1347" s="822">
        <v>108799157.14077701</v>
      </c>
      <c r="I1347" s="819"/>
      <c r="J1347" s="820">
        <v>1.8507300000000001E-4</v>
      </c>
      <c r="K1347" s="819">
        <f t="shared" si="288"/>
        <v>698</v>
      </c>
      <c r="L1347" s="819">
        <f t="shared" si="289"/>
        <v>1334</v>
      </c>
      <c r="M1347" s="819">
        <f t="shared" si="285"/>
        <v>698</v>
      </c>
      <c r="N1347" s="819">
        <f t="shared" si="286"/>
        <v>364</v>
      </c>
      <c r="O1347" s="819">
        <f t="shared" si="287"/>
        <v>260</v>
      </c>
      <c r="P1347" s="819">
        <f t="shared" si="290"/>
        <v>700</v>
      </c>
      <c r="Q1347" s="819">
        <f t="shared" si="291"/>
        <v>911</v>
      </c>
      <c r="R1347" s="819">
        <f t="shared" si="292"/>
        <v>616</v>
      </c>
      <c r="S1347" s="819">
        <f t="shared" si="293"/>
        <v>338</v>
      </c>
      <c r="T1347" s="819">
        <f t="shared" si="294"/>
        <v>238</v>
      </c>
      <c r="U1347" s="819">
        <f t="shared" si="295"/>
        <v>2803</v>
      </c>
      <c r="V1347" s="819">
        <f t="shared" si="296"/>
        <v>634</v>
      </c>
      <c r="W1347" s="379">
        <f t="shared" si="297"/>
        <v>634</v>
      </c>
      <c r="X1347" s="819" t="str">
        <f t="shared" si="298"/>
        <v/>
      </c>
      <c r="Y1347" s="837"/>
      <c r="Z1347" s="839"/>
      <c r="AA1347" s="838"/>
      <c r="AB1347" s="839"/>
    </row>
    <row r="1348" spans="1:28" ht="13.15">
      <c r="B1348" s="819" t="s">
        <v>3122</v>
      </c>
      <c r="C1348" s="819" t="s">
        <v>3123</v>
      </c>
      <c r="D1348" s="379" t="s">
        <v>336</v>
      </c>
      <c r="E1348" s="818" t="s">
        <v>441</v>
      </c>
      <c r="F1348" s="820">
        <v>0.30750775800000002</v>
      </c>
      <c r="G1348" s="821">
        <v>21.613125449999998</v>
      </c>
      <c r="H1348" s="822">
        <v>4944988.7322000004</v>
      </c>
      <c r="I1348" s="819"/>
      <c r="J1348" s="820">
        <v>-2.1936500000000002E-6</v>
      </c>
      <c r="K1348" s="819">
        <f t="shared" si="288"/>
        <v>1363</v>
      </c>
      <c r="L1348" s="819">
        <f t="shared" si="289"/>
        <v>91</v>
      </c>
      <c r="M1348" s="819">
        <f t="shared" ref="M1348:M1411" si="299">IFERROR(_xlfn.RANK.EQ(H1348,H$3:H$1787),"N/A")</f>
        <v>1363</v>
      </c>
      <c r="N1348" s="819">
        <f t="shared" ref="N1348:N1411" si="300">IFERROR(_xlfn.RANK.EQ(I1348,I$3:I$1787),"N/A")</f>
        <v>364</v>
      </c>
      <c r="O1348" s="819">
        <f t="shared" ref="O1348:O1411" si="301">IFERROR(_xlfn.RANK.EQ(J1348,J$3:J$1787),"N/A")</f>
        <v>764</v>
      </c>
      <c r="P1348" s="819">
        <f t="shared" si="290"/>
        <v>35</v>
      </c>
      <c r="Q1348" s="819">
        <f t="shared" si="291"/>
        <v>332</v>
      </c>
      <c r="R1348" s="819">
        <f t="shared" si="292"/>
        <v>1281</v>
      </c>
      <c r="S1348" s="819">
        <f t="shared" si="293"/>
        <v>338</v>
      </c>
      <c r="T1348" s="819">
        <f t="shared" si="294"/>
        <v>742</v>
      </c>
      <c r="U1348" s="819">
        <f t="shared" si="295"/>
        <v>2728</v>
      </c>
      <c r="V1348" s="819">
        <f t="shared" si="296"/>
        <v>395</v>
      </c>
      <c r="W1348" s="379">
        <f t="shared" si="297"/>
        <v>395</v>
      </c>
      <c r="X1348" s="819" t="str">
        <f t="shared" si="298"/>
        <v/>
      </c>
      <c r="Y1348" s="837"/>
      <c r="Z1348" s="839"/>
      <c r="AA1348" s="838"/>
      <c r="AB1348" s="839"/>
    </row>
    <row r="1349" spans="1:28" ht="14.45">
      <c r="A1349" s="816"/>
      <c r="B1349" s="819" t="s">
        <v>3124</v>
      </c>
      <c r="C1349" s="819" t="s">
        <v>3125</v>
      </c>
      <c r="D1349" s="379" t="s">
        <v>336</v>
      </c>
      <c r="E1349" s="818" t="s">
        <v>1720</v>
      </c>
      <c r="F1349" s="820">
        <v>4.5268298500000004</v>
      </c>
      <c r="G1349" s="821">
        <v>5.5403657539999998</v>
      </c>
      <c r="H1349" s="822">
        <v>4190588.2352941199</v>
      </c>
      <c r="I1349" s="819"/>
      <c r="J1349" s="820">
        <v>-8.41599E-5</v>
      </c>
      <c r="K1349" s="819">
        <f t="shared" ref="K1349:K1412" si="302">IFERROR(_xlfn.RANK.EQ(H1349,H$3:H$1787),"N/A")</f>
        <v>1396</v>
      </c>
      <c r="L1349" s="819">
        <f t="shared" ref="L1349:L1412" si="303">IFERROR(_xlfn.RANK.EQ(G1349,G$3:G$1787),"N/A")</f>
        <v>345</v>
      </c>
      <c r="M1349" s="819">
        <f t="shared" si="299"/>
        <v>1396</v>
      </c>
      <c r="N1349" s="819">
        <f t="shared" si="300"/>
        <v>364</v>
      </c>
      <c r="O1349" s="819">
        <f t="shared" si="301"/>
        <v>986</v>
      </c>
      <c r="P1349" s="819">
        <f t="shared" ref="P1349:P1412" si="304">IFERROR(ABS(K$3-K1349),"N/A")</f>
        <v>2</v>
      </c>
      <c r="Q1349" s="819">
        <f t="shared" ref="Q1349:Q1412" si="305">IFERROR(ABS(L$3-L1349),"N/A")</f>
        <v>78</v>
      </c>
      <c r="R1349" s="819">
        <f t="shared" ref="R1349:R1412" si="306">IFERROR(ABS(M$3-M1349),"N/A")</f>
        <v>1314</v>
      </c>
      <c r="S1349" s="819">
        <f t="shared" ref="S1349:S1412" si="307">IFERROR(ABS(N$3-N1349),"N/A")</f>
        <v>338</v>
      </c>
      <c r="T1349" s="819">
        <f t="shared" ref="T1349:T1412" si="308">IFERROR(ABS(O$3-O1349),"N/A")</f>
        <v>964</v>
      </c>
      <c r="U1349" s="819">
        <f t="shared" ref="U1349:U1412" si="309">SUM(P1349:T1349)</f>
        <v>2696</v>
      </c>
      <c r="V1349" s="819">
        <f t="shared" ref="V1349:V1412" si="310">_xlfn.RANK.EQ(U1349,$U$4:$U$1787,1)</f>
        <v>351</v>
      </c>
      <c r="W1349" s="379">
        <f t="shared" ref="W1349:W1412" si="311">IF(Y1349="Not suitable","-",V1349)</f>
        <v>351</v>
      </c>
      <c r="X1349" s="819" t="str">
        <f t="shared" si="298"/>
        <v/>
      </c>
      <c r="Y1349" s="837"/>
      <c r="Z1349" s="839"/>
      <c r="AA1349" s="838"/>
      <c r="AB1349" s="839"/>
    </row>
    <row r="1350" spans="1:28" ht="13.15">
      <c r="B1350" s="819" t="s">
        <v>3126</v>
      </c>
      <c r="C1350" s="819" t="s">
        <v>3127</v>
      </c>
      <c r="D1350" s="379" t="s">
        <v>336</v>
      </c>
      <c r="E1350" s="818" t="s">
        <v>1171</v>
      </c>
      <c r="F1350" s="820">
        <v>8.8673415490000007</v>
      </c>
      <c r="G1350" s="821">
        <v>13.26343679</v>
      </c>
      <c r="H1350" s="822">
        <v>12829812.805877101</v>
      </c>
      <c r="I1350" s="819"/>
      <c r="J1350" s="820">
        <v>-1.19103E-5</v>
      </c>
      <c r="K1350" s="819">
        <f t="shared" si="302"/>
        <v>1205</v>
      </c>
      <c r="L1350" s="819">
        <f t="shared" si="303"/>
        <v>148</v>
      </c>
      <c r="M1350" s="819">
        <f t="shared" si="299"/>
        <v>1205</v>
      </c>
      <c r="N1350" s="819">
        <f t="shared" si="300"/>
        <v>364</v>
      </c>
      <c r="O1350" s="819">
        <f t="shared" si="301"/>
        <v>816</v>
      </c>
      <c r="P1350" s="819">
        <f t="shared" si="304"/>
        <v>193</v>
      </c>
      <c r="Q1350" s="819">
        <f t="shared" si="305"/>
        <v>275</v>
      </c>
      <c r="R1350" s="819">
        <f t="shared" si="306"/>
        <v>1123</v>
      </c>
      <c r="S1350" s="819">
        <f t="shared" si="307"/>
        <v>338</v>
      </c>
      <c r="T1350" s="819">
        <f t="shared" si="308"/>
        <v>794</v>
      </c>
      <c r="U1350" s="819">
        <f t="shared" si="309"/>
        <v>2723</v>
      </c>
      <c r="V1350" s="819">
        <f t="shared" si="310"/>
        <v>386</v>
      </c>
      <c r="W1350" s="379">
        <f t="shared" si="311"/>
        <v>386</v>
      </c>
      <c r="X1350" s="819" t="str">
        <f t="shared" ref="X1350:X1413" si="312">IF(L1350="N/A","Y","")</f>
        <v/>
      </c>
      <c r="Y1350" s="837"/>
      <c r="Z1350" s="839"/>
      <c r="AA1350" s="838"/>
      <c r="AB1350" s="839"/>
    </row>
    <row r="1351" spans="1:28" ht="14.45">
      <c r="A1351" s="816"/>
      <c r="B1351" s="819" t="s">
        <v>3128</v>
      </c>
      <c r="C1351" s="819" t="s">
        <v>3129</v>
      </c>
      <c r="D1351" s="379" t="s">
        <v>336</v>
      </c>
      <c r="E1351" s="818" t="s">
        <v>1077</v>
      </c>
      <c r="F1351" s="820">
        <v>3.5803784830000001</v>
      </c>
      <c r="G1351" s="821">
        <v>6.0564546740000003</v>
      </c>
      <c r="H1351" s="822">
        <v>15483102.5755546</v>
      </c>
      <c r="I1351" s="819"/>
      <c r="J1351" s="820">
        <v>-2.40218E-4</v>
      </c>
      <c r="K1351" s="819">
        <f t="shared" si="302"/>
        <v>1156</v>
      </c>
      <c r="L1351" s="819">
        <f t="shared" si="303"/>
        <v>323</v>
      </c>
      <c r="M1351" s="819">
        <f t="shared" si="299"/>
        <v>1156</v>
      </c>
      <c r="N1351" s="819">
        <f t="shared" si="300"/>
        <v>364</v>
      </c>
      <c r="O1351" s="819">
        <f t="shared" si="301"/>
        <v>1139</v>
      </c>
      <c r="P1351" s="819">
        <f t="shared" si="304"/>
        <v>242</v>
      </c>
      <c r="Q1351" s="819">
        <f t="shared" si="305"/>
        <v>100</v>
      </c>
      <c r="R1351" s="819">
        <f t="shared" si="306"/>
        <v>1074</v>
      </c>
      <c r="S1351" s="819">
        <f t="shared" si="307"/>
        <v>338</v>
      </c>
      <c r="T1351" s="819">
        <f t="shared" si="308"/>
        <v>1117</v>
      </c>
      <c r="U1351" s="819">
        <f t="shared" si="309"/>
        <v>2871</v>
      </c>
      <c r="V1351" s="819">
        <f t="shared" si="310"/>
        <v>757</v>
      </c>
      <c r="W1351" s="379">
        <f t="shared" si="311"/>
        <v>757</v>
      </c>
      <c r="X1351" s="819" t="str">
        <f t="shared" si="312"/>
        <v/>
      </c>
      <c r="Y1351" s="837"/>
      <c r="Z1351" s="839"/>
      <c r="AA1351" s="838"/>
      <c r="AB1351" s="839"/>
    </row>
    <row r="1352" spans="1:28" ht="13.15">
      <c r="B1352" s="819" t="s">
        <v>3130</v>
      </c>
      <c r="C1352" s="819" t="s">
        <v>3131</v>
      </c>
      <c r="D1352" s="379" t="s">
        <v>336</v>
      </c>
      <c r="E1352" s="818" t="s">
        <v>460</v>
      </c>
      <c r="F1352" s="820">
        <v>3.5341343379999999</v>
      </c>
      <c r="G1352" s="821">
        <v>-1.8063986439999999</v>
      </c>
      <c r="H1352" s="822">
        <v>300017540.12105203</v>
      </c>
      <c r="I1352" s="819"/>
      <c r="J1352" s="820">
        <v>1.518309E-3</v>
      </c>
      <c r="K1352" s="819">
        <f t="shared" si="302"/>
        <v>471</v>
      </c>
      <c r="L1352" s="819">
        <f t="shared" si="303"/>
        <v>1336</v>
      </c>
      <c r="M1352" s="819">
        <f t="shared" si="299"/>
        <v>471</v>
      </c>
      <c r="N1352" s="819">
        <f t="shared" si="300"/>
        <v>364</v>
      </c>
      <c r="O1352" s="819">
        <f t="shared" si="301"/>
        <v>171</v>
      </c>
      <c r="P1352" s="819">
        <f t="shared" si="304"/>
        <v>927</v>
      </c>
      <c r="Q1352" s="819">
        <f t="shared" si="305"/>
        <v>913</v>
      </c>
      <c r="R1352" s="819">
        <f t="shared" si="306"/>
        <v>389</v>
      </c>
      <c r="S1352" s="819">
        <f t="shared" si="307"/>
        <v>338</v>
      </c>
      <c r="T1352" s="819">
        <f t="shared" si="308"/>
        <v>149</v>
      </c>
      <c r="U1352" s="819">
        <f t="shared" si="309"/>
        <v>2716</v>
      </c>
      <c r="V1352" s="819">
        <f t="shared" si="310"/>
        <v>375</v>
      </c>
      <c r="W1352" s="379">
        <f t="shared" si="311"/>
        <v>375</v>
      </c>
      <c r="X1352" s="819" t="str">
        <f t="shared" si="312"/>
        <v/>
      </c>
      <c r="Y1352" s="837"/>
      <c r="Z1352" s="839"/>
      <c r="AA1352" s="838"/>
      <c r="AB1352" s="839"/>
    </row>
    <row r="1353" spans="1:28" ht="14.45">
      <c r="A1353" s="816"/>
      <c r="B1353" s="819" t="s">
        <v>3132</v>
      </c>
      <c r="C1353" s="819" t="s">
        <v>3133</v>
      </c>
      <c r="D1353" s="379" t="s">
        <v>336</v>
      </c>
      <c r="E1353" s="818" t="s">
        <v>441</v>
      </c>
      <c r="F1353" s="820">
        <v>6.5316872999999998E-2</v>
      </c>
      <c r="G1353" s="821">
        <v>-3.6447030589999998</v>
      </c>
      <c r="H1353" s="822">
        <v>393847771.22553599</v>
      </c>
      <c r="I1353" s="819"/>
      <c r="J1353" s="820">
        <v>1.99683E-5</v>
      </c>
      <c r="K1353" s="819">
        <f t="shared" si="302"/>
        <v>414</v>
      </c>
      <c r="L1353" s="819">
        <f t="shared" si="303"/>
        <v>1381</v>
      </c>
      <c r="M1353" s="819">
        <f t="shared" si="299"/>
        <v>414</v>
      </c>
      <c r="N1353" s="819">
        <f t="shared" si="300"/>
        <v>364</v>
      </c>
      <c r="O1353" s="819">
        <f t="shared" si="301"/>
        <v>402</v>
      </c>
      <c r="P1353" s="819">
        <f t="shared" si="304"/>
        <v>984</v>
      </c>
      <c r="Q1353" s="819">
        <f t="shared" si="305"/>
        <v>958</v>
      </c>
      <c r="R1353" s="819">
        <f t="shared" si="306"/>
        <v>332</v>
      </c>
      <c r="S1353" s="819">
        <f t="shared" si="307"/>
        <v>338</v>
      </c>
      <c r="T1353" s="819">
        <f t="shared" si="308"/>
        <v>380</v>
      </c>
      <c r="U1353" s="819">
        <f t="shared" si="309"/>
        <v>2992</v>
      </c>
      <c r="V1353" s="819">
        <f t="shared" si="310"/>
        <v>918</v>
      </c>
      <c r="W1353" s="379">
        <f t="shared" si="311"/>
        <v>918</v>
      </c>
      <c r="X1353" s="819" t="str">
        <f t="shared" si="312"/>
        <v/>
      </c>
      <c r="Y1353" s="837"/>
      <c r="Z1353" s="839"/>
      <c r="AA1353" s="838"/>
      <c r="AB1353" s="839"/>
    </row>
    <row r="1354" spans="1:28" ht="13.15">
      <c r="B1354" s="819" t="s">
        <v>3134</v>
      </c>
      <c r="C1354" s="819" t="s">
        <v>3135</v>
      </c>
      <c r="D1354" s="379" t="s">
        <v>336</v>
      </c>
      <c r="E1354" s="818" t="s">
        <v>460</v>
      </c>
      <c r="F1354" s="820">
        <v>3.9704214000000002</v>
      </c>
      <c r="G1354" s="821">
        <v>23.067792279999999</v>
      </c>
      <c r="H1354" s="822">
        <v>52238544.975130297</v>
      </c>
      <c r="I1354" s="819"/>
      <c r="J1354" s="820">
        <v>-6.2453000000000007E-5</v>
      </c>
      <c r="K1354" s="819">
        <f t="shared" si="302"/>
        <v>864</v>
      </c>
      <c r="L1354" s="819">
        <f t="shared" si="303"/>
        <v>85</v>
      </c>
      <c r="M1354" s="819">
        <f t="shared" si="299"/>
        <v>864</v>
      </c>
      <c r="N1354" s="819">
        <f t="shared" si="300"/>
        <v>364</v>
      </c>
      <c r="O1354" s="819">
        <f t="shared" si="301"/>
        <v>941</v>
      </c>
      <c r="P1354" s="819">
        <f t="shared" si="304"/>
        <v>534</v>
      </c>
      <c r="Q1354" s="819">
        <f t="shared" si="305"/>
        <v>338</v>
      </c>
      <c r="R1354" s="819">
        <f t="shared" si="306"/>
        <v>782</v>
      </c>
      <c r="S1354" s="819">
        <f t="shared" si="307"/>
        <v>338</v>
      </c>
      <c r="T1354" s="819">
        <f t="shared" si="308"/>
        <v>919</v>
      </c>
      <c r="U1354" s="819">
        <f t="shared" si="309"/>
        <v>2911</v>
      </c>
      <c r="V1354" s="819">
        <f t="shared" si="310"/>
        <v>821</v>
      </c>
      <c r="W1354" s="379">
        <f t="shared" si="311"/>
        <v>821</v>
      </c>
      <c r="X1354" s="819" t="str">
        <f t="shared" si="312"/>
        <v/>
      </c>
      <c r="Y1354" s="837"/>
      <c r="Z1354" s="839"/>
      <c r="AA1354" s="838"/>
      <c r="AB1354" s="839"/>
    </row>
    <row r="1355" spans="1:28" ht="14.45">
      <c r="A1355" s="816"/>
      <c r="B1355" s="819" t="s">
        <v>3136</v>
      </c>
      <c r="C1355" s="819" t="s">
        <v>3137</v>
      </c>
      <c r="D1355" s="379" t="s">
        <v>336</v>
      </c>
      <c r="E1355" s="818" t="s">
        <v>441</v>
      </c>
      <c r="F1355" s="820"/>
      <c r="G1355" s="821"/>
      <c r="H1355" s="822">
        <v>322049102.02162701</v>
      </c>
      <c r="I1355" s="819"/>
      <c r="J1355" s="820">
        <v>0</v>
      </c>
      <c r="K1355" s="819">
        <f t="shared" si="302"/>
        <v>457</v>
      </c>
      <c r="L1355" s="819">
        <f t="shared" si="303"/>
        <v>1084</v>
      </c>
      <c r="M1355" s="819">
        <f t="shared" si="299"/>
        <v>457</v>
      </c>
      <c r="N1355" s="819">
        <f t="shared" si="300"/>
        <v>364</v>
      </c>
      <c r="O1355" s="819">
        <f t="shared" si="301"/>
        <v>492</v>
      </c>
      <c r="P1355" s="819">
        <f t="shared" si="304"/>
        <v>941</v>
      </c>
      <c r="Q1355" s="819">
        <f t="shared" si="305"/>
        <v>661</v>
      </c>
      <c r="R1355" s="819">
        <f t="shared" si="306"/>
        <v>375</v>
      </c>
      <c r="S1355" s="819">
        <f t="shared" si="307"/>
        <v>338</v>
      </c>
      <c r="T1355" s="819">
        <f t="shared" si="308"/>
        <v>470</v>
      </c>
      <c r="U1355" s="819">
        <f t="shared" si="309"/>
        <v>2785</v>
      </c>
      <c r="V1355" s="819">
        <f t="shared" si="310"/>
        <v>463</v>
      </c>
      <c r="W1355" s="379">
        <f t="shared" si="311"/>
        <v>463</v>
      </c>
      <c r="X1355" s="819" t="str">
        <f t="shared" si="312"/>
        <v/>
      </c>
      <c r="Y1355" s="837"/>
      <c r="Z1355" s="839"/>
      <c r="AA1355" s="838"/>
      <c r="AB1355" s="839"/>
    </row>
    <row r="1356" spans="1:28" ht="13.15">
      <c r="B1356" s="819" t="s">
        <v>3138</v>
      </c>
      <c r="C1356" s="819" t="s">
        <v>3139</v>
      </c>
      <c r="D1356" s="379" t="s">
        <v>336</v>
      </c>
      <c r="E1356" s="818" t="s">
        <v>1861</v>
      </c>
      <c r="F1356" s="820">
        <v>1.0049480230000001</v>
      </c>
      <c r="G1356" s="821">
        <v>-3.1984394840000001</v>
      </c>
      <c r="H1356" s="822"/>
      <c r="I1356" s="819"/>
      <c r="J1356" s="820">
        <v>6.2869199999999998E-5</v>
      </c>
      <c r="K1356" s="819" t="str">
        <f t="shared" si="302"/>
        <v>N/A</v>
      </c>
      <c r="L1356" s="819">
        <f t="shared" si="303"/>
        <v>1375</v>
      </c>
      <c r="M1356" s="819" t="str">
        <f t="shared" si="299"/>
        <v>N/A</v>
      </c>
      <c r="N1356" s="819">
        <f t="shared" si="300"/>
        <v>364</v>
      </c>
      <c r="O1356" s="819">
        <f t="shared" si="301"/>
        <v>329</v>
      </c>
      <c r="P1356" s="819" t="str">
        <f t="shared" si="304"/>
        <v>N/A</v>
      </c>
      <c r="Q1356" s="819">
        <f t="shared" si="305"/>
        <v>952</v>
      </c>
      <c r="R1356" s="819" t="str">
        <f t="shared" si="306"/>
        <v>N/A</v>
      </c>
      <c r="S1356" s="819">
        <f t="shared" si="307"/>
        <v>338</v>
      </c>
      <c r="T1356" s="819">
        <f t="shared" si="308"/>
        <v>307</v>
      </c>
      <c r="U1356" s="819">
        <f t="shared" si="309"/>
        <v>1597</v>
      </c>
      <c r="V1356" s="819">
        <f t="shared" si="310"/>
        <v>69</v>
      </c>
      <c r="W1356" s="379">
        <f t="shared" si="311"/>
        <v>69</v>
      </c>
      <c r="X1356" s="819" t="str">
        <f t="shared" si="312"/>
        <v/>
      </c>
      <c r="Y1356" s="837"/>
      <c r="Z1356" s="839"/>
      <c r="AA1356" s="838"/>
      <c r="AB1356" s="839"/>
    </row>
    <row r="1357" spans="1:28" ht="14.45">
      <c r="A1357" s="816"/>
      <c r="B1357" s="819" t="s">
        <v>3140</v>
      </c>
      <c r="C1357" s="819" t="s">
        <v>3141</v>
      </c>
      <c r="D1357" s="379" t="s">
        <v>336</v>
      </c>
      <c r="E1357" s="818" t="s">
        <v>842</v>
      </c>
      <c r="F1357" s="820">
        <v>0.60265807100000002</v>
      </c>
      <c r="G1357" s="821">
        <v>0.71001215799999995</v>
      </c>
      <c r="H1357" s="822">
        <v>12043896.5892203</v>
      </c>
      <c r="I1357" s="819"/>
      <c r="J1357" s="820">
        <v>-3.0175500000000001E-4</v>
      </c>
      <c r="K1357" s="819">
        <f t="shared" si="302"/>
        <v>1215</v>
      </c>
      <c r="L1357" s="819">
        <f t="shared" si="303"/>
        <v>870</v>
      </c>
      <c r="M1357" s="819">
        <f t="shared" si="299"/>
        <v>1215</v>
      </c>
      <c r="N1357" s="819">
        <f t="shared" si="300"/>
        <v>364</v>
      </c>
      <c r="O1357" s="819">
        <f t="shared" si="301"/>
        <v>1180</v>
      </c>
      <c r="P1357" s="819">
        <f t="shared" si="304"/>
        <v>183</v>
      </c>
      <c r="Q1357" s="819">
        <f t="shared" si="305"/>
        <v>447</v>
      </c>
      <c r="R1357" s="819">
        <f t="shared" si="306"/>
        <v>1133</v>
      </c>
      <c r="S1357" s="819">
        <f t="shared" si="307"/>
        <v>338</v>
      </c>
      <c r="T1357" s="819">
        <f t="shared" si="308"/>
        <v>1158</v>
      </c>
      <c r="U1357" s="819">
        <f t="shared" si="309"/>
        <v>3259</v>
      </c>
      <c r="V1357" s="819">
        <f t="shared" si="310"/>
        <v>1286</v>
      </c>
      <c r="W1357" s="379">
        <f t="shared" si="311"/>
        <v>1286</v>
      </c>
      <c r="X1357" s="819" t="str">
        <f t="shared" si="312"/>
        <v/>
      </c>
      <c r="Y1357" s="837"/>
      <c r="Z1357" s="839"/>
      <c r="AA1357" s="838"/>
      <c r="AB1357" s="839"/>
    </row>
    <row r="1358" spans="1:28" ht="13.15">
      <c r="B1358" s="819" t="s">
        <v>334</v>
      </c>
      <c r="C1358" s="819" t="s">
        <v>3142</v>
      </c>
      <c r="D1358" s="379" t="s">
        <v>336</v>
      </c>
      <c r="E1358" s="818" t="s">
        <v>441</v>
      </c>
      <c r="F1358" s="820">
        <v>0.53789928499999995</v>
      </c>
      <c r="G1358" s="821">
        <v>4.3776223779999999</v>
      </c>
      <c r="H1358" s="822">
        <v>405703329.19477302</v>
      </c>
      <c r="I1358" s="819">
        <v>3.04</v>
      </c>
      <c r="J1358" s="820">
        <v>-8.9685528E-2</v>
      </c>
      <c r="K1358" s="819">
        <f t="shared" si="302"/>
        <v>402</v>
      </c>
      <c r="L1358" s="819">
        <f t="shared" si="303"/>
        <v>422</v>
      </c>
      <c r="M1358" s="819">
        <f t="shared" si="299"/>
        <v>402</v>
      </c>
      <c r="N1358" s="819">
        <f t="shared" si="300"/>
        <v>63</v>
      </c>
      <c r="O1358" s="819">
        <f t="shared" si="301"/>
        <v>1747</v>
      </c>
      <c r="P1358" s="819">
        <f t="shared" si="304"/>
        <v>996</v>
      </c>
      <c r="Q1358" s="819">
        <f t="shared" si="305"/>
        <v>1</v>
      </c>
      <c r="R1358" s="819">
        <f t="shared" si="306"/>
        <v>320</v>
      </c>
      <c r="S1358" s="819">
        <f t="shared" si="307"/>
        <v>37</v>
      </c>
      <c r="T1358" s="819">
        <f t="shared" si="308"/>
        <v>1725</v>
      </c>
      <c r="U1358" s="819">
        <f t="shared" si="309"/>
        <v>3079</v>
      </c>
      <c r="V1358" s="819">
        <f t="shared" si="310"/>
        <v>1025</v>
      </c>
      <c r="W1358" s="379">
        <f t="shared" si="311"/>
        <v>1025</v>
      </c>
      <c r="X1358" s="819" t="str">
        <f t="shared" si="312"/>
        <v/>
      </c>
      <c r="Y1358" s="837"/>
      <c r="Z1358" s="839"/>
      <c r="AA1358" s="838"/>
      <c r="AB1358" s="839"/>
    </row>
    <row r="1359" spans="1:28" ht="14.45">
      <c r="A1359" s="816"/>
      <c r="B1359" s="819" t="s">
        <v>3143</v>
      </c>
      <c r="C1359" s="819" t="s">
        <v>3144</v>
      </c>
      <c r="D1359" s="379" t="s">
        <v>336</v>
      </c>
      <c r="E1359" s="818" t="s">
        <v>337</v>
      </c>
      <c r="F1359" s="820">
        <v>4.4404960170000001</v>
      </c>
      <c r="G1359" s="821">
        <v>15.59200798</v>
      </c>
      <c r="H1359" s="822">
        <v>44638229122.559998</v>
      </c>
      <c r="I1359" s="819"/>
      <c r="J1359" s="820">
        <v>-2.6323199999999999E-5</v>
      </c>
      <c r="K1359" s="819">
        <f t="shared" si="302"/>
        <v>3</v>
      </c>
      <c r="L1359" s="819">
        <f t="shared" si="303"/>
        <v>116</v>
      </c>
      <c r="M1359" s="819">
        <f t="shared" si="299"/>
        <v>3</v>
      </c>
      <c r="N1359" s="819">
        <f t="shared" si="300"/>
        <v>364</v>
      </c>
      <c r="O1359" s="819">
        <f t="shared" si="301"/>
        <v>868</v>
      </c>
      <c r="P1359" s="819">
        <f t="shared" si="304"/>
        <v>1395</v>
      </c>
      <c r="Q1359" s="819">
        <f t="shared" si="305"/>
        <v>307</v>
      </c>
      <c r="R1359" s="819">
        <f t="shared" si="306"/>
        <v>79</v>
      </c>
      <c r="S1359" s="819">
        <f t="shared" si="307"/>
        <v>338</v>
      </c>
      <c r="T1359" s="819">
        <f t="shared" si="308"/>
        <v>846</v>
      </c>
      <c r="U1359" s="819">
        <f t="shared" si="309"/>
        <v>2965</v>
      </c>
      <c r="V1359" s="819">
        <f t="shared" si="310"/>
        <v>884</v>
      </c>
      <c r="W1359" s="379">
        <f t="shared" si="311"/>
        <v>884</v>
      </c>
      <c r="X1359" s="819" t="str">
        <f t="shared" si="312"/>
        <v/>
      </c>
      <c r="Y1359" s="837"/>
      <c r="Z1359" s="839"/>
      <c r="AA1359" s="838"/>
      <c r="AB1359" s="839"/>
    </row>
    <row r="1360" spans="1:28" ht="13.15">
      <c r="B1360" s="819" t="s">
        <v>3145</v>
      </c>
      <c r="C1360" s="819" t="s">
        <v>3146</v>
      </c>
      <c r="D1360" s="379" t="s">
        <v>336</v>
      </c>
      <c r="E1360" s="818" t="s">
        <v>941</v>
      </c>
      <c r="F1360" s="820">
        <v>1.6887112230000001</v>
      </c>
      <c r="G1360" s="821">
        <v>7.3942354330000004</v>
      </c>
      <c r="H1360" s="822">
        <v>21236699.780501202</v>
      </c>
      <c r="I1360" s="819"/>
      <c r="J1360" s="820">
        <v>-4.0157099999999998E-4</v>
      </c>
      <c r="K1360" s="819">
        <f t="shared" si="302"/>
        <v>1088</v>
      </c>
      <c r="L1360" s="819">
        <f t="shared" si="303"/>
        <v>277</v>
      </c>
      <c r="M1360" s="819">
        <f t="shared" si="299"/>
        <v>1088</v>
      </c>
      <c r="N1360" s="819">
        <f t="shared" si="300"/>
        <v>364</v>
      </c>
      <c r="O1360" s="819">
        <f t="shared" si="301"/>
        <v>1227</v>
      </c>
      <c r="P1360" s="819">
        <f t="shared" si="304"/>
        <v>310</v>
      </c>
      <c r="Q1360" s="819">
        <f t="shared" si="305"/>
        <v>146</v>
      </c>
      <c r="R1360" s="819">
        <f t="shared" si="306"/>
        <v>1006</v>
      </c>
      <c r="S1360" s="819">
        <f t="shared" si="307"/>
        <v>338</v>
      </c>
      <c r="T1360" s="819">
        <f t="shared" si="308"/>
        <v>1205</v>
      </c>
      <c r="U1360" s="819">
        <f t="shared" si="309"/>
        <v>3005</v>
      </c>
      <c r="V1360" s="819">
        <f t="shared" si="310"/>
        <v>930</v>
      </c>
      <c r="W1360" s="379">
        <f t="shared" si="311"/>
        <v>930</v>
      </c>
      <c r="X1360" s="819" t="str">
        <f t="shared" si="312"/>
        <v/>
      </c>
      <c r="Y1360" s="837"/>
      <c r="Z1360" s="839"/>
      <c r="AA1360" s="838"/>
      <c r="AB1360" s="839"/>
    </row>
    <row r="1361" spans="1:28" ht="14.45">
      <c r="A1361" s="816"/>
      <c r="B1361" s="819" t="s">
        <v>3147</v>
      </c>
      <c r="C1361" s="819" t="s">
        <v>3148</v>
      </c>
      <c r="D1361" s="379" t="s">
        <v>336</v>
      </c>
      <c r="E1361" s="818" t="s">
        <v>676</v>
      </c>
      <c r="F1361" s="820">
        <v>4.3238511510000004</v>
      </c>
      <c r="G1361" s="821">
        <v>13.184523990000001</v>
      </c>
      <c r="H1361" s="822">
        <v>63988382.2872658</v>
      </c>
      <c r="I1361" s="819"/>
      <c r="J1361" s="820">
        <v>-7.4634020000000001E-3</v>
      </c>
      <c r="K1361" s="819">
        <f t="shared" si="302"/>
        <v>824</v>
      </c>
      <c r="L1361" s="819">
        <f t="shared" si="303"/>
        <v>149</v>
      </c>
      <c r="M1361" s="819">
        <f t="shared" si="299"/>
        <v>824</v>
      </c>
      <c r="N1361" s="819">
        <f t="shared" si="300"/>
        <v>364</v>
      </c>
      <c r="O1361" s="819">
        <f t="shared" si="301"/>
        <v>1634</v>
      </c>
      <c r="P1361" s="819">
        <f t="shared" si="304"/>
        <v>574</v>
      </c>
      <c r="Q1361" s="819">
        <f t="shared" si="305"/>
        <v>274</v>
      </c>
      <c r="R1361" s="819">
        <f t="shared" si="306"/>
        <v>742</v>
      </c>
      <c r="S1361" s="819">
        <f t="shared" si="307"/>
        <v>338</v>
      </c>
      <c r="T1361" s="819">
        <f t="shared" si="308"/>
        <v>1612</v>
      </c>
      <c r="U1361" s="819">
        <f t="shared" si="309"/>
        <v>3540</v>
      </c>
      <c r="V1361" s="819">
        <f t="shared" si="310"/>
        <v>1587</v>
      </c>
      <c r="W1361" s="379">
        <f t="shared" si="311"/>
        <v>1587</v>
      </c>
      <c r="X1361" s="819" t="str">
        <f t="shared" si="312"/>
        <v/>
      </c>
      <c r="Y1361" s="837"/>
      <c r="Z1361" s="839"/>
      <c r="AA1361" s="838"/>
      <c r="AB1361" s="839"/>
    </row>
    <row r="1362" spans="1:28" ht="13.15">
      <c r="B1362" s="819" t="s">
        <v>3149</v>
      </c>
      <c r="C1362" s="819" t="s">
        <v>3150</v>
      </c>
      <c r="D1362" s="379" t="s">
        <v>336</v>
      </c>
      <c r="E1362" s="818" t="s">
        <v>941</v>
      </c>
      <c r="F1362" s="820">
        <v>-1.7579246999999999E-2</v>
      </c>
      <c r="G1362" s="821">
        <v>-1.8717199339999999</v>
      </c>
      <c r="H1362" s="822">
        <v>535135690.60179299</v>
      </c>
      <c r="I1362" s="819"/>
      <c r="J1362" s="820">
        <v>2.49286E-5</v>
      </c>
      <c r="K1362" s="819">
        <f t="shared" si="302"/>
        <v>335</v>
      </c>
      <c r="L1362" s="819">
        <f t="shared" si="303"/>
        <v>1341</v>
      </c>
      <c r="M1362" s="819">
        <f t="shared" si="299"/>
        <v>335</v>
      </c>
      <c r="N1362" s="819">
        <f t="shared" si="300"/>
        <v>364</v>
      </c>
      <c r="O1362" s="819">
        <f t="shared" si="301"/>
        <v>391</v>
      </c>
      <c r="P1362" s="819">
        <f t="shared" si="304"/>
        <v>1063</v>
      </c>
      <c r="Q1362" s="819">
        <f t="shared" si="305"/>
        <v>918</v>
      </c>
      <c r="R1362" s="819">
        <f t="shared" si="306"/>
        <v>253</v>
      </c>
      <c r="S1362" s="819">
        <f t="shared" si="307"/>
        <v>338</v>
      </c>
      <c r="T1362" s="819">
        <f t="shared" si="308"/>
        <v>369</v>
      </c>
      <c r="U1362" s="819">
        <f t="shared" si="309"/>
        <v>2941</v>
      </c>
      <c r="V1362" s="819">
        <f t="shared" si="310"/>
        <v>856</v>
      </c>
      <c r="W1362" s="379">
        <f t="shared" si="311"/>
        <v>856</v>
      </c>
      <c r="X1362" s="819" t="str">
        <f t="shared" si="312"/>
        <v/>
      </c>
      <c r="Y1362" s="837"/>
      <c r="Z1362" s="839"/>
      <c r="AA1362" s="838"/>
      <c r="AB1362" s="839"/>
    </row>
    <row r="1363" spans="1:28" ht="14.45">
      <c r="A1363" s="816"/>
      <c r="B1363" s="819" t="s">
        <v>3151</v>
      </c>
      <c r="C1363" s="819" t="s">
        <v>3152</v>
      </c>
      <c r="D1363" s="379" t="s">
        <v>336</v>
      </c>
      <c r="E1363" s="818" t="s">
        <v>337</v>
      </c>
      <c r="F1363" s="820">
        <v>0.66237940100000003</v>
      </c>
      <c r="G1363" s="821">
        <v>0.35175592500000002</v>
      </c>
      <c r="H1363" s="822">
        <v>541166.76</v>
      </c>
      <c r="I1363" s="819"/>
      <c r="J1363" s="820">
        <v>-2.4131900000000001E-4</v>
      </c>
      <c r="K1363" s="819">
        <f t="shared" si="302"/>
        <v>1596</v>
      </c>
      <c r="L1363" s="819">
        <f t="shared" si="303"/>
        <v>950</v>
      </c>
      <c r="M1363" s="819">
        <f t="shared" si="299"/>
        <v>1596</v>
      </c>
      <c r="N1363" s="819">
        <f t="shared" si="300"/>
        <v>364</v>
      </c>
      <c r="O1363" s="819">
        <f t="shared" si="301"/>
        <v>1140</v>
      </c>
      <c r="P1363" s="819">
        <f t="shared" si="304"/>
        <v>198</v>
      </c>
      <c r="Q1363" s="819">
        <f t="shared" si="305"/>
        <v>527</v>
      </c>
      <c r="R1363" s="819">
        <f t="shared" si="306"/>
        <v>1514</v>
      </c>
      <c r="S1363" s="819">
        <f t="shared" si="307"/>
        <v>338</v>
      </c>
      <c r="T1363" s="819">
        <f t="shared" si="308"/>
        <v>1118</v>
      </c>
      <c r="U1363" s="819">
        <f t="shared" si="309"/>
        <v>3695</v>
      </c>
      <c r="V1363" s="819">
        <f t="shared" si="310"/>
        <v>1677</v>
      </c>
      <c r="W1363" s="379">
        <f t="shared" si="311"/>
        <v>1677</v>
      </c>
      <c r="X1363" s="819" t="str">
        <f t="shared" si="312"/>
        <v/>
      </c>
      <c r="Y1363" s="837"/>
      <c r="Z1363" s="839"/>
      <c r="AA1363" s="838"/>
      <c r="AB1363" s="839"/>
    </row>
    <row r="1364" spans="1:28" ht="13.15">
      <c r="B1364" s="819" t="s">
        <v>3153</v>
      </c>
      <c r="C1364" s="819" t="s">
        <v>3154</v>
      </c>
      <c r="D1364" s="379" t="s">
        <v>336</v>
      </c>
      <c r="E1364" s="818" t="s">
        <v>441</v>
      </c>
      <c r="F1364" s="820">
        <v>5.1672913429999996</v>
      </c>
      <c r="G1364" s="821">
        <v>-4.6743025339999997</v>
      </c>
      <c r="H1364" s="822"/>
      <c r="I1364" s="819"/>
      <c r="J1364" s="820">
        <v>1.01568E-4</v>
      </c>
      <c r="K1364" s="819" t="str">
        <f t="shared" si="302"/>
        <v>N/A</v>
      </c>
      <c r="L1364" s="819">
        <f t="shared" si="303"/>
        <v>1401</v>
      </c>
      <c r="M1364" s="819" t="str">
        <f t="shared" si="299"/>
        <v>N/A</v>
      </c>
      <c r="N1364" s="819">
        <f t="shared" si="300"/>
        <v>364</v>
      </c>
      <c r="O1364" s="819">
        <f t="shared" si="301"/>
        <v>299</v>
      </c>
      <c r="P1364" s="819" t="str">
        <f t="shared" si="304"/>
        <v>N/A</v>
      </c>
      <c r="Q1364" s="819">
        <f t="shared" si="305"/>
        <v>978</v>
      </c>
      <c r="R1364" s="819" t="str">
        <f t="shared" si="306"/>
        <v>N/A</v>
      </c>
      <c r="S1364" s="819">
        <f t="shared" si="307"/>
        <v>338</v>
      </c>
      <c r="T1364" s="819">
        <f t="shared" si="308"/>
        <v>277</v>
      </c>
      <c r="U1364" s="819">
        <f t="shared" si="309"/>
        <v>1593</v>
      </c>
      <c r="V1364" s="819">
        <f t="shared" si="310"/>
        <v>68</v>
      </c>
      <c r="W1364" s="379">
        <f t="shared" si="311"/>
        <v>68</v>
      </c>
      <c r="X1364" s="819" t="str">
        <f t="shared" si="312"/>
        <v/>
      </c>
      <c r="Y1364" s="837"/>
      <c r="Z1364" s="839"/>
      <c r="AA1364" s="838"/>
      <c r="AB1364" s="839"/>
    </row>
    <row r="1365" spans="1:28" ht="14.45">
      <c r="A1365" s="816"/>
      <c r="B1365" s="819" t="s">
        <v>3155</v>
      </c>
      <c r="C1365" s="819" t="s">
        <v>3156</v>
      </c>
      <c r="D1365" s="379" t="s">
        <v>336</v>
      </c>
      <c r="E1365" s="818" t="s">
        <v>600</v>
      </c>
      <c r="F1365" s="820">
        <v>1.2420085249999999</v>
      </c>
      <c r="G1365" s="821">
        <v>0</v>
      </c>
      <c r="H1365" s="822">
        <v>5242659.3125898298</v>
      </c>
      <c r="I1365" s="819"/>
      <c r="J1365" s="820">
        <v>-1.3406599999999999E-4</v>
      </c>
      <c r="K1365" s="819">
        <f t="shared" si="302"/>
        <v>1358</v>
      </c>
      <c r="L1365" s="819">
        <f t="shared" si="303"/>
        <v>1084</v>
      </c>
      <c r="M1365" s="819">
        <f t="shared" si="299"/>
        <v>1358</v>
      </c>
      <c r="N1365" s="819">
        <f t="shared" si="300"/>
        <v>364</v>
      </c>
      <c r="O1365" s="819">
        <f t="shared" si="301"/>
        <v>1045</v>
      </c>
      <c r="P1365" s="819">
        <f t="shared" si="304"/>
        <v>40</v>
      </c>
      <c r="Q1365" s="819">
        <f t="shared" si="305"/>
        <v>661</v>
      </c>
      <c r="R1365" s="819">
        <f t="shared" si="306"/>
        <v>1276</v>
      </c>
      <c r="S1365" s="819">
        <f t="shared" si="307"/>
        <v>338</v>
      </c>
      <c r="T1365" s="819">
        <f t="shared" si="308"/>
        <v>1023</v>
      </c>
      <c r="U1365" s="819">
        <f t="shared" si="309"/>
        <v>3338</v>
      </c>
      <c r="V1365" s="819">
        <f t="shared" si="310"/>
        <v>1390</v>
      </c>
      <c r="W1365" s="379">
        <f t="shared" si="311"/>
        <v>1390</v>
      </c>
      <c r="X1365" s="819" t="str">
        <f t="shared" si="312"/>
        <v/>
      </c>
      <c r="Y1365" s="837"/>
      <c r="Z1365" s="839"/>
      <c r="AA1365" s="838"/>
      <c r="AB1365" s="839"/>
    </row>
    <row r="1366" spans="1:28" ht="13.15">
      <c r="B1366" s="819" t="s">
        <v>3157</v>
      </c>
      <c r="C1366" s="819" t="s">
        <v>3158</v>
      </c>
      <c r="D1366" s="379" t="s">
        <v>336</v>
      </c>
      <c r="E1366" s="818" t="s">
        <v>1832</v>
      </c>
      <c r="F1366" s="820">
        <v>2.399534338</v>
      </c>
      <c r="G1366" s="821">
        <v>6.4023083999999994E-2</v>
      </c>
      <c r="H1366" s="822">
        <v>19566758.566364702</v>
      </c>
      <c r="I1366" s="819">
        <v>0.01</v>
      </c>
      <c r="J1366" s="820">
        <v>-1.5077600000000001E-4</v>
      </c>
      <c r="K1366" s="819">
        <f t="shared" si="302"/>
        <v>1106</v>
      </c>
      <c r="L1366" s="819">
        <f t="shared" si="303"/>
        <v>1033</v>
      </c>
      <c r="M1366" s="819">
        <f t="shared" si="299"/>
        <v>1106</v>
      </c>
      <c r="N1366" s="819">
        <f t="shared" si="300"/>
        <v>344</v>
      </c>
      <c r="O1366" s="819">
        <f t="shared" si="301"/>
        <v>1059</v>
      </c>
      <c r="P1366" s="819">
        <f t="shared" si="304"/>
        <v>292</v>
      </c>
      <c r="Q1366" s="819">
        <f t="shared" si="305"/>
        <v>610</v>
      </c>
      <c r="R1366" s="819">
        <f t="shared" si="306"/>
        <v>1024</v>
      </c>
      <c r="S1366" s="819">
        <f t="shared" si="307"/>
        <v>318</v>
      </c>
      <c r="T1366" s="819">
        <f t="shared" si="308"/>
        <v>1037</v>
      </c>
      <c r="U1366" s="819">
        <f t="shared" si="309"/>
        <v>3281</v>
      </c>
      <c r="V1366" s="819">
        <f t="shared" si="310"/>
        <v>1312</v>
      </c>
      <c r="W1366" s="379">
        <f t="shared" si="311"/>
        <v>1312</v>
      </c>
      <c r="X1366" s="819" t="str">
        <f t="shared" si="312"/>
        <v/>
      </c>
      <c r="Y1366" s="837"/>
      <c r="Z1366" s="839"/>
      <c r="AA1366" s="838"/>
      <c r="AB1366" s="839"/>
    </row>
    <row r="1367" spans="1:28" ht="14.45">
      <c r="A1367" s="816"/>
      <c r="B1367" s="819" t="s">
        <v>3159</v>
      </c>
      <c r="C1367" s="819" t="s">
        <v>3160</v>
      </c>
      <c r="D1367" s="379" t="s">
        <v>336</v>
      </c>
      <c r="E1367" s="818" t="s">
        <v>676</v>
      </c>
      <c r="F1367" s="820">
        <v>0.90998099700000001</v>
      </c>
      <c r="G1367" s="821">
        <v>4.79956417</v>
      </c>
      <c r="H1367" s="822">
        <v>88319304.914471895</v>
      </c>
      <c r="I1367" s="819">
        <v>0</v>
      </c>
      <c r="J1367" s="820">
        <v>-4.6606399999999997E-4</v>
      </c>
      <c r="K1367" s="819">
        <f t="shared" si="302"/>
        <v>750</v>
      </c>
      <c r="L1367" s="819">
        <f t="shared" si="303"/>
        <v>391</v>
      </c>
      <c r="M1367" s="819">
        <f t="shared" si="299"/>
        <v>750</v>
      </c>
      <c r="N1367" s="819">
        <f t="shared" si="300"/>
        <v>364</v>
      </c>
      <c r="O1367" s="819">
        <f t="shared" si="301"/>
        <v>1252</v>
      </c>
      <c r="P1367" s="819">
        <f t="shared" si="304"/>
        <v>648</v>
      </c>
      <c r="Q1367" s="819">
        <f t="shared" si="305"/>
        <v>32</v>
      </c>
      <c r="R1367" s="819">
        <f t="shared" si="306"/>
        <v>668</v>
      </c>
      <c r="S1367" s="819">
        <f t="shared" si="307"/>
        <v>338</v>
      </c>
      <c r="T1367" s="819">
        <f t="shared" si="308"/>
        <v>1230</v>
      </c>
      <c r="U1367" s="819">
        <f t="shared" si="309"/>
        <v>2916</v>
      </c>
      <c r="V1367" s="819">
        <f t="shared" si="310"/>
        <v>828</v>
      </c>
      <c r="W1367" s="379">
        <f t="shared" si="311"/>
        <v>828</v>
      </c>
      <c r="X1367" s="819" t="str">
        <f t="shared" si="312"/>
        <v/>
      </c>
      <c r="Y1367" s="837"/>
      <c r="Z1367" s="839"/>
      <c r="AA1367" s="838"/>
      <c r="AB1367" s="839"/>
    </row>
    <row r="1368" spans="1:28" ht="13.15">
      <c r="B1368" s="819" t="s">
        <v>3161</v>
      </c>
      <c r="C1368" s="819" t="s">
        <v>3162</v>
      </c>
      <c r="D1368" s="379" t="s">
        <v>336</v>
      </c>
      <c r="E1368" s="818" t="s">
        <v>441</v>
      </c>
      <c r="F1368" s="820">
        <v>2.026894591</v>
      </c>
      <c r="G1368" s="821">
        <v>24.602949519999999</v>
      </c>
      <c r="H1368" s="822">
        <v>499707466.77175802</v>
      </c>
      <c r="I1368" s="819"/>
      <c r="J1368" s="820">
        <v>-6.3033800000000006E-5</v>
      </c>
      <c r="K1368" s="819">
        <f t="shared" si="302"/>
        <v>348</v>
      </c>
      <c r="L1368" s="819">
        <f t="shared" si="303"/>
        <v>78</v>
      </c>
      <c r="M1368" s="819">
        <f t="shared" si="299"/>
        <v>348</v>
      </c>
      <c r="N1368" s="819">
        <f t="shared" si="300"/>
        <v>364</v>
      </c>
      <c r="O1368" s="819">
        <f t="shared" si="301"/>
        <v>943</v>
      </c>
      <c r="P1368" s="819">
        <f t="shared" si="304"/>
        <v>1050</v>
      </c>
      <c r="Q1368" s="819">
        <f t="shared" si="305"/>
        <v>345</v>
      </c>
      <c r="R1368" s="819">
        <f t="shared" si="306"/>
        <v>266</v>
      </c>
      <c r="S1368" s="819">
        <f t="shared" si="307"/>
        <v>338</v>
      </c>
      <c r="T1368" s="819">
        <f t="shared" si="308"/>
        <v>921</v>
      </c>
      <c r="U1368" s="819">
        <f t="shared" si="309"/>
        <v>2920</v>
      </c>
      <c r="V1368" s="819">
        <f t="shared" si="310"/>
        <v>833</v>
      </c>
      <c r="W1368" s="379">
        <f t="shared" si="311"/>
        <v>833</v>
      </c>
      <c r="X1368" s="819" t="str">
        <f t="shared" si="312"/>
        <v/>
      </c>
      <c r="Y1368" s="837"/>
      <c r="Z1368" s="839"/>
      <c r="AA1368" s="838"/>
      <c r="AB1368" s="839"/>
    </row>
    <row r="1369" spans="1:28" ht="14.45">
      <c r="A1369" s="816"/>
      <c r="B1369" s="819" t="s">
        <v>3163</v>
      </c>
      <c r="C1369" s="819" t="s">
        <v>3164</v>
      </c>
      <c r="D1369" s="379" t="s">
        <v>336</v>
      </c>
      <c r="E1369" s="818" t="s">
        <v>676</v>
      </c>
      <c r="F1369" s="820">
        <v>0.77189521000000005</v>
      </c>
      <c r="G1369" s="821">
        <v>15.008324050000001</v>
      </c>
      <c r="H1369" s="822">
        <v>91317077.181645393</v>
      </c>
      <c r="I1369" s="819"/>
      <c r="J1369" s="820">
        <v>-1.9194599999999999E-4</v>
      </c>
      <c r="K1369" s="819">
        <f t="shared" si="302"/>
        <v>742</v>
      </c>
      <c r="L1369" s="819">
        <f t="shared" si="303"/>
        <v>126</v>
      </c>
      <c r="M1369" s="819">
        <f t="shared" si="299"/>
        <v>742</v>
      </c>
      <c r="N1369" s="819">
        <f t="shared" si="300"/>
        <v>364</v>
      </c>
      <c r="O1369" s="819">
        <f t="shared" si="301"/>
        <v>1100</v>
      </c>
      <c r="P1369" s="819">
        <f t="shared" si="304"/>
        <v>656</v>
      </c>
      <c r="Q1369" s="819">
        <f t="shared" si="305"/>
        <v>297</v>
      </c>
      <c r="R1369" s="819">
        <f t="shared" si="306"/>
        <v>660</v>
      </c>
      <c r="S1369" s="819">
        <f t="shared" si="307"/>
        <v>338</v>
      </c>
      <c r="T1369" s="819">
        <f t="shared" si="308"/>
        <v>1078</v>
      </c>
      <c r="U1369" s="819">
        <f t="shared" si="309"/>
        <v>3029</v>
      </c>
      <c r="V1369" s="819">
        <f t="shared" si="310"/>
        <v>963</v>
      </c>
      <c r="W1369" s="379">
        <f t="shared" si="311"/>
        <v>963</v>
      </c>
      <c r="X1369" s="819" t="str">
        <f t="shared" si="312"/>
        <v/>
      </c>
      <c r="Y1369" s="837"/>
      <c r="Z1369" s="839"/>
      <c r="AA1369" s="838"/>
      <c r="AB1369" s="839"/>
    </row>
    <row r="1370" spans="1:28" ht="13.15">
      <c r="B1370" s="819" t="s">
        <v>3165</v>
      </c>
      <c r="C1370" s="819" t="s">
        <v>3166</v>
      </c>
      <c r="D1370" s="379" t="s">
        <v>336</v>
      </c>
      <c r="E1370" s="818" t="s">
        <v>441</v>
      </c>
      <c r="F1370" s="820">
        <v>3.492458284</v>
      </c>
      <c r="G1370" s="821">
        <v>8.7847727140000007</v>
      </c>
      <c r="H1370" s="822">
        <v>204374497.58981201</v>
      </c>
      <c r="I1370" s="819"/>
      <c r="J1370" s="820">
        <v>-6.7915600000000004E-5</v>
      </c>
      <c r="K1370" s="819">
        <f t="shared" si="302"/>
        <v>563</v>
      </c>
      <c r="L1370" s="819">
        <f t="shared" si="303"/>
        <v>232</v>
      </c>
      <c r="M1370" s="819">
        <f t="shared" si="299"/>
        <v>563</v>
      </c>
      <c r="N1370" s="819">
        <f t="shared" si="300"/>
        <v>364</v>
      </c>
      <c r="O1370" s="819">
        <f t="shared" si="301"/>
        <v>954</v>
      </c>
      <c r="P1370" s="819">
        <f t="shared" si="304"/>
        <v>835</v>
      </c>
      <c r="Q1370" s="819">
        <f t="shared" si="305"/>
        <v>191</v>
      </c>
      <c r="R1370" s="819">
        <f t="shared" si="306"/>
        <v>481</v>
      </c>
      <c r="S1370" s="819">
        <f t="shared" si="307"/>
        <v>338</v>
      </c>
      <c r="T1370" s="819">
        <f t="shared" si="308"/>
        <v>932</v>
      </c>
      <c r="U1370" s="819">
        <f t="shared" si="309"/>
        <v>2777</v>
      </c>
      <c r="V1370" s="819">
        <f t="shared" si="310"/>
        <v>456</v>
      </c>
      <c r="W1370" s="379">
        <f t="shared" si="311"/>
        <v>456</v>
      </c>
      <c r="X1370" s="819" t="str">
        <f t="shared" si="312"/>
        <v/>
      </c>
      <c r="Y1370" s="837"/>
      <c r="Z1370" s="839"/>
      <c r="AA1370" s="838"/>
      <c r="AB1370" s="839"/>
    </row>
    <row r="1371" spans="1:28" ht="14.45">
      <c r="A1371" s="816"/>
      <c r="B1371" s="819" t="s">
        <v>3167</v>
      </c>
      <c r="C1371" s="819" t="s">
        <v>3168</v>
      </c>
      <c r="D1371" s="379" t="s">
        <v>336</v>
      </c>
      <c r="E1371" s="818" t="s">
        <v>1832</v>
      </c>
      <c r="F1371" s="820">
        <v>0.38512945100000001</v>
      </c>
      <c r="G1371" s="821">
        <v>4.6963047680000001</v>
      </c>
      <c r="H1371" s="822">
        <v>23424054.068530899</v>
      </c>
      <c r="I1371" s="819"/>
      <c r="J1371" s="820">
        <v>-8.0569900000000003E-5</v>
      </c>
      <c r="K1371" s="819">
        <f t="shared" si="302"/>
        <v>1065</v>
      </c>
      <c r="L1371" s="819">
        <f t="shared" si="303"/>
        <v>398</v>
      </c>
      <c r="M1371" s="819">
        <f t="shared" si="299"/>
        <v>1065</v>
      </c>
      <c r="N1371" s="819">
        <f t="shared" si="300"/>
        <v>364</v>
      </c>
      <c r="O1371" s="819">
        <f t="shared" si="301"/>
        <v>975</v>
      </c>
      <c r="P1371" s="819">
        <f t="shared" si="304"/>
        <v>333</v>
      </c>
      <c r="Q1371" s="819">
        <f t="shared" si="305"/>
        <v>25</v>
      </c>
      <c r="R1371" s="819">
        <f t="shared" si="306"/>
        <v>983</v>
      </c>
      <c r="S1371" s="819">
        <f t="shared" si="307"/>
        <v>338</v>
      </c>
      <c r="T1371" s="819">
        <f t="shared" si="308"/>
        <v>953</v>
      </c>
      <c r="U1371" s="819">
        <f t="shared" si="309"/>
        <v>2632</v>
      </c>
      <c r="V1371" s="819">
        <f t="shared" si="310"/>
        <v>306</v>
      </c>
      <c r="W1371" s="379">
        <f t="shared" si="311"/>
        <v>306</v>
      </c>
      <c r="X1371" s="819" t="str">
        <f t="shared" si="312"/>
        <v/>
      </c>
      <c r="Y1371" s="837"/>
      <c r="Z1371" s="839"/>
      <c r="AA1371" s="838"/>
      <c r="AB1371" s="839"/>
    </row>
    <row r="1372" spans="1:28" ht="13.15">
      <c r="B1372" s="819" t="s">
        <v>3169</v>
      </c>
      <c r="C1372" s="819" t="s">
        <v>3170</v>
      </c>
      <c r="D1372" s="379" t="s">
        <v>336</v>
      </c>
      <c r="E1372" s="818" t="s">
        <v>441</v>
      </c>
      <c r="F1372" s="820">
        <v>3.0331103079999999</v>
      </c>
      <c r="G1372" s="821">
        <v>10.33219937</v>
      </c>
      <c r="H1372" s="822"/>
      <c r="I1372" s="819"/>
      <c r="J1372" s="820">
        <v>-6.6642499999999998E-5</v>
      </c>
      <c r="K1372" s="819" t="str">
        <f t="shared" si="302"/>
        <v>N/A</v>
      </c>
      <c r="L1372" s="819">
        <f t="shared" si="303"/>
        <v>189</v>
      </c>
      <c r="M1372" s="819" t="str">
        <f t="shared" si="299"/>
        <v>N/A</v>
      </c>
      <c r="N1372" s="819">
        <f t="shared" si="300"/>
        <v>364</v>
      </c>
      <c r="O1372" s="819">
        <f t="shared" si="301"/>
        <v>950</v>
      </c>
      <c r="P1372" s="819" t="str">
        <f t="shared" si="304"/>
        <v>N/A</v>
      </c>
      <c r="Q1372" s="819">
        <f t="shared" si="305"/>
        <v>234</v>
      </c>
      <c r="R1372" s="819" t="str">
        <f t="shared" si="306"/>
        <v>N/A</v>
      </c>
      <c r="S1372" s="819">
        <f t="shared" si="307"/>
        <v>338</v>
      </c>
      <c r="T1372" s="819">
        <f t="shared" si="308"/>
        <v>928</v>
      </c>
      <c r="U1372" s="819">
        <f t="shared" si="309"/>
        <v>1500</v>
      </c>
      <c r="V1372" s="819">
        <f t="shared" si="310"/>
        <v>51</v>
      </c>
      <c r="W1372" s="379">
        <f t="shared" si="311"/>
        <v>51</v>
      </c>
      <c r="X1372" s="819" t="str">
        <f t="shared" si="312"/>
        <v/>
      </c>
      <c r="Y1372" s="837"/>
      <c r="Z1372" s="839"/>
      <c r="AA1372" s="838"/>
      <c r="AB1372" s="839"/>
    </row>
    <row r="1373" spans="1:28" ht="14.45">
      <c r="A1373" s="816"/>
      <c r="B1373" s="819" t="s">
        <v>3171</v>
      </c>
      <c r="C1373" s="819" t="s">
        <v>3172</v>
      </c>
      <c r="D1373" s="379" t="s">
        <v>336</v>
      </c>
      <c r="E1373" s="818" t="s">
        <v>1832</v>
      </c>
      <c r="F1373" s="820"/>
      <c r="G1373" s="821"/>
      <c r="H1373" s="822">
        <v>23985821.189444698</v>
      </c>
      <c r="I1373" s="819"/>
      <c r="J1373" s="820">
        <v>0</v>
      </c>
      <c r="K1373" s="819">
        <f t="shared" si="302"/>
        <v>1059</v>
      </c>
      <c r="L1373" s="819">
        <f t="shared" si="303"/>
        <v>1084</v>
      </c>
      <c r="M1373" s="819">
        <f t="shared" si="299"/>
        <v>1059</v>
      </c>
      <c r="N1373" s="819">
        <f t="shared" si="300"/>
        <v>364</v>
      </c>
      <c r="O1373" s="819">
        <f t="shared" si="301"/>
        <v>492</v>
      </c>
      <c r="P1373" s="819">
        <f t="shared" si="304"/>
        <v>339</v>
      </c>
      <c r="Q1373" s="819">
        <f t="shared" si="305"/>
        <v>661</v>
      </c>
      <c r="R1373" s="819">
        <f t="shared" si="306"/>
        <v>977</v>
      </c>
      <c r="S1373" s="819">
        <f t="shared" si="307"/>
        <v>338</v>
      </c>
      <c r="T1373" s="819">
        <f t="shared" si="308"/>
        <v>470</v>
      </c>
      <c r="U1373" s="819">
        <f t="shared" si="309"/>
        <v>2785</v>
      </c>
      <c r="V1373" s="819">
        <f t="shared" si="310"/>
        <v>463</v>
      </c>
      <c r="W1373" s="379">
        <f t="shared" si="311"/>
        <v>463</v>
      </c>
      <c r="X1373" s="819" t="str">
        <f t="shared" si="312"/>
        <v/>
      </c>
      <c r="Y1373" s="837"/>
      <c r="Z1373" s="839"/>
      <c r="AA1373" s="838"/>
      <c r="AB1373" s="839"/>
    </row>
    <row r="1374" spans="1:28" ht="13.15">
      <c r="B1374" s="819" t="s">
        <v>3173</v>
      </c>
      <c r="C1374" s="819" t="s">
        <v>3174</v>
      </c>
      <c r="D1374" s="379" t="s">
        <v>336</v>
      </c>
      <c r="E1374" s="818" t="s">
        <v>1478</v>
      </c>
      <c r="F1374" s="820"/>
      <c r="G1374" s="821"/>
      <c r="H1374" s="822">
        <v>2149436.4224540899</v>
      </c>
      <c r="I1374" s="819"/>
      <c r="J1374" s="820">
        <v>0</v>
      </c>
      <c r="K1374" s="819">
        <f t="shared" si="302"/>
        <v>1486</v>
      </c>
      <c r="L1374" s="819">
        <f t="shared" si="303"/>
        <v>1084</v>
      </c>
      <c r="M1374" s="819">
        <f t="shared" si="299"/>
        <v>1486</v>
      </c>
      <c r="N1374" s="819">
        <f t="shared" si="300"/>
        <v>364</v>
      </c>
      <c r="O1374" s="819">
        <f t="shared" si="301"/>
        <v>492</v>
      </c>
      <c r="P1374" s="819">
        <f t="shared" si="304"/>
        <v>88</v>
      </c>
      <c r="Q1374" s="819">
        <f t="shared" si="305"/>
        <v>661</v>
      </c>
      <c r="R1374" s="819">
        <f t="shared" si="306"/>
        <v>1404</v>
      </c>
      <c r="S1374" s="819">
        <f t="shared" si="307"/>
        <v>338</v>
      </c>
      <c r="T1374" s="819">
        <f t="shared" si="308"/>
        <v>470</v>
      </c>
      <c r="U1374" s="819">
        <f t="shared" si="309"/>
        <v>2961</v>
      </c>
      <c r="V1374" s="819">
        <f t="shared" si="310"/>
        <v>880</v>
      </c>
      <c r="W1374" s="379">
        <f t="shared" si="311"/>
        <v>880</v>
      </c>
      <c r="X1374" s="819" t="str">
        <f t="shared" si="312"/>
        <v/>
      </c>
      <c r="Y1374" s="837"/>
      <c r="Z1374" s="839"/>
      <c r="AA1374" s="838"/>
      <c r="AB1374" s="839"/>
    </row>
    <row r="1375" spans="1:28" ht="14.45">
      <c r="A1375" s="816"/>
      <c r="B1375" s="819" t="s">
        <v>3175</v>
      </c>
      <c r="C1375" s="819" t="s">
        <v>3176</v>
      </c>
      <c r="D1375" s="379" t="s">
        <v>336</v>
      </c>
      <c r="E1375" s="818" t="s">
        <v>1478</v>
      </c>
      <c r="F1375" s="820">
        <v>9.2150032050000004</v>
      </c>
      <c r="G1375" s="821">
        <v>14.65123464</v>
      </c>
      <c r="H1375" s="822">
        <v>804599.76591469406</v>
      </c>
      <c r="I1375" s="819"/>
      <c r="J1375" s="820">
        <v>-2.07698E-4</v>
      </c>
      <c r="K1375" s="819">
        <f t="shared" si="302"/>
        <v>1573</v>
      </c>
      <c r="L1375" s="819">
        <f t="shared" si="303"/>
        <v>130</v>
      </c>
      <c r="M1375" s="819">
        <f t="shared" si="299"/>
        <v>1573</v>
      </c>
      <c r="N1375" s="819">
        <f t="shared" si="300"/>
        <v>364</v>
      </c>
      <c r="O1375" s="819">
        <f t="shared" si="301"/>
        <v>1111</v>
      </c>
      <c r="P1375" s="819">
        <f t="shared" si="304"/>
        <v>175</v>
      </c>
      <c r="Q1375" s="819">
        <f t="shared" si="305"/>
        <v>293</v>
      </c>
      <c r="R1375" s="819">
        <f t="shared" si="306"/>
        <v>1491</v>
      </c>
      <c r="S1375" s="819">
        <f t="shared" si="307"/>
        <v>338</v>
      </c>
      <c r="T1375" s="819">
        <f t="shared" si="308"/>
        <v>1089</v>
      </c>
      <c r="U1375" s="819">
        <f t="shared" si="309"/>
        <v>3386</v>
      </c>
      <c r="V1375" s="819">
        <f t="shared" si="310"/>
        <v>1449</v>
      </c>
      <c r="W1375" s="379">
        <f t="shared" si="311"/>
        <v>1449</v>
      </c>
      <c r="X1375" s="819" t="str">
        <f t="shared" si="312"/>
        <v/>
      </c>
      <c r="Y1375" s="837"/>
      <c r="Z1375" s="839"/>
      <c r="AA1375" s="838"/>
      <c r="AB1375" s="839"/>
    </row>
    <row r="1376" spans="1:28" ht="13.15">
      <c r="B1376" s="819" t="s">
        <v>3177</v>
      </c>
      <c r="C1376" s="819" t="s">
        <v>3178</v>
      </c>
      <c r="D1376" s="379" t="s">
        <v>336</v>
      </c>
      <c r="E1376" s="818" t="s">
        <v>941</v>
      </c>
      <c r="F1376" s="820">
        <v>2.2954936739999998</v>
      </c>
      <c r="G1376" s="821">
        <v>-8.9966174619999997</v>
      </c>
      <c r="H1376" s="822">
        <v>67313612.584598497</v>
      </c>
      <c r="I1376" s="819"/>
      <c r="J1376" s="820">
        <v>6.2422000000000006E-5</v>
      </c>
      <c r="K1376" s="819">
        <f t="shared" si="302"/>
        <v>812</v>
      </c>
      <c r="L1376" s="819">
        <f t="shared" si="303"/>
        <v>1442</v>
      </c>
      <c r="M1376" s="819">
        <f t="shared" si="299"/>
        <v>812</v>
      </c>
      <c r="N1376" s="819">
        <f t="shared" si="300"/>
        <v>364</v>
      </c>
      <c r="O1376" s="819">
        <f t="shared" si="301"/>
        <v>331</v>
      </c>
      <c r="P1376" s="819">
        <f t="shared" si="304"/>
        <v>586</v>
      </c>
      <c r="Q1376" s="819">
        <f t="shared" si="305"/>
        <v>1019</v>
      </c>
      <c r="R1376" s="819">
        <f t="shared" si="306"/>
        <v>730</v>
      </c>
      <c r="S1376" s="819">
        <f t="shared" si="307"/>
        <v>338</v>
      </c>
      <c r="T1376" s="819">
        <f t="shared" si="308"/>
        <v>309</v>
      </c>
      <c r="U1376" s="819">
        <f t="shared" si="309"/>
        <v>2982</v>
      </c>
      <c r="V1376" s="819">
        <f t="shared" si="310"/>
        <v>904</v>
      </c>
      <c r="W1376" s="379">
        <f t="shared" si="311"/>
        <v>904</v>
      </c>
      <c r="X1376" s="819" t="str">
        <f t="shared" si="312"/>
        <v/>
      </c>
      <c r="Y1376" s="837"/>
      <c r="Z1376" s="839"/>
      <c r="AA1376" s="838"/>
      <c r="AB1376" s="839"/>
    </row>
    <row r="1377" spans="1:28" ht="14.45">
      <c r="A1377" s="816"/>
      <c r="B1377" s="819" t="s">
        <v>3179</v>
      </c>
      <c r="C1377" s="819" t="s">
        <v>3180</v>
      </c>
      <c r="D1377" s="379" t="s">
        <v>336</v>
      </c>
      <c r="E1377" s="818" t="s">
        <v>941</v>
      </c>
      <c r="F1377" s="820">
        <v>0.55573835000000005</v>
      </c>
      <c r="G1377" s="821">
        <v>3.5145781569999999</v>
      </c>
      <c r="H1377" s="822">
        <v>37208806.753246799</v>
      </c>
      <c r="I1377" s="819"/>
      <c r="J1377" s="820">
        <v>-1.0040200000000001E-4</v>
      </c>
      <c r="K1377" s="819">
        <f t="shared" si="302"/>
        <v>946</v>
      </c>
      <c r="L1377" s="819">
        <f t="shared" si="303"/>
        <v>498</v>
      </c>
      <c r="M1377" s="819">
        <f t="shared" si="299"/>
        <v>946</v>
      </c>
      <c r="N1377" s="819">
        <f t="shared" si="300"/>
        <v>364</v>
      </c>
      <c r="O1377" s="819">
        <f t="shared" si="301"/>
        <v>1008</v>
      </c>
      <c r="P1377" s="819">
        <f t="shared" si="304"/>
        <v>452</v>
      </c>
      <c r="Q1377" s="819">
        <f t="shared" si="305"/>
        <v>75</v>
      </c>
      <c r="R1377" s="819">
        <f t="shared" si="306"/>
        <v>864</v>
      </c>
      <c r="S1377" s="819">
        <f t="shared" si="307"/>
        <v>338</v>
      </c>
      <c r="T1377" s="819">
        <f t="shared" si="308"/>
        <v>986</v>
      </c>
      <c r="U1377" s="819">
        <f t="shared" si="309"/>
        <v>2715</v>
      </c>
      <c r="V1377" s="819">
        <f t="shared" si="310"/>
        <v>372</v>
      </c>
      <c r="W1377" s="379">
        <f t="shared" si="311"/>
        <v>372</v>
      </c>
      <c r="X1377" s="819" t="str">
        <f t="shared" si="312"/>
        <v/>
      </c>
      <c r="Y1377" s="837"/>
      <c r="Z1377" s="839"/>
      <c r="AA1377" s="838"/>
      <c r="AB1377" s="839"/>
    </row>
    <row r="1378" spans="1:28" ht="13.15">
      <c r="B1378" s="819" t="s">
        <v>3181</v>
      </c>
      <c r="C1378" s="819" t="s">
        <v>3182</v>
      </c>
      <c r="D1378" s="379" t="s">
        <v>336</v>
      </c>
      <c r="E1378" s="818" t="s">
        <v>441</v>
      </c>
      <c r="F1378" s="820">
        <v>1.001928028</v>
      </c>
      <c r="G1378" s="821">
        <v>3.56797706</v>
      </c>
      <c r="H1378" s="822">
        <v>304305450.12637901</v>
      </c>
      <c r="I1378" s="819">
        <v>0.09</v>
      </c>
      <c r="J1378" s="820">
        <v>-7.7910100000000003E-4</v>
      </c>
      <c r="K1378" s="819">
        <f t="shared" si="302"/>
        <v>469</v>
      </c>
      <c r="L1378" s="819">
        <f t="shared" si="303"/>
        <v>493</v>
      </c>
      <c r="M1378" s="819">
        <f t="shared" si="299"/>
        <v>469</v>
      </c>
      <c r="N1378" s="819">
        <f t="shared" si="300"/>
        <v>275</v>
      </c>
      <c r="O1378" s="819">
        <f t="shared" si="301"/>
        <v>1361</v>
      </c>
      <c r="P1378" s="819">
        <f t="shared" si="304"/>
        <v>929</v>
      </c>
      <c r="Q1378" s="819">
        <f t="shared" si="305"/>
        <v>70</v>
      </c>
      <c r="R1378" s="819">
        <f t="shared" si="306"/>
        <v>387</v>
      </c>
      <c r="S1378" s="819">
        <f t="shared" si="307"/>
        <v>249</v>
      </c>
      <c r="T1378" s="819">
        <f t="shared" si="308"/>
        <v>1339</v>
      </c>
      <c r="U1378" s="819">
        <f t="shared" si="309"/>
        <v>2974</v>
      </c>
      <c r="V1378" s="819">
        <f t="shared" si="310"/>
        <v>894</v>
      </c>
      <c r="W1378" s="379">
        <f t="shared" si="311"/>
        <v>894</v>
      </c>
      <c r="X1378" s="819" t="str">
        <f t="shared" si="312"/>
        <v/>
      </c>
      <c r="Y1378" s="837"/>
      <c r="Z1378" s="839"/>
      <c r="AA1378" s="838"/>
      <c r="AB1378" s="839"/>
    </row>
    <row r="1379" spans="1:28" ht="14.45">
      <c r="A1379" s="816"/>
      <c r="B1379" s="819" t="s">
        <v>3183</v>
      </c>
      <c r="C1379" s="819" t="s">
        <v>3184</v>
      </c>
      <c r="D1379" s="379" t="s">
        <v>336</v>
      </c>
      <c r="E1379" s="818" t="s">
        <v>441</v>
      </c>
      <c r="F1379" s="820">
        <v>3.1431686569999999</v>
      </c>
      <c r="G1379" s="821">
        <v>5.6748073620000001</v>
      </c>
      <c r="H1379" s="822">
        <v>991678650.95826805</v>
      </c>
      <c r="I1379" s="819"/>
      <c r="J1379" s="820">
        <v>-4.6055900000000001E-5</v>
      </c>
      <c r="K1379" s="819">
        <f t="shared" si="302"/>
        <v>221</v>
      </c>
      <c r="L1379" s="819">
        <f t="shared" si="303"/>
        <v>339</v>
      </c>
      <c r="M1379" s="819">
        <f t="shared" si="299"/>
        <v>221</v>
      </c>
      <c r="N1379" s="819">
        <f t="shared" si="300"/>
        <v>364</v>
      </c>
      <c r="O1379" s="819">
        <f t="shared" si="301"/>
        <v>914</v>
      </c>
      <c r="P1379" s="819">
        <f t="shared" si="304"/>
        <v>1177</v>
      </c>
      <c r="Q1379" s="819">
        <f t="shared" si="305"/>
        <v>84</v>
      </c>
      <c r="R1379" s="819">
        <f t="shared" si="306"/>
        <v>139</v>
      </c>
      <c r="S1379" s="819">
        <f t="shared" si="307"/>
        <v>338</v>
      </c>
      <c r="T1379" s="819">
        <f t="shared" si="308"/>
        <v>892</v>
      </c>
      <c r="U1379" s="819">
        <f t="shared" si="309"/>
        <v>2630</v>
      </c>
      <c r="V1379" s="819">
        <f t="shared" si="310"/>
        <v>303</v>
      </c>
      <c r="W1379" s="379">
        <f t="shared" si="311"/>
        <v>303</v>
      </c>
      <c r="X1379" s="819" t="str">
        <f t="shared" si="312"/>
        <v/>
      </c>
      <c r="Y1379" s="837"/>
      <c r="Z1379" s="839"/>
      <c r="AA1379" s="838"/>
      <c r="AB1379" s="839"/>
    </row>
    <row r="1380" spans="1:28" ht="13.15">
      <c r="B1380" s="819" t="s">
        <v>3185</v>
      </c>
      <c r="C1380" s="819" t="s">
        <v>3186</v>
      </c>
      <c r="D1380" s="379" t="s">
        <v>336</v>
      </c>
      <c r="E1380" s="818" t="s">
        <v>1832</v>
      </c>
      <c r="F1380" s="820">
        <v>15.73833685</v>
      </c>
      <c r="G1380" s="821">
        <v>4.8984502860000001</v>
      </c>
      <c r="H1380" s="822">
        <v>7424022.5600630203</v>
      </c>
      <c r="I1380" s="819"/>
      <c r="J1380" s="820">
        <v>-1.4021200000000001E-5</v>
      </c>
      <c r="K1380" s="819">
        <f t="shared" si="302"/>
        <v>1311</v>
      </c>
      <c r="L1380" s="819">
        <f t="shared" si="303"/>
        <v>381</v>
      </c>
      <c r="M1380" s="819">
        <f t="shared" si="299"/>
        <v>1311</v>
      </c>
      <c r="N1380" s="819">
        <f t="shared" si="300"/>
        <v>364</v>
      </c>
      <c r="O1380" s="819">
        <f t="shared" si="301"/>
        <v>827</v>
      </c>
      <c r="P1380" s="819">
        <f t="shared" si="304"/>
        <v>87</v>
      </c>
      <c r="Q1380" s="819">
        <f t="shared" si="305"/>
        <v>42</v>
      </c>
      <c r="R1380" s="819">
        <f t="shared" si="306"/>
        <v>1229</v>
      </c>
      <c r="S1380" s="819">
        <f t="shared" si="307"/>
        <v>338</v>
      </c>
      <c r="T1380" s="819">
        <f t="shared" si="308"/>
        <v>805</v>
      </c>
      <c r="U1380" s="819">
        <f t="shared" si="309"/>
        <v>2501</v>
      </c>
      <c r="V1380" s="819">
        <f t="shared" si="310"/>
        <v>248</v>
      </c>
      <c r="W1380" s="379">
        <f t="shared" si="311"/>
        <v>248</v>
      </c>
      <c r="X1380" s="819" t="str">
        <f t="shared" si="312"/>
        <v/>
      </c>
      <c r="Y1380" s="837"/>
      <c r="Z1380" s="839"/>
      <c r="AA1380" s="838"/>
      <c r="AB1380" s="839"/>
    </row>
    <row r="1381" spans="1:28" ht="14.45">
      <c r="A1381" s="816"/>
      <c r="B1381" s="819" t="s">
        <v>3187</v>
      </c>
      <c r="C1381" s="819" t="s">
        <v>3188</v>
      </c>
      <c r="D1381" s="379" t="s">
        <v>336</v>
      </c>
      <c r="E1381" s="818" t="s">
        <v>460</v>
      </c>
      <c r="F1381" s="820">
        <v>1.3539075190000001</v>
      </c>
      <c r="G1381" s="821">
        <v>-4.9673149999999999E-3</v>
      </c>
      <c r="H1381" s="822">
        <v>10761221.3100018</v>
      </c>
      <c r="I1381" s="819"/>
      <c r="J1381" s="820">
        <v>3.05039E-4</v>
      </c>
      <c r="K1381" s="819">
        <f t="shared" si="302"/>
        <v>1238</v>
      </c>
      <c r="L1381" s="819">
        <f t="shared" si="303"/>
        <v>1195</v>
      </c>
      <c r="M1381" s="819">
        <f t="shared" si="299"/>
        <v>1238</v>
      </c>
      <c r="N1381" s="819">
        <f t="shared" si="300"/>
        <v>364</v>
      </c>
      <c r="O1381" s="819">
        <f t="shared" si="301"/>
        <v>233</v>
      </c>
      <c r="P1381" s="819">
        <f t="shared" si="304"/>
        <v>160</v>
      </c>
      <c r="Q1381" s="819">
        <f t="shared" si="305"/>
        <v>772</v>
      </c>
      <c r="R1381" s="819">
        <f t="shared" si="306"/>
        <v>1156</v>
      </c>
      <c r="S1381" s="819">
        <f t="shared" si="307"/>
        <v>338</v>
      </c>
      <c r="T1381" s="819">
        <f t="shared" si="308"/>
        <v>211</v>
      </c>
      <c r="U1381" s="819">
        <f t="shared" si="309"/>
        <v>2637</v>
      </c>
      <c r="V1381" s="819">
        <f t="shared" si="310"/>
        <v>311</v>
      </c>
      <c r="W1381" s="379">
        <f t="shared" si="311"/>
        <v>311</v>
      </c>
      <c r="X1381" s="819" t="str">
        <f t="shared" si="312"/>
        <v/>
      </c>
      <c r="Y1381" s="837"/>
      <c r="Z1381" s="839"/>
      <c r="AA1381" s="838"/>
      <c r="AB1381" s="839"/>
    </row>
    <row r="1382" spans="1:28" ht="13.15">
      <c r="B1382" s="819" t="s">
        <v>3189</v>
      </c>
      <c r="C1382" s="819" t="s">
        <v>3190</v>
      </c>
      <c r="D1382" s="379" t="s">
        <v>336</v>
      </c>
      <c r="E1382" s="818" t="s">
        <v>337</v>
      </c>
      <c r="F1382" s="820"/>
      <c r="G1382" s="821"/>
      <c r="H1382" s="822">
        <v>6304410</v>
      </c>
      <c r="I1382" s="819"/>
      <c r="J1382" s="820">
        <v>0</v>
      </c>
      <c r="K1382" s="819">
        <f t="shared" si="302"/>
        <v>1333</v>
      </c>
      <c r="L1382" s="819">
        <f t="shared" si="303"/>
        <v>1084</v>
      </c>
      <c r="M1382" s="819">
        <f t="shared" si="299"/>
        <v>1333</v>
      </c>
      <c r="N1382" s="819">
        <f t="shared" si="300"/>
        <v>364</v>
      </c>
      <c r="O1382" s="819">
        <f t="shared" si="301"/>
        <v>492</v>
      </c>
      <c r="P1382" s="819">
        <f t="shared" si="304"/>
        <v>65</v>
      </c>
      <c r="Q1382" s="819">
        <f t="shared" si="305"/>
        <v>661</v>
      </c>
      <c r="R1382" s="819">
        <f t="shared" si="306"/>
        <v>1251</v>
      </c>
      <c r="S1382" s="819">
        <f t="shared" si="307"/>
        <v>338</v>
      </c>
      <c r="T1382" s="819">
        <f t="shared" si="308"/>
        <v>470</v>
      </c>
      <c r="U1382" s="819">
        <f t="shared" si="309"/>
        <v>2785</v>
      </c>
      <c r="V1382" s="819">
        <f t="shared" si="310"/>
        <v>463</v>
      </c>
      <c r="W1382" s="379">
        <f t="shared" si="311"/>
        <v>463</v>
      </c>
      <c r="X1382" s="819" t="str">
        <f t="shared" si="312"/>
        <v/>
      </c>
      <c r="Y1382" s="837"/>
      <c r="Z1382" s="839"/>
      <c r="AA1382" s="838"/>
      <c r="AB1382" s="839"/>
    </row>
    <row r="1383" spans="1:28" ht="14.45">
      <c r="A1383" s="816"/>
      <c r="B1383" s="819" t="s">
        <v>3191</v>
      </c>
      <c r="C1383" s="819" t="s">
        <v>3192</v>
      </c>
      <c r="D1383" s="379" t="s">
        <v>336</v>
      </c>
      <c r="E1383" s="818" t="s">
        <v>3193</v>
      </c>
      <c r="F1383" s="820"/>
      <c r="G1383" s="821"/>
      <c r="H1383" s="822">
        <v>300296</v>
      </c>
      <c r="I1383" s="819"/>
      <c r="J1383" s="820">
        <v>0</v>
      </c>
      <c r="K1383" s="819">
        <f t="shared" si="302"/>
        <v>1628</v>
      </c>
      <c r="L1383" s="819">
        <f t="shared" si="303"/>
        <v>1084</v>
      </c>
      <c r="M1383" s="819">
        <f t="shared" si="299"/>
        <v>1628</v>
      </c>
      <c r="N1383" s="819">
        <f t="shared" si="300"/>
        <v>364</v>
      </c>
      <c r="O1383" s="819">
        <f t="shared" si="301"/>
        <v>492</v>
      </c>
      <c r="P1383" s="819">
        <f t="shared" si="304"/>
        <v>230</v>
      </c>
      <c r="Q1383" s="819">
        <f t="shared" si="305"/>
        <v>661</v>
      </c>
      <c r="R1383" s="819">
        <f t="shared" si="306"/>
        <v>1546</v>
      </c>
      <c r="S1383" s="819">
        <f t="shared" si="307"/>
        <v>338</v>
      </c>
      <c r="T1383" s="819">
        <f t="shared" si="308"/>
        <v>470</v>
      </c>
      <c r="U1383" s="819">
        <f t="shared" si="309"/>
        <v>3245</v>
      </c>
      <c r="V1383" s="819">
        <f t="shared" si="310"/>
        <v>1260</v>
      </c>
      <c r="W1383" s="379">
        <f t="shared" si="311"/>
        <v>1260</v>
      </c>
      <c r="X1383" s="819" t="str">
        <f t="shared" si="312"/>
        <v/>
      </c>
      <c r="Y1383" s="837"/>
      <c r="Z1383" s="839"/>
      <c r="AA1383" s="838"/>
      <c r="AB1383" s="839"/>
    </row>
    <row r="1384" spans="1:28" ht="13.15">
      <c r="B1384" s="819" t="s">
        <v>3194</v>
      </c>
      <c r="C1384" s="819" t="s">
        <v>3195</v>
      </c>
      <c r="D1384" s="379" t="s">
        <v>336</v>
      </c>
      <c r="E1384" s="818" t="s">
        <v>3193</v>
      </c>
      <c r="F1384" s="820">
        <v>3.9043122920000002</v>
      </c>
      <c r="G1384" s="821">
        <v>3.8679680300000001</v>
      </c>
      <c r="H1384" s="822">
        <v>362575348</v>
      </c>
      <c r="I1384" s="819"/>
      <c r="J1384" s="820">
        <v>-1.2474099999999999E-4</v>
      </c>
      <c r="K1384" s="819">
        <f t="shared" si="302"/>
        <v>430</v>
      </c>
      <c r="L1384" s="819">
        <f t="shared" si="303"/>
        <v>462</v>
      </c>
      <c r="M1384" s="819">
        <f t="shared" si="299"/>
        <v>430</v>
      </c>
      <c r="N1384" s="819">
        <f t="shared" si="300"/>
        <v>364</v>
      </c>
      <c r="O1384" s="819">
        <f t="shared" si="301"/>
        <v>1032</v>
      </c>
      <c r="P1384" s="819">
        <f t="shared" si="304"/>
        <v>968</v>
      </c>
      <c r="Q1384" s="819">
        <f t="shared" si="305"/>
        <v>39</v>
      </c>
      <c r="R1384" s="819">
        <f t="shared" si="306"/>
        <v>348</v>
      </c>
      <c r="S1384" s="819">
        <f t="shared" si="307"/>
        <v>338</v>
      </c>
      <c r="T1384" s="819">
        <f t="shared" si="308"/>
        <v>1010</v>
      </c>
      <c r="U1384" s="819">
        <f t="shared" si="309"/>
        <v>2703</v>
      </c>
      <c r="V1384" s="819">
        <f t="shared" si="310"/>
        <v>361</v>
      </c>
      <c r="W1384" s="379">
        <f t="shared" si="311"/>
        <v>361</v>
      </c>
      <c r="X1384" s="819" t="str">
        <f t="shared" si="312"/>
        <v/>
      </c>
      <c r="Y1384" s="837"/>
      <c r="Z1384" s="839"/>
      <c r="AA1384" s="838"/>
      <c r="AB1384" s="839"/>
    </row>
    <row r="1385" spans="1:28" ht="14.45">
      <c r="A1385" s="816"/>
      <c r="B1385" s="819" t="s">
        <v>3196</v>
      </c>
      <c r="C1385" s="819" t="s">
        <v>3197</v>
      </c>
      <c r="D1385" s="379" t="s">
        <v>336</v>
      </c>
      <c r="E1385" s="818" t="s">
        <v>3193</v>
      </c>
      <c r="F1385" s="820">
        <v>0.94039660700000005</v>
      </c>
      <c r="G1385" s="821">
        <v>0</v>
      </c>
      <c r="H1385" s="822">
        <v>28000000</v>
      </c>
      <c r="I1385" s="819"/>
      <c r="J1385" s="820">
        <v>-2.6960800000000001E-4</v>
      </c>
      <c r="K1385" s="819">
        <f t="shared" si="302"/>
        <v>1022</v>
      </c>
      <c r="L1385" s="819">
        <f t="shared" si="303"/>
        <v>1084</v>
      </c>
      <c r="M1385" s="819">
        <f t="shared" si="299"/>
        <v>1022</v>
      </c>
      <c r="N1385" s="819">
        <f t="shared" si="300"/>
        <v>364</v>
      </c>
      <c r="O1385" s="819">
        <f t="shared" si="301"/>
        <v>1157</v>
      </c>
      <c r="P1385" s="819">
        <f t="shared" si="304"/>
        <v>376</v>
      </c>
      <c r="Q1385" s="819">
        <f t="shared" si="305"/>
        <v>661</v>
      </c>
      <c r="R1385" s="819">
        <f t="shared" si="306"/>
        <v>940</v>
      </c>
      <c r="S1385" s="819">
        <f t="shared" si="307"/>
        <v>338</v>
      </c>
      <c r="T1385" s="819">
        <f t="shared" si="308"/>
        <v>1135</v>
      </c>
      <c r="U1385" s="819">
        <f t="shared" si="309"/>
        <v>3450</v>
      </c>
      <c r="V1385" s="819">
        <f t="shared" si="310"/>
        <v>1506</v>
      </c>
      <c r="W1385" s="379">
        <f t="shared" si="311"/>
        <v>1506</v>
      </c>
      <c r="X1385" s="819" t="str">
        <f t="shared" si="312"/>
        <v/>
      </c>
      <c r="Y1385" s="837"/>
      <c r="Z1385" s="839"/>
      <c r="AA1385" s="838"/>
      <c r="AB1385" s="839"/>
    </row>
    <row r="1386" spans="1:28" ht="13.15">
      <c r="B1386" s="819" t="s">
        <v>3198</v>
      </c>
      <c r="C1386" s="819" t="s">
        <v>3199</v>
      </c>
      <c r="D1386" s="379" t="s">
        <v>336</v>
      </c>
      <c r="E1386" s="818" t="s">
        <v>3193</v>
      </c>
      <c r="F1386" s="820">
        <v>1.451639745</v>
      </c>
      <c r="G1386" s="821">
        <v>0.61976582899999999</v>
      </c>
      <c r="H1386" s="822">
        <v>119100000</v>
      </c>
      <c r="I1386" s="819">
        <v>0.12</v>
      </c>
      <c r="J1386" s="820">
        <v>-2.1022099999999999E-4</v>
      </c>
      <c r="K1386" s="819">
        <f t="shared" si="302"/>
        <v>674</v>
      </c>
      <c r="L1386" s="819">
        <f t="shared" si="303"/>
        <v>899</v>
      </c>
      <c r="M1386" s="819">
        <f t="shared" si="299"/>
        <v>674</v>
      </c>
      <c r="N1386" s="819">
        <f t="shared" si="300"/>
        <v>250</v>
      </c>
      <c r="O1386" s="819">
        <f t="shared" si="301"/>
        <v>1115</v>
      </c>
      <c r="P1386" s="819">
        <f t="shared" si="304"/>
        <v>724</v>
      </c>
      <c r="Q1386" s="819">
        <f t="shared" si="305"/>
        <v>476</v>
      </c>
      <c r="R1386" s="819">
        <f t="shared" si="306"/>
        <v>592</v>
      </c>
      <c r="S1386" s="819">
        <f t="shared" si="307"/>
        <v>224</v>
      </c>
      <c r="T1386" s="819">
        <f t="shared" si="308"/>
        <v>1093</v>
      </c>
      <c r="U1386" s="819">
        <f t="shared" si="309"/>
        <v>3109</v>
      </c>
      <c r="V1386" s="819">
        <f t="shared" si="310"/>
        <v>1077</v>
      </c>
      <c r="W1386" s="379">
        <f t="shared" si="311"/>
        <v>1077</v>
      </c>
      <c r="X1386" s="819" t="str">
        <f t="shared" si="312"/>
        <v/>
      </c>
      <c r="Y1386" s="837"/>
      <c r="Z1386" s="839"/>
      <c r="AA1386" s="838"/>
      <c r="AB1386" s="839"/>
    </row>
    <row r="1387" spans="1:28" ht="14.45">
      <c r="A1387" s="816"/>
      <c r="B1387" s="819" t="s">
        <v>3200</v>
      </c>
      <c r="C1387" s="819" t="s">
        <v>3201</v>
      </c>
      <c r="D1387" s="379" t="s">
        <v>336</v>
      </c>
      <c r="E1387" s="818" t="s">
        <v>441</v>
      </c>
      <c r="F1387" s="820"/>
      <c r="G1387" s="821"/>
      <c r="H1387" s="822"/>
      <c r="I1387" s="819"/>
      <c r="J1387" s="820">
        <v>0</v>
      </c>
      <c r="K1387" s="819" t="str">
        <f t="shared" si="302"/>
        <v>N/A</v>
      </c>
      <c r="L1387" s="819">
        <f t="shared" si="303"/>
        <v>1084</v>
      </c>
      <c r="M1387" s="819" t="str">
        <f t="shared" si="299"/>
        <v>N/A</v>
      </c>
      <c r="N1387" s="819">
        <f t="shared" si="300"/>
        <v>364</v>
      </c>
      <c r="O1387" s="819">
        <f t="shared" si="301"/>
        <v>492</v>
      </c>
      <c r="P1387" s="819" t="str">
        <f t="shared" si="304"/>
        <v>N/A</v>
      </c>
      <c r="Q1387" s="819">
        <f t="shared" si="305"/>
        <v>661</v>
      </c>
      <c r="R1387" s="819" t="str">
        <f t="shared" si="306"/>
        <v>N/A</v>
      </c>
      <c r="S1387" s="819">
        <f t="shared" si="307"/>
        <v>338</v>
      </c>
      <c r="T1387" s="819">
        <f t="shared" si="308"/>
        <v>470</v>
      </c>
      <c r="U1387" s="819">
        <f t="shared" si="309"/>
        <v>1469</v>
      </c>
      <c r="V1387" s="819">
        <f t="shared" si="310"/>
        <v>22</v>
      </c>
      <c r="W1387" s="379">
        <f t="shared" si="311"/>
        <v>22</v>
      </c>
      <c r="X1387" s="819" t="str">
        <f t="shared" si="312"/>
        <v/>
      </c>
      <c r="Y1387" s="837"/>
      <c r="Z1387" s="839"/>
      <c r="AA1387" s="838"/>
      <c r="AB1387" s="839"/>
    </row>
    <row r="1388" spans="1:28" ht="13.15">
      <c r="B1388" s="819" t="s">
        <v>3202</v>
      </c>
      <c r="C1388" s="819" t="s">
        <v>3203</v>
      </c>
      <c r="D1388" s="379" t="s">
        <v>336</v>
      </c>
      <c r="E1388" s="818" t="s">
        <v>460</v>
      </c>
      <c r="F1388" s="820">
        <v>-1.8087002590000001</v>
      </c>
      <c r="G1388" s="821">
        <v>-0.65733797900000002</v>
      </c>
      <c r="H1388" s="822"/>
      <c r="I1388" s="819"/>
      <c r="J1388" s="820">
        <v>6.1849399999999998E-5</v>
      </c>
      <c r="K1388" s="819" t="str">
        <f t="shared" si="302"/>
        <v>N/A</v>
      </c>
      <c r="L1388" s="819">
        <f t="shared" si="303"/>
        <v>1269</v>
      </c>
      <c r="M1388" s="819" t="str">
        <f t="shared" si="299"/>
        <v>N/A</v>
      </c>
      <c r="N1388" s="819">
        <f t="shared" si="300"/>
        <v>364</v>
      </c>
      <c r="O1388" s="819">
        <f t="shared" si="301"/>
        <v>332</v>
      </c>
      <c r="P1388" s="819" t="str">
        <f t="shared" si="304"/>
        <v>N/A</v>
      </c>
      <c r="Q1388" s="819">
        <f t="shared" si="305"/>
        <v>846</v>
      </c>
      <c r="R1388" s="819" t="str">
        <f t="shared" si="306"/>
        <v>N/A</v>
      </c>
      <c r="S1388" s="819">
        <f t="shared" si="307"/>
        <v>338</v>
      </c>
      <c r="T1388" s="819">
        <f t="shared" si="308"/>
        <v>310</v>
      </c>
      <c r="U1388" s="819">
        <f t="shared" si="309"/>
        <v>1494</v>
      </c>
      <c r="V1388" s="819">
        <f t="shared" si="310"/>
        <v>50</v>
      </c>
      <c r="W1388" s="379">
        <f t="shared" si="311"/>
        <v>50</v>
      </c>
      <c r="X1388" s="819" t="str">
        <f t="shared" si="312"/>
        <v/>
      </c>
      <c r="Y1388" s="837"/>
      <c r="Z1388" s="839"/>
      <c r="AA1388" s="838"/>
      <c r="AB1388" s="839"/>
    </row>
    <row r="1389" spans="1:28" ht="14.45">
      <c r="A1389" s="816"/>
      <c r="B1389" s="819" t="s">
        <v>3204</v>
      </c>
      <c r="C1389" s="819" t="s">
        <v>3205</v>
      </c>
      <c r="D1389" s="379" t="s">
        <v>336</v>
      </c>
      <c r="E1389" s="818" t="s">
        <v>191</v>
      </c>
      <c r="F1389" s="820">
        <v>4.3298014560000002</v>
      </c>
      <c r="G1389" s="821">
        <v>0.73721468400000001</v>
      </c>
      <c r="H1389" s="822">
        <v>9108855.9433687609</v>
      </c>
      <c r="I1389" s="819"/>
      <c r="J1389" s="820">
        <v>-1.90003E-4</v>
      </c>
      <c r="K1389" s="819">
        <f t="shared" si="302"/>
        <v>1265</v>
      </c>
      <c r="L1389" s="819">
        <f t="shared" si="303"/>
        <v>865</v>
      </c>
      <c r="M1389" s="819">
        <f t="shared" si="299"/>
        <v>1265</v>
      </c>
      <c r="N1389" s="819">
        <f t="shared" si="300"/>
        <v>364</v>
      </c>
      <c r="O1389" s="819">
        <f t="shared" si="301"/>
        <v>1098</v>
      </c>
      <c r="P1389" s="819">
        <f t="shared" si="304"/>
        <v>133</v>
      </c>
      <c r="Q1389" s="819">
        <f t="shared" si="305"/>
        <v>442</v>
      </c>
      <c r="R1389" s="819">
        <f t="shared" si="306"/>
        <v>1183</v>
      </c>
      <c r="S1389" s="819">
        <f t="shared" si="307"/>
        <v>338</v>
      </c>
      <c r="T1389" s="819">
        <f t="shared" si="308"/>
        <v>1076</v>
      </c>
      <c r="U1389" s="819">
        <f t="shared" si="309"/>
        <v>3172</v>
      </c>
      <c r="V1389" s="819">
        <f t="shared" si="310"/>
        <v>1159</v>
      </c>
      <c r="W1389" s="379">
        <f t="shared" si="311"/>
        <v>1159</v>
      </c>
      <c r="X1389" s="819" t="str">
        <f t="shared" si="312"/>
        <v/>
      </c>
      <c r="Y1389" s="837"/>
      <c r="Z1389" s="839"/>
      <c r="AA1389" s="838"/>
      <c r="AB1389" s="839"/>
    </row>
    <row r="1390" spans="1:28" ht="13.15">
      <c r="B1390" s="819" t="s">
        <v>3206</v>
      </c>
      <c r="C1390" s="819" t="s">
        <v>3207</v>
      </c>
      <c r="D1390" s="379" t="s">
        <v>336</v>
      </c>
      <c r="E1390" s="818" t="s">
        <v>460</v>
      </c>
      <c r="F1390" s="820">
        <v>0.59285430800000005</v>
      </c>
      <c r="G1390" s="821">
        <v>6.3956467000000003E-2</v>
      </c>
      <c r="H1390" s="822">
        <v>234765287.97614899</v>
      </c>
      <c r="I1390" s="819">
        <v>0.28000000000000003</v>
      </c>
      <c r="J1390" s="820">
        <v>-5.3765900000000001E-4</v>
      </c>
      <c r="K1390" s="819">
        <f t="shared" si="302"/>
        <v>527</v>
      </c>
      <c r="L1390" s="819">
        <f t="shared" si="303"/>
        <v>1035</v>
      </c>
      <c r="M1390" s="819">
        <f t="shared" si="299"/>
        <v>527</v>
      </c>
      <c r="N1390" s="819">
        <f t="shared" si="300"/>
        <v>193</v>
      </c>
      <c r="O1390" s="819">
        <f t="shared" si="301"/>
        <v>1282</v>
      </c>
      <c r="P1390" s="819">
        <f t="shared" si="304"/>
        <v>871</v>
      </c>
      <c r="Q1390" s="819">
        <f t="shared" si="305"/>
        <v>612</v>
      </c>
      <c r="R1390" s="819">
        <f t="shared" si="306"/>
        <v>445</v>
      </c>
      <c r="S1390" s="819">
        <f t="shared" si="307"/>
        <v>167</v>
      </c>
      <c r="T1390" s="819">
        <f t="shared" si="308"/>
        <v>1260</v>
      </c>
      <c r="U1390" s="819">
        <f t="shared" si="309"/>
        <v>3355</v>
      </c>
      <c r="V1390" s="819">
        <f t="shared" si="310"/>
        <v>1417</v>
      </c>
      <c r="W1390" s="379">
        <f t="shared" si="311"/>
        <v>1417</v>
      </c>
      <c r="X1390" s="819" t="str">
        <f t="shared" si="312"/>
        <v/>
      </c>
      <c r="Y1390" s="837"/>
      <c r="Z1390" s="839"/>
      <c r="AA1390" s="838"/>
      <c r="AB1390" s="839"/>
    </row>
    <row r="1391" spans="1:28" ht="14.45">
      <c r="A1391" s="816"/>
      <c r="B1391" s="819" t="s">
        <v>3208</v>
      </c>
      <c r="C1391" s="819" t="s">
        <v>3209</v>
      </c>
      <c r="D1391" s="379" t="s">
        <v>336</v>
      </c>
      <c r="E1391" s="818" t="s">
        <v>441</v>
      </c>
      <c r="F1391" s="820">
        <v>5.7205548799999999</v>
      </c>
      <c r="G1391" s="821"/>
      <c r="H1391" s="822">
        <v>620315827.31823301</v>
      </c>
      <c r="I1391" s="819"/>
      <c r="J1391" s="820">
        <v>0</v>
      </c>
      <c r="K1391" s="819">
        <f t="shared" si="302"/>
        <v>308</v>
      </c>
      <c r="L1391" s="819">
        <f t="shared" si="303"/>
        <v>1084</v>
      </c>
      <c r="M1391" s="819">
        <f t="shared" si="299"/>
        <v>308</v>
      </c>
      <c r="N1391" s="819">
        <f t="shared" si="300"/>
        <v>364</v>
      </c>
      <c r="O1391" s="819">
        <f t="shared" si="301"/>
        <v>492</v>
      </c>
      <c r="P1391" s="819">
        <f t="shared" si="304"/>
        <v>1090</v>
      </c>
      <c r="Q1391" s="819">
        <f t="shared" si="305"/>
        <v>661</v>
      </c>
      <c r="R1391" s="819">
        <f t="shared" si="306"/>
        <v>226</v>
      </c>
      <c r="S1391" s="819">
        <f t="shared" si="307"/>
        <v>338</v>
      </c>
      <c r="T1391" s="819">
        <f t="shared" si="308"/>
        <v>470</v>
      </c>
      <c r="U1391" s="819">
        <f t="shared" si="309"/>
        <v>2785</v>
      </c>
      <c r="V1391" s="819">
        <f t="shared" si="310"/>
        <v>463</v>
      </c>
      <c r="W1391" s="379">
        <f t="shared" si="311"/>
        <v>463</v>
      </c>
      <c r="X1391" s="819" t="str">
        <f t="shared" si="312"/>
        <v/>
      </c>
      <c r="Y1391" s="837"/>
      <c r="Z1391" s="839"/>
      <c r="AA1391" s="838"/>
      <c r="AB1391" s="839"/>
    </row>
    <row r="1392" spans="1:28" ht="13.15">
      <c r="B1392" s="819" t="s">
        <v>3210</v>
      </c>
      <c r="C1392" s="819" t="s">
        <v>3211</v>
      </c>
      <c r="D1392" s="379" t="s">
        <v>336</v>
      </c>
      <c r="E1392" s="818" t="s">
        <v>418</v>
      </c>
      <c r="F1392" s="820">
        <v>3.4340659140000001</v>
      </c>
      <c r="G1392" s="821">
        <v>2.092983823</v>
      </c>
      <c r="H1392" s="822">
        <v>246791553.49906099</v>
      </c>
      <c r="I1392" s="819">
        <v>2.06</v>
      </c>
      <c r="J1392" s="820">
        <v>-3.1297629999999998E-3</v>
      </c>
      <c r="K1392" s="819">
        <f t="shared" si="302"/>
        <v>519</v>
      </c>
      <c r="L1392" s="819">
        <f t="shared" si="303"/>
        <v>659</v>
      </c>
      <c r="M1392" s="819">
        <f t="shared" si="299"/>
        <v>519</v>
      </c>
      <c r="N1392" s="819">
        <f t="shared" si="300"/>
        <v>80</v>
      </c>
      <c r="O1392" s="819">
        <f t="shared" si="301"/>
        <v>1555</v>
      </c>
      <c r="P1392" s="819">
        <f t="shared" si="304"/>
        <v>879</v>
      </c>
      <c r="Q1392" s="819">
        <f t="shared" si="305"/>
        <v>236</v>
      </c>
      <c r="R1392" s="819">
        <f t="shared" si="306"/>
        <v>437</v>
      </c>
      <c r="S1392" s="819">
        <f t="shared" si="307"/>
        <v>54</v>
      </c>
      <c r="T1392" s="819">
        <f t="shared" si="308"/>
        <v>1533</v>
      </c>
      <c r="U1392" s="819">
        <f t="shared" si="309"/>
        <v>3139</v>
      </c>
      <c r="V1392" s="819">
        <f t="shared" si="310"/>
        <v>1107</v>
      </c>
      <c r="W1392" s="379">
        <f t="shared" si="311"/>
        <v>1107</v>
      </c>
      <c r="X1392" s="819" t="str">
        <f t="shared" si="312"/>
        <v/>
      </c>
      <c r="Y1392" s="837"/>
      <c r="Z1392" s="839"/>
      <c r="AA1392" s="838"/>
      <c r="AB1392" s="839"/>
    </row>
    <row r="1393" spans="1:28" ht="14.45">
      <c r="A1393" s="816"/>
      <c r="B1393" s="819" t="s">
        <v>3212</v>
      </c>
      <c r="C1393" s="819" t="s">
        <v>3213</v>
      </c>
      <c r="D1393" s="379" t="s">
        <v>336</v>
      </c>
      <c r="E1393" s="818" t="s">
        <v>418</v>
      </c>
      <c r="F1393" s="820">
        <v>16.507324830000002</v>
      </c>
      <c r="G1393" s="821">
        <v>1.767198965</v>
      </c>
      <c r="H1393" s="822">
        <v>1544979987.17698</v>
      </c>
      <c r="I1393" s="819"/>
      <c r="J1393" s="820">
        <v>-6.3460399999999998E-4</v>
      </c>
      <c r="K1393" s="819">
        <f t="shared" si="302"/>
        <v>177</v>
      </c>
      <c r="L1393" s="819">
        <f t="shared" si="303"/>
        <v>709</v>
      </c>
      <c r="M1393" s="819">
        <f t="shared" si="299"/>
        <v>177</v>
      </c>
      <c r="N1393" s="819">
        <f t="shared" si="300"/>
        <v>364</v>
      </c>
      <c r="O1393" s="819">
        <f t="shared" si="301"/>
        <v>1327</v>
      </c>
      <c r="P1393" s="819">
        <f t="shared" si="304"/>
        <v>1221</v>
      </c>
      <c r="Q1393" s="819">
        <f t="shared" si="305"/>
        <v>286</v>
      </c>
      <c r="R1393" s="819">
        <f t="shared" si="306"/>
        <v>95</v>
      </c>
      <c r="S1393" s="819">
        <f t="shared" si="307"/>
        <v>338</v>
      </c>
      <c r="T1393" s="819">
        <f t="shared" si="308"/>
        <v>1305</v>
      </c>
      <c r="U1393" s="819">
        <f t="shared" si="309"/>
        <v>3245</v>
      </c>
      <c r="V1393" s="819">
        <f t="shared" si="310"/>
        <v>1260</v>
      </c>
      <c r="W1393" s="379">
        <f t="shared" si="311"/>
        <v>1260</v>
      </c>
      <c r="X1393" s="819" t="str">
        <f t="shared" si="312"/>
        <v/>
      </c>
      <c r="Y1393" s="837"/>
      <c r="Z1393" s="839"/>
      <c r="AA1393" s="838"/>
      <c r="AB1393" s="839"/>
    </row>
    <row r="1394" spans="1:28" ht="13.15">
      <c r="B1394" s="819" t="s">
        <v>3214</v>
      </c>
      <c r="C1394" s="819" t="s">
        <v>3215</v>
      </c>
      <c r="D1394" s="379" t="s">
        <v>336</v>
      </c>
      <c r="E1394" s="818" t="s">
        <v>460</v>
      </c>
      <c r="F1394" s="820">
        <v>0.928091636</v>
      </c>
      <c r="G1394" s="821">
        <v>3.6118157069999999</v>
      </c>
      <c r="H1394" s="822">
        <v>235722773.67291901</v>
      </c>
      <c r="I1394" s="819"/>
      <c r="J1394" s="820">
        <v>-7.1511999999999997E-4</v>
      </c>
      <c r="K1394" s="819">
        <f t="shared" si="302"/>
        <v>525</v>
      </c>
      <c r="L1394" s="819">
        <f t="shared" si="303"/>
        <v>486</v>
      </c>
      <c r="M1394" s="819">
        <f t="shared" si="299"/>
        <v>525</v>
      </c>
      <c r="N1394" s="819">
        <f t="shared" si="300"/>
        <v>364</v>
      </c>
      <c r="O1394" s="819">
        <f t="shared" si="301"/>
        <v>1347</v>
      </c>
      <c r="P1394" s="819">
        <f t="shared" si="304"/>
        <v>873</v>
      </c>
      <c r="Q1394" s="819">
        <f t="shared" si="305"/>
        <v>63</v>
      </c>
      <c r="R1394" s="819">
        <f t="shared" si="306"/>
        <v>443</v>
      </c>
      <c r="S1394" s="819">
        <f t="shared" si="307"/>
        <v>338</v>
      </c>
      <c r="T1394" s="819">
        <f t="shared" si="308"/>
        <v>1325</v>
      </c>
      <c r="U1394" s="819">
        <f t="shared" si="309"/>
        <v>3042</v>
      </c>
      <c r="V1394" s="819">
        <f t="shared" si="310"/>
        <v>987</v>
      </c>
      <c r="W1394" s="379">
        <f t="shared" si="311"/>
        <v>987</v>
      </c>
      <c r="X1394" s="819" t="str">
        <f t="shared" si="312"/>
        <v/>
      </c>
      <c r="Y1394" s="837"/>
      <c r="Z1394" s="839"/>
      <c r="AA1394" s="838"/>
      <c r="AB1394" s="839"/>
    </row>
    <row r="1395" spans="1:28" ht="14.45">
      <c r="A1395" s="816"/>
      <c r="B1395" s="819" t="s">
        <v>3216</v>
      </c>
      <c r="C1395" s="819" t="s">
        <v>3217</v>
      </c>
      <c r="D1395" s="379" t="s">
        <v>336</v>
      </c>
      <c r="E1395" s="818" t="s">
        <v>441</v>
      </c>
      <c r="F1395" s="820">
        <v>1.386021841</v>
      </c>
      <c r="G1395" s="821">
        <v>1.7546648090000001</v>
      </c>
      <c r="H1395" s="822">
        <v>979891315.17879403</v>
      </c>
      <c r="I1395" s="819"/>
      <c r="J1395" s="820">
        <v>-3.2670099999999999E-4</v>
      </c>
      <c r="K1395" s="819">
        <f t="shared" si="302"/>
        <v>223</v>
      </c>
      <c r="L1395" s="819">
        <f t="shared" si="303"/>
        <v>713</v>
      </c>
      <c r="M1395" s="819">
        <f t="shared" si="299"/>
        <v>223</v>
      </c>
      <c r="N1395" s="819">
        <f t="shared" si="300"/>
        <v>364</v>
      </c>
      <c r="O1395" s="819">
        <f t="shared" si="301"/>
        <v>1192</v>
      </c>
      <c r="P1395" s="819">
        <f t="shared" si="304"/>
        <v>1175</v>
      </c>
      <c r="Q1395" s="819">
        <f t="shared" si="305"/>
        <v>290</v>
      </c>
      <c r="R1395" s="819">
        <f t="shared" si="306"/>
        <v>141</v>
      </c>
      <c r="S1395" s="819">
        <f t="shared" si="307"/>
        <v>338</v>
      </c>
      <c r="T1395" s="819">
        <f t="shared" si="308"/>
        <v>1170</v>
      </c>
      <c r="U1395" s="819">
        <f t="shared" si="309"/>
        <v>3114</v>
      </c>
      <c r="V1395" s="819">
        <f t="shared" si="310"/>
        <v>1085</v>
      </c>
      <c r="W1395" s="379">
        <f t="shared" si="311"/>
        <v>1085</v>
      </c>
      <c r="X1395" s="819" t="str">
        <f t="shared" si="312"/>
        <v/>
      </c>
      <c r="Y1395" s="837"/>
      <c r="Z1395" s="839"/>
      <c r="AA1395" s="838"/>
      <c r="AB1395" s="839"/>
    </row>
    <row r="1396" spans="1:28" ht="13.15">
      <c r="B1396" s="819" t="s">
        <v>3218</v>
      </c>
      <c r="C1396" s="819" t="s">
        <v>3219</v>
      </c>
      <c r="D1396" s="379" t="s">
        <v>336</v>
      </c>
      <c r="E1396" s="818" t="s">
        <v>676</v>
      </c>
      <c r="F1396" s="820">
        <v>1.27597833</v>
      </c>
      <c r="G1396" s="821">
        <v>7.2194914999999998E-2</v>
      </c>
      <c r="H1396" s="822">
        <v>526853108.87863201</v>
      </c>
      <c r="I1396" s="819">
        <v>0.13</v>
      </c>
      <c r="J1396" s="820">
        <v>-3.1955199999999999E-3</v>
      </c>
      <c r="K1396" s="819">
        <f t="shared" si="302"/>
        <v>338</v>
      </c>
      <c r="L1396" s="819">
        <f t="shared" si="303"/>
        <v>1029</v>
      </c>
      <c r="M1396" s="819">
        <f t="shared" si="299"/>
        <v>338</v>
      </c>
      <c r="N1396" s="819">
        <f t="shared" si="300"/>
        <v>247</v>
      </c>
      <c r="O1396" s="819">
        <f t="shared" si="301"/>
        <v>1556</v>
      </c>
      <c r="P1396" s="819">
        <f t="shared" si="304"/>
        <v>1060</v>
      </c>
      <c r="Q1396" s="819">
        <f t="shared" si="305"/>
        <v>606</v>
      </c>
      <c r="R1396" s="819">
        <f t="shared" si="306"/>
        <v>256</v>
      </c>
      <c r="S1396" s="819">
        <f t="shared" si="307"/>
        <v>221</v>
      </c>
      <c r="T1396" s="819">
        <f t="shared" si="308"/>
        <v>1534</v>
      </c>
      <c r="U1396" s="819">
        <f t="shared" si="309"/>
        <v>3677</v>
      </c>
      <c r="V1396" s="819">
        <f t="shared" si="310"/>
        <v>1668</v>
      </c>
      <c r="W1396" s="379">
        <f t="shared" si="311"/>
        <v>1668</v>
      </c>
      <c r="X1396" s="819" t="str">
        <f t="shared" si="312"/>
        <v/>
      </c>
      <c r="Y1396" s="837"/>
      <c r="Z1396" s="839"/>
      <c r="AA1396" s="838"/>
      <c r="AB1396" s="839"/>
    </row>
    <row r="1397" spans="1:28" ht="14.45">
      <c r="A1397" s="816"/>
      <c r="B1397" s="819" t="s">
        <v>3220</v>
      </c>
      <c r="C1397" s="819" t="s">
        <v>3221</v>
      </c>
      <c r="D1397" s="379" t="s">
        <v>336</v>
      </c>
      <c r="E1397" s="818" t="s">
        <v>441</v>
      </c>
      <c r="F1397" s="820">
        <v>2.4443231189999999</v>
      </c>
      <c r="G1397" s="821">
        <v>110.0108516</v>
      </c>
      <c r="H1397" s="822">
        <v>2322148552.9970398</v>
      </c>
      <c r="I1397" s="819">
        <v>0.27</v>
      </c>
      <c r="J1397" s="820">
        <v>-1.2551700000000001E-6</v>
      </c>
      <c r="K1397" s="819">
        <f t="shared" si="302"/>
        <v>132</v>
      </c>
      <c r="L1397" s="819">
        <f t="shared" si="303"/>
        <v>13</v>
      </c>
      <c r="M1397" s="819">
        <f t="shared" si="299"/>
        <v>132</v>
      </c>
      <c r="N1397" s="819">
        <f t="shared" si="300"/>
        <v>199</v>
      </c>
      <c r="O1397" s="819">
        <f t="shared" si="301"/>
        <v>756</v>
      </c>
      <c r="P1397" s="819">
        <f t="shared" si="304"/>
        <v>1266</v>
      </c>
      <c r="Q1397" s="819">
        <f t="shared" si="305"/>
        <v>410</v>
      </c>
      <c r="R1397" s="819">
        <f t="shared" si="306"/>
        <v>50</v>
      </c>
      <c r="S1397" s="819">
        <f t="shared" si="307"/>
        <v>173</v>
      </c>
      <c r="T1397" s="819">
        <f t="shared" si="308"/>
        <v>734</v>
      </c>
      <c r="U1397" s="819">
        <f t="shared" si="309"/>
        <v>2633</v>
      </c>
      <c r="V1397" s="819">
        <f t="shared" si="310"/>
        <v>308</v>
      </c>
      <c r="W1397" s="379">
        <f t="shared" si="311"/>
        <v>308</v>
      </c>
      <c r="X1397" s="819" t="str">
        <f t="shared" si="312"/>
        <v/>
      </c>
      <c r="Y1397" s="837"/>
      <c r="Z1397" s="839"/>
      <c r="AA1397" s="838"/>
      <c r="AB1397" s="839"/>
    </row>
    <row r="1398" spans="1:28" ht="13.15">
      <c r="B1398" s="819" t="s">
        <v>3222</v>
      </c>
      <c r="C1398" s="819" t="s">
        <v>3223</v>
      </c>
      <c r="D1398" s="379" t="s">
        <v>336</v>
      </c>
      <c r="E1398" s="818" t="s">
        <v>460</v>
      </c>
      <c r="F1398" s="820"/>
      <c r="G1398" s="821"/>
      <c r="H1398" s="822">
        <v>253312676.36483499</v>
      </c>
      <c r="I1398" s="819"/>
      <c r="J1398" s="820">
        <v>0</v>
      </c>
      <c r="K1398" s="819">
        <f t="shared" si="302"/>
        <v>512</v>
      </c>
      <c r="L1398" s="819">
        <f t="shared" si="303"/>
        <v>1084</v>
      </c>
      <c r="M1398" s="819">
        <f t="shared" si="299"/>
        <v>512</v>
      </c>
      <c r="N1398" s="819">
        <f t="shared" si="300"/>
        <v>364</v>
      </c>
      <c r="O1398" s="819">
        <f t="shared" si="301"/>
        <v>492</v>
      </c>
      <c r="P1398" s="819">
        <f t="shared" si="304"/>
        <v>886</v>
      </c>
      <c r="Q1398" s="819">
        <f t="shared" si="305"/>
        <v>661</v>
      </c>
      <c r="R1398" s="819">
        <f t="shared" si="306"/>
        <v>430</v>
      </c>
      <c r="S1398" s="819">
        <f t="shared" si="307"/>
        <v>338</v>
      </c>
      <c r="T1398" s="819">
        <f t="shared" si="308"/>
        <v>470</v>
      </c>
      <c r="U1398" s="819">
        <f t="shared" si="309"/>
        <v>2785</v>
      </c>
      <c r="V1398" s="819">
        <f t="shared" si="310"/>
        <v>463</v>
      </c>
      <c r="W1398" s="379">
        <f t="shared" si="311"/>
        <v>463</v>
      </c>
      <c r="X1398" s="819" t="str">
        <f t="shared" si="312"/>
        <v/>
      </c>
      <c r="Y1398" s="837"/>
      <c r="Z1398" s="839"/>
      <c r="AA1398" s="838"/>
      <c r="AB1398" s="839"/>
    </row>
    <row r="1399" spans="1:28" ht="14.45">
      <c r="A1399" s="816"/>
      <c r="B1399" s="819" t="s">
        <v>3224</v>
      </c>
      <c r="C1399" s="819" t="s">
        <v>3225</v>
      </c>
      <c r="D1399" s="379" t="s">
        <v>336</v>
      </c>
      <c r="E1399" s="818" t="s">
        <v>460</v>
      </c>
      <c r="F1399" s="820">
        <v>0.16998516399999999</v>
      </c>
      <c r="G1399" s="821">
        <v>-2.4768663850000001</v>
      </c>
      <c r="H1399" s="822">
        <v>4942296.3983939597</v>
      </c>
      <c r="I1399" s="819"/>
      <c r="J1399" s="820">
        <v>6.8909899999999996E-5</v>
      </c>
      <c r="K1399" s="819">
        <f t="shared" si="302"/>
        <v>1364</v>
      </c>
      <c r="L1399" s="819">
        <f t="shared" si="303"/>
        <v>1357</v>
      </c>
      <c r="M1399" s="819">
        <f t="shared" si="299"/>
        <v>1364</v>
      </c>
      <c r="N1399" s="819">
        <f t="shared" si="300"/>
        <v>364</v>
      </c>
      <c r="O1399" s="819">
        <f t="shared" si="301"/>
        <v>319</v>
      </c>
      <c r="P1399" s="819">
        <f t="shared" si="304"/>
        <v>34</v>
      </c>
      <c r="Q1399" s="819">
        <f t="shared" si="305"/>
        <v>934</v>
      </c>
      <c r="R1399" s="819">
        <f t="shared" si="306"/>
        <v>1282</v>
      </c>
      <c r="S1399" s="819">
        <f t="shared" si="307"/>
        <v>338</v>
      </c>
      <c r="T1399" s="819">
        <f t="shared" si="308"/>
        <v>297</v>
      </c>
      <c r="U1399" s="819">
        <f t="shared" si="309"/>
        <v>2885</v>
      </c>
      <c r="V1399" s="819">
        <f t="shared" si="310"/>
        <v>783</v>
      </c>
      <c r="W1399" s="379">
        <f t="shared" si="311"/>
        <v>783</v>
      </c>
      <c r="X1399" s="819" t="str">
        <f t="shared" si="312"/>
        <v/>
      </c>
      <c r="Y1399" s="837"/>
      <c r="Z1399" s="839"/>
      <c r="AA1399" s="838"/>
      <c r="AB1399" s="839"/>
    </row>
    <row r="1400" spans="1:28" ht="13.15">
      <c r="B1400" s="819" t="s">
        <v>3226</v>
      </c>
      <c r="C1400" s="819" t="s">
        <v>3227</v>
      </c>
      <c r="D1400" s="379" t="s">
        <v>336</v>
      </c>
      <c r="E1400" s="818" t="s">
        <v>998</v>
      </c>
      <c r="F1400" s="820">
        <v>1.5452494800000001</v>
      </c>
      <c r="G1400" s="821">
        <v>7.1186512940000002</v>
      </c>
      <c r="H1400" s="822">
        <v>3969695.6840167101</v>
      </c>
      <c r="I1400" s="819">
        <v>0.08</v>
      </c>
      <c r="J1400" s="820">
        <v>-2.7653699999999999E-4</v>
      </c>
      <c r="K1400" s="819">
        <f t="shared" si="302"/>
        <v>1407</v>
      </c>
      <c r="L1400" s="819">
        <f t="shared" si="303"/>
        <v>283</v>
      </c>
      <c r="M1400" s="819">
        <f t="shared" si="299"/>
        <v>1407</v>
      </c>
      <c r="N1400" s="819">
        <f t="shared" si="300"/>
        <v>283</v>
      </c>
      <c r="O1400" s="819">
        <f t="shared" si="301"/>
        <v>1163</v>
      </c>
      <c r="P1400" s="819">
        <f t="shared" si="304"/>
        <v>9</v>
      </c>
      <c r="Q1400" s="819">
        <f t="shared" si="305"/>
        <v>140</v>
      </c>
      <c r="R1400" s="819">
        <f t="shared" si="306"/>
        <v>1325</v>
      </c>
      <c r="S1400" s="819">
        <f t="shared" si="307"/>
        <v>257</v>
      </c>
      <c r="T1400" s="819">
        <f t="shared" si="308"/>
        <v>1141</v>
      </c>
      <c r="U1400" s="819">
        <f t="shared" si="309"/>
        <v>2872</v>
      </c>
      <c r="V1400" s="819">
        <f t="shared" si="310"/>
        <v>760</v>
      </c>
      <c r="W1400" s="379">
        <f t="shared" si="311"/>
        <v>760</v>
      </c>
      <c r="X1400" s="819" t="str">
        <f t="shared" si="312"/>
        <v/>
      </c>
      <c r="Y1400" s="837"/>
      <c r="Z1400" s="839"/>
      <c r="AA1400" s="838"/>
      <c r="AB1400" s="839"/>
    </row>
    <row r="1401" spans="1:28" ht="14.45">
      <c r="A1401" s="816"/>
      <c r="B1401" s="819" t="s">
        <v>3228</v>
      </c>
      <c r="C1401" s="819" t="s">
        <v>3229</v>
      </c>
      <c r="D1401" s="379" t="s">
        <v>336</v>
      </c>
      <c r="E1401" s="818" t="s">
        <v>441</v>
      </c>
      <c r="F1401" s="820">
        <v>2.4138281109999999</v>
      </c>
      <c r="G1401" s="821">
        <v>-0.192595455</v>
      </c>
      <c r="H1401" s="822"/>
      <c r="I1401" s="819"/>
      <c r="J1401" s="820">
        <v>3.9131399999999997E-4</v>
      </c>
      <c r="K1401" s="819" t="str">
        <f t="shared" si="302"/>
        <v>N/A</v>
      </c>
      <c r="L1401" s="819">
        <f t="shared" si="303"/>
        <v>1239</v>
      </c>
      <c r="M1401" s="819" t="str">
        <f t="shared" si="299"/>
        <v>N/A</v>
      </c>
      <c r="N1401" s="819">
        <f t="shared" si="300"/>
        <v>364</v>
      </c>
      <c r="O1401" s="819">
        <f t="shared" si="301"/>
        <v>217</v>
      </c>
      <c r="P1401" s="819" t="str">
        <f t="shared" si="304"/>
        <v>N/A</v>
      </c>
      <c r="Q1401" s="819">
        <f t="shared" si="305"/>
        <v>816</v>
      </c>
      <c r="R1401" s="819" t="str">
        <f t="shared" si="306"/>
        <v>N/A</v>
      </c>
      <c r="S1401" s="819">
        <f t="shared" si="307"/>
        <v>338</v>
      </c>
      <c r="T1401" s="819">
        <f t="shared" si="308"/>
        <v>195</v>
      </c>
      <c r="U1401" s="819">
        <f t="shared" si="309"/>
        <v>1349</v>
      </c>
      <c r="V1401" s="819">
        <f t="shared" si="310"/>
        <v>3</v>
      </c>
      <c r="W1401" s="379">
        <f t="shared" si="311"/>
        <v>3</v>
      </c>
      <c r="X1401" s="819" t="str">
        <f t="shared" si="312"/>
        <v/>
      </c>
      <c r="Y1401" s="837"/>
      <c r="Z1401" s="839"/>
      <c r="AA1401" s="838"/>
      <c r="AB1401" s="839"/>
    </row>
    <row r="1402" spans="1:28" ht="13.15">
      <c r="B1402" s="819" t="s">
        <v>3230</v>
      </c>
      <c r="C1402" s="819" t="s">
        <v>3231</v>
      </c>
      <c r="D1402" s="379" t="s">
        <v>336</v>
      </c>
      <c r="E1402" s="818" t="s">
        <v>441</v>
      </c>
      <c r="F1402" s="820">
        <v>1.572213984</v>
      </c>
      <c r="G1402" s="821">
        <v>7.0663739359999997</v>
      </c>
      <c r="H1402" s="822">
        <v>27831607.510847699</v>
      </c>
      <c r="I1402" s="819">
        <v>0.11</v>
      </c>
      <c r="J1402" s="820">
        <v>-4.2276500000000002E-4</v>
      </c>
      <c r="K1402" s="819">
        <f t="shared" si="302"/>
        <v>1026</v>
      </c>
      <c r="L1402" s="819">
        <f t="shared" si="303"/>
        <v>285</v>
      </c>
      <c r="M1402" s="819">
        <f t="shared" si="299"/>
        <v>1026</v>
      </c>
      <c r="N1402" s="819">
        <f t="shared" si="300"/>
        <v>258</v>
      </c>
      <c r="O1402" s="819">
        <f t="shared" si="301"/>
        <v>1240</v>
      </c>
      <c r="P1402" s="819">
        <f t="shared" si="304"/>
        <v>372</v>
      </c>
      <c r="Q1402" s="819">
        <f t="shared" si="305"/>
        <v>138</v>
      </c>
      <c r="R1402" s="819">
        <f t="shared" si="306"/>
        <v>944</v>
      </c>
      <c r="S1402" s="819">
        <f t="shared" si="307"/>
        <v>232</v>
      </c>
      <c r="T1402" s="819">
        <f t="shared" si="308"/>
        <v>1218</v>
      </c>
      <c r="U1402" s="819">
        <f t="shared" si="309"/>
        <v>2904</v>
      </c>
      <c r="V1402" s="819">
        <f t="shared" si="310"/>
        <v>810</v>
      </c>
      <c r="W1402" s="379">
        <f t="shared" si="311"/>
        <v>810</v>
      </c>
      <c r="X1402" s="819" t="str">
        <f t="shared" si="312"/>
        <v/>
      </c>
      <c r="Y1402" s="837"/>
      <c r="Z1402" s="839"/>
      <c r="AA1402" s="838"/>
      <c r="AB1402" s="839"/>
    </row>
    <row r="1403" spans="1:28" ht="14.45">
      <c r="A1403" s="816"/>
      <c r="B1403" s="819" t="s">
        <v>3232</v>
      </c>
      <c r="C1403" s="819" t="s">
        <v>3233</v>
      </c>
      <c r="D1403" s="379" t="s">
        <v>336</v>
      </c>
      <c r="E1403" s="818" t="s">
        <v>441</v>
      </c>
      <c r="F1403" s="820">
        <v>2.3357011050000001</v>
      </c>
      <c r="G1403" s="821">
        <v>5.3801977159999996</v>
      </c>
      <c r="H1403" s="822">
        <v>1024059322.30703</v>
      </c>
      <c r="I1403" s="819"/>
      <c r="J1403" s="820">
        <v>-6.4616200000000004E-4</v>
      </c>
      <c r="K1403" s="819">
        <f t="shared" si="302"/>
        <v>218</v>
      </c>
      <c r="L1403" s="819">
        <f t="shared" si="303"/>
        <v>359</v>
      </c>
      <c r="M1403" s="819">
        <f t="shared" si="299"/>
        <v>218</v>
      </c>
      <c r="N1403" s="819">
        <f t="shared" si="300"/>
        <v>364</v>
      </c>
      <c r="O1403" s="819">
        <f t="shared" si="301"/>
        <v>1330</v>
      </c>
      <c r="P1403" s="819">
        <f t="shared" si="304"/>
        <v>1180</v>
      </c>
      <c r="Q1403" s="819">
        <f t="shared" si="305"/>
        <v>64</v>
      </c>
      <c r="R1403" s="819">
        <f t="shared" si="306"/>
        <v>136</v>
      </c>
      <c r="S1403" s="819">
        <f t="shared" si="307"/>
        <v>338</v>
      </c>
      <c r="T1403" s="819">
        <f t="shared" si="308"/>
        <v>1308</v>
      </c>
      <c r="U1403" s="819">
        <f t="shared" si="309"/>
        <v>3026</v>
      </c>
      <c r="V1403" s="819">
        <f t="shared" si="310"/>
        <v>958</v>
      </c>
      <c r="W1403" s="379">
        <f t="shared" si="311"/>
        <v>958</v>
      </c>
      <c r="X1403" s="819" t="str">
        <f t="shared" si="312"/>
        <v/>
      </c>
      <c r="Y1403" s="837"/>
      <c r="Z1403" s="839"/>
      <c r="AA1403" s="838"/>
      <c r="AB1403" s="839"/>
    </row>
    <row r="1404" spans="1:28" ht="13.15">
      <c r="B1404" s="819" t="s">
        <v>3234</v>
      </c>
      <c r="C1404" s="819" t="s">
        <v>3235</v>
      </c>
      <c r="D1404" s="379" t="s">
        <v>336</v>
      </c>
      <c r="E1404" s="818" t="s">
        <v>941</v>
      </c>
      <c r="F1404" s="820">
        <v>3.5603451640000001</v>
      </c>
      <c r="G1404" s="821">
        <v>0.218665202</v>
      </c>
      <c r="H1404" s="822">
        <v>113548682.09987199</v>
      </c>
      <c r="I1404" s="819"/>
      <c r="J1404" s="820">
        <v>-1.356433E-3</v>
      </c>
      <c r="K1404" s="819">
        <f t="shared" si="302"/>
        <v>688</v>
      </c>
      <c r="L1404" s="819">
        <f t="shared" si="303"/>
        <v>981</v>
      </c>
      <c r="M1404" s="819">
        <f t="shared" si="299"/>
        <v>688</v>
      </c>
      <c r="N1404" s="819">
        <f t="shared" si="300"/>
        <v>364</v>
      </c>
      <c r="O1404" s="819">
        <f t="shared" si="301"/>
        <v>1442</v>
      </c>
      <c r="P1404" s="819">
        <f t="shared" si="304"/>
        <v>710</v>
      </c>
      <c r="Q1404" s="819">
        <f t="shared" si="305"/>
        <v>558</v>
      </c>
      <c r="R1404" s="819">
        <f t="shared" si="306"/>
        <v>606</v>
      </c>
      <c r="S1404" s="819">
        <f t="shared" si="307"/>
        <v>338</v>
      </c>
      <c r="T1404" s="819">
        <f t="shared" si="308"/>
        <v>1420</v>
      </c>
      <c r="U1404" s="819">
        <f t="shared" si="309"/>
        <v>3632</v>
      </c>
      <c r="V1404" s="819">
        <f t="shared" si="310"/>
        <v>1641</v>
      </c>
      <c r="W1404" s="379">
        <f t="shared" si="311"/>
        <v>1641</v>
      </c>
      <c r="X1404" s="819" t="str">
        <f t="shared" si="312"/>
        <v/>
      </c>
      <c r="Y1404" s="837"/>
      <c r="Z1404" s="839"/>
      <c r="AA1404" s="838"/>
      <c r="AB1404" s="839"/>
    </row>
    <row r="1405" spans="1:28" ht="14.45">
      <c r="A1405" s="816"/>
      <c r="B1405" s="819" t="s">
        <v>3236</v>
      </c>
      <c r="C1405" s="819" t="s">
        <v>3237</v>
      </c>
      <c r="D1405" s="379" t="s">
        <v>336</v>
      </c>
      <c r="E1405" s="818" t="s">
        <v>337</v>
      </c>
      <c r="F1405" s="820"/>
      <c r="G1405" s="821"/>
      <c r="H1405" s="822">
        <v>288909250</v>
      </c>
      <c r="I1405" s="819"/>
      <c r="J1405" s="820">
        <v>0</v>
      </c>
      <c r="K1405" s="819">
        <f t="shared" si="302"/>
        <v>483</v>
      </c>
      <c r="L1405" s="819">
        <f t="shared" si="303"/>
        <v>1084</v>
      </c>
      <c r="M1405" s="819">
        <f t="shared" si="299"/>
        <v>483</v>
      </c>
      <c r="N1405" s="819">
        <f t="shared" si="300"/>
        <v>364</v>
      </c>
      <c r="O1405" s="819">
        <f t="shared" si="301"/>
        <v>492</v>
      </c>
      <c r="P1405" s="819">
        <f t="shared" si="304"/>
        <v>915</v>
      </c>
      <c r="Q1405" s="819">
        <f t="shared" si="305"/>
        <v>661</v>
      </c>
      <c r="R1405" s="819">
        <f t="shared" si="306"/>
        <v>401</v>
      </c>
      <c r="S1405" s="819">
        <f t="shared" si="307"/>
        <v>338</v>
      </c>
      <c r="T1405" s="819">
        <f t="shared" si="308"/>
        <v>470</v>
      </c>
      <c r="U1405" s="819">
        <f t="shared" si="309"/>
        <v>2785</v>
      </c>
      <c r="V1405" s="819">
        <f t="shared" si="310"/>
        <v>463</v>
      </c>
      <c r="W1405" s="379">
        <f t="shared" si="311"/>
        <v>463</v>
      </c>
      <c r="X1405" s="819" t="str">
        <f t="shared" si="312"/>
        <v/>
      </c>
      <c r="Y1405" s="837"/>
      <c r="Z1405" s="839"/>
      <c r="AA1405" s="838"/>
      <c r="AB1405" s="839"/>
    </row>
    <row r="1406" spans="1:28" ht="13.15">
      <c r="B1406" s="819" t="s">
        <v>3238</v>
      </c>
      <c r="C1406" s="819" t="s">
        <v>3239</v>
      </c>
      <c r="D1406" s="379" t="s">
        <v>336</v>
      </c>
      <c r="E1406" s="818" t="s">
        <v>441</v>
      </c>
      <c r="F1406" s="820"/>
      <c r="G1406" s="821"/>
      <c r="H1406" s="822">
        <v>135101054.23286799</v>
      </c>
      <c r="I1406" s="819"/>
      <c r="J1406" s="820">
        <v>0</v>
      </c>
      <c r="K1406" s="819">
        <f t="shared" si="302"/>
        <v>646</v>
      </c>
      <c r="L1406" s="819">
        <f t="shared" si="303"/>
        <v>1084</v>
      </c>
      <c r="M1406" s="819">
        <f t="shared" si="299"/>
        <v>646</v>
      </c>
      <c r="N1406" s="819">
        <f t="shared" si="300"/>
        <v>364</v>
      </c>
      <c r="O1406" s="819">
        <f t="shared" si="301"/>
        <v>492</v>
      </c>
      <c r="P1406" s="819">
        <f t="shared" si="304"/>
        <v>752</v>
      </c>
      <c r="Q1406" s="819">
        <f t="shared" si="305"/>
        <v>661</v>
      </c>
      <c r="R1406" s="819">
        <f t="shared" si="306"/>
        <v>564</v>
      </c>
      <c r="S1406" s="819">
        <f t="shared" si="307"/>
        <v>338</v>
      </c>
      <c r="T1406" s="819">
        <f t="shared" si="308"/>
        <v>470</v>
      </c>
      <c r="U1406" s="819">
        <f t="shared" si="309"/>
        <v>2785</v>
      </c>
      <c r="V1406" s="819">
        <f t="shared" si="310"/>
        <v>463</v>
      </c>
      <c r="W1406" s="379">
        <f t="shared" si="311"/>
        <v>463</v>
      </c>
      <c r="X1406" s="819" t="str">
        <f t="shared" si="312"/>
        <v/>
      </c>
      <c r="Y1406" s="837"/>
      <c r="Z1406" s="839"/>
      <c r="AA1406" s="838"/>
      <c r="AB1406" s="839"/>
    </row>
    <row r="1407" spans="1:28" ht="14.45">
      <c r="A1407" s="816"/>
      <c r="B1407" s="819" t="s">
        <v>3240</v>
      </c>
      <c r="C1407" s="819" t="s">
        <v>3241</v>
      </c>
      <c r="D1407" s="379" t="s">
        <v>336</v>
      </c>
      <c r="E1407" s="818" t="s">
        <v>337</v>
      </c>
      <c r="F1407" s="820">
        <v>26.813348220000002</v>
      </c>
      <c r="G1407" s="821">
        <v>9.4070449479999994</v>
      </c>
      <c r="H1407" s="822"/>
      <c r="I1407" s="819"/>
      <c r="J1407" s="820">
        <v>-3.1608900000000002E-5</v>
      </c>
      <c r="K1407" s="819" t="str">
        <f t="shared" si="302"/>
        <v>N/A</v>
      </c>
      <c r="L1407" s="819">
        <f t="shared" si="303"/>
        <v>213</v>
      </c>
      <c r="M1407" s="819" t="str">
        <f t="shared" si="299"/>
        <v>N/A</v>
      </c>
      <c r="N1407" s="819">
        <f t="shared" si="300"/>
        <v>364</v>
      </c>
      <c r="O1407" s="819">
        <f t="shared" si="301"/>
        <v>880</v>
      </c>
      <c r="P1407" s="819" t="str">
        <f t="shared" si="304"/>
        <v>N/A</v>
      </c>
      <c r="Q1407" s="819">
        <f t="shared" si="305"/>
        <v>210</v>
      </c>
      <c r="R1407" s="819" t="str">
        <f t="shared" si="306"/>
        <v>N/A</v>
      </c>
      <c r="S1407" s="819">
        <f t="shared" si="307"/>
        <v>338</v>
      </c>
      <c r="T1407" s="819">
        <f t="shared" si="308"/>
        <v>858</v>
      </c>
      <c r="U1407" s="819">
        <f t="shared" si="309"/>
        <v>1406</v>
      </c>
      <c r="V1407" s="819">
        <f t="shared" si="310"/>
        <v>12</v>
      </c>
      <c r="W1407" s="379">
        <f t="shared" si="311"/>
        <v>12</v>
      </c>
      <c r="X1407" s="819" t="str">
        <f t="shared" si="312"/>
        <v/>
      </c>
      <c r="Y1407" s="837"/>
      <c r="Z1407" s="839"/>
      <c r="AA1407" s="838"/>
      <c r="AB1407" s="839"/>
    </row>
    <row r="1408" spans="1:28" ht="13.15">
      <c r="B1408" s="819" t="s">
        <v>3242</v>
      </c>
      <c r="C1408" s="819" t="s">
        <v>3243</v>
      </c>
      <c r="D1408" s="379" t="s">
        <v>336</v>
      </c>
      <c r="E1408" s="818" t="s">
        <v>1832</v>
      </c>
      <c r="F1408" s="820">
        <v>1.9516681339999999</v>
      </c>
      <c r="G1408" s="821">
        <v>2.3061765529999998</v>
      </c>
      <c r="H1408" s="822">
        <v>7111185.5061047701</v>
      </c>
      <c r="I1408" s="819">
        <v>1.32</v>
      </c>
      <c r="J1408" s="820">
        <v>-1.5553600000000001E-4</v>
      </c>
      <c r="K1408" s="819">
        <f t="shared" si="302"/>
        <v>1316</v>
      </c>
      <c r="L1408" s="819">
        <f t="shared" si="303"/>
        <v>628</v>
      </c>
      <c r="M1408" s="819">
        <f t="shared" si="299"/>
        <v>1316</v>
      </c>
      <c r="N1408" s="819">
        <f t="shared" si="300"/>
        <v>104</v>
      </c>
      <c r="O1408" s="819">
        <f t="shared" si="301"/>
        <v>1066</v>
      </c>
      <c r="P1408" s="819">
        <f t="shared" si="304"/>
        <v>82</v>
      </c>
      <c r="Q1408" s="819">
        <f t="shared" si="305"/>
        <v>205</v>
      </c>
      <c r="R1408" s="819">
        <f t="shared" si="306"/>
        <v>1234</v>
      </c>
      <c r="S1408" s="819">
        <f t="shared" si="307"/>
        <v>78</v>
      </c>
      <c r="T1408" s="819">
        <f t="shared" si="308"/>
        <v>1044</v>
      </c>
      <c r="U1408" s="819">
        <f t="shared" si="309"/>
        <v>2643</v>
      </c>
      <c r="V1408" s="819">
        <f t="shared" si="310"/>
        <v>316</v>
      </c>
      <c r="W1408" s="379">
        <f t="shared" si="311"/>
        <v>316</v>
      </c>
      <c r="X1408" s="819" t="str">
        <f t="shared" si="312"/>
        <v/>
      </c>
      <c r="Y1408" s="837"/>
      <c r="Z1408" s="839"/>
      <c r="AA1408" s="838"/>
      <c r="AB1408" s="839"/>
    </row>
    <row r="1409" spans="1:28" ht="14.45">
      <c r="A1409" s="816"/>
      <c r="B1409" s="819" t="s">
        <v>3244</v>
      </c>
      <c r="C1409" s="819" t="s">
        <v>3245</v>
      </c>
      <c r="D1409" s="379" t="s">
        <v>336</v>
      </c>
      <c r="E1409" s="818" t="s">
        <v>418</v>
      </c>
      <c r="F1409" s="820">
        <v>0.69716446300000001</v>
      </c>
      <c r="G1409" s="821">
        <v>1.1948264280000001</v>
      </c>
      <c r="H1409" s="822">
        <v>156968343.36764401</v>
      </c>
      <c r="I1409" s="819">
        <v>0.01</v>
      </c>
      <c r="J1409" s="820">
        <v>-6.2631999999999998E-4</v>
      </c>
      <c r="K1409" s="819">
        <f t="shared" si="302"/>
        <v>618</v>
      </c>
      <c r="L1409" s="819">
        <f t="shared" si="303"/>
        <v>785</v>
      </c>
      <c r="M1409" s="819">
        <f t="shared" si="299"/>
        <v>618</v>
      </c>
      <c r="N1409" s="819">
        <f t="shared" si="300"/>
        <v>344</v>
      </c>
      <c r="O1409" s="819">
        <f t="shared" si="301"/>
        <v>1322</v>
      </c>
      <c r="P1409" s="819">
        <f t="shared" si="304"/>
        <v>780</v>
      </c>
      <c r="Q1409" s="819">
        <f t="shared" si="305"/>
        <v>362</v>
      </c>
      <c r="R1409" s="819">
        <f t="shared" si="306"/>
        <v>536</v>
      </c>
      <c r="S1409" s="819">
        <f t="shared" si="307"/>
        <v>318</v>
      </c>
      <c r="T1409" s="819">
        <f t="shared" si="308"/>
        <v>1300</v>
      </c>
      <c r="U1409" s="819">
        <f t="shared" si="309"/>
        <v>3296</v>
      </c>
      <c r="V1409" s="819">
        <f t="shared" si="310"/>
        <v>1335</v>
      </c>
      <c r="W1409" s="379">
        <f t="shared" si="311"/>
        <v>1335</v>
      </c>
      <c r="X1409" s="819" t="str">
        <f t="shared" si="312"/>
        <v/>
      </c>
      <c r="Y1409" s="837"/>
      <c r="Z1409" s="839"/>
      <c r="AA1409" s="838"/>
      <c r="AB1409" s="839"/>
    </row>
    <row r="1410" spans="1:28" ht="13.15">
      <c r="B1410" s="819" t="s">
        <v>3246</v>
      </c>
      <c r="C1410" s="819" t="s">
        <v>3247</v>
      </c>
      <c r="D1410" s="379" t="s">
        <v>336</v>
      </c>
      <c r="E1410" s="818" t="s">
        <v>441</v>
      </c>
      <c r="F1410" s="820">
        <v>0.81706730299999997</v>
      </c>
      <c r="G1410" s="821">
        <v>-108.30488250000001</v>
      </c>
      <c r="H1410" s="822">
        <v>600917324.99647999</v>
      </c>
      <c r="I1410" s="819"/>
      <c r="J1410" s="820">
        <v>7.31025E-6</v>
      </c>
      <c r="K1410" s="819">
        <f t="shared" si="302"/>
        <v>314</v>
      </c>
      <c r="L1410" s="819">
        <f t="shared" si="303"/>
        <v>1519</v>
      </c>
      <c r="M1410" s="819">
        <f t="shared" si="299"/>
        <v>314</v>
      </c>
      <c r="N1410" s="819">
        <f t="shared" si="300"/>
        <v>364</v>
      </c>
      <c r="O1410" s="819">
        <f t="shared" si="301"/>
        <v>433</v>
      </c>
      <c r="P1410" s="819">
        <f t="shared" si="304"/>
        <v>1084</v>
      </c>
      <c r="Q1410" s="819">
        <f t="shared" si="305"/>
        <v>1096</v>
      </c>
      <c r="R1410" s="819">
        <f t="shared" si="306"/>
        <v>232</v>
      </c>
      <c r="S1410" s="819">
        <f t="shared" si="307"/>
        <v>338</v>
      </c>
      <c r="T1410" s="819">
        <f t="shared" si="308"/>
        <v>411</v>
      </c>
      <c r="U1410" s="819">
        <f t="shared" si="309"/>
        <v>3161</v>
      </c>
      <c r="V1410" s="819">
        <f t="shared" si="310"/>
        <v>1143</v>
      </c>
      <c r="W1410" s="379">
        <f t="shared" si="311"/>
        <v>1143</v>
      </c>
      <c r="X1410" s="819" t="str">
        <f t="shared" si="312"/>
        <v/>
      </c>
      <c r="Y1410" s="837"/>
      <c r="Z1410" s="839"/>
      <c r="AA1410" s="838"/>
      <c r="AB1410" s="839"/>
    </row>
    <row r="1411" spans="1:28" ht="14.45">
      <c r="A1411" s="816"/>
      <c r="B1411" s="819" t="s">
        <v>3248</v>
      </c>
      <c r="C1411" s="819" t="s">
        <v>3249</v>
      </c>
      <c r="D1411" s="379" t="s">
        <v>336</v>
      </c>
      <c r="E1411" s="818" t="s">
        <v>441</v>
      </c>
      <c r="F1411" s="820">
        <v>1.2667407040000001</v>
      </c>
      <c r="G1411" s="821">
        <v>-110.85906060000001</v>
      </c>
      <c r="H1411" s="822">
        <v>76353409.1965646</v>
      </c>
      <c r="I1411" s="819">
        <v>0.01</v>
      </c>
      <c r="J1411" s="820">
        <v>1.1945199999999999E-4</v>
      </c>
      <c r="K1411" s="819">
        <f t="shared" si="302"/>
        <v>782</v>
      </c>
      <c r="L1411" s="819">
        <f t="shared" si="303"/>
        <v>1520</v>
      </c>
      <c r="M1411" s="819">
        <f t="shared" si="299"/>
        <v>782</v>
      </c>
      <c r="N1411" s="819">
        <f t="shared" si="300"/>
        <v>344</v>
      </c>
      <c r="O1411" s="819">
        <f t="shared" si="301"/>
        <v>288</v>
      </c>
      <c r="P1411" s="819">
        <f t="shared" si="304"/>
        <v>616</v>
      </c>
      <c r="Q1411" s="819">
        <f t="shared" si="305"/>
        <v>1097</v>
      </c>
      <c r="R1411" s="819">
        <f t="shared" si="306"/>
        <v>700</v>
      </c>
      <c r="S1411" s="819">
        <f t="shared" si="307"/>
        <v>318</v>
      </c>
      <c r="T1411" s="819">
        <f t="shared" si="308"/>
        <v>266</v>
      </c>
      <c r="U1411" s="819">
        <f t="shared" si="309"/>
        <v>2997</v>
      </c>
      <c r="V1411" s="819">
        <f t="shared" si="310"/>
        <v>922</v>
      </c>
      <c r="W1411" s="379">
        <f t="shared" si="311"/>
        <v>922</v>
      </c>
      <c r="X1411" s="819" t="str">
        <f t="shared" si="312"/>
        <v/>
      </c>
      <c r="Y1411" s="837"/>
      <c r="Z1411" s="839"/>
      <c r="AA1411" s="838"/>
      <c r="AB1411" s="839"/>
    </row>
    <row r="1412" spans="1:28" ht="13.15">
      <c r="B1412" s="819" t="s">
        <v>3250</v>
      </c>
      <c r="C1412" s="819" t="s">
        <v>3251</v>
      </c>
      <c r="D1412" s="379" t="s">
        <v>336</v>
      </c>
      <c r="E1412" s="818" t="s">
        <v>441</v>
      </c>
      <c r="F1412" s="820">
        <v>0.47188206399999999</v>
      </c>
      <c r="G1412" s="821">
        <v>0.44878644099999998</v>
      </c>
      <c r="H1412" s="822">
        <v>1043935773.15653</v>
      </c>
      <c r="I1412" s="819"/>
      <c r="J1412" s="820">
        <v>-5.9920200000000003E-5</v>
      </c>
      <c r="K1412" s="819">
        <f t="shared" si="302"/>
        <v>215</v>
      </c>
      <c r="L1412" s="819">
        <f t="shared" si="303"/>
        <v>937</v>
      </c>
      <c r="M1412" s="819">
        <f t="shared" ref="M1412:M1475" si="313">IFERROR(_xlfn.RANK.EQ(H1412,H$3:H$1787),"N/A")</f>
        <v>215</v>
      </c>
      <c r="N1412" s="819">
        <f t="shared" ref="N1412:N1475" si="314">IFERROR(_xlfn.RANK.EQ(I1412,I$3:I$1787),"N/A")</f>
        <v>364</v>
      </c>
      <c r="O1412" s="819">
        <f t="shared" ref="O1412:O1475" si="315">IFERROR(_xlfn.RANK.EQ(J1412,J$3:J$1787),"N/A")</f>
        <v>936</v>
      </c>
      <c r="P1412" s="819">
        <f t="shared" si="304"/>
        <v>1183</v>
      </c>
      <c r="Q1412" s="819">
        <f t="shared" si="305"/>
        <v>514</v>
      </c>
      <c r="R1412" s="819">
        <f t="shared" si="306"/>
        <v>133</v>
      </c>
      <c r="S1412" s="819">
        <f t="shared" si="307"/>
        <v>338</v>
      </c>
      <c r="T1412" s="819">
        <f t="shared" si="308"/>
        <v>914</v>
      </c>
      <c r="U1412" s="819">
        <f t="shared" si="309"/>
        <v>3082</v>
      </c>
      <c r="V1412" s="819">
        <f t="shared" si="310"/>
        <v>1033</v>
      </c>
      <c r="W1412" s="379">
        <f t="shared" si="311"/>
        <v>1033</v>
      </c>
      <c r="X1412" s="819" t="str">
        <f t="shared" si="312"/>
        <v/>
      </c>
      <c r="Y1412" s="837"/>
      <c r="Z1412" s="839"/>
      <c r="AA1412" s="838"/>
      <c r="AB1412" s="839"/>
    </row>
    <row r="1413" spans="1:28" ht="14.45">
      <c r="A1413" s="816"/>
      <c r="B1413" s="819" t="s">
        <v>3252</v>
      </c>
      <c r="C1413" s="819" t="s">
        <v>3253</v>
      </c>
      <c r="D1413" s="379" t="s">
        <v>336</v>
      </c>
      <c r="E1413" s="818" t="s">
        <v>441</v>
      </c>
      <c r="F1413" s="820">
        <v>0.40123979300000001</v>
      </c>
      <c r="G1413" s="821">
        <v>-3.3599160549999998</v>
      </c>
      <c r="H1413" s="822">
        <v>177732818.938577</v>
      </c>
      <c r="I1413" s="819"/>
      <c r="J1413" s="820">
        <v>3.2560700000000002E-5</v>
      </c>
      <c r="K1413" s="819">
        <f t="shared" ref="K1413:K1476" si="316">IFERROR(_xlfn.RANK.EQ(H1413,H$3:H$1787),"N/A")</f>
        <v>599</v>
      </c>
      <c r="L1413" s="819">
        <f t="shared" ref="L1413:L1476" si="317">IFERROR(_xlfn.RANK.EQ(G1413,G$3:G$1787),"N/A")</f>
        <v>1379</v>
      </c>
      <c r="M1413" s="819">
        <f t="shared" si="313"/>
        <v>599</v>
      </c>
      <c r="N1413" s="819">
        <f t="shared" si="314"/>
        <v>364</v>
      </c>
      <c r="O1413" s="819">
        <f t="shared" si="315"/>
        <v>374</v>
      </c>
      <c r="P1413" s="819">
        <f t="shared" ref="P1413:P1476" si="318">IFERROR(ABS(K$3-K1413),"N/A")</f>
        <v>799</v>
      </c>
      <c r="Q1413" s="819">
        <f t="shared" ref="Q1413:Q1476" si="319">IFERROR(ABS(L$3-L1413),"N/A")</f>
        <v>956</v>
      </c>
      <c r="R1413" s="819">
        <f t="shared" ref="R1413:R1476" si="320">IFERROR(ABS(M$3-M1413),"N/A")</f>
        <v>517</v>
      </c>
      <c r="S1413" s="819">
        <f t="shared" ref="S1413:S1476" si="321">IFERROR(ABS(N$3-N1413),"N/A")</f>
        <v>338</v>
      </c>
      <c r="T1413" s="819">
        <f t="shared" ref="T1413:T1476" si="322">IFERROR(ABS(O$3-O1413),"N/A")</f>
        <v>352</v>
      </c>
      <c r="U1413" s="819">
        <f t="shared" ref="U1413:U1476" si="323">SUM(P1413:T1413)</f>
        <v>2962</v>
      </c>
      <c r="V1413" s="819">
        <f t="shared" ref="V1413:V1476" si="324">_xlfn.RANK.EQ(U1413,$U$4:$U$1787,1)</f>
        <v>881</v>
      </c>
      <c r="W1413" s="379">
        <f t="shared" ref="W1413:W1476" si="325">IF(Y1413="Not suitable","-",V1413)</f>
        <v>881</v>
      </c>
      <c r="X1413" s="819" t="str">
        <f t="shared" si="312"/>
        <v/>
      </c>
      <c r="Y1413" s="837"/>
      <c r="Z1413" s="839"/>
      <c r="AA1413" s="838"/>
      <c r="AB1413" s="839"/>
    </row>
    <row r="1414" spans="1:28" ht="13.15">
      <c r="B1414" s="819" t="s">
        <v>3254</v>
      </c>
      <c r="C1414" s="819" t="s">
        <v>3255</v>
      </c>
      <c r="D1414" s="379" t="s">
        <v>336</v>
      </c>
      <c r="E1414" s="818" t="s">
        <v>425</v>
      </c>
      <c r="F1414" s="820">
        <v>1.31514245</v>
      </c>
      <c r="G1414" s="821">
        <v>7.5777550890000001</v>
      </c>
      <c r="H1414" s="822">
        <v>51313699.595041603</v>
      </c>
      <c r="I1414" s="819"/>
      <c r="J1414" s="820">
        <v>-3.5676200000000001E-6</v>
      </c>
      <c r="K1414" s="819">
        <f t="shared" si="316"/>
        <v>872</v>
      </c>
      <c r="L1414" s="819">
        <f t="shared" si="317"/>
        <v>270</v>
      </c>
      <c r="M1414" s="819">
        <f t="shared" si="313"/>
        <v>872</v>
      </c>
      <c r="N1414" s="819">
        <f t="shared" si="314"/>
        <v>364</v>
      </c>
      <c r="O1414" s="819">
        <f t="shared" si="315"/>
        <v>778</v>
      </c>
      <c r="P1414" s="819">
        <f t="shared" si="318"/>
        <v>526</v>
      </c>
      <c r="Q1414" s="819">
        <f t="shared" si="319"/>
        <v>153</v>
      </c>
      <c r="R1414" s="819">
        <f t="shared" si="320"/>
        <v>790</v>
      </c>
      <c r="S1414" s="819">
        <f t="shared" si="321"/>
        <v>338</v>
      </c>
      <c r="T1414" s="819">
        <f t="shared" si="322"/>
        <v>756</v>
      </c>
      <c r="U1414" s="819">
        <f t="shared" si="323"/>
        <v>2563</v>
      </c>
      <c r="V1414" s="819">
        <f t="shared" si="324"/>
        <v>270</v>
      </c>
      <c r="W1414" s="379">
        <f t="shared" si="325"/>
        <v>270</v>
      </c>
      <c r="X1414" s="819" t="str">
        <f t="shared" ref="X1414:X1477" si="326">IF(L1414="N/A","Y","")</f>
        <v/>
      </c>
      <c r="Y1414" s="837"/>
      <c r="Z1414" s="839"/>
      <c r="AA1414" s="838"/>
      <c r="AB1414" s="839"/>
    </row>
    <row r="1415" spans="1:28" ht="14.45">
      <c r="A1415" s="816"/>
      <c r="B1415" s="819" t="s">
        <v>3256</v>
      </c>
      <c r="C1415" s="819" t="s">
        <v>3257</v>
      </c>
      <c r="D1415" s="379" t="s">
        <v>336</v>
      </c>
      <c r="E1415" s="818" t="s">
        <v>460</v>
      </c>
      <c r="F1415" s="820">
        <v>0.30545366299999999</v>
      </c>
      <c r="G1415" s="821">
        <v>0.64685237299999998</v>
      </c>
      <c r="H1415" s="822">
        <v>13503980.1701924</v>
      </c>
      <c r="I1415" s="819"/>
      <c r="J1415" s="820">
        <v>-1.3842999999999999E-4</v>
      </c>
      <c r="K1415" s="819">
        <f t="shared" si="316"/>
        <v>1188</v>
      </c>
      <c r="L1415" s="819">
        <f t="shared" si="317"/>
        <v>891</v>
      </c>
      <c r="M1415" s="819">
        <f t="shared" si="313"/>
        <v>1188</v>
      </c>
      <c r="N1415" s="819">
        <f t="shared" si="314"/>
        <v>364</v>
      </c>
      <c r="O1415" s="819">
        <f t="shared" si="315"/>
        <v>1052</v>
      </c>
      <c r="P1415" s="819">
        <f t="shared" si="318"/>
        <v>210</v>
      </c>
      <c r="Q1415" s="819">
        <f t="shared" si="319"/>
        <v>468</v>
      </c>
      <c r="R1415" s="819">
        <f t="shared" si="320"/>
        <v>1106</v>
      </c>
      <c r="S1415" s="819">
        <f t="shared" si="321"/>
        <v>338</v>
      </c>
      <c r="T1415" s="819">
        <f t="shared" si="322"/>
        <v>1030</v>
      </c>
      <c r="U1415" s="819">
        <f t="shared" si="323"/>
        <v>3152</v>
      </c>
      <c r="V1415" s="819">
        <f t="shared" si="324"/>
        <v>1127</v>
      </c>
      <c r="W1415" s="379">
        <f t="shared" si="325"/>
        <v>1127</v>
      </c>
      <c r="X1415" s="819" t="str">
        <f t="shared" si="326"/>
        <v/>
      </c>
      <c r="Y1415" s="837"/>
      <c r="Z1415" s="839"/>
      <c r="AA1415" s="838"/>
      <c r="AB1415" s="839"/>
    </row>
    <row r="1416" spans="1:28" ht="13.15">
      <c r="B1416" s="819" t="s">
        <v>3258</v>
      </c>
      <c r="C1416" s="819" t="s">
        <v>3259</v>
      </c>
      <c r="D1416" s="379" t="s">
        <v>336</v>
      </c>
      <c r="E1416" s="818" t="s">
        <v>441</v>
      </c>
      <c r="F1416" s="820">
        <v>0.59558269900000005</v>
      </c>
      <c r="G1416" s="821">
        <v>0</v>
      </c>
      <c r="H1416" s="822">
        <v>456799520.44861299</v>
      </c>
      <c r="I1416" s="819"/>
      <c r="J1416" s="820">
        <v>-2.04604E-7</v>
      </c>
      <c r="K1416" s="819">
        <f t="shared" si="316"/>
        <v>374</v>
      </c>
      <c r="L1416" s="819">
        <f t="shared" si="317"/>
        <v>1084</v>
      </c>
      <c r="M1416" s="819">
        <f t="shared" si="313"/>
        <v>374</v>
      </c>
      <c r="N1416" s="819">
        <f t="shared" si="314"/>
        <v>364</v>
      </c>
      <c r="O1416" s="819">
        <f t="shared" si="315"/>
        <v>747</v>
      </c>
      <c r="P1416" s="819">
        <f t="shared" si="318"/>
        <v>1024</v>
      </c>
      <c r="Q1416" s="819">
        <f t="shared" si="319"/>
        <v>661</v>
      </c>
      <c r="R1416" s="819">
        <f t="shared" si="320"/>
        <v>292</v>
      </c>
      <c r="S1416" s="819">
        <f t="shared" si="321"/>
        <v>338</v>
      </c>
      <c r="T1416" s="819">
        <f t="shared" si="322"/>
        <v>725</v>
      </c>
      <c r="U1416" s="819">
        <f t="shared" si="323"/>
        <v>3040</v>
      </c>
      <c r="V1416" s="819">
        <f t="shared" si="324"/>
        <v>984</v>
      </c>
      <c r="W1416" s="379">
        <f t="shared" si="325"/>
        <v>984</v>
      </c>
      <c r="X1416" s="819" t="str">
        <f t="shared" si="326"/>
        <v/>
      </c>
      <c r="Y1416" s="837"/>
      <c r="Z1416" s="839"/>
      <c r="AA1416" s="838"/>
      <c r="AB1416" s="839"/>
    </row>
    <row r="1417" spans="1:28" ht="14.45">
      <c r="A1417" s="816"/>
      <c r="B1417" s="819" t="s">
        <v>3260</v>
      </c>
      <c r="C1417" s="819" t="s">
        <v>3261</v>
      </c>
      <c r="D1417" s="379" t="s">
        <v>336</v>
      </c>
      <c r="E1417" s="818" t="s">
        <v>1832</v>
      </c>
      <c r="F1417" s="820">
        <v>2.478930648</v>
      </c>
      <c r="G1417" s="821">
        <v>-12.43661045</v>
      </c>
      <c r="H1417" s="822">
        <v>2096887.15242221</v>
      </c>
      <c r="I1417" s="819"/>
      <c r="J1417" s="820">
        <v>1.4398300000000001E-4</v>
      </c>
      <c r="K1417" s="819">
        <f t="shared" si="316"/>
        <v>1489</v>
      </c>
      <c r="L1417" s="819">
        <f t="shared" si="317"/>
        <v>1465</v>
      </c>
      <c r="M1417" s="819">
        <f t="shared" si="313"/>
        <v>1489</v>
      </c>
      <c r="N1417" s="819">
        <f t="shared" si="314"/>
        <v>364</v>
      </c>
      <c r="O1417" s="819">
        <f t="shared" si="315"/>
        <v>276</v>
      </c>
      <c r="P1417" s="819">
        <f t="shared" si="318"/>
        <v>91</v>
      </c>
      <c r="Q1417" s="819">
        <f t="shared" si="319"/>
        <v>1042</v>
      </c>
      <c r="R1417" s="819">
        <f t="shared" si="320"/>
        <v>1407</v>
      </c>
      <c r="S1417" s="819">
        <f t="shared" si="321"/>
        <v>338</v>
      </c>
      <c r="T1417" s="819">
        <f t="shared" si="322"/>
        <v>254</v>
      </c>
      <c r="U1417" s="819">
        <f t="shared" si="323"/>
        <v>3132</v>
      </c>
      <c r="V1417" s="819">
        <f t="shared" si="324"/>
        <v>1102</v>
      </c>
      <c r="W1417" s="379">
        <f t="shared" si="325"/>
        <v>1102</v>
      </c>
      <c r="X1417" s="819" t="str">
        <f t="shared" si="326"/>
        <v/>
      </c>
      <c r="Y1417" s="837"/>
      <c r="Z1417" s="839"/>
      <c r="AA1417" s="838"/>
      <c r="AB1417" s="839"/>
    </row>
    <row r="1418" spans="1:28" ht="13.15">
      <c r="B1418" s="819" t="s">
        <v>3262</v>
      </c>
      <c r="C1418" s="819" t="s">
        <v>3263</v>
      </c>
      <c r="D1418" s="379" t="s">
        <v>336</v>
      </c>
      <c r="E1418" s="818" t="s">
        <v>545</v>
      </c>
      <c r="F1418" s="820">
        <v>1.621420581</v>
      </c>
      <c r="G1418" s="821">
        <v>7.771120882</v>
      </c>
      <c r="H1418" s="822">
        <v>14798522.773902301</v>
      </c>
      <c r="I1418" s="819"/>
      <c r="J1418" s="820">
        <v>-1.4182100000000001E-4</v>
      </c>
      <c r="K1418" s="819">
        <f t="shared" si="316"/>
        <v>1170</v>
      </c>
      <c r="L1418" s="819">
        <f t="shared" si="317"/>
        <v>262</v>
      </c>
      <c r="M1418" s="819">
        <f t="shared" si="313"/>
        <v>1170</v>
      </c>
      <c r="N1418" s="819">
        <f t="shared" si="314"/>
        <v>364</v>
      </c>
      <c r="O1418" s="819">
        <f t="shared" si="315"/>
        <v>1055</v>
      </c>
      <c r="P1418" s="819">
        <f t="shared" si="318"/>
        <v>228</v>
      </c>
      <c r="Q1418" s="819">
        <f t="shared" si="319"/>
        <v>161</v>
      </c>
      <c r="R1418" s="819">
        <f t="shared" si="320"/>
        <v>1088</v>
      </c>
      <c r="S1418" s="819">
        <f t="shared" si="321"/>
        <v>338</v>
      </c>
      <c r="T1418" s="819">
        <f t="shared" si="322"/>
        <v>1033</v>
      </c>
      <c r="U1418" s="819">
        <f t="shared" si="323"/>
        <v>2848</v>
      </c>
      <c r="V1418" s="819">
        <f t="shared" si="324"/>
        <v>717</v>
      </c>
      <c r="W1418" s="379">
        <f t="shared" si="325"/>
        <v>717</v>
      </c>
      <c r="X1418" s="819" t="str">
        <f t="shared" si="326"/>
        <v/>
      </c>
      <c r="Y1418" s="837"/>
      <c r="Z1418" s="839"/>
      <c r="AA1418" s="838"/>
      <c r="AB1418" s="839"/>
    </row>
    <row r="1419" spans="1:28" ht="14.45">
      <c r="A1419" s="816"/>
      <c r="B1419" s="819" t="s">
        <v>3264</v>
      </c>
      <c r="C1419" s="819" t="s">
        <v>3265</v>
      </c>
      <c r="D1419" s="379" t="s">
        <v>336</v>
      </c>
      <c r="E1419" s="818" t="s">
        <v>941</v>
      </c>
      <c r="F1419" s="820"/>
      <c r="G1419" s="821"/>
      <c r="H1419" s="822">
        <v>95928156.722151101</v>
      </c>
      <c r="I1419" s="819"/>
      <c r="J1419" s="820">
        <v>0</v>
      </c>
      <c r="K1419" s="819">
        <f t="shared" si="316"/>
        <v>732</v>
      </c>
      <c r="L1419" s="819">
        <f t="shared" si="317"/>
        <v>1084</v>
      </c>
      <c r="M1419" s="819">
        <f t="shared" si="313"/>
        <v>732</v>
      </c>
      <c r="N1419" s="819">
        <f t="shared" si="314"/>
        <v>364</v>
      </c>
      <c r="O1419" s="819">
        <f t="shared" si="315"/>
        <v>492</v>
      </c>
      <c r="P1419" s="819">
        <f t="shared" si="318"/>
        <v>666</v>
      </c>
      <c r="Q1419" s="819">
        <f t="shared" si="319"/>
        <v>661</v>
      </c>
      <c r="R1419" s="819">
        <f t="shared" si="320"/>
        <v>650</v>
      </c>
      <c r="S1419" s="819">
        <f t="shared" si="321"/>
        <v>338</v>
      </c>
      <c r="T1419" s="819">
        <f t="shared" si="322"/>
        <v>470</v>
      </c>
      <c r="U1419" s="819">
        <f t="shared" si="323"/>
        <v>2785</v>
      </c>
      <c r="V1419" s="819">
        <f t="shared" si="324"/>
        <v>463</v>
      </c>
      <c r="W1419" s="379">
        <f t="shared" si="325"/>
        <v>463</v>
      </c>
      <c r="X1419" s="819" t="str">
        <f t="shared" si="326"/>
        <v/>
      </c>
      <c r="Y1419" s="837"/>
      <c r="Z1419" s="839"/>
      <c r="AA1419" s="838"/>
      <c r="AB1419" s="839"/>
    </row>
    <row r="1420" spans="1:28" ht="13.15">
      <c r="B1420" s="819" t="s">
        <v>3266</v>
      </c>
      <c r="C1420" s="819" t="s">
        <v>3267</v>
      </c>
      <c r="D1420" s="379" t="s">
        <v>336</v>
      </c>
      <c r="E1420" s="818" t="s">
        <v>1870</v>
      </c>
      <c r="F1420" s="820">
        <v>2.8408441120000001</v>
      </c>
      <c r="G1420" s="821">
        <v>0.28312994200000002</v>
      </c>
      <c r="H1420" s="822">
        <v>984187.84509399906</v>
      </c>
      <c r="I1420" s="819"/>
      <c r="J1420" s="820">
        <v>-1.05445E-5</v>
      </c>
      <c r="K1420" s="819">
        <f t="shared" si="316"/>
        <v>1557</v>
      </c>
      <c r="L1420" s="819">
        <f t="shared" si="317"/>
        <v>962</v>
      </c>
      <c r="M1420" s="819">
        <f t="shared" si="313"/>
        <v>1557</v>
      </c>
      <c r="N1420" s="819">
        <f t="shared" si="314"/>
        <v>364</v>
      </c>
      <c r="O1420" s="819">
        <f t="shared" si="315"/>
        <v>806</v>
      </c>
      <c r="P1420" s="819">
        <f t="shared" si="318"/>
        <v>159</v>
      </c>
      <c r="Q1420" s="819">
        <f t="shared" si="319"/>
        <v>539</v>
      </c>
      <c r="R1420" s="819">
        <f t="shared" si="320"/>
        <v>1475</v>
      </c>
      <c r="S1420" s="819">
        <f t="shared" si="321"/>
        <v>338</v>
      </c>
      <c r="T1420" s="819">
        <f t="shared" si="322"/>
        <v>784</v>
      </c>
      <c r="U1420" s="819">
        <f t="shared" si="323"/>
        <v>3295</v>
      </c>
      <c r="V1420" s="819">
        <f t="shared" si="324"/>
        <v>1332</v>
      </c>
      <c r="W1420" s="379">
        <f t="shared" si="325"/>
        <v>1332</v>
      </c>
      <c r="X1420" s="819" t="str">
        <f t="shared" si="326"/>
        <v/>
      </c>
      <c r="Y1420" s="837"/>
      <c r="Z1420" s="839"/>
      <c r="AA1420" s="838"/>
      <c r="AB1420" s="839"/>
    </row>
    <row r="1421" spans="1:28" ht="14.45">
      <c r="A1421" s="816"/>
      <c r="B1421" s="819" t="s">
        <v>3268</v>
      </c>
      <c r="C1421" s="819" t="s">
        <v>3269</v>
      </c>
      <c r="D1421" s="379" t="s">
        <v>336</v>
      </c>
      <c r="E1421" s="818" t="s">
        <v>460</v>
      </c>
      <c r="F1421" s="820">
        <v>0.24982538000000001</v>
      </c>
      <c r="G1421" s="821">
        <v>0</v>
      </c>
      <c r="H1421" s="822">
        <v>4078773.89584707</v>
      </c>
      <c r="I1421" s="819"/>
      <c r="J1421" s="820">
        <v>6.7421899999999999E-5</v>
      </c>
      <c r="K1421" s="819">
        <f t="shared" si="316"/>
        <v>1400</v>
      </c>
      <c r="L1421" s="819">
        <f t="shared" si="317"/>
        <v>1084</v>
      </c>
      <c r="M1421" s="819">
        <f t="shared" si="313"/>
        <v>1400</v>
      </c>
      <c r="N1421" s="819">
        <f t="shared" si="314"/>
        <v>364</v>
      </c>
      <c r="O1421" s="819">
        <f t="shared" si="315"/>
        <v>322</v>
      </c>
      <c r="P1421" s="819">
        <f t="shared" si="318"/>
        <v>2</v>
      </c>
      <c r="Q1421" s="819">
        <f t="shared" si="319"/>
        <v>661</v>
      </c>
      <c r="R1421" s="819">
        <f t="shared" si="320"/>
        <v>1318</v>
      </c>
      <c r="S1421" s="819">
        <f t="shared" si="321"/>
        <v>338</v>
      </c>
      <c r="T1421" s="819">
        <f t="shared" si="322"/>
        <v>300</v>
      </c>
      <c r="U1421" s="819">
        <f t="shared" si="323"/>
        <v>2619</v>
      </c>
      <c r="V1421" s="819">
        <f t="shared" si="324"/>
        <v>295</v>
      </c>
      <c r="W1421" s="379">
        <f t="shared" si="325"/>
        <v>295</v>
      </c>
      <c r="X1421" s="819" t="str">
        <f t="shared" si="326"/>
        <v/>
      </c>
      <c r="Y1421" s="837"/>
      <c r="Z1421" s="839"/>
      <c r="AA1421" s="838"/>
      <c r="AB1421" s="839"/>
    </row>
    <row r="1422" spans="1:28" ht="13.15">
      <c r="B1422" s="819" t="s">
        <v>3270</v>
      </c>
      <c r="C1422" s="819" t="s">
        <v>3271</v>
      </c>
      <c r="D1422" s="379" t="s">
        <v>336</v>
      </c>
      <c r="E1422" s="818" t="s">
        <v>941</v>
      </c>
      <c r="F1422" s="820">
        <v>1.983562332</v>
      </c>
      <c r="G1422" s="821">
        <v>61.993480300000002</v>
      </c>
      <c r="H1422" s="822">
        <v>54798959.100054897</v>
      </c>
      <c r="I1422" s="819">
        <v>0.41</v>
      </c>
      <c r="J1422" s="820">
        <v>-2.1861800000000001E-5</v>
      </c>
      <c r="K1422" s="819">
        <f t="shared" si="316"/>
        <v>854</v>
      </c>
      <c r="L1422" s="819">
        <f t="shared" si="317"/>
        <v>25</v>
      </c>
      <c r="M1422" s="819">
        <f t="shared" si="313"/>
        <v>854</v>
      </c>
      <c r="N1422" s="819">
        <f t="shared" si="314"/>
        <v>174</v>
      </c>
      <c r="O1422" s="819">
        <f t="shared" si="315"/>
        <v>856</v>
      </c>
      <c r="P1422" s="819">
        <f t="shared" si="318"/>
        <v>544</v>
      </c>
      <c r="Q1422" s="819">
        <f t="shared" si="319"/>
        <v>398</v>
      </c>
      <c r="R1422" s="819">
        <f t="shared" si="320"/>
        <v>772</v>
      </c>
      <c r="S1422" s="819">
        <f t="shared" si="321"/>
        <v>148</v>
      </c>
      <c r="T1422" s="819">
        <f t="shared" si="322"/>
        <v>834</v>
      </c>
      <c r="U1422" s="819">
        <f t="shared" si="323"/>
        <v>2696</v>
      </c>
      <c r="V1422" s="819">
        <f t="shared" si="324"/>
        <v>351</v>
      </c>
      <c r="W1422" s="379">
        <f t="shared" si="325"/>
        <v>351</v>
      </c>
      <c r="X1422" s="819" t="str">
        <f t="shared" si="326"/>
        <v/>
      </c>
      <c r="Y1422" s="837"/>
      <c r="Z1422" s="839"/>
      <c r="AA1422" s="838"/>
      <c r="AB1422" s="839"/>
    </row>
    <row r="1423" spans="1:28" ht="14.45">
      <c r="A1423" s="816"/>
      <c r="B1423" s="819" t="s">
        <v>3272</v>
      </c>
      <c r="C1423" s="819" t="s">
        <v>3273</v>
      </c>
      <c r="D1423" s="379" t="s">
        <v>336</v>
      </c>
      <c r="E1423" s="818" t="s">
        <v>352</v>
      </c>
      <c r="F1423" s="820">
        <v>6.4203368650000003</v>
      </c>
      <c r="G1423" s="821">
        <v>0.60463845199999999</v>
      </c>
      <c r="H1423" s="822">
        <v>205531315.927564</v>
      </c>
      <c r="I1423" s="819">
        <v>0.04</v>
      </c>
      <c r="J1423" s="820">
        <v>-1.0133329999999999E-3</v>
      </c>
      <c r="K1423" s="819">
        <f t="shared" si="316"/>
        <v>562</v>
      </c>
      <c r="L1423" s="819">
        <f t="shared" si="317"/>
        <v>900</v>
      </c>
      <c r="M1423" s="819">
        <f t="shared" si="313"/>
        <v>562</v>
      </c>
      <c r="N1423" s="819">
        <f t="shared" si="314"/>
        <v>309</v>
      </c>
      <c r="O1423" s="819">
        <f t="shared" si="315"/>
        <v>1400</v>
      </c>
      <c r="P1423" s="819">
        <f t="shared" si="318"/>
        <v>836</v>
      </c>
      <c r="Q1423" s="819">
        <f t="shared" si="319"/>
        <v>477</v>
      </c>
      <c r="R1423" s="819">
        <f t="shared" si="320"/>
        <v>480</v>
      </c>
      <c r="S1423" s="819">
        <f t="shared" si="321"/>
        <v>283</v>
      </c>
      <c r="T1423" s="819">
        <f t="shared" si="322"/>
        <v>1378</v>
      </c>
      <c r="U1423" s="819">
        <f t="shared" si="323"/>
        <v>3454</v>
      </c>
      <c r="V1423" s="819">
        <f t="shared" si="324"/>
        <v>1511</v>
      </c>
      <c r="W1423" s="379">
        <f t="shared" si="325"/>
        <v>1511</v>
      </c>
      <c r="X1423" s="819" t="str">
        <f t="shared" si="326"/>
        <v/>
      </c>
      <c r="Y1423" s="837"/>
      <c r="Z1423" s="839"/>
      <c r="AA1423" s="838"/>
      <c r="AB1423" s="839"/>
    </row>
    <row r="1424" spans="1:28" ht="13.15">
      <c r="B1424" s="819" t="s">
        <v>3274</v>
      </c>
      <c r="C1424" s="819" t="s">
        <v>3275</v>
      </c>
      <c r="D1424" s="379" t="s">
        <v>336</v>
      </c>
      <c r="E1424" s="818" t="s">
        <v>728</v>
      </c>
      <c r="F1424" s="820">
        <v>2.6999239679999998</v>
      </c>
      <c r="G1424" s="821">
        <v>88.642326560000001</v>
      </c>
      <c r="H1424" s="822">
        <v>89316328.664018393</v>
      </c>
      <c r="I1424" s="819"/>
      <c r="J1424" s="820">
        <v>-1.4166999999999999E-6</v>
      </c>
      <c r="K1424" s="819">
        <f t="shared" si="316"/>
        <v>747</v>
      </c>
      <c r="L1424" s="819">
        <f t="shared" si="317"/>
        <v>18</v>
      </c>
      <c r="M1424" s="819">
        <f t="shared" si="313"/>
        <v>747</v>
      </c>
      <c r="N1424" s="819">
        <f t="shared" si="314"/>
        <v>364</v>
      </c>
      <c r="O1424" s="819">
        <f t="shared" si="315"/>
        <v>758</v>
      </c>
      <c r="P1424" s="819">
        <f t="shared" si="318"/>
        <v>651</v>
      </c>
      <c r="Q1424" s="819">
        <f t="shared" si="319"/>
        <v>405</v>
      </c>
      <c r="R1424" s="819">
        <f t="shared" si="320"/>
        <v>665</v>
      </c>
      <c r="S1424" s="819">
        <f t="shared" si="321"/>
        <v>338</v>
      </c>
      <c r="T1424" s="819">
        <f t="shared" si="322"/>
        <v>736</v>
      </c>
      <c r="U1424" s="819">
        <f t="shared" si="323"/>
        <v>2795</v>
      </c>
      <c r="V1424" s="819">
        <f t="shared" si="324"/>
        <v>619</v>
      </c>
      <c r="W1424" s="379">
        <f t="shared" si="325"/>
        <v>619</v>
      </c>
      <c r="X1424" s="819" t="str">
        <f t="shared" si="326"/>
        <v/>
      </c>
      <c r="Y1424" s="837"/>
      <c r="Z1424" s="839"/>
      <c r="AA1424" s="838"/>
      <c r="AB1424" s="839"/>
    </row>
    <row r="1425" spans="1:28" ht="14.45">
      <c r="A1425" s="816"/>
      <c r="B1425" s="819" t="s">
        <v>3276</v>
      </c>
      <c r="C1425" s="819" t="s">
        <v>3277</v>
      </c>
      <c r="D1425" s="379" t="s">
        <v>336</v>
      </c>
      <c r="E1425" s="818" t="s">
        <v>1832</v>
      </c>
      <c r="F1425" s="820">
        <v>2.7568128500000002</v>
      </c>
      <c r="G1425" s="821">
        <v>13.31175243</v>
      </c>
      <c r="H1425" s="822">
        <v>8101614.8089799099</v>
      </c>
      <c r="I1425" s="819"/>
      <c r="J1425" s="820">
        <v>-6.48923E-6</v>
      </c>
      <c r="K1425" s="819">
        <f t="shared" si="316"/>
        <v>1295</v>
      </c>
      <c r="L1425" s="819">
        <f t="shared" si="317"/>
        <v>146</v>
      </c>
      <c r="M1425" s="819">
        <f t="shared" si="313"/>
        <v>1295</v>
      </c>
      <c r="N1425" s="819">
        <f t="shared" si="314"/>
        <v>364</v>
      </c>
      <c r="O1425" s="819">
        <f t="shared" si="315"/>
        <v>787</v>
      </c>
      <c r="P1425" s="819">
        <f t="shared" si="318"/>
        <v>103</v>
      </c>
      <c r="Q1425" s="819">
        <f t="shared" si="319"/>
        <v>277</v>
      </c>
      <c r="R1425" s="819">
        <f t="shared" si="320"/>
        <v>1213</v>
      </c>
      <c r="S1425" s="819">
        <f t="shared" si="321"/>
        <v>338</v>
      </c>
      <c r="T1425" s="819">
        <f t="shared" si="322"/>
        <v>765</v>
      </c>
      <c r="U1425" s="819">
        <f t="shared" si="323"/>
        <v>2696</v>
      </c>
      <c r="V1425" s="819">
        <f t="shared" si="324"/>
        <v>351</v>
      </c>
      <c r="W1425" s="379">
        <f t="shared" si="325"/>
        <v>351</v>
      </c>
      <c r="X1425" s="819" t="str">
        <f t="shared" si="326"/>
        <v/>
      </c>
      <c r="Y1425" s="837"/>
      <c r="Z1425" s="839"/>
      <c r="AA1425" s="838"/>
      <c r="AB1425" s="839"/>
    </row>
    <row r="1426" spans="1:28" ht="13.15">
      <c r="B1426" s="819" t="s">
        <v>3278</v>
      </c>
      <c r="C1426" s="819" t="s">
        <v>3279</v>
      </c>
      <c r="D1426" s="379" t="s">
        <v>336</v>
      </c>
      <c r="E1426" s="818" t="s">
        <v>460</v>
      </c>
      <c r="F1426" s="820">
        <v>2.5874739619999998</v>
      </c>
      <c r="G1426" s="821">
        <v>2.2356002269999999</v>
      </c>
      <c r="H1426" s="822">
        <v>30351685.593575802</v>
      </c>
      <c r="I1426" s="819"/>
      <c r="J1426" s="820">
        <v>-1.0077999999999999E-4</v>
      </c>
      <c r="K1426" s="819">
        <f t="shared" si="316"/>
        <v>1000</v>
      </c>
      <c r="L1426" s="819">
        <f t="shared" si="317"/>
        <v>641</v>
      </c>
      <c r="M1426" s="819">
        <f t="shared" si="313"/>
        <v>1000</v>
      </c>
      <c r="N1426" s="819">
        <f t="shared" si="314"/>
        <v>364</v>
      </c>
      <c r="O1426" s="819">
        <f t="shared" si="315"/>
        <v>1009</v>
      </c>
      <c r="P1426" s="819">
        <f t="shared" si="318"/>
        <v>398</v>
      </c>
      <c r="Q1426" s="819">
        <f t="shared" si="319"/>
        <v>218</v>
      </c>
      <c r="R1426" s="819">
        <f t="shared" si="320"/>
        <v>918</v>
      </c>
      <c r="S1426" s="819">
        <f t="shared" si="321"/>
        <v>338</v>
      </c>
      <c r="T1426" s="819">
        <f t="shared" si="322"/>
        <v>987</v>
      </c>
      <c r="U1426" s="819">
        <f t="shared" si="323"/>
        <v>2859</v>
      </c>
      <c r="V1426" s="819">
        <f t="shared" si="324"/>
        <v>740</v>
      </c>
      <c r="W1426" s="379">
        <f t="shared" si="325"/>
        <v>740</v>
      </c>
      <c r="X1426" s="819" t="str">
        <f t="shared" si="326"/>
        <v/>
      </c>
      <c r="Y1426" s="837"/>
      <c r="Z1426" s="839"/>
      <c r="AA1426" s="838"/>
      <c r="AB1426" s="839"/>
    </row>
    <row r="1427" spans="1:28" ht="14.45">
      <c r="A1427" s="816"/>
      <c r="B1427" s="819" t="s">
        <v>3280</v>
      </c>
      <c r="C1427" s="819" t="s">
        <v>3281</v>
      </c>
      <c r="D1427" s="379" t="s">
        <v>336</v>
      </c>
      <c r="E1427" s="818" t="s">
        <v>1832</v>
      </c>
      <c r="F1427" s="820"/>
      <c r="G1427" s="821"/>
      <c r="H1427" s="822">
        <v>63729421.031902298</v>
      </c>
      <c r="I1427" s="819"/>
      <c r="J1427" s="820">
        <v>0</v>
      </c>
      <c r="K1427" s="819">
        <f t="shared" si="316"/>
        <v>827</v>
      </c>
      <c r="L1427" s="819">
        <f t="shared" si="317"/>
        <v>1084</v>
      </c>
      <c r="M1427" s="819">
        <f t="shared" si="313"/>
        <v>827</v>
      </c>
      <c r="N1427" s="819">
        <f t="shared" si="314"/>
        <v>364</v>
      </c>
      <c r="O1427" s="819">
        <f t="shared" si="315"/>
        <v>492</v>
      </c>
      <c r="P1427" s="819">
        <f t="shared" si="318"/>
        <v>571</v>
      </c>
      <c r="Q1427" s="819">
        <f t="shared" si="319"/>
        <v>661</v>
      </c>
      <c r="R1427" s="819">
        <f t="shared" si="320"/>
        <v>745</v>
      </c>
      <c r="S1427" s="819">
        <f t="shared" si="321"/>
        <v>338</v>
      </c>
      <c r="T1427" s="819">
        <f t="shared" si="322"/>
        <v>470</v>
      </c>
      <c r="U1427" s="819">
        <f t="shared" si="323"/>
        <v>2785</v>
      </c>
      <c r="V1427" s="819">
        <f t="shared" si="324"/>
        <v>463</v>
      </c>
      <c r="W1427" s="379">
        <f t="shared" si="325"/>
        <v>463</v>
      </c>
      <c r="X1427" s="819" t="str">
        <f t="shared" si="326"/>
        <v/>
      </c>
      <c r="Y1427" s="837"/>
      <c r="Z1427" s="839"/>
      <c r="AA1427" s="838"/>
      <c r="AB1427" s="839"/>
    </row>
    <row r="1428" spans="1:28" ht="13.15">
      <c r="B1428" s="819" t="s">
        <v>3282</v>
      </c>
      <c r="C1428" s="819" t="s">
        <v>3283</v>
      </c>
      <c r="D1428" s="379" t="s">
        <v>336</v>
      </c>
      <c r="E1428" s="818" t="s">
        <v>460</v>
      </c>
      <c r="F1428" s="820">
        <v>3.7912562890000001</v>
      </c>
      <c r="G1428" s="821">
        <v>3.92495182</v>
      </c>
      <c r="H1428" s="822"/>
      <c r="I1428" s="819">
        <v>5.56</v>
      </c>
      <c r="J1428" s="820">
        <v>-1.6312897E-2</v>
      </c>
      <c r="K1428" s="819" t="str">
        <f t="shared" si="316"/>
        <v>N/A</v>
      </c>
      <c r="L1428" s="819">
        <f t="shared" si="317"/>
        <v>456</v>
      </c>
      <c r="M1428" s="819" t="str">
        <f t="shared" si="313"/>
        <v>N/A</v>
      </c>
      <c r="N1428" s="819">
        <f t="shared" si="314"/>
        <v>43</v>
      </c>
      <c r="O1428" s="819">
        <f t="shared" si="315"/>
        <v>1681</v>
      </c>
      <c r="P1428" s="819" t="str">
        <f t="shared" si="318"/>
        <v>N/A</v>
      </c>
      <c r="Q1428" s="819">
        <f t="shared" si="319"/>
        <v>33</v>
      </c>
      <c r="R1428" s="819" t="str">
        <f t="shared" si="320"/>
        <v>N/A</v>
      </c>
      <c r="S1428" s="819">
        <f t="shared" si="321"/>
        <v>17</v>
      </c>
      <c r="T1428" s="819">
        <f t="shared" si="322"/>
        <v>1659</v>
      </c>
      <c r="U1428" s="819">
        <f t="shared" si="323"/>
        <v>1709</v>
      </c>
      <c r="V1428" s="819">
        <f t="shared" si="324"/>
        <v>94</v>
      </c>
      <c r="W1428" s="379">
        <f t="shared" si="325"/>
        <v>94</v>
      </c>
      <c r="X1428" s="819" t="str">
        <f t="shared" si="326"/>
        <v/>
      </c>
      <c r="Y1428" s="837"/>
      <c r="Z1428" s="839"/>
      <c r="AA1428" s="838"/>
      <c r="AB1428" s="839"/>
    </row>
    <row r="1429" spans="1:28" ht="14.45">
      <c r="A1429" s="816"/>
      <c r="B1429" s="819" t="s">
        <v>3284</v>
      </c>
      <c r="C1429" s="819" t="s">
        <v>3285</v>
      </c>
      <c r="D1429" s="379" t="s">
        <v>336</v>
      </c>
      <c r="E1429" s="818" t="s">
        <v>337</v>
      </c>
      <c r="F1429" s="820">
        <v>0.146058929</v>
      </c>
      <c r="G1429" s="821">
        <v>0.54949448300000003</v>
      </c>
      <c r="H1429" s="822">
        <v>12198153454.08</v>
      </c>
      <c r="I1429" s="819"/>
      <c r="J1429" s="820">
        <v>-4.9788100000000004E-4</v>
      </c>
      <c r="K1429" s="819">
        <f t="shared" si="316"/>
        <v>31</v>
      </c>
      <c r="L1429" s="819">
        <f t="shared" si="317"/>
        <v>912</v>
      </c>
      <c r="M1429" s="819">
        <f t="shared" si="313"/>
        <v>31</v>
      </c>
      <c r="N1429" s="819">
        <f t="shared" si="314"/>
        <v>364</v>
      </c>
      <c r="O1429" s="819">
        <f t="shared" si="315"/>
        <v>1270</v>
      </c>
      <c r="P1429" s="819">
        <f t="shared" si="318"/>
        <v>1367</v>
      </c>
      <c r="Q1429" s="819">
        <f t="shared" si="319"/>
        <v>489</v>
      </c>
      <c r="R1429" s="819">
        <f t="shared" si="320"/>
        <v>51</v>
      </c>
      <c r="S1429" s="819">
        <f t="shared" si="321"/>
        <v>338</v>
      </c>
      <c r="T1429" s="819">
        <f t="shared" si="322"/>
        <v>1248</v>
      </c>
      <c r="U1429" s="819">
        <f t="shared" si="323"/>
        <v>3493</v>
      </c>
      <c r="V1429" s="819">
        <f t="shared" si="324"/>
        <v>1548</v>
      </c>
      <c r="W1429" s="379">
        <f t="shared" si="325"/>
        <v>1548</v>
      </c>
      <c r="X1429" s="819" t="str">
        <f t="shared" si="326"/>
        <v/>
      </c>
      <c r="Y1429" s="837"/>
      <c r="Z1429" s="839"/>
      <c r="AA1429" s="838"/>
      <c r="AB1429" s="839"/>
    </row>
    <row r="1430" spans="1:28" ht="13.15">
      <c r="B1430" s="819" t="s">
        <v>3286</v>
      </c>
      <c r="C1430" s="819" t="s">
        <v>3287</v>
      </c>
      <c r="D1430" s="379" t="s">
        <v>336</v>
      </c>
      <c r="E1430" s="818" t="s">
        <v>441</v>
      </c>
      <c r="F1430" s="820">
        <v>2.2169328579999998</v>
      </c>
      <c r="G1430" s="821">
        <v>7.6733067730000002</v>
      </c>
      <c r="H1430" s="822">
        <v>792315028.62357903</v>
      </c>
      <c r="I1430" s="819"/>
      <c r="J1430" s="820">
        <v>-1.12812E-5</v>
      </c>
      <c r="K1430" s="819">
        <f t="shared" si="316"/>
        <v>256</v>
      </c>
      <c r="L1430" s="819">
        <f t="shared" si="317"/>
        <v>265</v>
      </c>
      <c r="M1430" s="819">
        <f t="shared" si="313"/>
        <v>256</v>
      </c>
      <c r="N1430" s="819">
        <f t="shared" si="314"/>
        <v>364</v>
      </c>
      <c r="O1430" s="819">
        <f t="shared" si="315"/>
        <v>812</v>
      </c>
      <c r="P1430" s="819">
        <f t="shared" si="318"/>
        <v>1142</v>
      </c>
      <c r="Q1430" s="819">
        <f t="shared" si="319"/>
        <v>158</v>
      </c>
      <c r="R1430" s="819">
        <f t="shared" si="320"/>
        <v>174</v>
      </c>
      <c r="S1430" s="819">
        <f t="shared" si="321"/>
        <v>338</v>
      </c>
      <c r="T1430" s="819">
        <f t="shared" si="322"/>
        <v>790</v>
      </c>
      <c r="U1430" s="819">
        <f t="shared" si="323"/>
        <v>2602</v>
      </c>
      <c r="V1430" s="819">
        <f t="shared" si="324"/>
        <v>285</v>
      </c>
      <c r="W1430" s="379">
        <f t="shared" si="325"/>
        <v>285</v>
      </c>
      <c r="X1430" s="819" t="str">
        <f t="shared" si="326"/>
        <v/>
      </c>
      <c r="Y1430" s="837"/>
      <c r="Z1430" s="839"/>
      <c r="AA1430" s="838"/>
      <c r="AB1430" s="839"/>
    </row>
    <row r="1431" spans="1:28" ht="14.45">
      <c r="A1431" s="816"/>
      <c r="B1431" s="819" t="s">
        <v>3288</v>
      </c>
      <c r="C1431" s="819" t="s">
        <v>3289</v>
      </c>
      <c r="D1431" s="379" t="s">
        <v>336</v>
      </c>
      <c r="E1431" s="818" t="s">
        <v>460</v>
      </c>
      <c r="F1431" s="820">
        <v>3.4262522579999999</v>
      </c>
      <c r="G1431" s="821">
        <v>0.64015430799999995</v>
      </c>
      <c r="H1431" s="822">
        <v>39606879.606879599</v>
      </c>
      <c r="I1431" s="819"/>
      <c r="J1431" s="820">
        <v>-2.1917400000000001E-4</v>
      </c>
      <c r="K1431" s="819">
        <f t="shared" si="316"/>
        <v>931</v>
      </c>
      <c r="L1431" s="819">
        <f t="shared" si="317"/>
        <v>892</v>
      </c>
      <c r="M1431" s="819">
        <f t="shared" si="313"/>
        <v>931</v>
      </c>
      <c r="N1431" s="819">
        <f t="shared" si="314"/>
        <v>364</v>
      </c>
      <c r="O1431" s="819">
        <f t="shared" si="315"/>
        <v>1123</v>
      </c>
      <c r="P1431" s="819">
        <f t="shared" si="318"/>
        <v>467</v>
      </c>
      <c r="Q1431" s="819">
        <f t="shared" si="319"/>
        <v>469</v>
      </c>
      <c r="R1431" s="819">
        <f t="shared" si="320"/>
        <v>849</v>
      </c>
      <c r="S1431" s="819">
        <f t="shared" si="321"/>
        <v>338</v>
      </c>
      <c r="T1431" s="819">
        <f t="shared" si="322"/>
        <v>1101</v>
      </c>
      <c r="U1431" s="819">
        <f t="shared" si="323"/>
        <v>3224</v>
      </c>
      <c r="V1431" s="819">
        <f t="shared" si="324"/>
        <v>1233</v>
      </c>
      <c r="W1431" s="379">
        <f t="shared" si="325"/>
        <v>1233</v>
      </c>
      <c r="X1431" s="819" t="str">
        <f t="shared" si="326"/>
        <v/>
      </c>
      <c r="Y1431" s="837"/>
      <c r="Z1431" s="839"/>
      <c r="AA1431" s="838"/>
      <c r="AB1431" s="839"/>
    </row>
    <row r="1432" spans="1:28" ht="13.15">
      <c r="B1432" s="819" t="s">
        <v>3290</v>
      </c>
      <c r="C1432" s="819" t="s">
        <v>3291</v>
      </c>
      <c r="D1432" s="379" t="s">
        <v>336</v>
      </c>
      <c r="E1432" s="818" t="s">
        <v>1832</v>
      </c>
      <c r="F1432" s="820">
        <v>1.1679001099999999</v>
      </c>
      <c r="G1432" s="821">
        <v>1.0237825009999999</v>
      </c>
      <c r="H1432" s="822">
        <v>71142181.961402103</v>
      </c>
      <c r="I1432" s="819">
        <v>0.28999999999999998</v>
      </c>
      <c r="J1432" s="820">
        <v>-1.789662E-3</v>
      </c>
      <c r="K1432" s="819">
        <f t="shared" si="316"/>
        <v>792</v>
      </c>
      <c r="L1432" s="819">
        <f t="shared" si="317"/>
        <v>805</v>
      </c>
      <c r="M1432" s="819">
        <f t="shared" si="313"/>
        <v>792</v>
      </c>
      <c r="N1432" s="819">
        <f t="shared" si="314"/>
        <v>190</v>
      </c>
      <c r="O1432" s="819">
        <f t="shared" si="315"/>
        <v>1482</v>
      </c>
      <c r="P1432" s="819">
        <f t="shared" si="318"/>
        <v>606</v>
      </c>
      <c r="Q1432" s="819">
        <f t="shared" si="319"/>
        <v>382</v>
      </c>
      <c r="R1432" s="819">
        <f t="shared" si="320"/>
        <v>710</v>
      </c>
      <c r="S1432" s="819">
        <f t="shared" si="321"/>
        <v>164</v>
      </c>
      <c r="T1432" s="819">
        <f t="shared" si="322"/>
        <v>1460</v>
      </c>
      <c r="U1432" s="819">
        <f t="shared" si="323"/>
        <v>3322</v>
      </c>
      <c r="V1432" s="819">
        <f t="shared" si="324"/>
        <v>1372</v>
      </c>
      <c r="W1432" s="379">
        <f t="shared" si="325"/>
        <v>1372</v>
      </c>
      <c r="X1432" s="819" t="str">
        <f t="shared" si="326"/>
        <v/>
      </c>
      <c r="Y1432" s="837"/>
      <c r="Z1432" s="839"/>
      <c r="AA1432" s="838"/>
      <c r="AB1432" s="839"/>
    </row>
    <row r="1433" spans="1:28" ht="14.45">
      <c r="A1433" s="816"/>
      <c r="B1433" s="819" t="s">
        <v>3292</v>
      </c>
      <c r="C1433" s="819" t="s">
        <v>3293</v>
      </c>
      <c r="D1433" s="379" t="s">
        <v>336</v>
      </c>
      <c r="E1433" s="818" t="s">
        <v>1832</v>
      </c>
      <c r="F1433" s="820">
        <v>0.31574596900000002</v>
      </c>
      <c r="G1433" s="821">
        <v>0.47766857699999998</v>
      </c>
      <c r="H1433" s="822">
        <v>660739577.98345804</v>
      </c>
      <c r="I1433" s="819"/>
      <c r="J1433" s="820">
        <v>-1.8066100000000001E-4</v>
      </c>
      <c r="K1433" s="819">
        <f t="shared" si="316"/>
        <v>295</v>
      </c>
      <c r="L1433" s="819">
        <f t="shared" si="317"/>
        <v>930</v>
      </c>
      <c r="M1433" s="819">
        <f t="shared" si="313"/>
        <v>295</v>
      </c>
      <c r="N1433" s="819">
        <f t="shared" si="314"/>
        <v>364</v>
      </c>
      <c r="O1433" s="819">
        <f t="shared" si="315"/>
        <v>1090</v>
      </c>
      <c r="P1433" s="819">
        <f t="shared" si="318"/>
        <v>1103</v>
      </c>
      <c r="Q1433" s="819">
        <f t="shared" si="319"/>
        <v>507</v>
      </c>
      <c r="R1433" s="819">
        <f t="shared" si="320"/>
        <v>213</v>
      </c>
      <c r="S1433" s="819">
        <f t="shared" si="321"/>
        <v>338</v>
      </c>
      <c r="T1433" s="819">
        <f t="shared" si="322"/>
        <v>1068</v>
      </c>
      <c r="U1433" s="819">
        <f t="shared" si="323"/>
        <v>3229</v>
      </c>
      <c r="V1433" s="819">
        <f t="shared" si="324"/>
        <v>1236</v>
      </c>
      <c r="W1433" s="379">
        <f t="shared" si="325"/>
        <v>1236</v>
      </c>
      <c r="X1433" s="819" t="str">
        <f t="shared" si="326"/>
        <v/>
      </c>
      <c r="Y1433" s="837"/>
      <c r="Z1433" s="839"/>
      <c r="AA1433" s="838"/>
      <c r="AB1433" s="839"/>
    </row>
    <row r="1434" spans="1:28" ht="13.15">
      <c r="B1434" s="819" t="s">
        <v>3294</v>
      </c>
      <c r="C1434" s="819" t="s">
        <v>3295</v>
      </c>
      <c r="D1434" s="379" t="s">
        <v>336</v>
      </c>
      <c r="E1434" s="818" t="s">
        <v>1832</v>
      </c>
      <c r="F1434" s="820"/>
      <c r="G1434" s="821"/>
      <c r="H1434" s="822">
        <v>147695943.284758</v>
      </c>
      <c r="I1434" s="819"/>
      <c r="J1434" s="820">
        <v>0</v>
      </c>
      <c r="K1434" s="819">
        <f t="shared" si="316"/>
        <v>625</v>
      </c>
      <c r="L1434" s="819">
        <f t="shared" si="317"/>
        <v>1084</v>
      </c>
      <c r="M1434" s="819">
        <f t="shared" si="313"/>
        <v>625</v>
      </c>
      <c r="N1434" s="819">
        <f t="shared" si="314"/>
        <v>364</v>
      </c>
      <c r="O1434" s="819">
        <f t="shared" si="315"/>
        <v>492</v>
      </c>
      <c r="P1434" s="819">
        <f t="shared" si="318"/>
        <v>773</v>
      </c>
      <c r="Q1434" s="819">
        <f t="shared" si="319"/>
        <v>661</v>
      </c>
      <c r="R1434" s="819">
        <f t="shared" si="320"/>
        <v>543</v>
      </c>
      <c r="S1434" s="819">
        <f t="shared" si="321"/>
        <v>338</v>
      </c>
      <c r="T1434" s="819">
        <f t="shared" si="322"/>
        <v>470</v>
      </c>
      <c r="U1434" s="819">
        <f t="shared" si="323"/>
        <v>2785</v>
      </c>
      <c r="V1434" s="819">
        <f t="shared" si="324"/>
        <v>463</v>
      </c>
      <c r="W1434" s="379">
        <f t="shared" si="325"/>
        <v>463</v>
      </c>
      <c r="X1434" s="819" t="str">
        <f t="shared" si="326"/>
        <v/>
      </c>
      <c r="Y1434" s="837"/>
      <c r="Z1434" s="839"/>
      <c r="AA1434" s="838"/>
      <c r="AB1434" s="839"/>
    </row>
    <row r="1435" spans="1:28" ht="14.45">
      <c r="A1435" s="816"/>
      <c r="B1435" s="819" t="s">
        <v>3296</v>
      </c>
      <c r="C1435" s="819" t="s">
        <v>3297</v>
      </c>
      <c r="D1435" s="379" t="s">
        <v>336</v>
      </c>
      <c r="E1435" s="818" t="s">
        <v>2488</v>
      </c>
      <c r="F1435" s="820">
        <v>0.99614691499999997</v>
      </c>
      <c r="G1435" s="821">
        <v>1.4763477000000001E-2</v>
      </c>
      <c r="H1435" s="822"/>
      <c r="I1435" s="819"/>
      <c r="J1435" s="820">
        <v>-1.8288399999999999E-4</v>
      </c>
      <c r="K1435" s="819" t="str">
        <f t="shared" si="316"/>
        <v>N/A</v>
      </c>
      <c r="L1435" s="819">
        <f t="shared" si="317"/>
        <v>1065</v>
      </c>
      <c r="M1435" s="819" t="str">
        <f t="shared" si="313"/>
        <v>N/A</v>
      </c>
      <c r="N1435" s="819">
        <f t="shared" si="314"/>
        <v>364</v>
      </c>
      <c r="O1435" s="819">
        <f t="shared" si="315"/>
        <v>1093</v>
      </c>
      <c r="P1435" s="819" t="str">
        <f t="shared" si="318"/>
        <v>N/A</v>
      </c>
      <c r="Q1435" s="819">
        <f t="shared" si="319"/>
        <v>642</v>
      </c>
      <c r="R1435" s="819" t="str">
        <f t="shared" si="320"/>
        <v>N/A</v>
      </c>
      <c r="S1435" s="819">
        <f t="shared" si="321"/>
        <v>338</v>
      </c>
      <c r="T1435" s="819">
        <f t="shared" si="322"/>
        <v>1071</v>
      </c>
      <c r="U1435" s="819">
        <f t="shared" si="323"/>
        <v>2051</v>
      </c>
      <c r="V1435" s="819">
        <f t="shared" si="324"/>
        <v>180</v>
      </c>
      <c r="W1435" s="379">
        <f t="shared" si="325"/>
        <v>180</v>
      </c>
      <c r="X1435" s="819" t="str">
        <f t="shared" si="326"/>
        <v/>
      </c>
      <c r="Y1435" s="837"/>
      <c r="Z1435" s="839"/>
      <c r="AA1435" s="838"/>
      <c r="AB1435" s="839"/>
    </row>
    <row r="1436" spans="1:28" ht="13.15">
      <c r="B1436" s="819" t="s">
        <v>3298</v>
      </c>
      <c r="C1436" s="819" t="s">
        <v>3299</v>
      </c>
      <c r="D1436" s="379" t="s">
        <v>336</v>
      </c>
      <c r="E1436" s="818" t="s">
        <v>941</v>
      </c>
      <c r="F1436" s="820">
        <v>3.053358523</v>
      </c>
      <c r="G1436" s="821">
        <v>25.38973696</v>
      </c>
      <c r="H1436" s="822">
        <v>91776899.945125297</v>
      </c>
      <c r="I1436" s="819"/>
      <c r="J1436" s="820">
        <v>-4.47383E-7</v>
      </c>
      <c r="K1436" s="819">
        <f t="shared" si="316"/>
        <v>741</v>
      </c>
      <c r="L1436" s="819">
        <f t="shared" si="317"/>
        <v>76</v>
      </c>
      <c r="M1436" s="819">
        <f t="shared" si="313"/>
        <v>741</v>
      </c>
      <c r="N1436" s="819">
        <f t="shared" si="314"/>
        <v>364</v>
      </c>
      <c r="O1436" s="819">
        <f t="shared" si="315"/>
        <v>748</v>
      </c>
      <c r="P1436" s="819">
        <f t="shared" si="318"/>
        <v>657</v>
      </c>
      <c r="Q1436" s="819">
        <f t="shared" si="319"/>
        <v>347</v>
      </c>
      <c r="R1436" s="819">
        <f t="shared" si="320"/>
        <v>659</v>
      </c>
      <c r="S1436" s="819">
        <f t="shared" si="321"/>
        <v>338</v>
      </c>
      <c r="T1436" s="819">
        <f t="shared" si="322"/>
        <v>726</v>
      </c>
      <c r="U1436" s="819">
        <f t="shared" si="323"/>
        <v>2727</v>
      </c>
      <c r="V1436" s="819">
        <f t="shared" si="324"/>
        <v>394</v>
      </c>
      <c r="W1436" s="379">
        <f t="shared" si="325"/>
        <v>394</v>
      </c>
      <c r="X1436" s="819" t="str">
        <f t="shared" si="326"/>
        <v/>
      </c>
      <c r="Y1436" s="837"/>
      <c r="Z1436" s="839"/>
      <c r="AA1436" s="838"/>
      <c r="AB1436" s="839"/>
    </row>
    <row r="1437" spans="1:28" ht="14.45">
      <c r="A1437" s="816"/>
      <c r="B1437" s="819" t="s">
        <v>3300</v>
      </c>
      <c r="C1437" s="819" t="s">
        <v>3301</v>
      </c>
      <c r="D1437" s="379" t="s">
        <v>336</v>
      </c>
      <c r="E1437" s="818" t="s">
        <v>1832</v>
      </c>
      <c r="F1437" s="820"/>
      <c r="G1437" s="821"/>
      <c r="H1437" s="822">
        <v>1111505.8448208</v>
      </c>
      <c r="I1437" s="819"/>
      <c r="J1437" s="820">
        <v>0</v>
      </c>
      <c r="K1437" s="819">
        <f t="shared" si="316"/>
        <v>1551</v>
      </c>
      <c r="L1437" s="819">
        <f t="shared" si="317"/>
        <v>1084</v>
      </c>
      <c r="M1437" s="819">
        <f t="shared" si="313"/>
        <v>1551</v>
      </c>
      <c r="N1437" s="819">
        <f t="shared" si="314"/>
        <v>364</v>
      </c>
      <c r="O1437" s="819">
        <f t="shared" si="315"/>
        <v>492</v>
      </c>
      <c r="P1437" s="819">
        <f t="shared" si="318"/>
        <v>153</v>
      </c>
      <c r="Q1437" s="819">
        <f t="shared" si="319"/>
        <v>661</v>
      </c>
      <c r="R1437" s="819">
        <f t="shared" si="320"/>
        <v>1469</v>
      </c>
      <c r="S1437" s="819">
        <f t="shared" si="321"/>
        <v>338</v>
      </c>
      <c r="T1437" s="819">
        <f t="shared" si="322"/>
        <v>470</v>
      </c>
      <c r="U1437" s="819">
        <f t="shared" si="323"/>
        <v>3091</v>
      </c>
      <c r="V1437" s="819">
        <f t="shared" si="324"/>
        <v>1057</v>
      </c>
      <c r="W1437" s="379">
        <f t="shared" si="325"/>
        <v>1057</v>
      </c>
      <c r="X1437" s="819" t="str">
        <f t="shared" si="326"/>
        <v/>
      </c>
      <c r="Y1437" s="837"/>
      <c r="Z1437" s="839"/>
      <c r="AA1437" s="838"/>
      <c r="AB1437" s="839"/>
    </row>
    <row r="1438" spans="1:28" ht="13.15">
      <c r="B1438" s="819" t="s">
        <v>3302</v>
      </c>
      <c r="C1438" s="819" t="s">
        <v>3303</v>
      </c>
      <c r="D1438" s="379" t="s">
        <v>336</v>
      </c>
      <c r="E1438" s="818" t="s">
        <v>1832</v>
      </c>
      <c r="F1438" s="820">
        <v>4.7765112099999998</v>
      </c>
      <c r="G1438" s="821">
        <v>0.73888197200000005</v>
      </c>
      <c r="H1438" s="822">
        <v>12869633.7140607</v>
      </c>
      <c r="I1438" s="819"/>
      <c r="J1438" s="820">
        <v>-1.9537640000000002E-3</v>
      </c>
      <c r="K1438" s="819">
        <f t="shared" si="316"/>
        <v>1204</v>
      </c>
      <c r="L1438" s="819">
        <f t="shared" si="317"/>
        <v>864</v>
      </c>
      <c r="M1438" s="819">
        <f t="shared" si="313"/>
        <v>1204</v>
      </c>
      <c r="N1438" s="819">
        <f t="shared" si="314"/>
        <v>364</v>
      </c>
      <c r="O1438" s="819">
        <f t="shared" si="315"/>
        <v>1489</v>
      </c>
      <c r="P1438" s="819">
        <f t="shared" si="318"/>
        <v>194</v>
      </c>
      <c r="Q1438" s="819">
        <f t="shared" si="319"/>
        <v>441</v>
      </c>
      <c r="R1438" s="819">
        <f t="shared" si="320"/>
        <v>1122</v>
      </c>
      <c r="S1438" s="819">
        <f t="shared" si="321"/>
        <v>338</v>
      </c>
      <c r="T1438" s="819">
        <f t="shared" si="322"/>
        <v>1467</v>
      </c>
      <c r="U1438" s="819">
        <f t="shared" si="323"/>
        <v>3562</v>
      </c>
      <c r="V1438" s="819">
        <f t="shared" si="324"/>
        <v>1604</v>
      </c>
      <c r="W1438" s="379">
        <f t="shared" si="325"/>
        <v>1604</v>
      </c>
      <c r="X1438" s="819" t="str">
        <f t="shared" si="326"/>
        <v/>
      </c>
      <c r="Y1438" s="837"/>
      <c r="Z1438" s="839"/>
      <c r="AA1438" s="838"/>
      <c r="AB1438" s="839"/>
    </row>
    <row r="1439" spans="1:28" ht="14.45">
      <c r="A1439" s="816"/>
      <c r="B1439" s="819" t="s">
        <v>3304</v>
      </c>
      <c r="C1439" s="819" t="s">
        <v>3305</v>
      </c>
      <c r="D1439" s="379" t="s">
        <v>336</v>
      </c>
      <c r="E1439" s="818" t="s">
        <v>941</v>
      </c>
      <c r="F1439" s="820">
        <v>0.922599379</v>
      </c>
      <c r="G1439" s="821">
        <v>1.9061309319999999</v>
      </c>
      <c r="H1439" s="822">
        <v>37365206.493506499</v>
      </c>
      <c r="I1439" s="819">
        <v>0.04</v>
      </c>
      <c r="J1439" s="820">
        <v>-1.1529584000000001E-2</v>
      </c>
      <c r="K1439" s="819">
        <f t="shared" si="316"/>
        <v>943</v>
      </c>
      <c r="L1439" s="819">
        <f t="shared" si="317"/>
        <v>688</v>
      </c>
      <c r="M1439" s="819">
        <f t="shared" si="313"/>
        <v>943</v>
      </c>
      <c r="N1439" s="819">
        <f t="shared" si="314"/>
        <v>309</v>
      </c>
      <c r="O1439" s="819">
        <f t="shared" si="315"/>
        <v>1656</v>
      </c>
      <c r="P1439" s="819">
        <f t="shared" si="318"/>
        <v>455</v>
      </c>
      <c r="Q1439" s="819">
        <f t="shared" si="319"/>
        <v>265</v>
      </c>
      <c r="R1439" s="819">
        <f t="shared" si="320"/>
        <v>861</v>
      </c>
      <c r="S1439" s="819">
        <f t="shared" si="321"/>
        <v>283</v>
      </c>
      <c r="T1439" s="819">
        <f t="shared" si="322"/>
        <v>1634</v>
      </c>
      <c r="U1439" s="819">
        <f t="shared" si="323"/>
        <v>3498</v>
      </c>
      <c r="V1439" s="819">
        <f t="shared" si="324"/>
        <v>1553</v>
      </c>
      <c r="W1439" s="379">
        <f t="shared" si="325"/>
        <v>1553</v>
      </c>
      <c r="X1439" s="819" t="str">
        <f t="shared" si="326"/>
        <v/>
      </c>
      <c r="Y1439" s="837"/>
      <c r="Z1439" s="839"/>
      <c r="AA1439" s="838"/>
      <c r="AB1439" s="839"/>
    </row>
    <row r="1440" spans="1:28" ht="13.15">
      <c r="B1440" s="819" t="s">
        <v>3306</v>
      </c>
      <c r="C1440" s="819" t="s">
        <v>3307</v>
      </c>
      <c r="D1440" s="379" t="s">
        <v>336</v>
      </c>
      <c r="E1440" s="818" t="s">
        <v>373</v>
      </c>
      <c r="F1440" s="820"/>
      <c r="G1440" s="821"/>
      <c r="H1440" s="822">
        <v>6432545988.3038702</v>
      </c>
      <c r="I1440" s="819"/>
      <c r="J1440" s="820">
        <v>0</v>
      </c>
      <c r="K1440" s="819">
        <f t="shared" si="316"/>
        <v>61</v>
      </c>
      <c r="L1440" s="819">
        <f t="shared" si="317"/>
        <v>1084</v>
      </c>
      <c r="M1440" s="819">
        <f t="shared" si="313"/>
        <v>61</v>
      </c>
      <c r="N1440" s="819">
        <f t="shared" si="314"/>
        <v>364</v>
      </c>
      <c r="O1440" s="819">
        <f t="shared" si="315"/>
        <v>492</v>
      </c>
      <c r="P1440" s="819">
        <f t="shared" si="318"/>
        <v>1337</v>
      </c>
      <c r="Q1440" s="819">
        <f t="shared" si="319"/>
        <v>661</v>
      </c>
      <c r="R1440" s="819">
        <f t="shared" si="320"/>
        <v>21</v>
      </c>
      <c r="S1440" s="819">
        <f t="shared" si="321"/>
        <v>338</v>
      </c>
      <c r="T1440" s="819">
        <f t="shared" si="322"/>
        <v>470</v>
      </c>
      <c r="U1440" s="819">
        <f t="shared" si="323"/>
        <v>2827</v>
      </c>
      <c r="V1440" s="819">
        <f t="shared" si="324"/>
        <v>675</v>
      </c>
      <c r="W1440" s="379">
        <f t="shared" si="325"/>
        <v>675</v>
      </c>
      <c r="X1440" s="819" t="str">
        <f t="shared" si="326"/>
        <v/>
      </c>
      <c r="Y1440" s="837"/>
      <c r="Z1440" s="839"/>
      <c r="AA1440" s="838"/>
      <c r="AB1440" s="839"/>
    </row>
    <row r="1441" spans="1:28" ht="14.45">
      <c r="A1441" s="816"/>
      <c r="B1441" s="819" t="s">
        <v>3308</v>
      </c>
      <c r="C1441" s="819" t="s">
        <v>3309</v>
      </c>
      <c r="D1441" s="379" t="s">
        <v>336</v>
      </c>
      <c r="E1441" s="818" t="s">
        <v>1832</v>
      </c>
      <c r="F1441" s="820">
        <v>1.175138241</v>
      </c>
      <c r="G1441" s="821">
        <v>-3.895899054</v>
      </c>
      <c r="H1441" s="822">
        <v>5699881.8432453703</v>
      </c>
      <c r="I1441" s="819"/>
      <c r="J1441" s="820">
        <v>5.9437700000000002E-6</v>
      </c>
      <c r="K1441" s="819">
        <f t="shared" si="316"/>
        <v>1349</v>
      </c>
      <c r="L1441" s="819">
        <f t="shared" si="317"/>
        <v>1386</v>
      </c>
      <c r="M1441" s="819">
        <f t="shared" si="313"/>
        <v>1349</v>
      </c>
      <c r="N1441" s="819">
        <f t="shared" si="314"/>
        <v>364</v>
      </c>
      <c r="O1441" s="819">
        <f t="shared" si="315"/>
        <v>438</v>
      </c>
      <c r="P1441" s="819">
        <f t="shared" si="318"/>
        <v>49</v>
      </c>
      <c r="Q1441" s="819">
        <f t="shared" si="319"/>
        <v>963</v>
      </c>
      <c r="R1441" s="819">
        <f t="shared" si="320"/>
        <v>1267</v>
      </c>
      <c r="S1441" s="819">
        <f t="shared" si="321"/>
        <v>338</v>
      </c>
      <c r="T1441" s="819">
        <f t="shared" si="322"/>
        <v>416</v>
      </c>
      <c r="U1441" s="819">
        <f t="shared" si="323"/>
        <v>3033</v>
      </c>
      <c r="V1441" s="819">
        <f t="shared" si="324"/>
        <v>969</v>
      </c>
      <c r="W1441" s="379">
        <f t="shared" si="325"/>
        <v>969</v>
      </c>
      <c r="X1441" s="819" t="str">
        <f t="shared" si="326"/>
        <v/>
      </c>
      <c r="Y1441" s="837"/>
      <c r="Z1441" s="839"/>
      <c r="AA1441" s="838"/>
      <c r="AB1441" s="839"/>
    </row>
    <row r="1442" spans="1:28" ht="13.15">
      <c r="B1442" s="819" t="s">
        <v>3310</v>
      </c>
      <c r="C1442" s="819" t="s">
        <v>3311</v>
      </c>
      <c r="D1442" s="379" t="s">
        <v>336</v>
      </c>
      <c r="E1442" s="818" t="s">
        <v>378</v>
      </c>
      <c r="F1442" s="820">
        <v>38.656111129999999</v>
      </c>
      <c r="G1442" s="821">
        <v>8.2518395099999999</v>
      </c>
      <c r="H1442" s="822">
        <v>12185288.0566257</v>
      </c>
      <c r="I1442" s="819"/>
      <c r="J1442" s="820">
        <v>-1.03286E-5</v>
      </c>
      <c r="K1442" s="819">
        <f t="shared" si="316"/>
        <v>1213</v>
      </c>
      <c r="L1442" s="819">
        <f t="shared" si="317"/>
        <v>251</v>
      </c>
      <c r="M1442" s="819">
        <f t="shared" si="313"/>
        <v>1213</v>
      </c>
      <c r="N1442" s="819">
        <f t="shared" si="314"/>
        <v>364</v>
      </c>
      <c r="O1442" s="819">
        <f t="shared" si="315"/>
        <v>805</v>
      </c>
      <c r="P1442" s="819">
        <f t="shared" si="318"/>
        <v>185</v>
      </c>
      <c r="Q1442" s="819">
        <f t="shared" si="319"/>
        <v>172</v>
      </c>
      <c r="R1442" s="819">
        <f t="shared" si="320"/>
        <v>1131</v>
      </c>
      <c r="S1442" s="819">
        <f t="shared" si="321"/>
        <v>338</v>
      </c>
      <c r="T1442" s="819">
        <f t="shared" si="322"/>
        <v>783</v>
      </c>
      <c r="U1442" s="819">
        <f t="shared" si="323"/>
        <v>2609</v>
      </c>
      <c r="V1442" s="819">
        <f t="shared" si="324"/>
        <v>288</v>
      </c>
      <c r="W1442" s="379">
        <f t="shared" si="325"/>
        <v>288</v>
      </c>
      <c r="X1442" s="819" t="str">
        <f t="shared" si="326"/>
        <v/>
      </c>
      <c r="Y1442" s="837"/>
      <c r="Z1442" s="839"/>
      <c r="AA1442" s="838"/>
      <c r="AB1442" s="839"/>
    </row>
    <row r="1443" spans="1:28" ht="14.45">
      <c r="A1443" s="816"/>
      <c r="B1443" s="819" t="s">
        <v>3312</v>
      </c>
      <c r="C1443" s="819" t="s">
        <v>3313</v>
      </c>
      <c r="D1443" s="379" t="s">
        <v>336</v>
      </c>
      <c r="E1443" s="818" t="s">
        <v>460</v>
      </c>
      <c r="F1443" s="820">
        <v>0.71726236200000004</v>
      </c>
      <c r="G1443" s="821">
        <v>-47.865552559999998</v>
      </c>
      <c r="H1443" s="822">
        <v>45439650.026967101</v>
      </c>
      <c r="I1443" s="819"/>
      <c r="J1443" s="820">
        <v>2.4250000000000001E-6</v>
      </c>
      <c r="K1443" s="819">
        <f t="shared" si="316"/>
        <v>898</v>
      </c>
      <c r="L1443" s="819">
        <f t="shared" si="317"/>
        <v>1507</v>
      </c>
      <c r="M1443" s="819">
        <f t="shared" si="313"/>
        <v>898</v>
      </c>
      <c r="N1443" s="819">
        <f t="shared" si="314"/>
        <v>364</v>
      </c>
      <c r="O1443" s="819">
        <f t="shared" si="315"/>
        <v>465</v>
      </c>
      <c r="P1443" s="819">
        <f t="shared" si="318"/>
        <v>500</v>
      </c>
      <c r="Q1443" s="819">
        <f t="shared" si="319"/>
        <v>1084</v>
      </c>
      <c r="R1443" s="819">
        <f t="shared" si="320"/>
        <v>816</v>
      </c>
      <c r="S1443" s="819">
        <f t="shared" si="321"/>
        <v>338</v>
      </c>
      <c r="T1443" s="819">
        <f t="shared" si="322"/>
        <v>443</v>
      </c>
      <c r="U1443" s="819">
        <f t="shared" si="323"/>
        <v>3181</v>
      </c>
      <c r="V1443" s="819">
        <f t="shared" si="324"/>
        <v>1174</v>
      </c>
      <c r="W1443" s="379">
        <f t="shared" si="325"/>
        <v>1174</v>
      </c>
      <c r="X1443" s="819" t="str">
        <f t="shared" si="326"/>
        <v/>
      </c>
      <c r="Y1443" s="837"/>
      <c r="Z1443" s="839"/>
      <c r="AA1443" s="838"/>
      <c r="AB1443" s="839"/>
    </row>
    <row r="1444" spans="1:28" ht="13.15">
      <c r="B1444" s="819" t="s">
        <v>3314</v>
      </c>
      <c r="C1444" s="819" t="s">
        <v>3315</v>
      </c>
      <c r="D1444" s="379" t="s">
        <v>336</v>
      </c>
      <c r="E1444" s="818" t="s">
        <v>373</v>
      </c>
      <c r="F1444" s="820">
        <v>2.1225417659999999</v>
      </c>
      <c r="G1444" s="821">
        <v>0.74202690000000004</v>
      </c>
      <c r="H1444" s="822">
        <v>6497113.6738899499</v>
      </c>
      <c r="I1444" s="819"/>
      <c r="J1444" s="820">
        <v>-4.0115399999999997E-4</v>
      </c>
      <c r="K1444" s="819">
        <f t="shared" si="316"/>
        <v>1331</v>
      </c>
      <c r="L1444" s="819">
        <f t="shared" si="317"/>
        <v>863</v>
      </c>
      <c r="M1444" s="819">
        <f t="shared" si="313"/>
        <v>1331</v>
      </c>
      <c r="N1444" s="819">
        <f t="shared" si="314"/>
        <v>364</v>
      </c>
      <c r="O1444" s="819">
        <f t="shared" si="315"/>
        <v>1226</v>
      </c>
      <c r="P1444" s="819">
        <f t="shared" si="318"/>
        <v>67</v>
      </c>
      <c r="Q1444" s="819">
        <f t="shared" si="319"/>
        <v>440</v>
      </c>
      <c r="R1444" s="819">
        <f t="shared" si="320"/>
        <v>1249</v>
      </c>
      <c r="S1444" s="819">
        <f t="shared" si="321"/>
        <v>338</v>
      </c>
      <c r="T1444" s="819">
        <f t="shared" si="322"/>
        <v>1204</v>
      </c>
      <c r="U1444" s="819">
        <f t="shared" si="323"/>
        <v>3298</v>
      </c>
      <c r="V1444" s="819">
        <f t="shared" si="324"/>
        <v>1339</v>
      </c>
      <c r="W1444" s="379">
        <f t="shared" si="325"/>
        <v>1339</v>
      </c>
      <c r="X1444" s="819" t="str">
        <f t="shared" si="326"/>
        <v/>
      </c>
      <c r="Y1444" s="837"/>
      <c r="Z1444" s="839"/>
      <c r="AA1444" s="838"/>
      <c r="AB1444" s="839"/>
    </row>
    <row r="1445" spans="1:28" ht="14.45">
      <c r="A1445" s="816"/>
      <c r="B1445" s="819" t="s">
        <v>3316</v>
      </c>
      <c r="C1445" s="819" t="s">
        <v>3317</v>
      </c>
      <c r="D1445" s="379" t="s">
        <v>336</v>
      </c>
      <c r="E1445" s="818" t="s">
        <v>941</v>
      </c>
      <c r="F1445" s="820">
        <v>0.49257613099999997</v>
      </c>
      <c r="G1445" s="821">
        <v>1.2758210000000001E-2</v>
      </c>
      <c r="H1445" s="822">
        <v>82089316.627034903</v>
      </c>
      <c r="I1445" s="819">
        <v>0.1</v>
      </c>
      <c r="J1445" s="820">
        <v>-2.285474E-3</v>
      </c>
      <c r="K1445" s="819">
        <f t="shared" si="316"/>
        <v>766</v>
      </c>
      <c r="L1445" s="819">
        <f t="shared" si="317"/>
        <v>1067</v>
      </c>
      <c r="M1445" s="819">
        <f t="shared" si="313"/>
        <v>766</v>
      </c>
      <c r="N1445" s="819">
        <f t="shared" si="314"/>
        <v>268</v>
      </c>
      <c r="O1445" s="819">
        <f t="shared" si="315"/>
        <v>1512</v>
      </c>
      <c r="P1445" s="819">
        <f t="shared" si="318"/>
        <v>632</v>
      </c>
      <c r="Q1445" s="819">
        <f t="shared" si="319"/>
        <v>644</v>
      </c>
      <c r="R1445" s="819">
        <f t="shared" si="320"/>
        <v>684</v>
      </c>
      <c r="S1445" s="819">
        <f t="shared" si="321"/>
        <v>242</v>
      </c>
      <c r="T1445" s="819">
        <f t="shared" si="322"/>
        <v>1490</v>
      </c>
      <c r="U1445" s="819">
        <f t="shared" si="323"/>
        <v>3692</v>
      </c>
      <c r="V1445" s="819">
        <f t="shared" si="324"/>
        <v>1675</v>
      </c>
      <c r="W1445" s="379">
        <f t="shared" si="325"/>
        <v>1675</v>
      </c>
      <c r="X1445" s="819" t="str">
        <f t="shared" si="326"/>
        <v/>
      </c>
      <c r="Y1445" s="837"/>
      <c r="Z1445" s="839"/>
      <c r="AA1445" s="838"/>
      <c r="AB1445" s="839"/>
    </row>
    <row r="1446" spans="1:28" ht="13.15">
      <c r="B1446" s="819" t="s">
        <v>3318</v>
      </c>
      <c r="C1446" s="819" t="s">
        <v>3319</v>
      </c>
      <c r="D1446" s="379" t="s">
        <v>336</v>
      </c>
      <c r="E1446" s="818" t="s">
        <v>441</v>
      </c>
      <c r="F1446" s="820">
        <v>1.055557284</v>
      </c>
      <c r="G1446" s="821">
        <v>2.1153235999999999E-2</v>
      </c>
      <c r="H1446" s="822">
        <v>6656074585.9785995</v>
      </c>
      <c r="I1446" s="819">
        <v>0.03</v>
      </c>
      <c r="J1446" s="820">
        <v>-1.067391E-3</v>
      </c>
      <c r="K1446" s="819">
        <f t="shared" si="316"/>
        <v>60</v>
      </c>
      <c r="L1446" s="819">
        <f t="shared" si="317"/>
        <v>1058</v>
      </c>
      <c r="M1446" s="819">
        <f t="shared" si="313"/>
        <v>60</v>
      </c>
      <c r="N1446" s="819">
        <f t="shared" si="314"/>
        <v>323</v>
      </c>
      <c r="O1446" s="819">
        <f t="shared" si="315"/>
        <v>1408</v>
      </c>
      <c r="P1446" s="819">
        <f t="shared" si="318"/>
        <v>1338</v>
      </c>
      <c r="Q1446" s="819">
        <f t="shared" si="319"/>
        <v>635</v>
      </c>
      <c r="R1446" s="819">
        <f t="shared" si="320"/>
        <v>22</v>
      </c>
      <c r="S1446" s="819">
        <f t="shared" si="321"/>
        <v>297</v>
      </c>
      <c r="T1446" s="819">
        <f t="shared" si="322"/>
        <v>1386</v>
      </c>
      <c r="U1446" s="819">
        <f t="shared" si="323"/>
        <v>3678</v>
      </c>
      <c r="V1446" s="819">
        <f t="shared" si="324"/>
        <v>1670</v>
      </c>
      <c r="W1446" s="379">
        <f t="shared" si="325"/>
        <v>1670</v>
      </c>
      <c r="X1446" s="819" t="str">
        <f t="shared" si="326"/>
        <v/>
      </c>
      <c r="Y1446" s="837"/>
      <c r="Z1446" s="839"/>
      <c r="AA1446" s="838"/>
      <c r="AB1446" s="839"/>
    </row>
    <row r="1447" spans="1:28" ht="14.45">
      <c r="A1447" s="816"/>
      <c r="B1447" s="819" t="s">
        <v>3320</v>
      </c>
      <c r="C1447" s="819" t="s">
        <v>3321</v>
      </c>
      <c r="D1447" s="379" t="s">
        <v>336</v>
      </c>
      <c r="E1447" s="818" t="s">
        <v>378</v>
      </c>
      <c r="F1447" s="820">
        <v>3.3048178990000001</v>
      </c>
      <c r="G1447" s="821">
        <v>2.979772155</v>
      </c>
      <c r="H1447" s="822">
        <v>681304356.75246704</v>
      </c>
      <c r="I1447" s="819"/>
      <c r="J1447" s="820">
        <v>-9.9022600000000008E-4</v>
      </c>
      <c r="K1447" s="819">
        <f t="shared" si="316"/>
        <v>290</v>
      </c>
      <c r="L1447" s="819">
        <f t="shared" si="317"/>
        <v>548</v>
      </c>
      <c r="M1447" s="819">
        <f t="shared" si="313"/>
        <v>290</v>
      </c>
      <c r="N1447" s="819">
        <f t="shared" si="314"/>
        <v>364</v>
      </c>
      <c r="O1447" s="819">
        <f t="shared" si="315"/>
        <v>1393</v>
      </c>
      <c r="P1447" s="819">
        <f t="shared" si="318"/>
        <v>1108</v>
      </c>
      <c r="Q1447" s="819">
        <f t="shared" si="319"/>
        <v>125</v>
      </c>
      <c r="R1447" s="819">
        <f t="shared" si="320"/>
        <v>208</v>
      </c>
      <c r="S1447" s="819">
        <f t="shared" si="321"/>
        <v>338</v>
      </c>
      <c r="T1447" s="819">
        <f t="shared" si="322"/>
        <v>1371</v>
      </c>
      <c r="U1447" s="819">
        <f t="shared" si="323"/>
        <v>3150</v>
      </c>
      <c r="V1447" s="819">
        <f t="shared" si="324"/>
        <v>1124</v>
      </c>
      <c r="W1447" s="379">
        <f t="shared" si="325"/>
        <v>1124</v>
      </c>
      <c r="X1447" s="819" t="str">
        <f t="shared" si="326"/>
        <v/>
      </c>
      <c r="Y1447" s="837"/>
      <c r="Z1447" s="839"/>
      <c r="AA1447" s="838"/>
      <c r="AB1447" s="839"/>
    </row>
    <row r="1448" spans="1:28" ht="13.15">
      <c r="B1448" s="819" t="s">
        <v>3322</v>
      </c>
      <c r="C1448" s="819" t="s">
        <v>3323</v>
      </c>
      <c r="D1448" s="379" t="s">
        <v>336</v>
      </c>
      <c r="E1448" s="818" t="s">
        <v>941</v>
      </c>
      <c r="F1448" s="820">
        <v>6.3359871490000002</v>
      </c>
      <c r="G1448" s="821">
        <v>9.2144813919999997</v>
      </c>
      <c r="H1448" s="822">
        <v>233860068.41046301</v>
      </c>
      <c r="I1448" s="819"/>
      <c r="J1448" s="820">
        <v>-1.37362E-4</v>
      </c>
      <c r="K1448" s="819">
        <f t="shared" si="316"/>
        <v>529</v>
      </c>
      <c r="L1448" s="819">
        <f t="shared" si="317"/>
        <v>218</v>
      </c>
      <c r="M1448" s="819">
        <f t="shared" si="313"/>
        <v>529</v>
      </c>
      <c r="N1448" s="819">
        <f t="shared" si="314"/>
        <v>364</v>
      </c>
      <c r="O1448" s="819">
        <f t="shared" si="315"/>
        <v>1048</v>
      </c>
      <c r="P1448" s="819">
        <f t="shared" si="318"/>
        <v>869</v>
      </c>
      <c r="Q1448" s="819">
        <f t="shared" si="319"/>
        <v>205</v>
      </c>
      <c r="R1448" s="819">
        <f t="shared" si="320"/>
        <v>447</v>
      </c>
      <c r="S1448" s="819">
        <f t="shared" si="321"/>
        <v>338</v>
      </c>
      <c r="T1448" s="819">
        <f t="shared" si="322"/>
        <v>1026</v>
      </c>
      <c r="U1448" s="819">
        <f t="shared" si="323"/>
        <v>2885</v>
      </c>
      <c r="V1448" s="819">
        <f t="shared" si="324"/>
        <v>783</v>
      </c>
      <c r="W1448" s="379">
        <f t="shared" si="325"/>
        <v>783</v>
      </c>
      <c r="X1448" s="819" t="str">
        <f t="shared" si="326"/>
        <v/>
      </c>
      <c r="Y1448" s="837"/>
      <c r="Z1448" s="839"/>
      <c r="AA1448" s="838"/>
      <c r="AB1448" s="839"/>
    </row>
    <row r="1449" spans="1:28" ht="14.45">
      <c r="A1449" s="816"/>
      <c r="B1449" s="819" t="s">
        <v>3324</v>
      </c>
      <c r="C1449" s="819" t="s">
        <v>3325</v>
      </c>
      <c r="D1449" s="379" t="s">
        <v>336</v>
      </c>
      <c r="E1449" s="818" t="s">
        <v>1832</v>
      </c>
      <c r="F1449" s="820">
        <v>1.3192060809999999</v>
      </c>
      <c r="G1449" s="821">
        <v>0.67596414500000002</v>
      </c>
      <c r="H1449" s="822">
        <v>69668618.101614803</v>
      </c>
      <c r="I1449" s="819"/>
      <c r="J1449" s="820">
        <v>-1.13162E-4</v>
      </c>
      <c r="K1449" s="819">
        <f t="shared" si="316"/>
        <v>797</v>
      </c>
      <c r="L1449" s="819">
        <f t="shared" si="317"/>
        <v>883</v>
      </c>
      <c r="M1449" s="819">
        <f t="shared" si="313"/>
        <v>797</v>
      </c>
      <c r="N1449" s="819">
        <f t="shared" si="314"/>
        <v>364</v>
      </c>
      <c r="O1449" s="819">
        <f t="shared" si="315"/>
        <v>1021</v>
      </c>
      <c r="P1449" s="819">
        <f t="shared" si="318"/>
        <v>601</v>
      </c>
      <c r="Q1449" s="819">
        <f t="shared" si="319"/>
        <v>460</v>
      </c>
      <c r="R1449" s="819">
        <f t="shared" si="320"/>
        <v>715</v>
      </c>
      <c r="S1449" s="819">
        <f t="shared" si="321"/>
        <v>338</v>
      </c>
      <c r="T1449" s="819">
        <f t="shared" si="322"/>
        <v>999</v>
      </c>
      <c r="U1449" s="819">
        <f t="shared" si="323"/>
        <v>3113</v>
      </c>
      <c r="V1449" s="819">
        <f t="shared" si="324"/>
        <v>1083</v>
      </c>
      <c r="W1449" s="379">
        <f t="shared" si="325"/>
        <v>1083</v>
      </c>
      <c r="X1449" s="819" t="str">
        <f t="shared" si="326"/>
        <v/>
      </c>
      <c r="Y1449" s="837"/>
      <c r="Z1449" s="839"/>
      <c r="AA1449" s="838"/>
      <c r="AB1449" s="839"/>
    </row>
    <row r="1450" spans="1:28" ht="13.15">
      <c r="B1450" s="819" t="s">
        <v>3326</v>
      </c>
      <c r="C1450" s="819" t="s">
        <v>3327</v>
      </c>
      <c r="D1450" s="379" t="s">
        <v>336</v>
      </c>
      <c r="E1450" s="818" t="s">
        <v>731</v>
      </c>
      <c r="F1450" s="820">
        <v>1.540490234</v>
      </c>
      <c r="G1450" s="821">
        <v>4.8607454069999996</v>
      </c>
      <c r="H1450" s="822">
        <v>6521808.9720386798</v>
      </c>
      <c r="I1450" s="819">
        <v>1.17</v>
      </c>
      <c r="J1450" s="820">
        <v>-1.30675E-3</v>
      </c>
      <c r="K1450" s="819">
        <f t="shared" si="316"/>
        <v>1330</v>
      </c>
      <c r="L1450" s="819">
        <f t="shared" si="317"/>
        <v>387</v>
      </c>
      <c r="M1450" s="819">
        <f t="shared" si="313"/>
        <v>1330</v>
      </c>
      <c r="N1450" s="819">
        <f t="shared" si="314"/>
        <v>117</v>
      </c>
      <c r="O1450" s="819">
        <f t="shared" si="315"/>
        <v>1435</v>
      </c>
      <c r="P1450" s="819">
        <f t="shared" si="318"/>
        <v>68</v>
      </c>
      <c r="Q1450" s="819">
        <f t="shared" si="319"/>
        <v>36</v>
      </c>
      <c r="R1450" s="819">
        <f t="shared" si="320"/>
        <v>1248</v>
      </c>
      <c r="S1450" s="819">
        <f t="shared" si="321"/>
        <v>91</v>
      </c>
      <c r="T1450" s="819">
        <f t="shared" si="322"/>
        <v>1413</v>
      </c>
      <c r="U1450" s="819">
        <f t="shared" si="323"/>
        <v>2856</v>
      </c>
      <c r="V1450" s="819">
        <f t="shared" si="324"/>
        <v>733</v>
      </c>
      <c r="W1450" s="379">
        <f t="shared" si="325"/>
        <v>733</v>
      </c>
      <c r="X1450" s="819" t="str">
        <f t="shared" si="326"/>
        <v/>
      </c>
      <c r="Y1450" s="837"/>
      <c r="Z1450" s="839"/>
      <c r="AA1450" s="838"/>
      <c r="AB1450" s="839"/>
    </row>
    <row r="1451" spans="1:28" ht="14.45">
      <c r="A1451" s="816"/>
      <c r="B1451" s="819" t="s">
        <v>3328</v>
      </c>
      <c r="C1451" s="819" t="s">
        <v>3329</v>
      </c>
      <c r="D1451" s="379" t="s">
        <v>336</v>
      </c>
      <c r="E1451" s="818" t="s">
        <v>191</v>
      </c>
      <c r="F1451" s="820"/>
      <c r="G1451" s="821"/>
      <c r="H1451" s="822">
        <v>785590815.00987506</v>
      </c>
      <c r="I1451" s="819"/>
      <c r="J1451" s="820">
        <v>0</v>
      </c>
      <c r="K1451" s="819">
        <f t="shared" si="316"/>
        <v>257</v>
      </c>
      <c r="L1451" s="819">
        <f t="shared" si="317"/>
        <v>1084</v>
      </c>
      <c r="M1451" s="819">
        <f t="shared" si="313"/>
        <v>257</v>
      </c>
      <c r="N1451" s="819">
        <f t="shared" si="314"/>
        <v>364</v>
      </c>
      <c r="O1451" s="819">
        <f t="shared" si="315"/>
        <v>492</v>
      </c>
      <c r="P1451" s="819">
        <f t="shared" si="318"/>
        <v>1141</v>
      </c>
      <c r="Q1451" s="819">
        <f t="shared" si="319"/>
        <v>661</v>
      </c>
      <c r="R1451" s="819">
        <f t="shared" si="320"/>
        <v>175</v>
      </c>
      <c r="S1451" s="819">
        <f t="shared" si="321"/>
        <v>338</v>
      </c>
      <c r="T1451" s="819">
        <f t="shared" si="322"/>
        <v>470</v>
      </c>
      <c r="U1451" s="819">
        <f t="shared" si="323"/>
        <v>2785</v>
      </c>
      <c r="V1451" s="819">
        <f t="shared" si="324"/>
        <v>463</v>
      </c>
      <c r="W1451" s="379">
        <f t="shared" si="325"/>
        <v>463</v>
      </c>
      <c r="X1451" s="819" t="str">
        <f t="shared" si="326"/>
        <v/>
      </c>
      <c r="Y1451" s="837"/>
      <c r="Z1451" s="839"/>
      <c r="AA1451" s="838"/>
      <c r="AB1451" s="839"/>
    </row>
    <row r="1452" spans="1:28" ht="13.15">
      <c r="B1452" s="819" t="s">
        <v>3330</v>
      </c>
      <c r="C1452" s="819" t="s">
        <v>3331</v>
      </c>
      <c r="D1452" s="379" t="s">
        <v>336</v>
      </c>
      <c r="E1452" s="818" t="s">
        <v>1832</v>
      </c>
      <c r="F1452" s="820">
        <v>0.20655531099999999</v>
      </c>
      <c r="G1452" s="821">
        <v>0.7300951</v>
      </c>
      <c r="H1452" s="822">
        <v>6148487.8298542704</v>
      </c>
      <c r="I1452" s="819"/>
      <c r="J1452" s="820">
        <v>-1.127332E-3</v>
      </c>
      <c r="K1452" s="819">
        <f t="shared" si="316"/>
        <v>1339</v>
      </c>
      <c r="L1452" s="819">
        <f t="shared" si="317"/>
        <v>866</v>
      </c>
      <c r="M1452" s="819">
        <f t="shared" si="313"/>
        <v>1339</v>
      </c>
      <c r="N1452" s="819">
        <f t="shared" si="314"/>
        <v>364</v>
      </c>
      <c r="O1452" s="819">
        <f t="shared" si="315"/>
        <v>1413</v>
      </c>
      <c r="P1452" s="819">
        <f t="shared" si="318"/>
        <v>59</v>
      </c>
      <c r="Q1452" s="819">
        <f t="shared" si="319"/>
        <v>443</v>
      </c>
      <c r="R1452" s="819">
        <f t="shared" si="320"/>
        <v>1257</v>
      </c>
      <c r="S1452" s="819">
        <f t="shared" si="321"/>
        <v>338</v>
      </c>
      <c r="T1452" s="819">
        <f t="shared" si="322"/>
        <v>1391</v>
      </c>
      <c r="U1452" s="819">
        <f t="shared" si="323"/>
        <v>3488</v>
      </c>
      <c r="V1452" s="819">
        <f t="shared" si="324"/>
        <v>1543</v>
      </c>
      <c r="W1452" s="379">
        <f t="shared" si="325"/>
        <v>1543</v>
      </c>
      <c r="X1452" s="819" t="str">
        <f t="shared" si="326"/>
        <v/>
      </c>
      <c r="Y1452" s="837"/>
      <c r="Z1452" s="839"/>
      <c r="AA1452" s="838"/>
      <c r="AB1452" s="839"/>
    </row>
    <row r="1453" spans="1:28" ht="14.45">
      <c r="A1453" s="816"/>
      <c r="B1453" s="819" t="s">
        <v>3332</v>
      </c>
      <c r="C1453" s="819" t="s">
        <v>3333</v>
      </c>
      <c r="D1453" s="379" t="s">
        <v>336</v>
      </c>
      <c r="E1453" s="818" t="s">
        <v>441</v>
      </c>
      <c r="F1453" s="820"/>
      <c r="G1453" s="821"/>
      <c r="H1453" s="822">
        <v>1591691860.94748</v>
      </c>
      <c r="I1453" s="819"/>
      <c r="J1453" s="820">
        <v>0</v>
      </c>
      <c r="K1453" s="819">
        <f t="shared" si="316"/>
        <v>173</v>
      </c>
      <c r="L1453" s="819">
        <f t="shared" si="317"/>
        <v>1084</v>
      </c>
      <c r="M1453" s="819">
        <f t="shared" si="313"/>
        <v>173</v>
      </c>
      <c r="N1453" s="819">
        <f t="shared" si="314"/>
        <v>364</v>
      </c>
      <c r="O1453" s="819">
        <f t="shared" si="315"/>
        <v>492</v>
      </c>
      <c r="P1453" s="819">
        <f t="shared" si="318"/>
        <v>1225</v>
      </c>
      <c r="Q1453" s="819">
        <f t="shared" si="319"/>
        <v>661</v>
      </c>
      <c r="R1453" s="819">
        <f t="shared" si="320"/>
        <v>91</v>
      </c>
      <c r="S1453" s="819">
        <f t="shared" si="321"/>
        <v>338</v>
      </c>
      <c r="T1453" s="819">
        <f t="shared" si="322"/>
        <v>470</v>
      </c>
      <c r="U1453" s="819">
        <f t="shared" si="323"/>
        <v>2785</v>
      </c>
      <c r="V1453" s="819">
        <f t="shared" si="324"/>
        <v>463</v>
      </c>
      <c r="W1453" s="379">
        <f t="shared" si="325"/>
        <v>463</v>
      </c>
      <c r="X1453" s="819" t="str">
        <f t="shared" si="326"/>
        <v/>
      </c>
      <c r="Y1453" s="837"/>
      <c r="Z1453" s="839"/>
      <c r="AA1453" s="838"/>
      <c r="AB1453" s="839"/>
    </row>
    <row r="1454" spans="1:28" ht="13.15">
      <c r="B1454" s="819" t="s">
        <v>3334</v>
      </c>
      <c r="C1454" s="819" t="s">
        <v>3335</v>
      </c>
      <c r="D1454" s="379" t="s">
        <v>336</v>
      </c>
      <c r="E1454" s="818" t="s">
        <v>595</v>
      </c>
      <c r="F1454" s="820">
        <v>1.01745335</v>
      </c>
      <c r="G1454" s="821">
        <v>5.8101941999999997E-2</v>
      </c>
      <c r="H1454" s="822"/>
      <c r="I1454" s="819">
        <v>7.74</v>
      </c>
      <c r="J1454" s="820">
        <v>-6.8904470000000001E-3</v>
      </c>
      <c r="K1454" s="819" t="str">
        <f t="shared" si="316"/>
        <v>N/A</v>
      </c>
      <c r="L1454" s="819">
        <f t="shared" si="317"/>
        <v>1042</v>
      </c>
      <c r="M1454" s="819" t="str">
        <f t="shared" si="313"/>
        <v>N/A</v>
      </c>
      <c r="N1454" s="819">
        <f t="shared" si="314"/>
        <v>37</v>
      </c>
      <c r="O1454" s="819">
        <f t="shared" si="315"/>
        <v>1625</v>
      </c>
      <c r="P1454" s="819" t="str">
        <f t="shared" si="318"/>
        <v>N/A</v>
      </c>
      <c r="Q1454" s="819">
        <f t="shared" si="319"/>
        <v>619</v>
      </c>
      <c r="R1454" s="819" t="str">
        <f t="shared" si="320"/>
        <v>N/A</v>
      </c>
      <c r="S1454" s="819">
        <f t="shared" si="321"/>
        <v>11</v>
      </c>
      <c r="T1454" s="819">
        <f t="shared" si="322"/>
        <v>1603</v>
      </c>
      <c r="U1454" s="819">
        <f t="shared" si="323"/>
        <v>2233</v>
      </c>
      <c r="V1454" s="819">
        <f t="shared" si="324"/>
        <v>209</v>
      </c>
      <c r="W1454" s="379">
        <f t="shared" si="325"/>
        <v>209</v>
      </c>
      <c r="X1454" s="819" t="str">
        <f t="shared" si="326"/>
        <v/>
      </c>
      <c r="Y1454" s="837"/>
      <c r="Z1454" s="839"/>
      <c r="AA1454" s="838"/>
      <c r="AB1454" s="839"/>
    </row>
    <row r="1455" spans="1:28" ht="14.45">
      <c r="A1455" s="816"/>
      <c r="B1455" s="819" t="s">
        <v>3336</v>
      </c>
      <c r="C1455" s="819" t="s">
        <v>3337</v>
      </c>
      <c r="D1455" s="379" t="s">
        <v>336</v>
      </c>
      <c r="E1455" s="818" t="s">
        <v>941</v>
      </c>
      <c r="F1455" s="820">
        <v>0.512321735</v>
      </c>
      <c r="G1455" s="821">
        <v>1.9573741840000001</v>
      </c>
      <c r="H1455" s="822">
        <v>2690221529.9067101</v>
      </c>
      <c r="I1455" s="819">
        <v>0.1</v>
      </c>
      <c r="J1455" s="820">
        <v>-1.6960599999999999E-4</v>
      </c>
      <c r="K1455" s="819">
        <f t="shared" si="316"/>
        <v>120</v>
      </c>
      <c r="L1455" s="819">
        <f t="shared" si="317"/>
        <v>681</v>
      </c>
      <c r="M1455" s="819">
        <f t="shared" si="313"/>
        <v>120</v>
      </c>
      <c r="N1455" s="819">
        <f t="shared" si="314"/>
        <v>268</v>
      </c>
      <c r="O1455" s="819">
        <f t="shared" si="315"/>
        <v>1081</v>
      </c>
      <c r="P1455" s="819">
        <f t="shared" si="318"/>
        <v>1278</v>
      </c>
      <c r="Q1455" s="819">
        <f t="shared" si="319"/>
        <v>258</v>
      </c>
      <c r="R1455" s="819">
        <f t="shared" si="320"/>
        <v>38</v>
      </c>
      <c r="S1455" s="819">
        <f t="shared" si="321"/>
        <v>242</v>
      </c>
      <c r="T1455" s="819">
        <f t="shared" si="322"/>
        <v>1059</v>
      </c>
      <c r="U1455" s="819">
        <f t="shared" si="323"/>
        <v>2875</v>
      </c>
      <c r="V1455" s="819">
        <f t="shared" si="324"/>
        <v>764</v>
      </c>
      <c r="W1455" s="379">
        <f t="shared" si="325"/>
        <v>764</v>
      </c>
      <c r="X1455" s="819" t="str">
        <f t="shared" si="326"/>
        <v/>
      </c>
      <c r="Y1455" s="837"/>
      <c r="Z1455" s="839"/>
      <c r="AA1455" s="838"/>
      <c r="AB1455" s="839"/>
    </row>
    <row r="1456" spans="1:28" ht="13.15">
      <c r="B1456" s="819" t="s">
        <v>3338</v>
      </c>
      <c r="C1456" s="819" t="s">
        <v>3339</v>
      </c>
      <c r="D1456" s="379" t="s">
        <v>336</v>
      </c>
      <c r="E1456" s="818" t="s">
        <v>441</v>
      </c>
      <c r="F1456" s="820">
        <v>0.79095715799999999</v>
      </c>
      <c r="G1456" s="821">
        <v>1.374937179</v>
      </c>
      <c r="H1456" s="822">
        <v>306188526.24687499</v>
      </c>
      <c r="I1456" s="819">
        <v>1.83</v>
      </c>
      <c r="J1456" s="820">
        <v>-3.7065190000000001E-3</v>
      </c>
      <c r="K1456" s="819">
        <f t="shared" si="316"/>
        <v>465</v>
      </c>
      <c r="L1456" s="819">
        <f t="shared" si="317"/>
        <v>761</v>
      </c>
      <c r="M1456" s="819">
        <f t="shared" si="313"/>
        <v>465</v>
      </c>
      <c r="N1456" s="819">
        <f t="shared" si="314"/>
        <v>88</v>
      </c>
      <c r="O1456" s="819">
        <f t="shared" si="315"/>
        <v>1576</v>
      </c>
      <c r="P1456" s="819">
        <f t="shared" si="318"/>
        <v>933</v>
      </c>
      <c r="Q1456" s="819">
        <f t="shared" si="319"/>
        <v>338</v>
      </c>
      <c r="R1456" s="819">
        <f t="shared" si="320"/>
        <v>383</v>
      </c>
      <c r="S1456" s="819">
        <f t="shared" si="321"/>
        <v>62</v>
      </c>
      <c r="T1456" s="819">
        <f t="shared" si="322"/>
        <v>1554</v>
      </c>
      <c r="U1456" s="819">
        <f t="shared" si="323"/>
        <v>3270</v>
      </c>
      <c r="V1456" s="819">
        <f t="shared" si="324"/>
        <v>1297</v>
      </c>
      <c r="W1456" s="379">
        <f t="shared" si="325"/>
        <v>1297</v>
      </c>
      <c r="X1456" s="819" t="str">
        <f t="shared" si="326"/>
        <v/>
      </c>
      <c r="Y1456" s="837"/>
      <c r="Z1456" s="839"/>
      <c r="AA1456" s="838"/>
      <c r="AB1456" s="839"/>
    </row>
    <row r="1457" spans="1:28" ht="14.45">
      <c r="A1457" s="816"/>
      <c r="B1457" s="819" t="s">
        <v>3340</v>
      </c>
      <c r="C1457" s="819" t="s">
        <v>3341</v>
      </c>
      <c r="D1457" s="379" t="s">
        <v>336</v>
      </c>
      <c r="E1457" s="818" t="s">
        <v>337</v>
      </c>
      <c r="F1457" s="820"/>
      <c r="G1457" s="821"/>
      <c r="H1457" s="822">
        <v>3702591410.98</v>
      </c>
      <c r="I1457" s="819"/>
      <c r="J1457" s="820">
        <v>0</v>
      </c>
      <c r="K1457" s="819">
        <f t="shared" si="316"/>
        <v>91</v>
      </c>
      <c r="L1457" s="819">
        <f t="shared" si="317"/>
        <v>1084</v>
      </c>
      <c r="M1457" s="819">
        <f t="shared" si="313"/>
        <v>91</v>
      </c>
      <c r="N1457" s="819">
        <f t="shared" si="314"/>
        <v>364</v>
      </c>
      <c r="O1457" s="819">
        <f t="shared" si="315"/>
        <v>492</v>
      </c>
      <c r="P1457" s="819">
        <f t="shared" si="318"/>
        <v>1307</v>
      </c>
      <c r="Q1457" s="819">
        <f t="shared" si="319"/>
        <v>661</v>
      </c>
      <c r="R1457" s="819">
        <f t="shared" si="320"/>
        <v>9</v>
      </c>
      <c r="S1457" s="819">
        <f t="shared" si="321"/>
        <v>338</v>
      </c>
      <c r="T1457" s="819">
        <f t="shared" si="322"/>
        <v>470</v>
      </c>
      <c r="U1457" s="819">
        <f t="shared" si="323"/>
        <v>2785</v>
      </c>
      <c r="V1457" s="819">
        <f t="shared" si="324"/>
        <v>463</v>
      </c>
      <c r="W1457" s="379">
        <f t="shared" si="325"/>
        <v>463</v>
      </c>
      <c r="X1457" s="819" t="str">
        <f t="shared" si="326"/>
        <v/>
      </c>
      <c r="Y1457" s="837"/>
      <c r="Z1457" s="839"/>
      <c r="AA1457" s="838"/>
      <c r="AB1457" s="839"/>
    </row>
    <row r="1458" spans="1:28" ht="13.15">
      <c r="B1458" s="819" t="s">
        <v>3342</v>
      </c>
      <c r="C1458" s="819" t="s">
        <v>3343</v>
      </c>
      <c r="D1458" s="379" t="s">
        <v>336</v>
      </c>
      <c r="E1458" s="818" t="s">
        <v>1832</v>
      </c>
      <c r="F1458" s="820">
        <v>1.4911942540000001</v>
      </c>
      <c r="G1458" s="821">
        <v>5.4785986360000001</v>
      </c>
      <c r="H1458" s="822">
        <v>663843.84797164204</v>
      </c>
      <c r="I1458" s="819"/>
      <c r="J1458" s="820">
        <v>-2.3373099999999999E-4</v>
      </c>
      <c r="K1458" s="819">
        <f t="shared" si="316"/>
        <v>1586</v>
      </c>
      <c r="L1458" s="819">
        <f t="shared" si="317"/>
        <v>354</v>
      </c>
      <c r="M1458" s="819">
        <f t="shared" si="313"/>
        <v>1586</v>
      </c>
      <c r="N1458" s="819">
        <f t="shared" si="314"/>
        <v>364</v>
      </c>
      <c r="O1458" s="819">
        <f t="shared" si="315"/>
        <v>1135</v>
      </c>
      <c r="P1458" s="819">
        <f t="shared" si="318"/>
        <v>188</v>
      </c>
      <c r="Q1458" s="819">
        <f t="shared" si="319"/>
        <v>69</v>
      </c>
      <c r="R1458" s="819">
        <f t="shared" si="320"/>
        <v>1504</v>
      </c>
      <c r="S1458" s="819">
        <f t="shared" si="321"/>
        <v>338</v>
      </c>
      <c r="T1458" s="819">
        <f t="shared" si="322"/>
        <v>1113</v>
      </c>
      <c r="U1458" s="819">
        <f t="shared" si="323"/>
        <v>3212</v>
      </c>
      <c r="V1458" s="819">
        <f t="shared" si="324"/>
        <v>1219</v>
      </c>
      <c r="W1458" s="379">
        <f t="shared" si="325"/>
        <v>1219</v>
      </c>
      <c r="X1458" s="819" t="str">
        <f t="shared" si="326"/>
        <v/>
      </c>
      <c r="Y1458" s="837"/>
      <c r="Z1458" s="839"/>
      <c r="AA1458" s="838"/>
      <c r="AB1458" s="839"/>
    </row>
    <row r="1459" spans="1:28" ht="14.45">
      <c r="A1459" s="816"/>
      <c r="B1459" s="819" t="s">
        <v>3344</v>
      </c>
      <c r="C1459" s="819" t="s">
        <v>3345</v>
      </c>
      <c r="D1459" s="379" t="s">
        <v>336</v>
      </c>
      <c r="E1459" s="818" t="s">
        <v>460</v>
      </c>
      <c r="F1459" s="820">
        <v>3.1397577509999999</v>
      </c>
      <c r="G1459" s="821">
        <v>5.215608563</v>
      </c>
      <c r="H1459" s="822">
        <v>111756835.512675</v>
      </c>
      <c r="I1459" s="819"/>
      <c r="J1459" s="820">
        <v>-4.4969900000000002E-4</v>
      </c>
      <c r="K1459" s="819">
        <f t="shared" si="316"/>
        <v>691</v>
      </c>
      <c r="L1459" s="819">
        <f t="shared" si="317"/>
        <v>368</v>
      </c>
      <c r="M1459" s="819">
        <f t="shared" si="313"/>
        <v>691</v>
      </c>
      <c r="N1459" s="819">
        <f t="shared" si="314"/>
        <v>364</v>
      </c>
      <c r="O1459" s="819">
        <f t="shared" si="315"/>
        <v>1247</v>
      </c>
      <c r="P1459" s="819">
        <f t="shared" si="318"/>
        <v>707</v>
      </c>
      <c r="Q1459" s="819">
        <f t="shared" si="319"/>
        <v>55</v>
      </c>
      <c r="R1459" s="819">
        <f t="shared" si="320"/>
        <v>609</v>
      </c>
      <c r="S1459" s="819">
        <f t="shared" si="321"/>
        <v>338</v>
      </c>
      <c r="T1459" s="819">
        <f t="shared" si="322"/>
        <v>1225</v>
      </c>
      <c r="U1459" s="819">
        <f t="shared" si="323"/>
        <v>2934</v>
      </c>
      <c r="V1459" s="819">
        <f t="shared" si="324"/>
        <v>850</v>
      </c>
      <c r="W1459" s="379">
        <f t="shared" si="325"/>
        <v>850</v>
      </c>
      <c r="X1459" s="819" t="str">
        <f t="shared" si="326"/>
        <v/>
      </c>
      <c r="Y1459" s="837"/>
      <c r="Z1459" s="839"/>
      <c r="AA1459" s="838"/>
      <c r="AB1459" s="839"/>
    </row>
    <row r="1460" spans="1:28" ht="13.15">
      <c r="B1460" s="819" t="s">
        <v>3346</v>
      </c>
      <c r="C1460" s="819" t="s">
        <v>3347</v>
      </c>
      <c r="D1460" s="379" t="s">
        <v>336</v>
      </c>
      <c r="E1460" s="818" t="s">
        <v>460</v>
      </c>
      <c r="F1460" s="820">
        <v>1.2046883260000001</v>
      </c>
      <c r="G1460" s="821">
        <v>4.0252760739999998</v>
      </c>
      <c r="H1460" s="822">
        <v>139278394.07922301</v>
      </c>
      <c r="I1460" s="819"/>
      <c r="J1460" s="820">
        <v>-8.9417099999999999E-7</v>
      </c>
      <c r="K1460" s="819">
        <f t="shared" si="316"/>
        <v>639</v>
      </c>
      <c r="L1460" s="819">
        <f t="shared" si="317"/>
        <v>450</v>
      </c>
      <c r="M1460" s="819">
        <f t="shared" si="313"/>
        <v>639</v>
      </c>
      <c r="N1460" s="819">
        <f t="shared" si="314"/>
        <v>364</v>
      </c>
      <c r="O1460" s="819">
        <f t="shared" si="315"/>
        <v>753</v>
      </c>
      <c r="P1460" s="819">
        <f t="shared" si="318"/>
        <v>759</v>
      </c>
      <c r="Q1460" s="819">
        <f t="shared" si="319"/>
        <v>27</v>
      </c>
      <c r="R1460" s="819">
        <f t="shared" si="320"/>
        <v>557</v>
      </c>
      <c r="S1460" s="819">
        <f t="shared" si="321"/>
        <v>338</v>
      </c>
      <c r="T1460" s="819">
        <f t="shared" si="322"/>
        <v>731</v>
      </c>
      <c r="U1460" s="819">
        <f t="shared" si="323"/>
        <v>2412</v>
      </c>
      <c r="V1460" s="819">
        <f t="shared" si="324"/>
        <v>232</v>
      </c>
      <c r="W1460" s="379">
        <f t="shared" si="325"/>
        <v>232</v>
      </c>
      <c r="X1460" s="819" t="str">
        <f t="shared" si="326"/>
        <v/>
      </c>
      <c r="Y1460" s="837"/>
      <c r="Z1460" s="839"/>
      <c r="AA1460" s="838"/>
      <c r="AB1460" s="839"/>
    </row>
    <row r="1461" spans="1:28" ht="14.45">
      <c r="A1461" s="816"/>
      <c r="B1461" s="819" t="s">
        <v>3348</v>
      </c>
      <c r="C1461" s="819" t="s">
        <v>3349</v>
      </c>
      <c r="D1461" s="379" t="s">
        <v>336</v>
      </c>
      <c r="E1461" s="818" t="s">
        <v>460</v>
      </c>
      <c r="F1461" s="820"/>
      <c r="G1461" s="821"/>
      <c r="H1461" s="822">
        <v>2634855.8758314899</v>
      </c>
      <c r="I1461" s="819"/>
      <c r="J1461" s="820">
        <v>0</v>
      </c>
      <c r="K1461" s="819">
        <f t="shared" si="316"/>
        <v>1462</v>
      </c>
      <c r="L1461" s="819">
        <f t="shared" si="317"/>
        <v>1084</v>
      </c>
      <c r="M1461" s="819">
        <f t="shared" si="313"/>
        <v>1462</v>
      </c>
      <c r="N1461" s="819">
        <f t="shared" si="314"/>
        <v>364</v>
      </c>
      <c r="O1461" s="819">
        <f t="shared" si="315"/>
        <v>492</v>
      </c>
      <c r="P1461" s="819">
        <f t="shared" si="318"/>
        <v>64</v>
      </c>
      <c r="Q1461" s="819">
        <f t="shared" si="319"/>
        <v>661</v>
      </c>
      <c r="R1461" s="819">
        <f t="shared" si="320"/>
        <v>1380</v>
      </c>
      <c r="S1461" s="819">
        <f t="shared" si="321"/>
        <v>338</v>
      </c>
      <c r="T1461" s="819">
        <f t="shared" si="322"/>
        <v>470</v>
      </c>
      <c r="U1461" s="819">
        <f t="shared" si="323"/>
        <v>2913</v>
      </c>
      <c r="V1461" s="819">
        <f t="shared" si="324"/>
        <v>823</v>
      </c>
      <c r="W1461" s="379">
        <f t="shared" si="325"/>
        <v>823</v>
      </c>
      <c r="X1461" s="819" t="str">
        <f t="shared" si="326"/>
        <v/>
      </c>
      <c r="Y1461" s="837"/>
      <c r="Z1461" s="839"/>
      <c r="AA1461" s="838"/>
      <c r="AB1461" s="839"/>
    </row>
    <row r="1462" spans="1:28" ht="13.15">
      <c r="B1462" s="819" t="s">
        <v>3350</v>
      </c>
      <c r="C1462" s="819" t="s">
        <v>3351</v>
      </c>
      <c r="D1462" s="379" t="s">
        <v>336</v>
      </c>
      <c r="E1462" s="818" t="s">
        <v>3193</v>
      </c>
      <c r="F1462" s="820">
        <v>9.6347934370000008</v>
      </c>
      <c r="G1462" s="821">
        <v>-6.9293559000000005E-2</v>
      </c>
      <c r="H1462" s="822"/>
      <c r="I1462" s="819"/>
      <c r="J1462" s="820">
        <v>4.7855200000000002E-5</v>
      </c>
      <c r="K1462" s="819" t="str">
        <f t="shared" si="316"/>
        <v>N/A</v>
      </c>
      <c r="L1462" s="819">
        <f t="shared" si="317"/>
        <v>1212</v>
      </c>
      <c r="M1462" s="819" t="str">
        <f t="shared" si="313"/>
        <v>N/A</v>
      </c>
      <c r="N1462" s="819">
        <f t="shared" si="314"/>
        <v>364</v>
      </c>
      <c r="O1462" s="819">
        <f t="shared" si="315"/>
        <v>349</v>
      </c>
      <c r="P1462" s="819" t="str">
        <f t="shared" si="318"/>
        <v>N/A</v>
      </c>
      <c r="Q1462" s="819">
        <f t="shared" si="319"/>
        <v>789</v>
      </c>
      <c r="R1462" s="819" t="str">
        <f t="shared" si="320"/>
        <v>N/A</v>
      </c>
      <c r="S1462" s="819">
        <f t="shared" si="321"/>
        <v>338</v>
      </c>
      <c r="T1462" s="819">
        <f t="shared" si="322"/>
        <v>327</v>
      </c>
      <c r="U1462" s="819">
        <f t="shared" si="323"/>
        <v>1454</v>
      </c>
      <c r="V1462" s="819">
        <f t="shared" si="324"/>
        <v>19</v>
      </c>
      <c r="W1462" s="379">
        <f t="shared" si="325"/>
        <v>19</v>
      </c>
      <c r="X1462" s="819" t="str">
        <f t="shared" si="326"/>
        <v/>
      </c>
      <c r="Y1462" s="837"/>
      <c r="Z1462" s="839"/>
      <c r="AA1462" s="838"/>
      <c r="AB1462" s="839"/>
    </row>
    <row r="1463" spans="1:28" ht="14.45">
      <c r="A1463" s="816"/>
      <c r="B1463" s="819" t="s">
        <v>3352</v>
      </c>
      <c r="C1463" s="819" t="s">
        <v>3353</v>
      </c>
      <c r="D1463" s="379" t="s">
        <v>336</v>
      </c>
      <c r="E1463" s="818" t="s">
        <v>460</v>
      </c>
      <c r="F1463" s="820">
        <v>0.59742120899999995</v>
      </c>
      <c r="G1463" s="821">
        <v>0.57132764999999996</v>
      </c>
      <c r="H1463" s="822">
        <v>2069854.3776592601</v>
      </c>
      <c r="I1463" s="819">
        <v>0.13</v>
      </c>
      <c r="J1463" s="820">
        <v>-2.7905999999999997E-4</v>
      </c>
      <c r="K1463" s="819">
        <f t="shared" si="316"/>
        <v>1492</v>
      </c>
      <c r="L1463" s="819">
        <f t="shared" si="317"/>
        <v>905</v>
      </c>
      <c r="M1463" s="819">
        <f t="shared" si="313"/>
        <v>1492</v>
      </c>
      <c r="N1463" s="819">
        <f t="shared" si="314"/>
        <v>247</v>
      </c>
      <c r="O1463" s="819">
        <f t="shared" si="315"/>
        <v>1166</v>
      </c>
      <c r="P1463" s="819">
        <f t="shared" si="318"/>
        <v>94</v>
      </c>
      <c r="Q1463" s="819">
        <f t="shared" si="319"/>
        <v>482</v>
      </c>
      <c r="R1463" s="819">
        <f t="shared" si="320"/>
        <v>1410</v>
      </c>
      <c r="S1463" s="819">
        <f t="shared" si="321"/>
        <v>221</v>
      </c>
      <c r="T1463" s="819">
        <f t="shared" si="322"/>
        <v>1144</v>
      </c>
      <c r="U1463" s="819">
        <f t="shared" si="323"/>
        <v>3351</v>
      </c>
      <c r="V1463" s="819">
        <f t="shared" si="324"/>
        <v>1410</v>
      </c>
      <c r="W1463" s="379">
        <f t="shared" si="325"/>
        <v>1410</v>
      </c>
      <c r="X1463" s="819" t="str">
        <f t="shared" si="326"/>
        <v/>
      </c>
      <c r="Y1463" s="837"/>
      <c r="Z1463" s="839"/>
      <c r="AA1463" s="838"/>
      <c r="AB1463" s="839"/>
    </row>
    <row r="1464" spans="1:28" ht="13.15">
      <c r="B1464" s="819" t="s">
        <v>3354</v>
      </c>
      <c r="C1464" s="819" t="s">
        <v>3355</v>
      </c>
      <c r="D1464" s="379" t="s">
        <v>336</v>
      </c>
      <c r="E1464" s="818" t="s">
        <v>441</v>
      </c>
      <c r="F1464" s="820">
        <v>0.14956531100000001</v>
      </c>
      <c r="G1464" s="821">
        <v>-0.111836537</v>
      </c>
      <c r="H1464" s="822">
        <v>404214718.32738698</v>
      </c>
      <c r="I1464" s="819"/>
      <c r="J1464" s="820">
        <v>5.4778199999999997E-5</v>
      </c>
      <c r="K1464" s="819">
        <f t="shared" si="316"/>
        <v>403</v>
      </c>
      <c r="L1464" s="819">
        <f t="shared" si="317"/>
        <v>1224</v>
      </c>
      <c r="M1464" s="819">
        <f t="shared" si="313"/>
        <v>403</v>
      </c>
      <c r="N1464" s="819">
        <f t="shared" si="314"/>
        <v>364</v>
      </c>
      <c r="O1464" s="819">
        <f t="shared" si="315"/>
        <v>341</v>
      </c>
      <c r="P1464" s="819">
        <f t="shared" si="318"/>
        <v>995</v>
      </c>
      <c r="Q1464" s="819">
        <f t="shared" si="319"/>
        <v>801</v>
      </c>
      <c r="R1464" s="819">
        <f t="shared" si="320"/>
        <v>321</v>
      </c>
      <c r="S1464" s="819">
        <f t="shared" si="321"/>
        <v>338</v>
      </c>
      <c r="T1464" s="819">
        <f t="shared" si="322"/>
        <v>319</v>
      </c>
      <c r="U1464" s="819">
        <f t="shared" si="323"/>
        <v>2774</v>
      </c>
      <c r="V1464" s="819">
        <f t="shared" si="324"/>
        <v>450</v>
      </c>
      <c r="W1464" s="379">
        <f t="shared" si="325"/>
        <v>450</v>
      </c>
      <c r="X1464" s="819" t="str">
        <f t="shared" si="326"/>
        <v/>
      </c>
      <c r="Y1464" s="837"/>
      <c r="Z1464" s="839"/>
      <c r="AA1464" s="838"/>
      <c r="AB1464" s="839"/>
    </row>
    <row r="1465" spans="1:28" ht="14.45">
      <c r="A1465" s="816"/>
      <c r="B1465" s="819" t="s">
        <v>3356</v>
      </c>
      <c r="C1465" s="819" t="s">
        <v>3357</v>
      </c>
      <c r="D1465" s="379" t="s">
        <v>336</v>
      </c>
      <c r="E1465" s="818" t="s">
        <v>441</v>
      </c>
      <c r="F1465" s="820">
        <v>3.035620212</v>
      </c>
      <c r="G1465" s="821">
        <v>9.5301668149999994</v>
      </c>
      <c r="H1465" s="822">
        <v>11340109.898</v>
      </c>
      <c r="I1465" s="819"/>
      <c r="J1465" s="820">
        <v>-1.26829E-5</v>
      </c>
      <c r="K1465" s="819">
        <f t="shared" si="316"/>
        <v>1223</v>
      </c>
      <c r="L1465" s="819">
        <f t="shared" si="317"/>
        <v>209</v>
      </c>
      <c r="M1465" s="819">
        <f t="shared" si="313"/>
        <v>1223</v>
      </c>
      <c r="N1465" s="819">
        <f t="shared" si="314"/>
        <v>364</v>
      </c>
      <c r="O1465" s="819">
        <f t="shared" si="315"/>
        <v>822</v>
      </c>
      <c r="P1465" s="819">
        <f t="shared" si="318"/>
        <v>175</v>
      </c>
      <c r="Q1465" s="819">
        <f t="shared" si="319"/>
        <v>214</v>
      </c>
      <c r="R1465" s="819">
        <f t="shared" si="320"/>
        <v>1141</v>
      </c>
      <c r="S1465" s="819">
        <f t="shared" si="321"/>
        <v>338</v>
      </c>
      <c r="T1465" s="819">
        <f t="shared" si="322"/>
        <v>800</v>
      </c>
      <c r="U1465" s="819">
        <f t="shared" si="323"/>
        <v>2668</v>
      </c>
      <c r="V1465" s="819">
        <f t="shared" si="324"/>
        <v>330</v>
      </c>
      <c r="W1465" s="379">
        <f t="shared" si="325"/>
        <v>330</v>
      </c>
      <c r="X1465" s="819" t="str">
        <f t="shared" si="326"/>
        <v/>
      </c>
      <c r="Y1465" s="837"/>
      <c r="Z1465" s="839"/>
      <c r="AA1465" s="838"/>
      <c r="AB1465" s="839"/>
    </row>
    <row r="1466" spans="1:28" ht="13.15">
      <c r="B1466" s="819" t="s">
        <v>3358</v>
      </c>
      <c r="C1466" s="819" t="s">
        <v>3359</v>
      </c>
      <c r="D1466" s="379" t="s">
        <v>336</v>
      </c>
      <c r="E1466" s="818" t="s">
        <v>1870</v>
      </c>
      <c r="F1466" s="820">
        <v>1.1703176500000001</v>
      </c>
      <c r="G1466" s="821">
        <v>2.2693913960000001</v>
      </c>
      <c r="H1466" s="822">
        <v>10285587.466520701</v>
      </c>
      <c r="I1466" s="819"/>
      <c r="J1466" s="820">
        <v>-9.6306599999999997E-5</v>
      </c>
      <c r="K1466" s="819">
        <f t="shared" si="316"/>
        <v>1250</v>
      </c>
      <c r="L1466" s="819">
        <f t="shared" si="317"/>
        <v>637</v>
      </c>
      <c r="M1466" s="819">
        <f t="shared" si="313"/>
        <v>1250</v>
      </c>
      <c r="N1466" s="819">
        <f t="shared" si="314"/>
        <v>364</v>
      </c>
      <c r="O1466" s="819">
        <f t="shared" si="315"/>
        <v>1003</v>
      </c>
      <c r="P1466" s="819">
        <f t="shared" si="318"/>
        <v>148</v>
      </c>
      <c r="Q1466" s="819">
        <f t="shared" si="319"/>
        <v>214</v>
      </c>
      <c r="R1466" s="819">
        <f t="shared" si="320"/>
        <v>1168</v>
      </c>
      <c r="S1466" s="819">
        <f t="shared" si="321"/>
        <v>338</v>
      </c>
      <c r="T1466" s="819">
        <f t="shared" si="322"/>
        <v>981</v>
      </c>
      <c r="U1466" s="819">
        <f t="shared" si="323"/>
        <v>2849</v>
      </c>
      <c r="V1466" s="819">
        <f t="shared" si="324"/>
        <v>720</v>
      </c>
      <c r="W1466" s="379">
        <f t="shared" si="325"/>
        <v>720</v>
      </c>
      <c r="X1466" s="819" t="str">
        <f t="shared" si="326"/>
        <v/>
      </c>
      <c r="Y1466" s="837"/>
      <c r="Z1466" s="839"/>
      <c r="AA1466" s="838"/>
      <c r="AB1466" s="839"/>
    </row>
    <row r="1467" spans="1:28" ht="14.45">
      <c r="A1467" s="816"/>
      <c r="B1467" s="819" t="s">
        <v>3360</v>
      </c>
      <c r="C1467" s="819" t="s">
        <v>3361</v>
      </c>
      <c r="D1467" s="379" t="s">
        <v>336</v>
      </c>
      <c r="E1467" s="818" t="s">
        <v>441</v>
      </c>
      <c r="F1467" s="820">
        <v>0.56838288999999997</v>
      </c>
      <c r="G1467" s="821">
        <v>3.3378907309999999</v>
      </c>
      <c r="H1467" s="822"/>
      <c r="I1467" s="819"/>
      <c r="J1467" s="820">
        <v>-7.9529299999999998E-5</v>
      </c>
      <c r="K1467" s="819" t="str">
        <f t="shared" si="316"/>
        <v>N/A</v>
      </c>
      <c r="L1467" s="819">
        <f t="shared" si="317"/>
        <v>521</v>
      </c>
      <c r="M1467" s="819" t="str">
        <f t="shared" si="313"/>
        <v>N/A</v>
      </c>
      <c r="N1467" s="819">
        <f t="shared" si="314"/>
        <v>364</v>
      </c>
      <c r="O1467" s="819">
        <f t="shared" si="315"/>
        <v>973</v>
      </c>
      <c r="P1467" s="819" t="str">
        <f t="shared" si="318"/>
        <v>N/A</v>
      </c>
      <c r="Q1467" s="819">
        <f t="shared" si="319"/>
        <v>98</v>
      </c>
      <c r="R1467" s="819" t="str">
        <f t="shared" si="320"/>
        <v>N/A</v>
      </c>
      <c r="S1467" s="819">
        <f t="shared" si="321"/>
        <v>338</v>
      </c>
      <c r="T1467" s="819">
        <f t="shared" si="322"/>
        <v>951</v>
      </c>
      <c r="U1467" s="819">
        <f t="shared" si="323"/>
        <v>1387</v>
      </c>
      <c r="V1467" s="819">
        <f t="shared" si="324"/>
        <v>8</v>
      </c>
      <c r="W1467" s="379">
        <f t="shared" si="325"/>
        <v>8</v>
      </c>
      <c r="X1467" s="819" t="str">
        <f t="shared" si="326"/>
        <v/>
      </c>
      <c r="Y1467" s="837"/>
      <c r="Z1467" s="839"/>
      <c r="AA1467" s="838"/>
      <c r="AB1467" s="839"/>
    </row>
    <row r="1468" spans="1:28" ht="13.15">
      <c r="B1468" s="819" t="s">
        <v>3362</v>
      </c>
      <c r="C1468" s="819" t="s">
        <v>3363</v>
      </c>
      <c r="D1468" s="379" t="s">
        <v>336</v>
      </c>
      <c r="E1468" s="818" t="s">
        <v>941</v>
      </c>
      <c r="F1468" s="820">
        <v>2.6336170600000002</v>
      </c>
      <c r="G1468" s="821">
        <v>6.9148212390000001</v>
      </c>
      <c r="H1468" s="822">
        <v>48158222.0040242</v>
      </c>
      <c r="I1468" s="819"/>
      <c r="J1468" s="820">
        <v>-9.7054399999999997E-5</v>
      </c>
      <c r="K1468" s="819">
        <f t="shared" si="316"/>
        <v>886</v>
      </c>
      <c r="L1468" s="819">
        <f t="shared" si="317"/>
        <v>290</v>
      </c>
      <c r="M1468" s="819">
        <f t="shared" si="313"/>
        <v>886</v>
      </c>
      <c r="N1468" s="819">
        <f t="shared" si="314"/>
        <v>364</v>
      </c>
      <c r="O1468" s="819">
        <f t="shared" si="315"/>
        <v>1006</v>
      </c>
      <c r="P1468" s="819">
        <f t="shared" si="318"/>
        <v>512</v>
      </c>
      <c r="Q1468" s="819">
        <f t="shared" si="319"/>
        <v>133</v>
      </c>
      <c r="R1468" s="819">
        <f t="shared" si="320"/>
        <v>804</v>
      </c>
      <c r="S1468" s="819">
        <f t="shared" si="321"/>
        <v>338</v>
      </c>
      <c r="T1468" s="819">
        <f t="shared" si="322"/>
        <v>984</v>
      </c>
      <c r="U1468" s="819">
        <f t="shared" si="323"/>
        <v>2771</v>
      </c>
      <c r="V1468" s="819">
        <f t="shared" si="324"/>
        <v>446</v>
      </c>
      <c r="W1468" s="379">
        <f t="shared" si="325"/>
        <v>446</v>
      </c>
      <c r="X1468" s="819" t="str">
        <f t="shared" si="326"/>
        <v/>
      </c>
      <c r="Y1468" s="837"/>
      <c r="Z1468" s="839"/>
      <c r="AA1468" s="838"/>
      <c r="AB1468" s="839"/>
    </row>
    <row r="1469" spans="1:28" ht="14.45">
      <c r="A1469" s="816"/>
      <c r="B1469" s="819" t="s">
        <v>3364</v>
      </c>
      <c r="C1469" s="819" t="s">
        <v>3365</v>
      </c>
      <c r="D1469" s="379" t="s">
        <v>336</v>
      </c>
      <c r="E1469" s="818" t="s">
        <v>842</v>
      </c>
      <c r="F1469" s="820">
        <v>3.4027446719999999</v>
      </c>
      <c r="G1469" s="821">
        <v>6.0902815449999999</v>
      </c>
      <c r="H1469" s="822">
        <v>11228493.7834711</v>
      </c>
      <c r="I1469" s="819">
        <v>0.18</v>
      </c>
      <c r="J1469" s="820">
        <v>-2.3443629999999999E-3</v>
      </c>
      <c r="K1469" s="819">
        <f t="shared" si="316"/>
        <v>1227</v>
      </c>
      <c r="L1469" s="819">
        <f t="shared" si="317"/>
        <v>318</v>
      </c>
      <c r="M1469" s="819">
        <f t="shared" si="313"/>
        <v>1227</v>
      </c>
      <c r="N1469" s="819">
        <f t="shared" si="314"/>
        <v>219</v>
      </c>
      <c r="O1469" s="819">
        <f t="shared" si="315"/>
        <v>1517</v>
      </c>
      <c r="P1469" s="819">
        <f t="shared" si="318"/>
        <v>171</v>
      </c>
      <c r="Q1469" s="819">
        <f t="shared" si="319"/>
        <v>105</v>
      </c>
      <c r="R1469" s="819">
        <f t="shared" si="320"/>
        <v>1145</v>
      </c>
      <c r="S1469" s="819">
        <f t="shared" si="321"/>
        <v>193</v>
      </c>
      <c r="T1469" s="819">
        <f t="shared" si="322"/>
        <v>1495</v>
      </c>
      <c r="U1469" s="819">
        <f t="shared" si="323"/>
        <v>3109</v>
      </c>
      <c r="V1469" s="819">
        <f t="shared" si="324"/>
        <v>1077</v>
      </c>
      <c r="W1469" s="379">
        <f t="shared" si="325"/>
        <v>1077</v>
      </c>
      <c r="X1469" s="819" t="str">
        <f t="shared" si="326"/>
        <v/>
      </c>
      <c r="Y1469" s="837"/>
      <c r="Z1469" s="839"/>
      <c r="AA1469" s="838"/>
      <c r="AB1469" s="839"/>
    </row>
    <row r="1470" spans="1:28" ht="13.15">
      <c r="B1470" s="819" t="s">
        <v>3366</v>
      </c>
      <c r="C1470" s="819" t="s">
        <v>3367</v>
      </c>
      <c r="D1470" s="379" t="s">
        <v>336</v>
      </c>
      <c r="E1470" s="818" t="s">
        <v>568</v>
      </c>
      <c r="F1470" s="820">
        <v>3.631894441</v>
      </c>
      <c r="G1470" s="821">
        <v>2.427216005</v>
      </c>
      <c r="H1470" s="822">
        <v>585467493.592628</v>
      </c>
      <c r="I1470" s="819"/>
      <c r="J1470" s="820">
        <v>-7.6940299999999999E-5</v>
      </c>
      <c r="K1470" s="819">
        <f t="shared" si="316"/>
        <v>320</v>
      </c>
      <c r="L1470" s="819">
        <f t="shared" si="317"/>
        <v>612</v>
      </c>
      <c r="M1470" s="819">
        <f t="shared" si="313"/>
        <v>320</v>
      </c>
      <c r="N1470" s="819">
        <f t="shared" si="314"/>
        <v>364</v>
      </c>
      <c r="O1470" s="819">
        <f t="shared" si="315"/>
        <v>967</v>
      </c>
      <c r="P1470" s="819">
        <f t="shared" si="318"/>
        <v>1078</v>
      </c>
      <c r="Q1470" s="819">
        <f t="shared" si="319"/>
        <v>189</v>
      </c>
      <c r="R1470" s="819">
        <f t="shared" si="320"/>
        <v>238</v>
      </c>
      <c r="S1470" s="819">
        <f t="shared" si="321"/>
        <v>338</v>
      </c>
      <c r="T1470" s="819">
        <f t="shared" si="322"/>
        <v>945</v>
      </c>
      <c r="U1470" s="819">
        <f t="shared" si="323"/>
        <v>2788</v>
      </c>
      <c r="V1470" s="819">
        <f t="shared" si="324"/>
        <v>608</v>
      </c>
      <c r="W1470" s="379">
        <f t="shared" si="325"/>
        <v>608</v>
      </c>
      <c r="X1470" s="819" t="str">
        <f t="shared" si="326"/>
        <v/>
      </c>
      <c r="Y1470" s="837"/>
      <c r="Z1470" s="839"/>
      <c r="AA1470" s="838"/>
      <c r="AB1470" s="839"/>
    </row>
    <row r="1471" spans="1:28" ht="14.45">
      <c r="A1471" s="816"/>
      <c r="B1471" s="819" t="s">
        <v>3368</v>
      </c>
      <c r="C1471" s="819" t="s">
        <v>3369</v>
      </c>
      <c r="D1471" s="379" t="s">
        <v>336</v>
      </c>
      <c r="E1471" s="818" t="s">
        <v>460</v>
      </c>
      <c r="F1471" s="820">
        <v>8.9904158909999996</v>
      </c>
      <c r="G1471" s="821">
        <v>18.86385494</v>
      </c>
      <c r="H1471" s="822">
        <v>51515251.393300198</v>
      </c>
      <c r="I1471" s="819"/>
      <c r="J1471" s="820">
        <v>-1.47935E-5</v>
      </c>
      <c r="K1471" s="819">
        <f t="shared" si="316"/>
        <v>869</v>
      </c>
      <c r="L1471" s="819">
        <f t="shared" si="317"/>
        <v>99</v>
      </c>
      <c r="M1471" s="819">
        <f t="shared" si="313"/>
        <v>869</v>
      </c>
      <c r="N1471" s="819">
        <f t="shared" si="314"/>
        <v>364</v>
      </c>
      <c r="O1471" s="819">
        <f t="shared" si="315"/>
        <v>831</v>
      </c>
      <c r="P1471" s="819">
        <f t="shared" si="318"/>
        <v>529</v>
      </c>
      <c r="Q1471" s="819">
        <f t="shared" si="319"/>
        <v>324</v>
      </c>
      <c r="R1471" s="819">
        <f t="shared" si="320"/>
        <v>787</v>
      </c>
      <c r="S1471" s="819">
        <f t="shared" si="321"/>
        <v>338</v>
      </c>
      <c r="T1471" s="819">
        <f t="shared" si="322"/>
        <v>809</v>
      </c>
      <c r="U1471" s="819">
        <f t="shared" si="323"/>
        <v>2787</v>
      </c>
      <c r="V1471" s="819">
        <f t="shared" si="324"/>
        <v>605</v>
      </c>
      <c r="W1471" s="379">
        <f t="shared" si="325"/>
        <v>605</v>
      </c>
      <c r="X1471" s="819" t="str">
        <f t="shared" si="326"/>
        <v/>
      </c>
      <c r="Y1471" s="837"/>
      <c r="Z1471" s="839"/>
      <c r="AA1471" s="838"/>
      <c r="AB1471" s="839"/>
    </row>
    <row r="1472" spans="1:28" ht="13.15">
      <c r="B1472" s="819" t="s">
        <v>3370</v>
      </c>
      <c r="C1472" s="819" t="s">
        <v>3371</v>
      </c>
      <c r="D1472" s="379" t="s">
        <v>336</v>
      </c>
      <c r="E1472" s="818" t="s">
        <v>460</v>
      </c>
      <c r="F1472" s="820">
        <v>2.2972404219999998</v>
      </c>
      <c r="G1472" s="821">
        <v>6.3618617000000002E-2</v>
      </c>
      <c r="H1472" s="822">
        <v>13899682.3874873</v>
      </c>
      <c r="I1472" s="819"/>
      <c r="J1472" s="820">
        <v>-8.7375500000000004E-5</v>
      </c>
      <c r="K1472" s="819">
        <f t="shared" si="316"/>
        <v>1181</v>
      </c>
      <c r="L1472" s="819">
        <f t="shared" si="317"/>
        <v>1037</v>
      </c>
      <c r="M1472" s="819">
        <f t="shared" si="313"/>
        <v>1181</v>
      </c>
      <c r="N1472" s="819">
        <f t="shared" si="314"/>
        <v>364</v>
      </c>
      <c r="O1472" s="819">
        <f t="shared" si="315"/>
        <v>992</v>
      </c>
      <c r="P1472" s="819">
        <f t="shared" si="318"/>
        <v>217</v>
      </c>
      <c r="Q1472" s="819">
        <f t="shared" si="319"/>
        <v>614</v>
      </c>
      <c r="R1472" s="819">
        <f t="shared" si="320"/>
        <v>1099</v>
      </c>
      <c r="S1472" s="819">
        <f t="shared" si="321"/>
        <v>338</v>
      </c>
      <c r="T1472" s="819">
        <f t="shared" si="322"/>
        <v>970</v>
      </c>
      <c r="U1472" s="819">
        <f t="shared" si="323"/>
        <v>3238</v>
      </c>
      <c r="V1472" s="819">
        <f t="shared" si="324"/>
        <v>1254</v>
      </c>
      <c r="W1472" s="379">
        <f t="shared" si="325"/>
        <v>1254</v>
      </c>
      <c r="X1472" s="819" t="str">
        <f t="shared" si="326"/>
        <v/>
      </c>
      <c r="Y1472" s="837"/>
      <c r="Z1472" s="839"/>
      <c r="AA1472" s="838"/>
      <c r="AB1472" s="839"/>
    </row>
    <row r="1473" spans="1:28" ht="14.45">
      <c r="A1473" s="816"/>
      <c r="B1473" s="819" t="s">
        <v>3372</v>
      </c>
      <c r="C1473" s="819" t="s">
        <v>3373</v>
      </c>
      <c r="D1473" s="379" t="s">
        <v>336</v>
      </c>
      <c r="E1473" s="818" t="s">
        <v>441</v>
      </c>
      <c r="F1473" s="820">
        <v>0.87062482200000002</v>
      </c>
      <c r="G1473" s="821">
        <v>1.9733160999999999E-2</v>
      </c>
      <c r="H1473" s="822"/>
      <c r="I1473" s="819"/>
      <c r="J1473" s="820">
        <v>-2.704003E-3</v>
      </c>
      <c r="K1473" s="819" t="str">
        <f t="shared" si="316"/>
        <v>N/A</v>
      </c>
      <c r="L1473" s="819">
        <f t="shared" si="317"/>
        <v>1061</v>
      </c>
      <c r="M1473" s="819" t="str">
        <f t="shared" si="313"/>
        <v>N/A</v>
      </c>
      <c r="N1473" s="819">
        <f t="shared" si="314"/>
        <v>364</v>
      </c>
      <c r="O1473" s="819">
        <f t="shared" si="315"/>
        <v>1533</v>
      </c>
      <c r="P1473" s="819" t="str">
        <f t="shared" si="318"/>
        <v>N/A</v>
      </c>
      <c r="Q1473" s="819">
        <f t="shared" si="319"/>
        <v>638</v>
      </c>
      <c r="R1473" s="819" t="str">
        <f t="shared" si="320"/>
        <v>N/A</v>
      </c>
      <c r="S1473" s="819">
        <f t="shared" si="321"/>
        <v>338</v>
      </c>
      <c r="T1473" s="819">
        <f t="shared" si="322"/>
        <v>1511</v>
      </c>
      <c r="U1473" s="819">
        <f t="shared" si="323"/>
        <v>2487</v>
      </c>
      <c r="V1473" s="819">
        <f t="shared" si="324"/>
        <v>246</v>
      </c>
      <c r="W1473" s="379">
        <f t="shared" si="325"/>
        <v>246</v>
      </c>
      <c r="X1473" s="819" t="str">
        <f t="shared" si="326"/>
        <v/>
      </c>
      <c r="Y1473" s="837"/>
      <c r="Z1473" s="839"/>
      <c r="AA1473" s="838"/>
      <c r="AB1473" s="839"/>
    </row>
    <row r="1474" spans="1:28" ht="13.15">
      <c r="B1474" s="819" t="s">
        <v>3374</v>
      </c>
      <c r="C1474" s="819" t="s">
        <v>3375</v>
      </c>
      <c r="D1474" s="379" t="s">
        <v>336</v>
      </c>
      <c r="E1474" s="818" t="s">
        <v>676</v>
      </c>
      <c r="F1474" s="820">
        <v>1.979567316</v>
      </c>
      <c r="G1474" s="821">
        <v>8.5307618690000009</v>
      </c>
      <c r="H1474" s="822">
        <v>1888882621.6128199</v>
      </c>
      <c r="I1474" s="819">
        <v>9.68</v>
      </c>
      <c r="J1474" s="820">
        <v>-2.1861089999999999E-3</v>
      </c>
      <c r="K1474" s="819">
        <f t="shared" si="316"/>
        <v>153</v>
      </c>
      <c r="L1474" s="819">
        <f t="shared" si="317"/>
        <v>241</v>
      </c>
      <c r="M1474" s="819">
        <f t="shared" si="313"/>
        <v>153</v>
      </c>
      <c r="N1474" s="819">
        <f t="shared" si="314"/>
        <v>31</v>
      </c>
      <c r="O1474" s="819">
        <f t="shared" si="315"/>
        <v>1506</v>
      </c>
      <c r="P1474" s="819">
        <f t="shared" si="318"/>
        <v>1245</v>
      </c>
      <c r="Q1474" s="819">
        <f t="shared" si="319"/>
        <v>182</v>
      </c>
      <c r="R1474" s="819">
        <f t="shared" si="320"/>
        <v>71</v>
      </c>
      <c r="S1474" s="819">
        <f t="shared" si="321"/>
        <v>5</v>
      </c>
      <c r="T1474" s="819">
        <f t="shared" si="322"/>
        <v>1484</v>
      </c>
      <c r="U1474" s="819">
        <f t="shared" si="323"/>
        <v>2987</v>
      </c>
      <c r="V1474" s="819">
        <f t="shared" si="324"/>
        <v>910</v>
      </c>
      <c r="W1474" s="379">
        <f t="shared" si="325"/>
        <v>910</v>
      </c>
      <c r="X1474" s="819" t="str">
        <f t="shared" si="326"/>
        <v/>
      </c>
      <c r="Y1474" s="837"/>
      <c r="Z1474" s="839"/>
      <c r="AA1474" s="838"/>
      <c r="AB1474" s="839"/>
    </row>
    <row r="1475" spans="1:28" ht="14.45">
      <c r="A1475" s="816"/>
      <c r="B1475" s="819" t="s">
        <v>3376</v>
      </c>
      <c r="C1475" s="819" t="s">
        <v>3377</v>
      </c>
      <c r="D1475" s="379" t="s">
        <v>336</v>
      </c>
      <c r="E1475" s="818" t="s">
        <v>941</v>
      </c>
      <c r="F1475" s="820">
        <v>3.4755957839999998</v>
      </c>
      <c r="G1475" s="821">
        <v>6.7788150480000002</v>
      </c>
      <c r="H1475" s="822">
        <v>942249387.964149</v>
      </c>
      <c r="I1475" s="819"/>
      <c r="J1475" s="820">
        <v>-7.0390200000000004E-6</v>
      </c>
      <c r="K1475" s="819">
        <f t="shared" si="316"/>
        <v>229</v>
      </c>
      <c r="L1475" s="819">
        <f t="shared" si="317"/>
        <v>292</v>
      </c>
      <c r="M1475" s="819">
        <f t="shared" si="313"/>
        <v>229</v>
      </c>
      <c r="N1475" s="819">
        <f t="shared" si="314"/>
        <v>364</v>
      </c>
      <c r="O1475" s="819">
        <f t="shared" si="315"/>
        <v>790</v>
      </c>
      <c r="P1475" s="819">
        <f t="shared" si="318"/>
        <v>1169</v>
      </c>
      <c r="Q1475" s="819">
        <f t="shared" si="319"/>
        <v>131</v>
      </c>
      <c r="R1475" s="819">
        <f t="shared" si="320"/>
        <v>147</v>
      </c>
      <c r="S1475" s="819">
        <f t="shared" si="321"/>
        <v>338</v>
      </c>
      <c r="T1475" s="819">
        <f t="shared" si="322"/>
        <v>768</v>
      </c>
      <c r="U1475" s="819">
        <f t="shared" si="323"/>
        <v>2553</v>
      </c>
      <c r="V1475" s="819">
        <f t="shared" si="324"/>
        <v>267</v>
      </c>
      <c r="W1475" s="379">
        <f t="shared" si="325"/>
        <v>267</v>
      </c>
      <c r="X1475" s="819" t="str">
        <f t="shared" si="326"/>
        <v/>
      </c>
      <c r="Y1475" s="837"/>
      <c r="Z1475" s="839"/>
      <c r="AA1475" s="838"/>
      <c r="AB1475" s="839"/>
    </row>
    <row r="1476" spans="1:28" ht="13.15">
      <c r="B1476" s="819" t="s">
        <v>3378</v>
      </c>
      <c r="C1476" s="819" t="s">
        <v>3379</v>
      </c>
      <c r="D1476" s="379" t="s">
        <v>336</v>
      </c>
      <c r="E1476" s="818" t="s">
        <v>460</v>
      </c>
      <c r="F1476" s="820">
        <v>3.6270572749999999</v>
      </c>
      <c r="G1476" s="821">
        <v>3.6652935119999999</v>
      </c>
      <c r="H1476" s="822">
        <v>8777274.7899562493</v>
      </c>
      <c r="I1476" s="819">
        <v>0.12</v>
      </c>
      <c r="J1476" s="820">
        <v>-2.200591E-3</v>
      </c>
      <c r="K1476" s="819">
        <f t="shared" si="316"/>
        <v>1275</v>
      </c>
      <c r="L1476" s="819">
        <f t="shared" si="317"/>
        <v>480</v>
      </c>
      <c r="M1476" s="819">
        <f t="shared" ref="M1476:M1539" si="327">IFERROR(_xlfn.RANK.EQ(H1476,H$3:H$1787),"N/A")</f>
        <v>1275</v>
      </c>
      <c r="N1476" s="819">
        <f t="shared" ref="N1476:N1539" si="328">IFERROR(_xlfn.RANK.EQ(I1476,I$3:I$1787),"N/A")</f>
        <v>250</v>
      </c>
      <c r="O1476" s="819">
        <f t="shared" ref="O1476:O1539" si="329">IFERROR(_xlfn.RANK.EQ(J1476,J$3:J$1787),"N/A")</f>
        <v>1507</v>
      </c>
      <c r="P1476" s="819">
        <f t="shared" si="318"/>
        <v>123</v>
      </c>
      <c r="Q1476" s="819">
        <f t="shared" si="319"/>
        <v>57</v>
      </c>
      <c r="R1476" s="819">
        <f t="shared" si="320"/>
        <v>1193</v>
      </c>
      <c r="S1476" s="819">
        <f t="shared" si="321"/>
        <v>224</v>
      </c>
      <c r="T1476" s="819">
        <f t="shared" si="322"/>
        <v>1485</v>
      </c>
      <c r="U1476" s="819">
        <f t="shared" si="323"/>
        <v>3082</v>
      </c>
      <c r="V1476" s="819">
        <f t="shared" si="324"/>
        <v>1033</v>
      </c>
      <c r="W1476" s="379">
        <f t="shared" si="325"/>
        <v>1033</v>
      </c>
      <c r="X1476" s="819" t="str">
        <f t="shared" si="326"/>
        <v/>
      </c>
      <c r="Y1476" s="837"/>
      <c r="Z1476" s="839"/>
      <c r="AA1476" s="838"/>
      <c r="AB1476" s="839"/>
    </row>
    <row r="1477" spans="1:28" ht="14.45">
      <c r="A1477" s="816"/>
      <c r="B1477" s="819" t="s">
        <v>3380</v>
      </c>
      <c r="C1477" s="819" t="s">
        <v>3381</v>
      </c>
      <c r="D1477" s="379" t="s">
        <v>336</v>
      </c>
      <c r="E1477" s="818" t="s">
        <v>189</v>
      </c>
      <c r="F1477" s="820">
        <v>29.619580500000001</v>
      </c>
      <c r="G1477" s="821">
        <v>9.8498672220000003</v>
      </c>
      <c r="H1477" s="822">
        <v>892652141.21993995</v>
      </c>
      <c r="I1477" s="819"/>
      <c r="J1477" s="820">
        <v>-1.871174E-3</v>
      </c>
      <c r="K1477" s="819">
        <f t="shared" ref="K1477:K1540" si="330">IFERROR(_xlfn.RANK.EQ(H1477,H$3:H$1787),"N/A")</f>
        <v>245</v>
      </c>
      <c r="L1477" s="819">
        <f t="shared" ref="L1477:L1540" si="331">IFERROR(_xlfn.RANK.EQ(G1477,G$3:G$1787),"N/A")</f>
        <v>200</v>
      </c>
      <c r="M1477" s="819">
        <f t="shared" si="327"/>
        <v>245</v>
      </c>
      <c r="N1477" s="819">
        <f t="shared" si="328"/>
        <v>364</v>
      </c>
      <c r="O1477" s="819">
        <f t="shared" si="329"/>
        <v>1486</v>
      </c>
      <c r="P1477" s="819">
        <f t="shared" ref="P1477:P1540" si="332">IFERROR(ABS(K$3-K1477),"N/A")</f>
        <v>1153</v>
      </c>
      <c r="Q1477" s="819">
        <f t="shared" ref="Q1477:Q1540" si="333">IFERROR(ABS(L$3-L1477),"N/A")</f>
        <v>223</v>
      </c>
      <c r="R1477" s="819">
        <f t="shared" ref="R1477:R1540" si="334">IFERROR(ABS(M$3-M1477),"N/A")</f>
        <v>163</v>
      </c>
      <c r="S1477" s="819">
        <f t="shared" ref="S1477:S1540" si="335">IFERROR(ABS(N$3-N1477),"N/A")</f>
        <v>338</v>
      </c>
      <c r="T1477" s="819">
        <f t="shared" ref="T1477:T1540" si="336">IFERROR(ABS(O$3-O1477),"N/A")</f>
        <v>1464</v>
      </c>
      <c r="U1477" s="819">
        <f t="shared" ref="U1477:U1540" si="337">SUM(P1477:T1477)</f>
        <v>3341</v>
      </c>
      <c r="V1477" s="819">
        <f t="shared" ref="V1477:V1540" si="338">_xlfn.RANK.EQ(U1477,$U$4:$U$1787,1)</f>
        <v>1397</v>
      </c>
      <c r="W1477" s="379">
        <f t="shared" ref="W1477:W1540" si="339">IF(Y1477="Not suitable","-",V1477)</f>
        <v>1397</v>
      </c>
      <c r="X1477" s="819" t="str">
        <f t="shared" si="326"/>
        <v/>
      </c>
      <c r="Y1477" s="837"/>
      <c r="Z1477" s="839"/>
      <c r="AA1477" s="838"/>
      <c r="AB1477" s="839"/>
    </row>
    <row r="1478" spans="1:28" ht="13.15">
      <c r="B1478" s="819" t="s">
        <v>3382</v>
      </c>
      <c r="C1478" s="819" t="s">
        <v>3383</v>
      </c>
      <c r="D1478" s="379" t="s">
        <v>336</v>
      </c>
      <c r="E1478" s="818" t="s">
        <v>915</v>
      </c>
      <c r="F1478" s="820">
        <v>-0.26881879400000003</v>
      </c>
      <c r="G1478" s="821">
        <v>0</v>
      </c>
      <c r="H1478" s="822"/>
      <c r="I1478" s="819"/>
      <c r="J1478" s="820">
        <v>2.0214100000000001E-6</v>
      </c>
      <c r="K1478" s="819" t="str">
        <f t="shared" si="330"/>
        <v>N/A</v>
      </c>
      <c r="L1478" s="819">
        <f t="shared" si="331"/>
        <v>1084</v>
      </c>
      <c r="M1478" s="819" t="str">
        <f t="shared" si="327"/>
        <v>N/A</v>
      </c>
      <c r="N1478" s="819">
        <f t="shared" si="328"/>
        <v>364</v>
      </c>
      <c r="O1478" s="819">
        <f t="shared" si="329"/>
        <v>471</v>
      </c>
      <c r="P1478" s="819" t="str">
        <f t="shared" si="332"/>
        <v>N/A</v>
      </c>
      <c r="Q1478" s="819">
        <f t="shared" si="333"/>
        <v>661</v>
      </c>
      <c r="R1478" s="819" t="str">
        <f t="shared" si="334"/>
        <v>N/A</v>
      </c>
      <c r="S1478" s="819">
        <f t="shared" si="335"/>
        <v>338</v>
      </c>
      <c r="T1478" s="819">
        <f t="shared" si="336"/>
        <v>449</v>
      </c>
      <c r="U1478" s="819">
        <f t="shared" si="337"/>
        <v>1448</v>
      </c>
      <c r="V1478" s="819">
        <f t="shared" si="338"/>
        <v>16</v>
      </c>
      <c r="W1478" s="379">
        <f t="shared" si="339"/>
        <v>16</v>
      </c>
      <c r="X1478" s="819" t="str">
        <f t="shared" ref="X1478:X1541" si="340">IF(L1478="N/A","Y","")</f>
        <v/>
      </c>
      <c r="Y1478" s="837"/>
      <c r="Z1478" s="839"/>
      <c r="AA1478" s="838"/>
      <c r="AB1478" s="839"/>
    </row>
    <row r="1479" spans="1:28" ht="14.45">
      <c r="A1479" s="816"/>
      <c r="B1479" s="819" t="s">
        <v>3384</v>
      </c>
      <c r="C1479" s="819" t="s">
        <v>3385</v>
      </c>
      <c r="D1479" s="379" t="s">
        <v>336</v>
      </c>
      <c r="E1479" s="818" t="s">
        <v>1832</v>
      </c>
      <c r="F1479" s="820">
        <v>1.477050958</v>
      </c>
      <c r="G1479" s="821">
        <v>1.591869008</v>
      </c>
      <c r="H1479" s="822">
        <v>1575423.3950374201</v>
      </c>
      <c r="I1479" s="819"/>
      <c r="J1479" s="820">
        <v>-7.5961800000000002E-5</v>
      </c>
      <c r="K1479" s="819">
        <f t="shared" si="330"/>
        <v>1527</v>
      </c>
      <c r="L1479" s="819">
        <f t="shared" si="331"/>
        <v>729</v>
      </c>
      <c r="M1479" s="819">
        <f t="shared" si="327"/>
        <v>1527</v>
      </c>
      <c r="N1479" s="819">
        <f t="shared" si="328"/>
        <v>364</v>
      </c>
      <c r="O1479" s="819">
        <f t="shared" si="329"/>
        <v>964</v>
      </c>
      <c r="P1479" s="819">
        <f t="shared" si="332"/>
        <v>129</v>
      </c>
      <c r="Q1479" s="819">
        <f t="shared" si="333"/>
        <v>306</v>
      </c>
      <c r="R1479" s="819">
        <f t="shared" si="334"/>
        <v>1445</v>
      </c>
      <c r="S1479" s="819">
        <f t="shared" si="335"/>
        <v>338</v>
      </c>
      <c r="T1479" s="819">
        <f t="shared" si="336"/>
        <v>942</v>
      </c>
      <c r="U1479" s="819">
        <f t="shared" si="337"/>
        <v>3160</v>
      </c>
      <c r="V1479" s="819">
        <f t="shared" si="338"/>
        <v>1141</v>
      </c>
      <c r="W1479" s="379">
        <f t="shared" si="339"/>
        <v>1141</v>
      </c>
      <c r="X1479" s="819" t="str">
        <f t="shared" si="340"/>
        <v/>
      </c>
      <c r="Y1479" s="837"/>
      <c r="Z1479" s="839"/>
      <c r="AA1479" s="838"/>
      <c r="AB1479" s="839"/>
    </row>
    <row r="1480" spans="1:28" ht="13.15">
      <c r="B1480" s="819" t="s">
        <v>3386</v>
      </c>
      <c r="C1480" s="819" t="s">
        <v>3387</v>
      </c>
      <c r="D1480" s="379" t="s">
        <v>336</v>
      </c>
      <c r="E1480" s="818" t="s">
        <v>441</v>
      </c>
      <c r="F1480" s="820">
        <v>1.192256633</v>
      </c>
      <c r="G1480" s="821">
        <v>0</v>
      </c>
      <c r="H1480" s="822">
        <v>36555864.169877201</v>
      </c>
      <c r="I1480" s="819"/>
      <c r="J1480" s="820">
        <v>-1.7285900000000001E-4</v>
      </c>
      <c r="K1480" s="819">
        <f t="shared" si="330"/>
        <v>950</v>
      </c>
      <c r="L1480" s="819">
        <f t="shared" si="331"/>
        <v>1084</v>
      </c>
      <c r="M1480" s="819">
        <f t="shared" si="327"/>
        <v>950</v>
      </c>
      <c r="N1480" s="819">
        <f t="shared" si="328"/>
        <v>364</v>
      </c>
      <c r="O1480" s="819">
        <f t="shared" si="329"/>
        <v>1088</v>
      </c>
      <c r="P1480" s="819">
        <f t="shared" si="332"/>
        <v>448</v>
      </c>
      <c r="Q1480" s="819">
        <f t="shared" si="333"/>
        <v>661</v>
      </c>
      <c r="R1480" s="819">
        <f t="shared" si="334"/>
        <v>868</v>
      </c>
      <c r="S1480" s="819">
        <f t="shared" si="335"/>
        <v>338</v>
      </c>
      <c r="T1480" s="819">
        <f t="shared" si="336"/>
        <v>1066</v>
      </c>
      <c r="U1480" s="819">
        <f t="shared" si="337"/>
        <v>3381</v>
      </c>
      <c r="V1480" s="819">
        <f t="shared" si="338"/>
        <v>1444</v>
      </c>
      <c r="W1480" s="379">
        <f t="shared" si="339"/>
        <v>1444</v>
      </c>
      <c r="X1480" s="819" t="str">
        <f t="shared" si="340"/>
        <v/>
      </c>
      <c r="Y1480" s="837"/>
      <c r="Z1480" s="839"/>
      <c r="AA1480" s="838"/>
      <c r="AB1480" s="839"/>
    </row>
    <row r="1481" spans="1:28" ht="14.45">
      <c r="A1481" s="816"/>
      <c r="B1481" s="819" t="s">
        <v>3388</v>
      </c>
      <c r="C1481" s="819" t="s">
        <v>3389</v>
      </c>
      <c r="D1481" s="379" t="s">
        <v>336</v>
      </c>
      <c r="E1481" s="818" t="s">
        <v>625</v>
      </c>
      <c r="F1481" s="820">
        <v>2.9012892149999998</v>
      </c>
      <c r="G1481" s="821">
        <v>3.8783511430000002</v>
      </c>
      <c r="H1481" s="822">
        <v>141851050.67985201</v>
      </c>
      <c r="I1481" s="819"/>
      <c r="J1481" s="820">
        <v>-2.05647E-5</v>
      </c>
      <c r="K1481" s="819">
        <f t="shared" si="330"/>
        <v>636</v>
      </c>
      <c r="L1481" s="819">
        <f t="shared" si="331"/>
        <v>461</v>
      </c>
      <c r="M1481" s="819">
        <f t="shared" si="327"/>
        <v>636</v>
      </c>
      <c r="N1481" s="819">
        <f t="shared" si="328"/>
        <v>364</v>
      </c>
      <c r="O1481" s="819">
        <f t="shared" si="329"/>
        <v>852</v>
      </c>
      <c r="P1481" s="819">
        <f t="shared" si="332"/>
        <v>762</v>
      </c>
      <c r="Q1481" s="819">
        <f t="shared" si="333"/>
        <v>38</v>
      </c>
      <c r="R1481" s="819">
        <f t="shared" si="334"/>
        <v>554</v>
      </c>
      <c r="S1481" s="819">
        <f t="shared" si="335"/>
        <v>338</v>
      </c>
      <c r="T1481" s="819">
        <f t="shared" si="336"/>
        <v>830</v>
      </c>
      <c r="U1481" s="819">
        <f t="shared" si="337"/>
        <v>2522</v>
      </c>
      <c r="V1481" s="819">
        <f t="shared" si="338"/>
        <v>257</v>
      </c>
      <c r="W1481" s="379">
        <f t="shared" si="339"/>
        <v>257</v>
      </c>
      <c r="X1481" s="819" t="str">
        <f t="shared" si="340"/>
        <v/>
      </c>
      <c r="Y1481" s="837"/>
      <c r="Z1481" s="839"/>
      <c r="AA1481" s="838"/>
      <c r="AB1481" s="839"/>
    </row>
    <row r="1482" spans="1:28" ht="13.15">
      <c r="B1482" s="819" t="s">
        <v>3390</v>
      </c>
      <c r="C1482" s="819" t="s">
        <v>3391</v>
      </c>
      <c r="D1482" s="379" t="s">
        <v>336</v>
      </c>
      <c r="E1482" s="818" t="s">
        <v>460</v>
      </c>
      <c r="F1482" s="820">
        <v>-0.43200118100000001</v>
      </c>
      <c r="G1482" s="821">
        <v>-10.206200580000001</v>
      </c>
      <c r="H1482" s="822">
        <v>5647989.4528674996</v>
      </c>
      <c r="I1482" s="819"/>
      <c r="J1482" s="820">
        <v>7.5557399999999998E-6</v>
      </c>
      <c r="K1482" s="819">
        <f t="shared" si="330"/>
        <v>1352</v>
      </c>
      <c r="L1482" s="819">
        <f t="shared" si="331"/>
        <v>1448</v>
      </c>
      <c r="M1482" s="819">
        <f t="shared" si="327"/>
        <v>1352</v>
      </c>
      <c r="N1482" s="819">
        <f t="shared" si="328"/>
        <v>364</v>
      </c>
      <c r="O1482" s="819">
        <f t="shared" si="329"/>
        <v>430</v>
      </c>
      <c r="P1482" s="819">
        <f t="shared" si="332"/>
        <v>46</v>
      </c>
      <c r="Q1482" s="819">
        <f t="shared" si="333"/>
        <v>1025</v>
      </c>
      <c r="R1482" s="819">
        <f t="shared" si="334"/>
        <v>1270</v>
      </c>
      <c r="S1482" s="819">
        <f t="shared" si="335"/>
        <v>338</v>
      </c>
      <c r="T1482" s="819">
        <f t="shared" si="336"/>
        <v>408</v>
      </c>
      <c r="U1482" s="819">
        <f t="shared" si="337"/>
        <v>3087</v>
      </c>
      <c r="V1482" s="819">
        <f t="shared" si="338"/>
        <v>1048</v>
      </c>
      <c r="W1482" s="379">
        <f t="shared" si="339"/>
        <v>1048</v>
      </c>
      <c r="X1482" s="819" t="str">
        <f t="shared" si="340"/>
        <v/>
      </c>
      <c r="Y1482" s="837"/>
      <c r="Z1482" s="839"/>
      <c r="AA1482" s="838"/>
      <c r="AB1482" s="839"/>
    </row>
    <row r="1483" spans="1:28" ht="14.45">
      <c r="A1483" s="816"/>
      <c r="B1483" s="819" t="s">
        <v>3392</v>
      </c>
      <c r="C1483" s="819" t="s">
        <v>3393</v>
      </c>
      <c r="D1483" s="379" t="s">
        <v>336</v>
      </c>
      <c r="E1483" s="818" t="s">
        <v>460</v>
      </c>
      <c r="F1483" s="820"/>
      <c r="G1483" s="821"/>
      <c r="H1483" s="822">
        <v>20739610.195960902</v>
      </c>
      <c r="I1483" s="819"/>
      <c r="J1483" s="820">
        <v>0</v>
      </c>
      <c r="K1483" s="819">
        <f t="shared" si="330"/>
        <v>1096</v>
      </c>
      <c r="L1483" s="819">
        <f t="shared" si="331"/>
        <v>1084</v>
      </c>
      <c r="M1483" s="819">
        <f t="shared" si="327"/>
        <v>1096</v>
      </c>
      <c r="N1483" s="819">
        <f t="shared" si="328"/>
        <v>364</v>
      </c>
      <c r="O1483" s="819">
        <f t="shared" si="329"/>
        <v>492</v>
      </c>
      <c r="P1483" s="819">
        <f t="shared" si="332"/>
        <v>302</v>
      </c>
      <c r="Q1483" s="819">
        <f t="shared" si="333"/>
        <v>661</v>
      </c>
      <c r="R1483" s="819">
        <f t="shared" si="334"/>
        <v>1014</v>
      </c>
      <c r="S1483" s="819">
        <f t="shared" si="335"/>
        <v>338</v>
      </c>
      <c r="T1483" s="819">
        <f t="shared" si="336"/>
        <v>470</v>
      </c>
      <c r="U1483" s="819">
        <f t="shared" si="337"/>
        <v>2785</v>
      </c>
      <c r="V1483" s="819">
        <f t="shared" si="338"/>
        <v>463</v>
      </c>
      <c r="W1483" s="379">
        <f t="shared" si="339"/>
        <v>463</v>
      </c>
      <c r="X1483" s="819" t="str">
        <f t="shared" si="340"/>
        <v/>
      </c>
      <c r="Y1483" s="837"/>
      <c r="Z1483" s="839"/>
      <c r="AA1483" s="838"/>
      <c r="AB1483" s="839"/>
    </row>
    <row r="1484" spans="1:28" ht="13.15">
      <c r="B1484" s="819" t="s">
        <v>3394</v>
      </c>
      <c r="C1484" s="819" t="s">
        <v>3395</v>
      </c>
      <c r="D1484" s="379" t="s">
        <v>336</v>
      </c>
      <c r="E1484" s="818" t="s">
        <v>460</v>
      </c>
      <c r="F1484" s="820">
        <v>11.495162819999999</v>
      </c>
      <c r="G1484" s="821">
        <v>-69.887824929999994</v>
      </c>
      <c r="H1484" s="822">
        <v>604096.9921875</v>
      </c>
      <c r="I1484" s="819"/>
      <c r="J1484" s="820">
        <v>2.46794E-6</v>
      </c>
      <c r="K1484" s="819">
        <f t="shared" si="330"/>
        <v>1593</v>
      </c>
      <c r="L1484" s="819">
        <f t="shared" si="331"/>
        <v>1515</v>
      </c>
      <c r="M1484" s="819">
        <f t="shared" si="327"/>
        <v>1593</v>
      </c>
      <c r="N1484" s="819">
        <f t="shared" si="328"/>
        <v>364</v>
      </c>
      <c r="O1484" s="819">
        <f t="shared" si="329"/>
        <v>462</v>
      </c>
      <c r="P1484" s="819">
        <f t="shared" si="332"/>
        <v>195</v>
      </c>
      <c r="Q1484" s="819">
        <f t="shared" si="333"/>
        <v>1092</v>
      </c>
      <c r="R1484" s="819">
        <f t="shared" si="334"/>
        <v>1511</v>
      </c>
      <c r="S1484" s="819">
        <f t="shared" si="335"/>
        <v>338</v>
      </c>
      <c r="T1484" s="819">
        <f t="shared" si="336"/>
        <v>440</v>
      </c>
      <c r="U1484" s="819">
        <f t="shared" si="337"/>
        <v>3576</v>
      </c>
      <c r="V1484" s="819">
        <f t="shared" si="338"/>
        <v>1613</v>
      </c>
      <c r="W1484" s="379">
        <f t="shared" si="339"/>
        <v>1613</v>
      </c>
      <c r="X1484" s="819" t="str">
        <f t="shared" si="340"/>
        <v/>
      </c>
      <c r="Y1484" s="837"/>
      <c r="Z1484" s="839"/>
      <c r="AA1484" s="838"/>
      <c r="AB1484" s="839"/>
    </row>
    <row r="1485" spans="1:28" ht="14.45">
      <c r="A1485" s="816"/>
      <c r="B1485" s="819" t="s">
        <v>3396</v>
      </c>
      <c r="C1485" s="819" t="s">
        <v>3397</v>
      </c>
      <c r="D1485" s="379" t="s">
        <v>336</v>
      </c>
      <c r="E1485" s="818" t="s">
        <v>941</v>
      </c>
      <c r="F1485" s="820">
        <v>0.64101618299999996</v>
      </c>
      <c r="G1485" s="821">
        <v>2.9652459580000001</v>
      </c>
      <c r="H1485" s="822">
        <v>2365463.9692701702</v>
      </c>
      <c r="I1485" s="819"/>
      <c r="J1485" s="820">
        <v>-2.92825E-5</v>
      </c>
      <c r="K1485" s="819">
        <f t="shared" si="330"/>
        <v>1476</v>
      </c>
      <c r="L1485" s="819">
        <f t="shared" si="331"/>
        <v>552</v>
      </c>
      <c r="M1485" s="819">
        <f t="shared" si="327"/>
        <v>1476</v>
      </c>
      <c r="N1485" s="819">
        <f t="shared" si="328"/>
        <v>364</v>
      </c>
      <c r="O1485" s="819">
        <f t="shared" si="329"/>
        <v>875</v>
      </c>
      <c r="P1485" s="819">
        <f t="shared" si="332"/>
        <v>78</v>
      </c>
      <c r="Q1485" s="819">
        <f t="shared" si="333"/>
        <v>129</v>
      </c>
      <c r="R1485" s="819">
        <f t="shared" si="334"/>
        <v>1394</v>
      </c>
      <c r="S1485" s="819">
        <f t="shared" si="335"/>
        <v>338</v>
      </c>
      <c r="T1485" s="819">
        <f t="shared" si="336"/>
        <v>853</v>
      </c>
      <c r="U1485" s="819">
        <f t="shared" si="337"/>
        <v>2792</v>
      </c>
      <c r="V1485" s="819">
        <f t="shared" si="338"/>
        <v>614</v>
      </c>
      <c r="W1485" s="379">
        <f t="shared" si="339"/>
        <v>614</v>
      </c>
      <c r="X1485" s="819" t="str">
        <f t="shared" si="340"/>
        <v/>
      </c>
      <c r="Y1485" s="837"/>
      <c r="Z1485" s="839"/>
      <c r="AA1485" s="838"/>
      <c r="AB1485" s="839"/>
    </row>
    <row r="1486" spans="1:28" ht="13.15">
      <c r="B1486" s="819" t="s">
        <v>3398</v>
      </c>
      <c r="C1486" s="819" t="s">
        <v>3399</v>
      </c>
      <c r="D1486" s="379" t="s">
        <v>336</v>
      </c>
      <c r="E1486" s="818" t="s">
        <v>676</v>
      </c>
      <c r="F1486" s="820">
        <v>0.420028911</v>
      </c>
      <c r="G1486" s="821">
        <v>0</v>
      </c>
      <c r="H1486" s="822">
        <v>33019781.9576432</v>
      </c>
      <c r="I1486" s="819">
        <v>0.01</v>
      </c>
      <c r="J1486" s="820">
        <v>-7.4835700000000006E-5</v>
      </c>
      <c r="K1486" s="819">
        <f t="shared" si="330"/>
        <v>971</v>
      </c>
      <c r="L1486" s="819">
        <f t="shared" si="331"/>
        <v>1084</v>
      </c>
      <c r="M1486" s="819">
        <f t="shared" si="327"/>
        <v>971</v>
      </c>
      <c r="N1486" s="819">
        <f t="shared" si="328"/>
        <v>344</v>
      </c>
      <c r="O1486" s="819">
        <f t="shared" si="329"/>
        <v>960</v>
      </c>
      <c r="P1486" s="819">
        <f t="shared" si="332"/>
        <v>427</v>
      </c>
      <c r="Q1486" s="819">
        <f t="shared" si="333"/>
        <v>661</v>
      </c>
      <c r="R1486" s="819">
        <f t="shared" si="334"/>
        <v>889</v>
      </c>
      <c r="S1486" s="819">
        <f t="shared" si="335"/>
        <v>318</v>
      </c>
      <c r="T1486" s="819">
        <f t="shared" si="336"/>
        <v>938</v>
      </c>
      <c r="U1486" s="819">
        <f t="shared" si="337"/>
        <v>3233</v>
      </c>
      <c r="V1486" s="819">
        <f t="shared" si="338"/>
        <v>1243</v>
      </c>
      <c r="W1486" s="379">
        <f t="shared" si="339"/>
        <v>1243</v>
      </c>
      <c r="X1486" s="819" t="str">
        <f t="shared" si="340"/>
        <v/>
      </c>
      <c r="Y1486" s="837"/>
      <c r="Z1486" s="839"/>
      <c r="AA1486" s="838"/>
      <c r="AB1486" s="839"/>
    </row>
    <row r="1487" spans="1:28" ht="14.45">
      <c r="A1487" s="816"/>
      <c r="B1487" s="819" t="s">
        <v>3400</v>
      </c>
      <c r="C1487" s="819" t="s">
        <v>3401</v>
      </c>
      <c r="D1487" s="379" t="s">
        <v>336</v>
      </c>
      <c r="E1487" s="818" t="s">
        <v>373</v>
      </c>
      <c r="F1487" s="820">
        <v>0.94239982099999997</v>
      </c>
      <c r="G1487" s="821">
        <v>1.517480355</v>
      </c>
      <c r="H1487" s="822">
        <v>35547454.114057198</v>
      </c>
      <c r="I1487" s="819"/>
      <c r="J1487" s="820">
        <v>-3.1575599999999999E-4</v>
      </c>
      <c r="K1487" s="819">
        <f t="shared" si="330"/>
        <v>956</v>
      </c>
      <c r="L1487" s="819">
        <f t="shared" si="331"/>
        <v>737</v>
      </c>
      <c r="M1487" s="819">
        <f t="shared" si="327"/>
        <v>956</v>
      </c>
      <c r="N1487" s="819">
        <f t="shared" si="328"/>
        <v>364</v>
      </c>
      <c r="O1487" s="819">
        <f t="shared" si="329"/>
        <v>1186</v>
      </c>
      <c r="P1487" s="819">
        <f t="shared" si="332"/>
        <v>442</v>
      </c>
      <c r="Q1487" s="819">
        <f t="shared" si="333"/>
        <v>314</v>
      </c>
      <c r="R1487" s="819">
        <f t="shared" si="334"/>
        <v>874</v>
      </c>
      <c r="S1487" s="819">
        <f t="shared" si="335"/>
        <v>338</v>
      </c>
      <c r="T1487" s="819">
        <f t="shared" si="336"/>
        <v>1164</v>
      </c>
      <c r="U1487" s="819">
        <f t="shared" si="337"/>
        <v>3132</v>
      </c>
      <c r="V1487" s="819">
        <f t="shared" si="338"/>
        <v>1102</v>
      </c>
      <c r="W1487" s="379">
        <f t="shared" si="339"/>
        <v>1102</v>
      </c>
      <c r="X1487" s="819" t="str">
        <f t="shared" si="340"/>
        <v/>
      </c>
      <c r="Y1487" s="837"/>
      <c r="Z1487" s="839"/>
      <c r="AA1487" s="838"/>
      <c r="AB1487" s="839"/>
    </row>
    <row r="1488" spans="1:28" ht="13.15">
      <c r="B1488" s="819" t="s">
        <v>3402</v>
      </c>
      <c r="C1488" s="819" t="s">
        <v>3403</v>
      </c>
      <c r="D1488" s="379" t="s">
        <v>336</v>
      </c>
      <c r="E1488" s="818" t="s">
        <v>441</v>
      </c>
      <c r="F1488" s="820">
        <v>3.9547286260000001</v>
      </c>
      <c r="G1488" s="821">
        <v>2.035205441</v>
      </c>
      <c r="H1488" s="822">
        <v>429587703.09388</v>
      </c>
      <c r="I1488" s="819"/>
      <c r="J1488" s="820">
        <v>-1.06356E-5</v>
      </c>
      <c r="K1488" s="819">
        <f t="shared" si="330"/>
        <v>391</v>
      </c>
      <c r="L1488" s="819">
        <f t="shared" si="331"/>
        <v>667</v>
      </c>
      <c r="M1488" s="819">
        <f t="shared" si="327"/>
        <v>391</v>
      </c>
      <c r="N1488" s="819">
        <f t="shared" si="328"/>
        <v>364</v>
      </c>
      <c r="O1488" s="819">
        <f t="shared" si="329"/>
        <v>808</v>
      </c>
      <c r="P1488" s="819">
        <f t="shared" si="332"/>
        <v>1007</v>
      </c>
      <c r="Q1488" s="819">
        <f t="shared" si="333"/>
        <v>244</v>
      </c>
      <c r="R1488" s="819">
        <f t="shared" si="334"/>
        <v>309</v>
      </c>
      <c r="S1488" s="819">
        <f t="shared" si="335"/>
        <v>338</v>
      </c>
      <c r="T1488" s="819">
        <f t="shared" si="336"/>
        <v>786</v>
      </c>
      <c r="U1488" s="819">
        <f t="shared" si="337"/>
        <v>2684</v>
      </c>
      <c r="V1488" s="819">
        <f t="shared" si="338"/>
        <v>342</v>
      </c>
      <c r="W1488" s="379">
        <f t="shared" si="339"/>
        <v>342</v>
      </c>
      <c r="X1488" s="819" t="str">
        <f t="shared" si="340"/>
        <v/>
      </c>
      <c r="Y1488" s="837"/>
      <c r="Z1488" s="839"/>
      <c r="AA1488" s="838"/>
      <c r="AB1488" s="839"/>
    </row>
    <row r="1489" spans="1:28" ht="14.45">
      <c r="A1489" s="816"/>
      <c r="B1489" s="819" t="s">
        <v>3404</v>
      </c>
      <c r="C1489" s="819" t="s">
        <v>3405</v>
      </c>
      <c r="D1489" s="379" t="s">
        <v>336</v>
      </c>
      <c r="E1489" s="818" t="s">
        <v>625</v>
      </c>
      <c r="F1489" s="820">
        <v>2.8923406219999999</v>
      </c>
      <c r="G1489" s="821">
        <v>0.24059243799999999</v>
      </c>
      <c r="H1489" s="822">
        <v>3605274.10383189</v>
      </c>
      <c r="I1489" s="819">
        <v>0.34</v>
      </c>
      <c r="J1489" s="820">
        <v>-2.8825500000000001E-4</v>
      </c>
      <c r="K1489" s="819">
        <f t="shared" si="330"/>
        <v>1421</v>
      </c>
      <c r="L1489" s="819">
        <f t="shared" si="331"/>
        <v>974</v>
      </c>
      <c r="M1489" s="819">
        <f t="shared" si="327"/>
        <v>1421</v>
      </c>
      <c r="N1489" s="819">
        <f t="shared" si="328"/>
        <v>180</v>
      </c>
      <c r="O1489" s="819">
        <f t="shared" si="329"/>
        <v>1173</v>
      </c>
      <c r="P1489" s="819">
        <f t="shared" si="332"/>
        <v>23</v>
      </c>
      <c r="Q1489" s="819">
        <f t="shared" si="333"/>
        <v>551</v>
      </c>
      <c r="R1489" s="819">
        <f t="shared" si="334"/>
        <v>1339</v>
      </c>
      <c r="S1489" s="819">
        <f t="shared" si="335"/>
        <v>154</v>
      </c>
      <c r="T1489" s="819">
        <f t="shared" si="336"/>
        <v>1151</v>
      </c>
      <c r="U1489" s="819">
        <f t="shared" si="337"/>
        <v>3218</v>
      </c>
      <c r="V1489" s="819">
        <f t="shared" si="338"/>
        <v>1226</v>
      </c>
      <c r="W1489" s="379">
        <f t="shared" si="339"/>
        <v>1226</v>
      </c>
      <c r="X1489" s="819" t="str">
        <f t="shared" si="340"/>
        <v/>
      </c>
      <c r="Y1489" s="837"/>
      <c r="Z1489" s="839"/>
      <c r="AA1489" s="838"/>
      <c r="AB1489" s="839"/>
    </row>
    <row r="1490" spans="1:28" ht="13.15">
      <c r="B1490" s="819" t="s">
        <v>3406</v>
      </c>
      <c r="C1490" s="819" t="s">
        <v>3407</v>
      </c>
      <c r="D1490" s="379" t="s">
        <v>336</v>
      </c>
      <c r="E1490" s="818" t="s">
        <v>460</v>
      </c>
      <c r="F1490" s="820">
        <v>3.5802313250000002</v>
      </c>
      <c r="G1490" s="821">
        <v>10.76169546</v>
      </c>
      <c r="H1490" s="822">
        <v>689013361.66476905</v>
      </c>
      <c r="I1490" s="819"/>
      <c r="J1490" s="820">
        <v>-1.273E-5</v>
      </c>
      <c r="K1490" s="819">
        <f t="shared" si="330"/>
        <v>288</v>
      </c>
      <c r="L1490" s="819">
        <f t="shared" si="331"/>
        <v>176</v>
      </c>
      <c r="M1490" s="819">
        <f t="shared" si="327"/>
        <v>288</v>
      </c>
      <c r="N1490" s="819">
        <f t="shared" si="328"/>
        <v>364</v>
      </c>
      <c r="O1490" s="819">
        <f t="shared" si="329"/>
        <v>823</v>
      </c>
      <c r="P1490" s="819">
        <f t="shared" si="332"/>
        <v>1110</v>
      </c>
      <c r="Q1490" s="819">
        <f t="shared" si="333"/>
        <v>247</v>
      </c>
      <c r="R1490" s="819">
        <f t="shared" si="334"/>
        <v>206</v>
      </c>
      <c r="S1490" s="819">
        <f t="shared" si="335"/>
        <v>338</v>
      </c>
      <c r="T1490" s="819">
        <f t="shared" si="336"/>
        <v>801</v>
      </c>
      <c r="U1490" s="819">
        <f t="shared" si="337"/>
        <v>2702</v>
      </c>
      <c r="V1490" s="819">
        <f t="shared" si="338"/>
        <v>358</v>
      </c>
      <c r="W1490" s="379">
        <f t="shared" si="339"/>
        <v>358</v>
      </c>
      <c r="X1490" s="819" t="str">
        <f t="shared" si="340"/>
        <v/>
      </c>
      <c r="Y1490" s="837"/>
      <c r="Z1490" s="839"/>
      <c r="AA1490" s="838"/>
      <c r="AB1490" s="839"/>
    </row>
    <row r="1491" spans="1:28" ht="14.45">
      <c r="A1491" s="816"/>
      <c r="B1491" s="819" t="s">
        <v>3408</v>
      </c>
      <c r="C1491" s="819" t="s">
        <v>3409</v>
      </c>
      <c r="D1491" s="379" t="s">
        <v>336</v>
      </c>
      <c r="E1491" s="818" t="s">
        <v>460</v>
      </c>
      <c r="F1491" s="820"/>
      <c r="G1491" s="821"/>
      <c r="H1491" s="822">
        <v>2742446.2156169498</v>
      </c>
      <c r="I1491" s="819"/>
      <c r="J1491" s="820">
        <v>0</v>
      </c>
      <c r="K1491" s="819">
        <f t="shared" si="330"/>
        <v>1457</v>
      </c>
      <c r="L1491" s="819">
        <f t="shared" si="331"/>
        <v>1084</v>
      </c>
      <c r="M1491" s="819">
        <f t="shared" si="327"/>
        <v>1457</v>
      </c>
      <c r="N1491" s="819">
        <f t="shared" si="328"/>
        <v>364</v>
      </c>
      <c r="O1491" s="819">
        <f t="shared" si="329"/>
        <v>492</v>
      </c>
      <c r="P1491" s="819">
        <f t="shared" si="332"/>
        <v>59</v>
      </c>
      <c r="Q1491" s="819">
        <f t="shared" si="333"/>
        <v>661</v>
      </c>
      <c r="R1491" s="819">
        <f t="shared" si="334"/>
        <v>1375</v>
      </c>
      <c r="S1491" s="819">
        <f t="shared" si="335"/>
        <v>338</v>
      </c>
      <c r="T1491" s="819">
        <f t="shared" si="336"/>
        <v>470</v>
      </c>
      <c r="U1491" s="819">
        <f t="shared" si="337"/>
        <v>2903</v>
      </c>
      <c r="V1491" s="819">
        <f t="shared" si="338"/>
        <v>807</v>
      </c>
      <c r="W1491" s="379">
        <f t="shared" si="339"/>
        <v>807</v>
      </c>
      <c r="X1491" s="819" t="str">
        <f t="shared" si="340"/>
        <v/>
      </c>
      <c r="Y1491" s="837"/>
      <c r="Z1491" s="839"/>
      <c r="AA1491" s="838"/>
      <c r="AB1491" s="839"/>
    </row>
    <row r="1492" spans="1:28" ht="13.15">
      <c r="B1492" s="819" t="s">
        <v>3410</v>
      </c>
      <c r="C1492" s="819" t="s">
        <v>3411</v>
      </c>
      <c r="D1492" s="379" t="s">
        <v>336</v>
      </c>
      <c r="E1492" s="818" t="s">
        <v>595</v>
      </c>
      <c r="F1492" s="820">
        <v>2.2375485140000002</v>
      </c>
      <c r="G1492" s="821">
        <v>1.499390003</v>
      </c>
      <c r="H1492" s="822"/>
      <c r="I1492" s="819"/>
      <c r="J1492" s="820">
        <v>-2.3027200000000001E-4</v>
      </c>
      <c r="K1492" s="819" t="str">
        <f t="shared" si="330"/>
        <v>N/A</v>
      </c>
      <c r="L1492" s="819">
        <f t="shared" si="331"/>
        <v>739</v>
      </c>
      <c r="M1492" s="819" t="str">
        <f t="shared" si="327"/>
        <v>N/A</v>
      </c>
      <c r="N1492" s="819">
        <f t="shared" si="328"/>
        <v>364</v>
      </c>
      <c r="O1492" s="819">
        <f t="shared" si="329"/>
        <v>1130</v>
      </c>
      <c r="P1492" s="819" t="str">
        <f t="shared" si="332"/>
        <v>N/A</v>
      </c>
      <c r="Q1492" s="819">
        <f t="shared" si="333"/>
        <v>316</v>
      </c>
      <c r="R1492" s="819" t="str">
        <f t="shared" si="334"/>
        <v>N/A</v>
      </c>
      <c r="S1492" s="819">
        <f t="shared" si="335"/>
        <v>338</v>
      </c>
      <c r="T1492" s="819">
        <f t="shared" si="336"/>
        <v>1108</v>
      </c>
      <c r="U1492" s="819">
        <f t="shared" si="337"/>
        <v>1762</v>
      </c>
      <c r="V1492" s="819">
        <f t="shared" si="338"/>
        <v>104</v>
      </c>
      <c r="W1492" s="379">
        <f t="shared" si="339"/>
        <v>104</v>
      </c>
      <c r="X1492" s="819" t="str">
        <f t="shared" si="340"/>
        <v/>
      </c>
      <c r="Y1492" s="837"/>
      <c r="Z1492" s="839"/>
      <c r="AA1492" s="838"/>
      <c r="AB1492" s="839"/>
    </row>
    <row r="1493" spans="1:28" ht="14.45">
      <c r="A1493" s="816"/>
      <c r="B1493" s="819" t="s">
        <v>3412</v>
      </c>
      <c r="C1493" s="819" t="s">
        <v>3413</v>
      </c>
      <c r="D1493" s="379" t="s">
        <v>336</v>
      </c>
      <c r="E1493" s="818" t="s">
        <v>441</v>
      </c>
      <c r="F1493" s="820"/>
      <c r="G1493" s="821"/>
      <c r="H1493" s="822"/>
      <c r="I1493" s="819"/>
      <c r="J1493" s="820">
        <v>0</v>
      </c>
      <c r="K1493" s="819" t="str">
        <f t="shared" si="330"/>
        <v>N/A</v>
      </c>
      <c r="L1493" s="819">
        <f t="shared" si="331"/>
        <v>1084</v>
      </c>
      <c r="M1493" s="819" t="str">
        <f t="shared" si="327"/>
        <v>N/A</v>
      </c>
      <c r="N1493" s="819">
        <f t="shared" si="328"/>
        <v>364</v>
      </c>
      <c r="O1493" s="819">
        <f t="shared" si="329"/>
        <v>492</v>
      </c>
      <c r="P1493" s="819" t="str">
        <f t="shared" si="332"/>
        <v>N/A</v>
      </c>
      <c r="Q1493" s="819">
        <f t="shared" si="333"/>
        <v>661</v>
      </c>
      <c r="R1493" s="819" t="str">
        <f t="shared" si="334"/>
        <v>N/A</v>
      </c>
      <c r="S1493" s="819">
        <f t="shared" si="335"/>
        <v>338</v>
      </c>
      <c r="T1493" s="819">
        <f t="shared" si="336"/>
        <v>470</v>
      </c>
      <c r="U1493" s="819">
        <f t="shared" si="337"/>
        <v>1469</v>
      </c>
      <c r="V1493" s="819">
        <f t="shared" si="338"/>
        <v>22</v>
      </c>
      <c r="W1493" s="379">
        <f t="shared" si="339"/>
        <v>22</v>
      </c>
      <c r="X1493" s="819" t="str">
        <f t="shared" si="340"/>
        <v/>
      </c>
      <c r="Y1493" s="837"/>
      <c r="Z1493" s="839"/>
      <c r="AA1493" s="838"/>
      <c r="AB1493" s="839"/>
    </row>
    <row r="1494" spans="1:28" ht="13.15">
      <c r="B1494" s="819" t="s">
        <v>3414</v>
      </c>
      <c r="C1494" s="819" t="s">
        <v>3415</v>
      </c>
      <c r="D1494" s="379" t="s">
        <v>336</v>
      </c>
      <c r="E1494" s="818" t="s">
        <v>645</v>
      </c>
      <c r="F1494" s="820">
        <v>0.92141592000000005</v>
      </c>
      <c r="G1494" s="821">
        <v>1.1023576180000001</v>
      </c>
      <c r="H1494" s="822"/>
      <c r="I1494" s="819"/>
      <c r="J1494" s="820">
        <v>-6.7666799999999995E-4</v>
      </c>
      <c r="K1494" s="819" t="str">
        <f t="shared" si="330"/>
        <v>N/A</v>
      </c>
      <c r="L1494" s="819">
        <f t="shared" si="331"/>
        <v>798</v>
      </c>
      <c r="M1494" s="819" t="str">
        <f t="shared" si="327"/>
        <v>N/A</v>
      </c>
      <c r="N1494" s="819">
        <f t="shared" si="328"/>
        <v>364</v>
      </c>
      <c r="O1494" s="819">
        <f t="shared" si="329"/>
        <v>1339</v>
      </c>
      <c r="P1494" s="819" t="str">
        <f t="shared" si="332"/>
        <v>N/A</v>
      </c>
      <c r="Q1494" s="819">
        <f t="shared" si="333"/>
        <v>375</v>
      </c>
      <c r="R1494" s="819" t="str">
        <f t="shared" si="334"/>
        <v>N/A</v>
      </c>
      <c r="S1494" s="819">
        <f t="shared" si="335"/>
        <v>338</v>
      </c>
      <c r="T1494" s="819">
        <f t="shared" si="336"/>
        <v>1317</v>
      </c>
      <c r="U1494" s="819">
        <f t="shared" si="337"/>
        <v>2030</v>
      </c>
      <c r="V1494" s="819">
        <f t="shared" si="338"/>
        <v>176</v>
      </c>
      <c r="W1494" s="379">
        <f t="shared" si="339"/>
        <v>176</v>
      </c>
      <c r="X1494" s="819" t="str">
        <f t="shared" si="340"/>
        <v/>
      </c>
      <c r="Y1494" s="837"/>
      <c r="Z1494" s="839"/>
      <c r="AA1494" s="838"/>
      <c r="AB1494" s="839"/>
    </row>
    <row r="1495" spans="1:28" ht="14.45">
      <c r="A1495" s="816"/>
      <c r="B1495" s="819" t="s">
        <v>3416</v>
      </c>
      <c r="C1495" s="819" t="s">
        <v>3417</v>
      </c>
      <c r="D1495" s="379" t="s">
        <v>336</v>
      </c>
      <c r="E1495" s="818" t="s">
        <v>441</v>
      </c>
      <c r="F1495" s="820">
        <v>0.81799329099999996</v>
      </c>
      <c r="G1495" s="821">
        <v>2.0058417560000001</v>
      </c>
      <c r="H1495" s="822">
        <v>1016219630.79731</v>
      </c>
      <c r="I1495" s="819">
        <v>7.0000000000000007E-2</v>
      </c>
      <c r="J1495" s="820">
        <v>-2.1448550000000002E-3</v>
      </c>
      <c r="K1495" s="819">
        <f t="shared" si="330"/>
        <v>220</v>
      </c>
      <c r="L1495" s="819">
        <f t="shared" si="331"/>
        <v>674</v>
      </c>
      <c r="M1495" s="819">
        <f t="shared" si="327"/>
        <v>220</v>
      </c>
      <c r="N1495" s="819">
        <f t="shared" si="328"/>
        <v>293</v>
      </c>
      <c r="O1495" s="819">
        <f t="shared" si="329"/>
        <v>1503</v>
      </c>
      <c r="P1495" s="819">
        <f t="shared" si="332"/>
        <v>1178</v>
      </c>
      <c r="Q1495" s="819">
        <f t="shared" si="333"/>
        <v>251</v>
      </c>
      <c r="R1495" s="819">
        <f t="shared" si="334"/>
        <v>138</v>
      </c>
      <c r="S1495" s="819">
        <f t="shared" si="335"/>
        <v>267</v>
      </c>
      <c r="T1495" s="819">
        <f t="shared" si="336"/>
        <v>1481</v>
      </c>
      <c r="U1495" s="819">
        <f t="shared" si="337"/>
        <v>3315</v>
      </c>
      <c r="V1495" s="819">
        <f t="shared" si="338"/>
        <v>1364</v>
      </c>
      <c r="W1495" s="379">
        <f t="shared" si="339"/>
        <v>1364</v>
      </c>
      <c r="X1495" s="819" t="str">
        <f t="shared" si="340"/>
        <v/>
      </c>
      <c r="Y1495" s="837"/>
      <c r="Z1495" s="839"/>
      <c r="AA1495" s="838"/>
      <c r="AB1495" s="839"/>
    </row>
    <row r="1496" spans="1:28" ht="13.15">
      <c r="B1496" s="819" t="s">
        <v>3418</v>
      </c>
      <c r="C1496" s="819" t="s">
        <v>3419</v>
      </c>
      <c r="D1496" s="379" t="s">
        <v>336</v>
      </c>
      <c r="E1496" s="818" t="s">
        <v>441</v>
      </c>
      <c r="F1496" s="820">
        <v>1.0201126819999999</v>
      </c>
      <c r="G1496" s="821">
        <v>0.83727172699999997</v>
      </c>
      <c r="H1496" s="822">
        <v>1395611807.9860799</v>
      </c>
      <c r="I1496" s="819"/>
      <c r="J1496" s="820">
        <v>-8.8905499999999998E-5</v>
      </c>
      <c r="K1496" s="819">
        <f t="shared" si="330"/>
        <v>182</v>
      </c>
      <c r="L1496" s="819">
        <f t="shared" si="331"/>
        <v>839</v>
      </c>
      <c r="M1496" s="819">
        <f t="shared" si="327"/>
        <v>182</v>
      </c>
      <c r="N1496" s="819">
        <f t="shared" si="328"/>
        <v>364</v>
      </c>
      <c r="O1496" s="819">
        <f t="shared" si="329"/>
        <v>994</v>
      </c>
      <c r="P1496" s="819">
        <f t="shared" si="332"/>
        <v>1216</v>
      </c>
      <c r="Q1496" s="819">
        <f t="shared" si="333"/>
        <v>416</v>
      </c>
      <c r="R1496" s="819">
        <f t="shared" si="334"/>
        <v>100</v>
      </c>
      <c r="S1496" s="819">
        <f t="shared" si="335"/>
        <v>338</v>
      </c>
      <c r="T1496" s="819">
        <f t="shared" si="336"/>
        <v>972</v>
      </c>
      <c r="U1496" s="819">
        <f t="shared" si="337"/>
        <v>3042</v>
      </c>
      <c r="V1496" s="819">
        <f t="shared" si="338"/>
        <v>987</v>
      </c>
      <c r="W1496" s="379">
        <f t="shared" si="339"/>
        <v>987</v>
      </c>
      <c r="X1496" s="819" t="str">
        <f t="shared" si="340"/>
        <v/>
      </c>
      <c r="Y1496" s="837"/>
      <c r="Z1496" s="839"/>
      <c r="AA1496" s="838"/>
      <c r="AB1496" s="839"/>
    </row>
    <row r="1497" spans="1:28" ht="14.45">
      <c r="A1497" s="816"/>
      <c r="B1497" s="819" t="s">
        <v>3420</v>
      </c>
      <c r="C1497" s="819" t="s">
        <v>3421</v>
      </c>
      <c r="D1497" s="379" t="s">
        <v>336</v>
      </c>
      <c r="E1497" s="818" t="s">
        <v>842</v>
      </c>
      <c r="F1497" s="820">
        <v>5.9568750450000003</v>
      </c>
      <c r="G1497" s="821">
        <v>5.1980192269999996</v>
      </c>
      <c r="H1497" s="822">
        <v>10613793.385914501</v>
      </c>
      <c r="I1497" s="819"/>
      <c r="J1497" s="820">
        <v>-9.3013500000000007E-5</v>
      </c>
      <c r="K1497" s="819">
        <f t="shared" si="330"/>
        <v>1242</v>
      </c>
      <c r="L1497" s="819">
        <f t="shared" si="331"/>
        <v>370</v>
      </c>
      <c r="M1497" s="819">
        <f t="shared" si="327"/>
        <v>1242</v>
      </c>
      <c r="N1497" s="819">
        <f t="shared" si="328"/>
        <v>364</v>
      </c>
      <c r="O1497" s="819">
        <f t="shared" si="329"/>
        <v>999</v>
      </c>
      <c r="P1497" s="819">
        <f t="shared" si="332"/>
        <v>156</v>
      </c>
      <c r="Q1497" s="819">
        <f t="shared" si="333"/>
        <v>53</v>
      </c>
      <c r="R1497" s="819">
        <f t="shared" si="334"/>
        <v>1160</v>
      </c>
      <c r="S1497" s="819">
        <f t="shared" si="335"/>
        <v>338</v>
      </c>
      <c r="T1497" s="819">
        <f t="shared" si="336"/>
        <v>977</v>
      </c>
      <c r="U1497" s="819">
        <f t="shared" si="337"/>
        <v>2684</v>
      </c>
      <c r="V1497" s="819">
        <f t="shared" si="338"/>
        <v>342</v>
      </c>
      <c r="W1497" s="379">
        <f t="shared" si="339"/>
        <v>342</v>
      </c>
      <c r="X1497" s="819" t="str">
        <f t="shared" si="340"/>
        <v/>
      </c>
      <c r="Y1497" s="837"/>
      <c r="Z1497" s="839"/>
      <c r="AA1497" s="838"/>
      <c r="AB1497" s="839"/>
    </row>
    <row r="1498" spans="1:28" ht="13.15">
      <c r="B1498" s="819" t="s">
        <v>3422</v>
      </c>
      <c r="C1498" s="819" t="s">
        <v>3423</v>
      </c>
      <c r="D1498" s="379" t="s">
        <v>336</v>
      </c>
      <c r="E1498" s="818" t="s">
        <v>460</v>
      </c>
      <c r="F1498" s="820">
        <v>10.01959838</v>
      </c>
      <c r="G1498" s="821">
        <v>38.571701750000003</v>
      </c>
      <c r="H1498" s="822">
        <v>104410168.394559</v>
      </c>
      <c r="I1498" s="819"/>
      <c r="J1498" s="820">
        <v>-2.61631E-5</v>
      </c>
      <c r="K1498" s="819">
        <f t="shared" si="330"/>
        <v>715</v>
      </c>
      <c r="L1498" s="819">
        <f t="shared" si="331"/>
        <v>49</v>
      </c>
      <c r="M1498" s="819">
        <f t="shared" si="327"/>
        <v>715</v>
      </c>
      <c r="N1498" s="819">
        <f t="shared" si="328"/>
        <v>364</v>
      </c>
      <c r="O1498" s="819">
        <f t="shared" si="329"/>
        <v>867</v>
      </c>
      <c r="P1498" s="819">
        <f t="shared" si="332"/>
        <v>683</v>
      </c>
      <c r="Q1498" s="819">
        <f t="shared" si="333"/>
        <v>374</v>
      </c>
      <c r="R1498" s="819">
        <f t="shared" si="334"/>
        <v>633</v>
      </c>
      <c r="S1498" s="819">
        <f t="shared" si="335"/>
        <v>338</v>
      </c>
      <c r="T1498" s="819">
        <f t="shared" si="336"/>
        <v>845</v>
      </c>
      <c r="U1498" s="819">
        <f t="shared" si="337"/>
        <v>2873</v>
      </c>
      <c r="V1498" s="819">
        <f t="shared" si="338"/>
        <v>761</v>
      </c>
      <c r="W1498" s="379">
        <f t="shared" si="339"/>
        <v>761</v>
      </c>
      <c r="X1498" s="819" t="str">
        <f t="shared" si="340"/>
        <v/>
      </c>
      <c r="Y1498" s="837"/>
      <c r="Z1498" s="839"/>
      <c r="AA1498" s="838"/>
      <c r="AB1498" s="839"/>
    </row>
    <row r="1499" spans="1:28" ht="14.45">
      <c r="A1499" s="816"/>
      <c r="B1499" s="819" t="s">
        <v>3424</v>
      </c>
      <c r="C1499" s="819" t="s">
        <v>3425</v>
      </c>
      <c r="D1499" s="379" t="s">
        <v>336</v>
      </c>
      <c r="E1499" s="818" t="s">
        <v>1832</v>
      </c>
      <c r="F1499" s="820">
        <v>-0.34052442300000002</v>
      </c>
      <c r="G1499" s="821">
        <v>-0.23172964600000001</v>
      </c>
      <c r="H1499" s="822">
        <v>653800708.94052804</v>
      </c>
      <c r="I1499" s="819"/>
      <c r="J1499" s="820">
        <v>1.9884499999999999E-5</v>
      </c>
      <c r="K1499" s="819">
        <f t="shared" si="330"/>
        <v>297</v>
      </c>
      <c r="L1499" s="819">
        <f t="shared" si="331"/>
        <v>1244</v>
      </c>
      <c r="M1499" s="819">
        <f t="shared" si="327"/>
        <v>297</v>
      </c>
      <c r="N1499" s="819">
        <f t="shared" si="328"/>
        <v>364</v>
      </c>
      <c r="O1499" s="819">
        <f t="shared" si="329"/>
        <v>403</v>
      </c>
      <c r="P1499" s="819">
        <f t="shared" si="332"/>
        <v>1101</v>
      </c>
      <c r="Q1499" s="819">
        <f t="shared" si="333"/>
        <v>821</v>
      </c>
      <c r="R1499" s="819">
        <f t="shared" si="334"/>
        <v>215</v>
      </c>
      <c r="S1499" s="819">
        <f t="shared" si="335"/>
        <v>338</v>
      </c>
      <c r="T1499" s="819">
        <f t="shared" si="336"/>
        <v>381</v>
      </c>
      <c r="U1499" s="819">
        <f t="shared" si="337"/>
        <v>2856</v>
      </c>
      <c r="V1499" s="819">
        <f t="shared" si="338"/>
        <v>733</v>
      </c>
      <c r="W1499" s="379">
        <f t="shared" si="339"/>
        <v>733</v>
      </c>
      <c r="X1499" s="819" t="str">
        <f t="shared" si="340"/>
        <v/>
      </c>
      <c r="Y1499" s="837"/>
      <c r="Z1499" s="839"/>
      <c r="AA1499" s="838"/>
      <c r="AB1499" s="839"/>
    </row>
    <row r="1500" spans="1:28" ht="13.15">
      <c r="B1500" s="819" t="s">
        <v>3426</v>
      </c>
      <c r="C1500" s="819" t="s">
        <v>3427</v>
      </c>
      <c r="D1500" s="379" t="s">
        <v>336</v>
      </c>
      <c r="E1500" s="818" t="s">
        <v>191</v>
      </c>
      <c r="F1500" s="820">
        <v>2.3383410279999999</v>
      </c>
      <c r="G1500" s="821">
        <v>3.9211109049999999</v>
      </c>
      <c r="H1500" s="822">
        <v>122803.8433542</v>
      </c>
      <c r="I1500" s="819">
        <v>0.04</v>
      </c>
      <c r="J1500" s="820">
        <v>-5.0600500000000002E-4</v>
      </c>
      <c r="K1500" s="819">
        <f t="shared" si="330"/>
        <v>1652</v>
      </c>
      <c r="L1500" s="819">
        <f t="shared" si="331"/>
        <v>457</v>
      </c>
      <c r="M1500" s="819">
        <f t="shared" si="327"/>
        <v>1652</v>
      </c>
      <c r="N1500" s="819">
        <f t="shared" si="328"/>
        <v>309</v>
      </c>
      <c r="O1500" s="819">
        <f t="shared" si="329"/>
        <v>1274</v>
      </c>
      <c r="P1500" s="819">
        <f t="shared" si="332"/>
        <v>254</v>
      </c>
      <c r="Q1500" s="819">
        <f t="shared" si="333"/>
        <v>34</v>
      </c>
      <c r="R1500" s="819">
        <f t="shared" si="334"/>
        <v>1570</v>
      </c>
      <c r="S1500" s="819">
        <f t="shared" si="335"/>
        <v>283</v>
      </c>
      <c r="T1500" s="819">
        <f t="shared" si="336"/>
        <v>1252</v>
      </c>
      <c r="U1500" s="819">
        <f t="shared" si="337"/>
        <v>3393</v>
      </c>
      <c r="V1500" s="819">
        <f t="shared" si="338"/>
        <v>1455</v>
      </c>
      <c r="W1500" s="379">
        <f t="shared" si="339"/>
        <v>1455</v>
      </c>
      <c r="X1500" s="819" t="str">
        <f t="shared" si="340"/>
        <v/>
      </c>
      <c r="Y1500" s="837"/>
      <c r="Z1500" s="839"/>
      <c r="AA1500" s="838"/>
      <c r="AB1500" s="839"/>
    </row>
    <row r="1501" spans="1:28" ht="14.45">
      <c r="A1501" s="816"/>
      <c r="B1501" s="819" t="s">
        <v>3428</v>
      </c>
      <c r="C1501" s="819" t="s">
        <v>3429</v>
      </c>
      <c r="D1501" s="379" t="s">
        <v>336</v>
      </c>
      <c r="E1501" s="818" t="s">
        <v>341</v>
      </c>
      <c r="F1501" s="820">
        <v>6.6007702989999997</v>
      </c>
      <c r="G1501" s="821">
        <v>2.9662614139999999</v>
      </c>
      <c r="H1501" s="822">
        <v>144924947.22400099</v>
      </c>
      <c r="I1501" s="819"/>
      <c r="J1501" s="820">
        <v>-4.1440299999999997E-5</v>
      </c>
      <c r="K1501" s="819">
        <f t="shared" si="330"/>
        <v>631</v>
      </c>
      <c r="L1501" s="819">
        <f t="shared" si="331"/>
        <v>551</v>
      </c>
      <c r="M1501" s="819">
        <f t="shared" si="327"/>
        <v>631</v>
      </c>
      <c r="N1501" s="819">
        <f t="shared" si="328"/>
        <v>364</v>
      </c>
      <c r="O1501" s="819">
        <f t="shared" si="329"/>
        <v>900</v>
      </c>
      <c r="P1501" s="819">
        <f t="shared" si="332"/>
        <v>767</v>
      </c>
      <c r="Q1501" s="819">
        <f t="shared" si="333"/>
        <v>128</v>
      </c>
      <c r="R1501" s="819">
        <f t="shared" si="334"/>
        <v>549</v>
      </c>
      <c r="S1501" s="819">
        <f t="shared" si="335"/>
        <v>338</v>
      </c>
      <c r="T1501" s="819">
        <f t="shared" si="336"/>
        <v>878</v>
      </c>
      <c r="U1501" s="819">
        <f t="shared" si="337"/>
        <v>2660</v>
      </c>
      <c r="V1501" s="819">
        <f t="shared" si="338"/>
        <v>326</v>
      </c>
      <c r="W1501" s="379">
        <f t="shared" si="339"/>
        <v>326</v>
      </c>
      <c r="X1501" s="819" t="str">
        <f t="shared" si="340"/>
        <v/>
      </c>
      <c r="Y1501" s="837"/>
      <c r="Z1501" s="839"/>
      <c r="AA1501" s="838"/>
      <c r="AB1501" s="839"/>
    </row>
    <row r="1502" spans="1:28" ht="13.15">
      <c r="B1502" s="819" t="s">
        <v>3430</v>
      </c>
      <c r="C1502" s="819" t="s">
        <v>3431</v>
      </c>
      <c r="D1502" s="379" t="s">
        <v>336</v>
      </c>
      <c r="E1502" s="818" t="s">
        <v>460</v>
      </c>
      <c r="F1502" s="820">
        <v>1.234562256</v>
      </c>
      <c r="G1502" s="821">
        <v>0.41785202700000001</v>
      </c>
      <c r="H1502" s="822">
        <v>39389545.154910997</v>
      </c>
      <c r="I1502" s="819"/>
      <c r="J1502" s="820">
        <v>-1.3418499999999999E-4</v>
      </c>
      <c r="K1502" s="819">
        <f t="shared" si="330"/>
        <v>932</v>
      </c>
      <c r="L1502" s="819">
        <f t="shared" si="331"/>
        <v>942</v>
      </c>
      <c r="M1502" s="819">
        <f t="shared" si="327"/>
        <v>932</v>
      </c>
      <c r="N1502" s="819">
        <f t="shared" si="328"/>
        <v>364</v>
      </c>
      <c r="O1502" s="819">
        <f t="shared" si="329"/>
        <v>1046</v>
      </c>
      <c r="P1502" s="819">
        <f t="shared" si="332"/>
        <v>466</v>
      </c>
      <c r="Q1502" s="819">
        <f t="shared" si="333"/>
        <v>519</v>
      </c>
      <c r="R1502" s="819">
        <f t="shared" si="334"/>
        <v>850</v>
      </c>
      <c r="S1502" s="819">
        <f t="shared" si="335"/>
        <v>338</v>
      </c>
      <c r="T1502" s="819">
        <f t="shared" si="336"/>
        <v>1024</v>
      </c>
      <c r="U1502" s="819">
        <f t="shared" si="337"/>
        <v>3197</v>
      </c>
      <c r="V1502" s="819">
        <f t="shared" si="338"/>
        <v>1191</v>
      </c>
      <c r="W1502" s="379">
        <f t="shared" si="339"/>
        <v>1191</v>
      </c>
      <c r="X1502" s="819" t="str">
        <f t="shared" si="340"/>
        <v/>
      </c>
      <c r="Y1502" s="837"/>
      <c r="Z1502" s="839"/>
      <c r="AA1502" s="838"/>
      <c r="AB1502" s="839"/>
    </row>
    <row r="1503" spans="1:28" ht="14.45">
      <c r="A1503" s="816"/>
      <c r="B1503" s="819" t="s">
        <v>3432</v>
      </c>
      <c r="C1503" s="819" t="s">
        <v>3433</v>
      </c>
      <c r="D1503" s="379" t="s">
        <v>336</v>
      </c>
      <c r="E1503" s="818" t="s">
        <v>378</v>
      </c>
      <c r="F1503" s="820">
        <v>0.89543876899999997</v>
      </c>
      <c r="G1503" s="821">
        <v>0.88654084700000002</v>
      </c>
      <c r="H1503" s="822">
        <v>50738199.5468916</v>
      </c>
      <c r="I1503" s="819"/>
      <c r="J1503" s="820">
        <v>-9.3469300000000006E-6</v>
      </c>
      <c r="K1503" s="819">
        <f t="shared" si="330"/>
        <v>875</v>
      </c>
      <c r="L1503" s="819">
        <f t="shared" si="331"/>
        <v>831</v>
      </c>
      <c r="M1503" s="819">
        <f t="shared" si="327"/>
        <v>875</v>
      </c>
      <c r="N1503" s="819">
        <f t="shared" si="328"/>
        <v>364</v>
      </c>
      <c r="O1503" s="819">
        <f t="shared" si="329"/>
        <v>801</v>
      </c>
      <c r="P1503" s="819">
        <f t="shared" si="332"/>
        <v>523</v>
      </c>
      <c r="Q1503" s="819">
        <f t="shared" si="333"/>
        <v>408</v>
      </c>
      <c r="R1503" s="819">
        <f t="shared" si="334"/>
        <v>793</v>
      </c>
      <c r="S1503" s="819">
        <f t="shared" si="335"/>
        <v>338</v>
      </c>
      <c r="T1503" s="819">
        <f t="shared" si="336"/>
        <v>779</v>
      </c>
      <c r="U1503" s="819">
        <f t="shared" si="337"/>
        <v>2841</v>
      </c>
      <c r="V1503" s="819">
        <f t="shared" si="338"/>
        <v>704</v>
      </c>
      <c r="W1503" s="379">
        <f t="shared" si="339"/>
        <v>704</v>
      </c>
      <c r="X1503" s="819" t="str">
        <f t="shared" si="340"/>
        <v/>
      </c>
      <c r="Y1503" s="837"/>
      <c r="Z1503" s="839"/>
      <c r="AA1503" s="838"/>
      <c r="AB1503" s="839"/>
    </row>
    <row r="1504" spans="1:28" ht="13.15">
      <c r="B1504" s="819" t="s">
        <v>3434</v>
      </c>
      <c r="C1504" s="819" t="s">
        <v>3435</v>
      </c>
      <c r="D1504" s="379" t="s">
        <v>336</v>
      </c>
      <c r="E1504" s="818" t="s">
        <v>1832</v>
      </c>
      <c r="F1504" s="820"/>
      <c r="G1504" s="821"/>
      <c r="H1504" s="822">
        <v>6842576.7735328898</v>
      </c>
      <c r="I1504" s="819"/>
      <c r="J1504" s="820">
        <v>0</v>
      </c>
      <c r="K1504" s="819">
        <f t="shared" si="330"/>
        <v>1326</v>
      </c>
      <c r="L1504" s="819">
        <f t="shared" si="331"/>
        <v>1084</v>
      </c>
      <c r="M1504" s="819">
        <f t="shared" si="327"/>
        <v>1326</v>
      </c>
      <c r="N1504" s="819">
        <f t="shared" si="328"/>
        <v>364</v>
      </c>
      <c r="O1504" s="819">
        <f t="shared" si="329"/>
        <v>492</v>
      </c>
      <c r="P1504" s="819">
        <f t="shared" si="332"/>
        <v>72</v>
      </c>
      <c r="Q1504" s="819">
        <f t="shared" si="333"/>
        <v>661</v>
      </c>
      <c r="R1504" s="819">
        <f t="shared" si="334"/>
        <v>1244</v>
      </c>
      <c r="S1504" s="819">
        <f t="shared" si="335"/>
        <v>338</v>
      </c>
      <c r="T1504" s="819">
        <f t="shared" si="336"/>
        <v>470</v>
      </c>
      <c r="U1504" s="819">
        <f t="shared" si="337"/>
        <v>2785</v>
      </c>
      <c r="V1504" s="819">
        <f t="shared" si="338"/>
        <v>463</v>
      </c>
      <c r="W1504" s="379">
        <f t="shared" si="339"/>
        <v>463</v>
      </c>
      <c r="X1504" s="819" t="str">
        <f t="shared" si="340"/>
        <v/>
      </c>
      <c r="Y1504" s="837"/>
      <c r="Z1504" s="839"/>
      <c r="AA1504" s="838"/>
      <c r="AB1504" s="839"/>
    </row>
    <row r="1505" spans="1:28" ht="14.45">
      <c r="A1505" s="816"/>
      <c r="B1505" s="819" t="s">
        <v>3436</v>
      </c>
      <c r="C1505" s="819" t="s">
        <v>3437</v>
      </c>
      <c r="D1505" s="379" t="s">
        <v>336</v>
      </c>
      <c r="E1505" s="818" t="s">
        <v>3438</v>
      </c>
      <c r="F1505" s="820"/>
      <c r="G1505" s="821"/>
      <c r="H1505" s="822">
        <v>329450414.72408801</v>
      </c>
      <c r="I1505" s="819"/>
      <c r="J1505" s="820">
        <v>0</v>
      </c>
      <c r="K1505" s="819">
        <f t="shared" si="330"/>
        <v>450</v>
      </c>
      <c r="L1505" s="819">
        <f t="shared" si="331"/>
        <v>1084</v>
      </c>
      <c r="M1505" s="819">
        <f t="shared" si="327"/>
        <v>450</v>
      </c>
      <c r="N1505" s="819">
        <f t="shared" si="328"/>
        <v>364</v>
      </c>
      <c r="O1505" s="819">
        <f t="shared" si="329"/>
        <v>492</v>
      </c>
      <c r="P1505" s="819">
        <f t="shared" si="332"/>
        <v>948</v>
      </c>
      <c r="Q1505" s="819">
        <f t="shared" si="333"/>
        <v>661</v>
      </c>
      <c r="R1505" s="819">
        <f t="shared" si="334"/>
        <v>368</v>
      </c>
      <c r="S1505" s="819">
        <f t="shared" si="335"/>
        <v>338</v>
      </c>
      <c r="T1505" s="819">
        <f t="shared" si="336"/>
        <v>470</v>
      </c>
      <c r="U1505" s="819">
        <f t="shared" si="337"/>
        <v>2785</v>
      </c>
      <c r="V1505" s="819">
        <f t="shared" si="338"/>
        <v>463</v>
      </c>
      <c r="W1505" s="379">
        <f t="shared" si="339"/>
        <v>463</v>
      </c>
      <c r="X1505" s="819" t="str">
        <f t="shared" si="340"/>
        <v/>
      </c>
      <c r="Y1505" s="837"/>
      <c r="Z1505" s="839"/>
      <c r="AA1505" s="838"/>
      <c r="AB1505" s="839"/>
    </row>
    <row r="1506" spans="1:28" ht="13.15">
      <c r="B1506" s="819" t="s">
        <v>3439</v>
      </c>
      <c r="C1506" s="819" t="s">
        <v>3440</v>
      </c>
      <c r="D1506" s="379" t="s">
        <v>336</v>
      </c>
      <c r="E1506" s="818" t="s">
        <v>1832</v>
      </c>
      <c r="F1506" s="820">
        <v>0.89219036900000004</v>
      </c>
      <c r="G1506" s="821">
        <v>8.3167869119999995</v>
      </c>
      <c r="H1506" s="822">
        <v>2376920.0472626998</v>
      </c>
      <c r="I1506" s="819"/>
      <c r="J1506" s="820">
        <v>-1.0553900000000001E-5</v>
      </c>
      <c r="K1506" s="819">
        <f t="shared" si="330"/>
        <v>1474</v>
      </c>
      <c r="L1506" s="819">
        <f t="shared" si="331"/>
        <v>249</v>
      </c>
      <c r="M1506" s="819">
        <f t="shared" si="327"/>
        <v>1474</v>
      </c>
      <c r="N1506" s="819">
        <f t="shared" si="328"/>
        <v>364</v>
      </c>
      <c r="O1506" s="819">
        <f t="shared" si="329"/>
        <v>807</v>
      </c>
      <c r="P1506" s="819">
        <f t="shared" si="332"/>
        <v>76</v>
      </c>
      <c r="Q1506" s="819">
        <f t="shared" si="333"/>
        <v>174</v>
      </c>
      <c r="R1506" s="819">
        <f t="shared" si="334"/>
        <v>1392</v>
      </c>
      <c r="S1506" s="819">
        <f t="shared" si="335"/>
        <v>338</v>
      </c>
      <c r="T1506" s="819">
        <f t="shared" si="336"/>
        <v>785</v>
      </c>
      <c r="U1506" s="819">
        <f t="shared" si="337"/>
        <v>2765</v>
      </c>
      <c r="V1506" s="819">
        <f t="shared" si="338"/>
        <v>437</v>
      </c>
      <c r="W1506" s="379">
        <f t="shared" si="339"/>
        <v>437</v>
      </c>
      <c r="X1506" s="819" t="str">
        <f t="shared" si="340"/>
        <v/>
      </c>
      <c r="Y1506" s="837"/>
      <c r="Z1506" s="839"/>
      <c r="AA1506" s="838"/>
      <c r="AB1506" s="839"/>
    </row>
    <row r="1507" spans="1:28" ht="14.45">
      <c r="A1507" s="816"/>
      <c r="B1507" s="819" t="s">
        <v>3441</v>
      </c>
      <c r="C1507" s="819" t="s">
        <v>3442</v>
      </c>
      <c r="D1507" s="379" t="s">
        <v>336</v>
      </c>
      <c r="E1507" s="818" t="s">
        <v>460</v>
      </c>
      <c r="F1507" s="820">
        <v>1.1759920189999999</v>
      </c>
      <c r="G1507" s="821">
        <v>2.4026074419999999</v>
      </c>
      <c r="H1507" s="822">
        <v>20628269.289626699</v>
      </c>
      <c r="I1507" s="819"/>
      <c r="J1507" s="820">
        <v>-9.6901899999999995E-5</v>
      </c>
      <c r="K1507" s="819">
        <f t="shared" si="330"/>
        <v>1098</v>
      </c>
      <c r="L1507" s="819">
        <f t="shared" si="331"/>
        <v>615</v>
      </c>
      <c r="M1507" s="819">
        <f t="shared" si="327"/>
        <v>1098</v>
      </c>
      <c r="N1507" s="819">
        <f t="shared" si="328"/>
        <v>364</v>
      </c>
      <c r="O1507" s="819">
        <f t="shared" si="329"/>
        <v>1004</v>
      </c>
      <c r="P1507" s="819">
        <f t="shared" si="332"/>
        <v>300</v>
      </c>
      <c r="Q1507" s="819">
        <f t="shared" si="333"/>
        <v>192</v>
      </c>
      <c r="R1507" s="819">
        <f t="shared" si="334"/>
        <v>1016</v>
      </c>
      <c r="S1507" s="819">
        <f t="shared" si="335"/>
        <v>338</v>
      </c>
      <c r="T1507" s="819">
        <f t="shared" si="336"/>
        <v>982</v>
      </c>
      <c r="U1507" s="819">
        <f t="shared" si="337"/>
        <v>2828</v>
      </c>
      <c r="V1507" s="819">
        <f t="shared" si="338"/>
        <v>678</v>
      </c>
      <c r="W1507" s="379">
        <f t="shared" si="339"/>
        <v>678</v>
      </c>
      <c r="X1507" s="819" t="str">
        <f t="shared" si="340"/>
        <v/>
      </c>
      <c r="Y1507" s="837"/>
      <c r="Z1507" s="839"/>
      <c r="AA1507" s="838"/>
      <c r="AB1507" s="839"/>
    </row>
    <row r="1508" spans="1:28" ht="13.15">
      <c r="B1508" s="819" t="s">
        <v>3443</v>
      </c>
      <c r="C1508" s="819" t="s">
        <v>3444</v>
      </c>
      <c r="D1508" s="379" t="s">
        <v>336</v>
      </c>
      <c r="E1508" s="818" t="s">
        <v>460</v>
      </c>
      <c r="F1508" s="820">
        <v>1.3220508870000001</v>
      </c>
      <c r="G1508" s="821">
        <v>3.0668427000000002E-2</v>
      </c>
      <c r="H1508" s="822">
        <v>452877062.383892</v>
      </c>
      <c r="I1508" s="819">
        <v>0.01</v>
      </c>
      <c r="J1508" s="820">
        <v>-4.5611600000000001E-4</v>
      </c>
      <c r="K1508" s="819">
        <f t="shared" si="330"/>
        <v>377</v>
      </c>
      <c r="L1508" s="819">
        <f t="shared" si="331"/>
        <v>1049</v>
      </c>
      <c r="M1508" s="819">
        <f t="shared" si="327"/>
        <v>377</v>
      </c>
      <c r="N1508" s="819">
        <f t="shared" si="328"/>
        <v>344</v>
      </c>
      <c r="O1508" s="819">
        <f t="shared" si="329"/>
        <v>1248</v>
      </c>
      <c r="P1508" s="819">
        <f t="shared" si="332"/>
        <v>1021</v>
      </c>
      <c r="Q1508" s="819">
        <f t="shared" si="333"/>
        <v>626</v>
      </c>
      <c r="R1508" s="819">
        <f t="shared" si="334"/>
        <v>295</v>
      </c>
      <c r="S1508" s="819">
        <f t="shared" si="335"/>
        <v>318</v>
      </c>
      <c r="T1508" s="819">
        <f t="shared" si="336"/>
        <v>1226</v>
      </c>
      <c r="U1508" s="819">
        <f t="shared" si="337"/>
        <v>3486</v>
      </c>
      <c r="V1508" s="819">
        <f t="shared" si="338"/>
        <v>1539</v>
      </c>
      <c r="W1508" s="379">
        <f t="shared" si="339"/>
        <v>1539</v>
      </c>
      <c r="X1508" s="819" t="str">
        <f t="shared" si="340"/>
        <v/>
      </c>
      <c r="Y1508" s="837"/>
      <c r="Z1508" s="839"/>
      <c r="AA1508" s="838"/>
      <c r="AB1508" s="839"/>
    </row>
    <row r="1509" spans="1:28" ht="14.45">
      <c r="A1509" s="816"/>
      <c r="B1509" s="819" t="s">
        <v>3445</v>
      </c>
      <c r="C1509" s="819" t="s">
        <v>3446</v>
      </c>
      <c r="D1509" s="379" t="s">
        <v>336</v>
      </c>
      <c r="E1509" s="818" t="s">
        <v>441</v>
      </c>
      <c r="F1509" s="820">
        <v>1.9617923079999999</v>
      </c>
      <c r="G1509" s="821">
        <v>0.70563215199999996</v>
      </c>
      <c r="H1509" s="822">
        <v>154067441.47349799</v>
      </c>
      <c r="I1509" s="819">
        <v>0.14000000000000001</v>
      </c>
      <c r="J1509" s="820">
        <v>-1.19447E-4</v>
      </c>
      <c r="K1509" s="819">
        <f t="shared" si="330"/>
        <v>620</v>
      </c>
      <c r="L1509" s="819">
        <f t="shared" si="331"/>
        <v>872</v>
      </c>
      <c r="M1509" s="819">
        <f t="shared" si="327"/>
        <v>620</v>
      </c>
      <c r="N1509" s="819">
        <f t="shared" si="328"/>
        <v>241</v>
      </c>
      <c r="O1509" s="819">
        <f t="shared" si="329"/>
        <v>1029</v>
      </c>
      <c r="P1509" s="819">
        <f t="shared" si="332"/>
        <v>778</v>
      </c>
      <c r="Q1509" s="819">
        <f t="shared" si="333"/>
        <v>449</v>
      </c>
      <c r="R1509" s="819">
        <f t="shared" si="334"/>
        <v>538</v>
      </c>
      <c r="S1509" s="819">
        <f t="shared" si="335"/>
        <v>215</v>
      </c>
      <c r="T1509" s="819">
        <f t="shared" si="336"/>
        <v>1007</v>
      </c>
      <c r="U1509" s="819">
        <f t="shared" si="337"/>
        <v>2987</v>
      </c>
      <c r="V1509" s="819">
        <f t="shared" si="338"/>
        <v>910</v>
      </c>
      <c r="W1509" s="379">
        <f t="shared" si="339"/>
        <v>910</v>
      </c>
      <c r="X1509" s="819" t="str">
        <f t="shared" si="340"/>
        <v/>
      </c>
      <c r="Y1509" s="837"/>
      <c r="Z1509" s="839"/>
      <c r="AA1509" s="838"/>
      <c r="AB1509" s="839"/>
    </row>
    <row r="1510" spans="1:28" ht="13.15">
      <c r="B1510" s="819" t="s">
        <v>3447</v>
      </c>
      <c r="C1510" s="819" t="s">
        <v>3448</v>
      </c>
      <c r="D1510" s="379" t="s">
        <v>336</v>
      </c>
      <c r="E1510" s="818" t="s">
        <v>189</v>
      </c>
      <c r="F1510" s="820">
        <v>3.8164689460000001</v>
      </c>
      <c r="G1510" s="821">
        <v>-1.0463350650000001</v>
      </c>
      <c r="H1510" s="822">
        <v>83917835.671342701</v>
      </c>
      <c r="I1510" s="819"/>
      <c r="J1510" s="820">
        <v>3.5531000000000003E-5</v>
      </c>
      <c r="K1510" s="819">
        <f t="shared" si="330"/>
        <v>761</v>
      </c>
      <c r="L1510" s="819">
        <f t="shared" si="331"/>
        <v>1296</v>
      </c>
      <c r="M1510" s="819">
        <f t="shared" si="327"/>
        <v>761</v>
      </c>
      <c r="N1510" s="819">
        <f t="shared" si="328"/>
        <v>364</v>
      </c>
      <c r="O1510" s="819">
        <f t="shared" si="329"/>
        <v>369</v>
      </c>
      <c r="P1510" s="819">
        <f t="shared" si="332"/>
        <v>637</v>
      </c>
      <c r="Q1510" s="819">
        <f t="shared" si="333"/>
        <v>873</v>
      </c>
      <c r="R1510" s="819">
        <f t="shared" si="334"/>
        <v>679</v>
      </c>
      <c r="S1510" s="819">
        <f t="shared" si="335"/>
        <v>338</v>
      </c>
      <c r="T1510" s="819">
        <f t="shared" si="336"/>
        <v>347</v>
      </c>
      <c r="U1510" s="819">
        <f t="shared" si="337"/>
        <v>2874</v>
      </c>
      <c r="V1510" s="819">
        <f t="shared" si="338"/>
        <v>763</v>
      </c>
      <c r="W1510" s="379">
        <f t="shared" si="339"/>
        <v>763</v>
      </c>
      <c r="X1510" s="819" t="str">
        <f t="shared" si="340"/>
        <v/>
      </c>
      <c r="Y1510" s="837"/>
      <c r="Z1510" s="839"/>
      <c r="AA1510" s="838"/>
      <c r="AB1510" s="839"/>
    </row>
    <row r="1511" spans="1:28" ht="14.45">
      <c r="A1511" s="816"/>
      <c r="B1511" s="819" t="s">
        <v>3449</v>
      </c>
      <c r="C1511" s="819" t="s">
        <v>3450</v>
      </c>
      <c r="D1511" s="379" t="s">
        <v>336</v>
      </c>
      <c r="E1511" s="818" t="s">
        <v>191</v>
      </c>
      <c r="F1511" s="820">
        <v>11.78257247</v>
      </c>
      <c r="G1511" s="821">
        <v>-43.893852199999998</v>
      </c>
      <c r="H1511" s="822">
        <v>33337180.601272799</v>
      </c>
      <c r="I1511" s="819"/>
      <c r="J1511" s="820">
        <v>4.9429299999999998E-5</v>
      </c>
      <c r="K1511" s="819">
        <f t="shared" si="330"/>
        <v>967</v>
      </c>
      <c r="L1511" s="819">
        <f t="shared" si="331"/>
        <v>1503</v>
      </c>
      <c r="M1511" s="819">
        <f t="shared" si="327"/>
        <v>967</v>
      </c>
      <c r="N1511" s="819">
        <f t="shared" si="328"/>
        <v>364</v>
      </c>
      <c r="O1511" s="819">
        <f t="shared" si="329"/>
        <v>348</v>
      </c>
      <c r="P1511" s="819">
        <f t="shared" si="332"/>
        <v>431</v>
      </c>
      <c r="Q1511" s="819">
        <f t="shared" si="333"/>
        <v>1080</v>
      </c>
      <c r="R1511" s="819">
        <f t="shared" si="334"/>
        <v>885</v>
      </c>
      <c r="S1511" s="819">
        <f t="shared" si="335"/>
        <v>338</v>
      </c>
      <c r="T1511" s="819">
        <f t="shared" si="336"/>
        <v>326</v>
      </c>
      <c r="U1511" s="819">
        <f t="shared" si="337"/>
        <v>3060</v>
      </c>
      <c r="V1511" s="819">
        <f t="shared" si="338"/>
        <v>1006</v>
      </c>
      <c r="W1511" s="379">
        <f t="shared" si="339"/>
        <v>1006</v>
      </c>
      <c r="X1511" s="819" t="str">
        <f t="shared" si="340"/>
        <v/>
      </c>
      <c r="Y1511" s="837"/>
      <c r="Z1511" s="839"/>
      <c r="AA1511" s="838"/>
      <c r="AB1511" s="839"/>
    </row>
    <row r="1512" spans="1:28" ht="13.15">
      <c r="B1512" s="819" t="s">
        <v>3451</v>
      </c>
      <c r="C1512" s="819" t="s">
        <v>3452</v>
      </c>
      <c r="D1512" s="379" t="s">
        <v>336</v>
      </c>
      <c r="E1512" s="818" t="s">
        <v>625</v>
      </c>
      <c r="F1512" s="820"/>
      <c r="G1512" s="821"/>
      <c r="H1512" s="822">
        <v>176843559.239802</v>
      </c>
      <c r="I1512" s="819"/>
      <c r="J1512" s="820">
        <v>0</v>
      </c>
      <c r="K1512" s="819">
        <f t="shared" si="330"/>
        <v>602</v>
      </c>
      <c r="L1512" s="819">
        <f t="shared" si="331"/>
        <v>1084</v>
      </c>
      <c r="M1512" s="819">
        <f t="shared" si="327"/>
        <v>602</v>
      </c>
      <c r="N1512" s="819">
        <f t="shared" si="328"/>
        <v>364</v>
      </c>
      <c r="O1512" s="819">
        <f t="shared" si="329"/>
        <v>492</v>
      </c>
      <c r="P1512" s="819">
        <f t="shared" si="332"/>
        <v>796</v>
      </c>
      <c r="Q1512" s="819">
        <f t="shared" si="333"/>
        <v>661</v>
      </c>
      <c r="R1512" s="819">
        <f t="shared" si="334"/>
        <v>520</v>
      </c>
      <c r="S1512" s="819">
        <f t="shared" si="335"/>
        <v>338</v>
      </c>
      <c r="T1512" s="819">
        <f t="shared" si="336"/>
        <v>470</v>
      </c>
      <c r="U1512" s="819">
        <f t="shared" si="337"/>
        <v>2785</v>
      </c>
      <c r="V1512" s="819">
        <f t="shared" si="338"/>
        <v>463</v>
      </c>
      <c r="W1512" s="379">
        <f t="shared" si="339"/>
        <v>463</v>
      </c>
      <c r="X1512" s="819" t="str">
        <f t="shared" si="340"/>
        <v/>
      </c>
      <c r="Y1512" s="837"/>
      <c r="Z1512" s="839"/>
      <c r="AA1512" s="838"/>
      <c r="AB1512" s="839"/>
    </row>
    <row r="1513" spans="1:28" ht="14.45">
      <c r="A1513" s="816"/>
      <c r="B1513" s="819" t="s">
        <v>3453</v>
      </c>
      <c r="C1513" s="819" t="s">
        <v>3454</v>
      </c>
      <c r="D1513" s="379" t="s">
        <v>336</v>
      </c>
      <c r="E1513" s="818" t="s">
        <v>460</v>
      </c>
      <c r="F1513" s="820">
        <v>9.1634915459999995</v>
      </c>
      <c r="G1513" s="821">
        <v>-0.58875679299999994</v>
      </c>
      <c r="H1513" s="822"/>
      <c r="I1513" s="819"/>
      <c r="J1513" s="820">
        <v>5.5489899999999997E-4</v>
      </c>
      <c r="K1513" s="819" t="str">
        <f t="shared" si="330"/>
        <v>N/A</v>
      </c>
      <c r="L1513" s="819">
        <f t="shared" si="331"/>
        <v>1267</v>
      </c>
      <c r="M1513" s="819" t="str">
        <f t="shared" si="327"/>
        <v>N/A</v>
      </c>
      <c r="N1513" s="819">
        <f t="shared" si="328"/>
        <v>364</v>
      </c>
      <c r="O1513" s="819">
        <f t="shared" si="329"/>
        <v>206</v>
      </c>
      <c r="P1513" s="819" t="str">
        <f t="shared" si="332"/>
        <v>N/A</v>
      </c>
      <c r="Q1513" s="819">
        <f t="shared" si="333"/>
        <v>844</v>
      </c>
      <c r="R1513" s="819" t="str">
        <f t="shared" si="334"/>
        <v>N/A</v>
      </c>
      <c r="S1513" s="819">
        <f t="shared" si="335"/>
        <v>338</v>
      </c>
      <c r="T1513" s="819">
        <f t="shared" si="336"/>
        <v>184</v>
      </c>
      <c r="U1513" s="819">
        <f t="shared" si="337"/>
        <v>1366</v>
      </c>
      <c r="V1513" s="819">
        <f t="shared" si="338"/>
        <v>4</v>
      </c>
      <c r="W1513" s="379">
        <f t="shared" si="339"/>
        <v>4</v>
      </c>
      <c r="X1513" s="819" t="str">
        <f t="shared" si="340"/>
        <v/>
      </c>
      <c r="Y1513" s="837"/>
      <c r="Z1513" s="839"/>
      <c r="AA1513" s="838"/>
      <c r="AB1513" s="839"/>
    </row>
    <row r="1514" spans="1:28" ht="13.15">
      <c r="B1514" s="819" t="s">
        <v>3455</v>
      </c>
      <c r="C1514" s="819" t="s">
        <v>3456</v>
      </c>
      <c r="D1514" s="379" t="s">
        <v>336</v>
      </c>
      <c r="E1514" s="818" t="s">
        <v>600</v>
      </c>
      <c r="F1514" s="820">
        <v>0.95781843300000002</v>
      </c>
      <c r="G1514" s="821">
        <v>0.18904390700000001</v>
      </c>
      <c r="H1514" s="822">
        <v>1841180.4244957999</v>
      </c>
      <c r="I1514" s="819"/>
      <c r="J1514" s="820">
        <v>-9.1755299999999999E-5</v>
      </c>
      <c r="K1514" s="819">
        <f t="shared" si="330"/>
        <v>1509</v>
      </c>
      <c r="L1514" s="819">
        <f t="shared" si="331"/>
        <v>988</v>
      </c>
      <c r="M1514" s="819">
        <f t="shared" si="327"/>
        <v>1509</v>
      </c>
      <c r="N1514" s="819">
        <f t="shared" si="328"/>
        <v>364</v>
      </c>
      <c r="O1514" s="819">
        <f t="shared" si="329"/>
        <v>997</v>
      </c>
      <c r="P1514" s="819">
        <f t="shared" si="332"/>
        <v>111</v>
      </c>
      <c r="Q1514" s="819">
        <f t="shared" si="333"/>
        <v>565</v>
      </c>
      <c r="R1514" s="819">
        <f t="shared" si="334"/>
        <v>1427</v>
      </c>
      <c r="S1514" s="819">
        <f t="shared" si="335"/>
        <v>338</v>
      </c>
      <c r="T1514" s="819">
        <f t="shared" si="336"/>
        <v>975</v>
      </c>
      <c r="U1514" s="819">
        <f t="shared" si="337"/>
        <v>3416</v>
      </c>
      <c r="V1514" s="819">
        <f t="shared" si="338"/>
        <v>1479</v>
      </c>
      <c r="W1514" s="379">
        <f t="shared" si="339"/>
        <v>1479</v>
      </c>
      <c r="X1514" s="819" t="str">
        <f t="shared" si="340"/>
        <v/>
      </c>
      <c r="Y1514" s="837"/>
      <c r="Z1514" s="839"/>
      <c r="AA1514" s="838"/>
      <c r="AB1514" s="839"/>
    </row>
    <row r="1515" spans="1:28" ht="14.45">
      <c r="A1515" s="816"/>
      <c r="B1515" s="819" t="s">
        <v>3457</v>
      </c>
      <c r="C1515" s="819" t="s">
        <v>3458</v>
      </c>
      <c r="D1515" s="379" t="s">
        <v>336</v>
      </c>
      <c r="E1515" s="818" t="s">
        <v>444</v>
      </c>
      <c r="F1515" s="820">
        <v>2.5024691450000001</v>
      </c>
      <c r="G1515" s="821">
        <v>1.035888777</v>
      </c>
      <c r="H1515" s="822">
        <v>28415272.569022201</v>
      </c>
      <c r="I1515" s="819">
        <v>0.28999999999999998</v>
      </c>
      <c r="J1515" s="820">
        <v>-2.5787599999999998E-4</v>
      </c>
      <c r="K1515" s="819">
        <f t="shared" si="330"/>
        <v>1015</v>
      </c>
      <c r="L1515" s="819">
        <f t="shared" si="331"/>
        <v>804</v>
      </c>
      <c r="M1515" s="819">
        <f t="shared" si="327"/>
        <v>1015</v>
      </c>
      <c r="N1515" s="819">
        <f t="shared" si="328"/>
        <v>190</v>
      </c>
      <c r="O1515" s="819">
        <f t="shared" si="329"/>
        <v>1152</v>
      </c>
      <c r="P1515" s="819">
        <f t="shared" si="332"/>
        <v>383</v>
      </c>
      <c r="Q1515" s="819">
        <f t="shared" si="333"/>
        <v>381</v>
      </c>
      <c r="R1515" s="819">
        <f t="shared" si="334"/>
        <v>933</v>
      </c>
      <c r="S1515" s="819">
        <f t="shared" si="335"/>
        <v>164</v>
      </c>
      <c r="T1515" s="819">
        <f t="shared" si="336"/>
        <v>1130</v>
      </c>
      <c r="U1515" s="819">
        <f t="shared" si="337"/>
        <v>2991</v>
      </c>
      <c r="V1515" s="819">
        <f t="shared" si="338"/>
        <v>916</v>
      </c>
      <c r="W1515" s="379">
        <f t="shared" si="339"/>
        <v>916</v>
      </c>
      <c r="X1515" s="819" t="str">
        <f t="shared" si="340"/>
        <v/>
      </c>
      <c r="Y1515" s="837"/>
      <c r="Z1515" s="839"/>
      <c r="AA1515" s="838"/>
      <c r="AB1515" s="839"/>
    </row>
    <row r="1516" spans="1:28" ht="13.15">
      <c r="B1516" s="819" t="s">
        <v>3459</v>
      </c>
      <c r="C1516" s="819" t="s">
        <v>3460</v>
      </c>
      <c r="D1516" s="379" t="s">
        <v>336</v>
      </c>
      <c r="E1516" s="818" t="s">
        <v>460</v>
      </c>
      <c r="F1516" s="820">
        <v>1.20358527</v>
      </c>
      <c r="G1516" s="821">
        <v>-3.0726639850000002</v>
      </c>
      <c r="H1516" s="822">
        <v>898423080.71313</v>
      </c>
      <c r="I1516" s="819"/>
      <c r="J1516" s="820">
        <v>5.9084900000000001E-5</v>
      </c>
      <c r="K1516" s="819">
        <f t="shared" si="330"/>
        <v>240</v>
      </c>
      <c r="L1516" s="819">
        <f t="shared" si="331"/>
        <v>1372</v>
      </c>
      <c r="M1516" s="819">
        <f t="shared" si="327"/>
        <v>240</v>
      </c>
      <c r="N1516" s="819">
        <f t="shared" si="328"/>
        <v>364</v>
      </c>
      <c r="O1516" s="819">
        <f t="shared" si="329"/>
        <v>337</v>
      </c>
      <c r="P1516" s="819">
        <f t="shared" si="332"/>
        <v>1158</v>
      </c>
      <c r="Q1516" s="819">
        <f t="shared" si="333"/>
        <v>949</v>
      </c>
      <c r="R1516" s="819">
        <f t="shared" si="334"/>
        <v>158</v>
      </c>
      <c r="S1516" s="819">
        <f t="shared" si="335"/>
        <v>338</v>
      </c>
      <c r="T1516" s="819">
        <f t="shared" si="336"/>
        <v>315</v>
      </c>
      <c r="U1516" s="819">
        <f t="shared" si="337"/>
        <v>2918</v>
      </c>
      <c r="V1516" s="819">
        <f t="shared" si="338"/>
        <v>830</v>
      </c>
      <c r="W1516" s="379">
        <f t="shared" si="339"/>
        <v>830</v>
      </c>
      <c r="X1516" s="819" t="str">
        <f t="shared" si="340"/>
        <v/>
      </c>
      <c r="Y1516" s="837"/>
      <c r="Z1516" s="839"/>
      <c r="AA1516" s="838"/>
      <c r="AB1516" s="839"/>
    </row>
    <row r="1517" spans="1:28" ht="14.45">
      <c r="A1517" s="816"/>
      <c r="B1517" s="819" t="s">
        <v>3461</v>
      </c>
      <c r="C1517" s="819" t="s">
        <v>3462</v>
      </c>
      <c r="D1517" s="379" t="s">
        <v>336</v>
      </c>
      <c r="E1517" s="818" t="s">
        <v>625</v>
      </c>
      <c r="F1517" s="820">
        <v>-5.8428374999999998E-2</v>
      </c>
      <c r="G1517" s="821">
        <v>-1.585127202</v>
      </c>
      <c r="H1517" s="822">
        <v>4045117.4289246001</v>
      </c>
      <c r="I1517" s="819"/>
      <c r="J1517" s="820">
        <v>4.8496199999999998E-6</v>
      </c>
      <c r="K1517" s="819">
        <f t="shared" si="330"/>
        <v>1403</v>
      </c>
      <c r="L1517" s="819">
        <f t="shared" si="331"/>
        <v>1329</v>
      </c>
      <c r="M1517" s="819">
        <f t="shared" si="327"/>
        <v>1403</v>
      </c>
      <c r="N1517" s="819">
        <f t="shared" si="328"/>
        <v>364</v>
      </c>
      <c r="O1517" s="819">
        <f t="shared" si="329"/>
        <v>445</v>
      </c>
      <c r="P1517" s="819">
        <f t="shared" si="332"/>
        <v>5</v>
      </c>
      <c r="Q1517" s="819">
        <f t="shared" si="333"/>
        <v>906</v>
      </c>
      <c r="R1517" s="819">
        <f t="shared" si="334"/>
        <v>1321</v>
      </c>
      <c r="S1517" s="819">
        <f t="shared" si="335"/>
        <v>338</v>
      </c>
      <c r="T1517" s="819">
        <f t="shared" si="336"/>
        <v>423</v>
      </c>
      <c r="U1517" s="819">
        <f t="shared" si="337"/>
        <v>2993</v>
      </c>
      <c r="V1517" s="819">
        <f t="shared" si="338"/>
        <v>919</v>
      </c>
      <c r="W1517" s="379">
        <f t="shared" si="339"/>
        <v>919</v>
      </c>
      <c r="X1517" s="819" t="str">
        <f t="shared" si="340"/>
        <v/>
      </c>
      <c r="Y1517" s="837"/>
      <c r="Z1517" s="839"/>
      <c r="AA1517" s="838"/>
      <c r="AB1517" s="839"/>
    </row>
    <row r="1518" spans="1:28" ht="13.15">
      <c r="B1518" s="819" t="s">
        <v>3463</v>
      </c>
      <c r="C1518" s="819" t="s">
        <v>3464</v>
      </c>
      <c r="D1518" s="379" t="s">
        <v>336</v>
      </c>
      <c r="E1518" s="818" t="s">
        <v>522</v>
      </c>
      <c r="F1518" s="820">
        <v>1.4889470709999999</v>
      </c>
      <c r="G1518" s="821">
        <v>23.33744153</v>
      </c>
      <c r="H1518" s="822"/>
      <c r="I1518" s="819"/>
      <c r="J1518" s="820">
        <v>-2.3328400000000002E-6</v>
      </c>
      <c r="K1518" s="819" t="str">
        <f t="shared" si="330"/>
        <v>N/A</v>
      </c>
      <c r="L1518" s="819">
        <f t="shared" si="331"/>
        <v>84</v>
      </c>
      <c r="M1518" s="819" t="str">
        <f t="shared" si="327"/>
        <v>N/A</v>
      </c>
      <c r="N1518" s="819">
        <f t="shared" si="328"/>
        <v>364</v>
      </c>
      <c r="O1518" s="819">
        <f t="shared" si="329"/>
        <v>767</v>
      </c>
      <c r="P1518" s="819" t="str">
        <f t="shared" si="332"/>
        <v>N/A</v>
      </c>
      <c r="Q1518" s="819">
        <f t="shared" si="333"/>
        <v>339</v>
      </c>
      <c r="R1518" s="819" t="str">
        <f t="shared" si="334"/>
        <v>N/A</v>
      </c>
      <c r="S1518" s="819">
        <f t="shared" si="335"/>
        <v>338</v>
      </c>
      <c r="T1518" s="819">
        <f t="shared" si="336"/>
        <v>745</v>
      </c>
      <c r="U1518" s="819">
        <f t="shared" si="337"/>
        <v>1422</v>
      </c>
      <c r="V1518" s="819">
        <f t="shared" si="338"/>
        <v>14</v>
      </c>
      <c r="W1518" s="379">
        <f t="shared" si="339"/>
        <v>14</v>
      </c>
      <c r="X1518" s="819" t="str">
        <f t="shared" si="340"/>
        <v/>
      </c>
      <c r="Y1518" s="837"/>
      <c r="Z1518" s="839"/>
      <c r="AA1518" s="838"/>
      <c r="AB1518" s="839"/>
    </row>
    <row r="1519" spans="1:28" ht="14.45">
      <c r="A1519" s="816"/>
      <c r="B1519" s="819" t="s">
        <v>3465</v>
      </c>
      <c r="C1519" s="819" t="s">
        <v>3466</v>
      </c>
      <c r="D1519" s="379" t="s">
        <v>336</v>
      </c>
      <c r="E1519" s="818" t="s">
        <v>460</v>
      </c>
      <c r="F1519" s="820">
        <v>2.6140340950000001</v>
      </c>
      <c r="G1519" s="821">
        <v>-0.266386334</v>
      </c>
      <c r="H1519" s="822">
        <v>16793581.8301672</v>
      </c>
      <c r="I1519" s="819"/>
      <c r="J1519" s="820">
        <v>2.3641909999999999E-3</v>
      </c>
      <c r="K1519" s="819">
        <f t="shared" si="330"/>
        <v>1141</v>
      </c>
      <c r="L1519" s="819">
        <f t="shared" si="331"/>
        <v>1252</v>
      </c>
      <c r="M1519" s="819">
        <f t="shared" si="327"/>
        <v>1141</v>
      </c>
      <c r="N1519" s="819">
        <f t="shared" si="328"/>
        <v>364</v>
      </c>
      <c r="O1519" s="819">
        <f t="shared" si="329"/>
        <v>160</v>
      </c>
      <c r="P1519" s="819">
        <f t="shared" si="332"/>
        <v>257</v>
      </c>
      <c r="Q1519" s="819">
        <f t="shared" si="333"/>
        <v>829</v>
      </c>
      <c r="R1519" s="819">
        <f t="shared" si="334"/>
        <v>1059</v>
      </c>
      <c r="S1519" s="819">
        <f t="shared" si="335"/>
        <v>338</v>
      </c>
      <c r="T1519" s="819">
        <f t="shared" si="336"/>
        <v>138</v>
      </c>
      <c r="U1519" s="819">
        <f t="shared" si="337"/>
        <v>2621</v>
      </c>
      <c r="V1519" s="819">
        <f t="shared" si="338"/>
        <v>296</v>
      </c>
      <c r="W1519" s="379">
        <f t="shared" si="339"/>
        <v>296</v>
      </c>
      <c r="X1519" s="819" t="str">
        <f t="shared" si="340"/>
        <v/>
      </c>
      <c r="Y1519" s="837"/>
      <c r="Z1519" s="839"/>
      <c r="AA1519" s="838"/>
      <c r="AB1519" s="839"/>
    </row>
    <row r="1520" spans="1:28" ht="13.15">
      <c r="B1520" s="819" t="s">
        <v>3467</v>
      </c>
      <c r="C1520" s="819" t="s">
        <v>3468</v>
      </c>
      <c r="D1520" s="379" t="s">
        <v>336</v>
      </c>
      <c r="E1520" s="818" t="s">
        <v>337</v>
      </c>
      <c r="F1520" s="820">
        <v>2.1482383760000001</v>
      </c>
      <c r="G1520" s="821">
        <v>57.839795219999999</v>
      </c>
      <c r="H1520" s="822">
        <v>16731.671399999999</v>
      </c>
      <c r="I1520" s="819">
        <v>0.67</v>
      </c>
      <c r="J1520" s="820">
        <v>-2.7575700000000001E-4</v>
      </c>
      <c r="K1520" s="819">
        <f t="shared" si="330"/>
        <v>1666</v>
      </c>
      <c r="L1520" s="819">
        <f t="shared" si="331"/>
        <v>31</v>
      </c>
      <c r="M1520" s="819">
        <f t="shared" si="327"/>
        <v>1666</v>
      </c>
      <c r="N1520" s="819">
        <f t="shared" si="328"/>
        <v>155</v>
      </c>
      <c r="O1520" s="819">
        <f t="shared" si="329"/>
        <v>1162</v>
      </c>
      <c r="P1520" s="819">
        <f t="shared" si="332"/>
        <v>268</v>
      </c>
      <c r="Q1520" s="819">
        <f t="shared" si="333"/>
        <v>392</v>
      </c>
      <c r="R1520" s="819">
        <f t="shared" si="334"/>
        <v>1584</v>
      </c>
      <c r="S1520" s="819">
        <f t="shared" si="335"/>
        <v>129</v>
      </c>
      <c r="T1520" s="819">
        <f t="shared" si="336"/>
        <v>1140</v>
      </c>
      <c r="U1520" s="819">
        <f t="shared" si="337"/>
        <v>3513</v>
      </c>
      <c r="V1520" s="819">
        <f t="shared" si="338"/>
        <v>1566</v>
      </c>
      <c r="W1520" s="379">
        <f t="shared" si="339"/>
        <v>1566</v>
      </c>
      <c r="X1520" s="819" t="str">
        <f t="shared" si="340"/>
        <v/>
      </c>
      <c r="Y1520" s="837"/>
      <c r="Z1520" s="839"/>
      <c r="AA1520" s="838"/>
      <c r="AB1520" s="839"/>
    </row>
    <row r="1521" spans="1:28" ht="14.45">
      <c r="A1521" s="816"/>
      <c r="B1521" s="819" t="s">
        <v>3469</v>
      </c>
      <c r="C1521" s="819" t="s">
        <v>3470</v>
      </c>
      <c r="D1521" s="379" t="s">
        <v>336</v>
      </c>
      <c r="E1521" s="818" t="s">
        <v>337</v>
      </c>
      <c r="F1521" s="820">
        <v>8.4245478850000008</v>
      </c>
      <c r="G1521" s="821">
        <v>-4.0771067350000001</v>
      </c>
      <c r="H1521" s="822">
        <v>2751776417.8499999</v>
      </c>
      <c r="I1521" s="819"/>
      <c r="J1521" s="820">
        <v>2.36517E-4</v>
      </c>
      <c r="K1521" s="819">
        <f t="shared" si="330"/>
        <v>118</v>
      </c>
      <c r="L1521" s="819">
        <f t="shared" si="331"/>
        <v>1390</v>
      </c>
      <c r="M1521" s="819">
        <f t="shared" si="327"/>
        <v>118</v>
      </c>
      <c r="N1521" s="819">
        <f t="shared" si="328"/>
        <v>364</v>
      </c>
      <c r="O1521" s="819">
        <f t="shared" si="329"/>
        <v>244</v>
      </c>
      <c r="P1521" s="819">
        <f t="shared" si="332"/>
        <v>1280</v>
      </c>
      <c r="Q1521" s="819">
        <f t="shared" si="333"/>
        <v>967</v>
      </c>
      <c r="R1521" s="819">
        <f t="shared" si="334"/>
        <v>36</v>
      </c>
      <c r="S1521" s="819">
        <f t="shared" si="335"/>
        <v>338</v>
      </c>
      <c r="T1521" s="819">
        <f t="shared" si="336"/>
        <v>222</v>
      </c>
      <c r="U1521" s="819">
        <f t="shared" si="337"/>
        <v>2843</v>
      </c>
      <c r="V1521" s="819">
        <f t="shared" si="338"/>
        <v>708</v>
      </c>
      <c r="W1521" s="379">
        <f t="shared" si="339"/>
        <v>708</v>
      </c>
      <c r="X1521" s="819" t="str">
        <f t="shared" si="340"/>
        <v/>
      </c>
      <c r="Y1521" s="837"/>
      <c r="Z1521" s="839"/>
      <c r="AA1521" s="838"/>
      <c r="AB1521" s="839"/>
    </row>
    <row r="1522" spans="1:28" ht="13.15">
      <c r="B1522" s="819" t="s">
        <v>3471</v>
      </c>
      <c r="C1522" s="819" t="s">
        <v>3472</v>
      </c>
      <c r="D1522" s="379" t="s">
        <v>336</v>
      </c>
      <c r="E1522" s="818" t="s">
        <v>941</v>
      </c>
      <c r="F1522" s="820"/>
      <c r="G1522" s="821"/>
      <c r="H1522" s="822">
        <v>54916498.847631201</v>
      </c>
      <c r="I1522" s="819"/>
      <c r="J1522" s="820">
        <v>0</v>
      </c>
      <c r="K1522" s="819">
        <f t="shared" si="330"/>
        <v>853</v>
      </c>
      <c r="L1522" s="819">
        <f t="shared" si="331"/>
        <v>1084</v>
      </c>
      <c r="M1522" s="819">
        <f t="shared" si="327"/>
        <v>853</v>
      </c>
      <c r="N1522" s="819">
        <f t="shared" si="328"/>
        <v>364</v>
      </c>
      <c r="O1522" s="819">
        <f t="shared" si="329"/>
        <v>492</v>
      </c>
      <c r="P1522" s="819">
        <f t="shared" si="332"/>
        <v>545</v>
      </c>
      <c r="Q1522" s="819">
        <f t="shared" si="333"/>
        <v>661</v>
      </c>
      <c r="R1522" s="819">
        <f t="shared" si="334"/>
        <v>771</v>
      </c>
      <c r="S1522" s="819">
        <f t="shared" si="335"/>
        <v>338</v>
      </c>
      <c r="T1522" s="819">
        <f t="shared" si="336"/>
        <v>470</v>
      </c>
      <c r="U1522" s="819">
        <f t="shared" si="337"/>
        <v>2785</v>
      </c>
      <c r="V1522" s="819">
        <f t="shared" si="338"/>
        <v>463</v>
      </c>
      <c r="W1522" s="379">
        <f t="shared" si="339"/>
        <v>463</v>
      </c>
      <c r="X1522" s="819" t="str">
        <f t="shared" si="340"/>
        <v/>
      </c>
      <c r="Y1522" s="837"/>
      <c r="Z1522" s="839"/>
      <c r="AA1522" s="838"/>
      <c r="AB1522" s="839"/>
    </row>
    <row r="1523" spans="1:28" ht="14.45">
      <c r="A1523" s="816"/>
      <c r="B1523" s="819" t="s">
        <v>3473</v>
      </c>
      <c r="C1523" s="819" t="s">
        <v>3474</v>
      </c>
      <c r="D1523" s="379" t="s">
        <v>336</v>
      </c>
      <c r="E1523" s="818" t="s">
        <v>1832</v>
      </c>
      <c r="F1523" s="820">
        <v>0.81680965699999997</v>
      </c>
      <c r="G1523" s="821">
        <v>-1.711423578</v>
      </c>
      <c r="H1523" s="822">
        <v>3143058.29066562</v>
      </c>
      <c r="I1523" s="819"/>
      <c r="J1523" s="820">
        <v>8.0145900000000005E-6</v>
      </c>
      <c r="K1523" s="819">
        <f t="shared" si="330"/>
        <v>1441</v>
      </c>
      <c r="L1523" s="819">
        <f t="shared" si="331"/>
        <v>1332</v>
      </c>
      <c r="M1523" s="819">
        <f t="shared" si="327"/>
        <v>1441</v>
      </c>
      <c r="N1523" s="819">
        <f t="shared" si="328"/>
        <v>364</v>
      </c>
      <c r="O1523" s="819">
        <f t="shared" si="329"/>
        <v>429</v>
      </c>
      <c r="P1523" s="819">
        <f t="shared" si="332"/>
        <v>43</v>
      </c>
      <c r="Q1523" s="819">
        <f t="shared" si="333"/>
        <v>909</v>
      </c>
      <c r="R1523" s="819">
        <f t="shared" si="334"/>
        <v>1359</v>
      </c>
      <c r="S1523" s="819">
        <f t="shared" si="335"/>
        <v>338</v>
      </c>
      <c r="T1523" s="819">
        <f t="shared" si="336"/>
        <v>407</v>
      </c>
      <c r="U1523" s="819">
        <f t="shared" si="337"/>
        <v>3056</v>
      </c>
      <c r="V1523" s="819">
        <f t="shared" si="338"/>
        <v>1000</v>
      </c>
      <c r="W1523" s="379">
        <f t="shared" si="339"/>
        <v>1000</v>
      </c>
      <c r="X1523" s="819" t="str">
        <f t="shared" si="340"/>
        <v/>
      </c>
      <c r="Y1523" s="837"/>
      <c r="Z1523" s="839"/>
      <c r="AA1523" s="838"/>
      <c r="AB1523" s="839"/>
    </row>
    <row r="1524" spans="1:28" ht="13.15">
      <c r="B1524" s="819" t="s">
        <v>3475</v>
      </c>
      <c r="C1524" s="819" t="s">
        <v>3476</v>
      </c>
      <c r="D1524" s="379" t="s">
        <v>336</v>
      </c>
      <c r="E1524" s="818" t="s">
        <v>460</v>
      </c>
      <c r="F1524" s="820">
        <v>0.21759537300000001</v>
      </c>
      <c r="G1524" s="821">
        <v>6.0382117999999999E-2</v>
      </c>
      <c r="H1524" s="822">
        <v>1339017.91813987</v>
      </c>
      <c r="I1524" s="819"/>
      <c r="J1524" s="820">
        <v>-3.1748699999999998E-4</v>
      </c>
      <c r="K1524" s="819">
        <f t="shared" si="330"/>
        <v>1540</v>
      </c>
      <c r="L1524" s="819">
        <f t="shared" si="331"/>
        <v>1039</v>
      </c>
      <c r="M1524" s="819">
        <f t="shared" si="327"/>
        <v>1540</v>
      </c>
      <c r="N1524" s="819">
        <f t="shared" si="328"/>
        <v>364</v>
      </c>
      <c r="O1524" s="819">
        <f t="shared" si="329"/>
        <v>1188</v>
      </c>
      <c r="P1524" s="819">
        <f t="shared" si="332"/>
        <v>142</v>
      </c>
      <c r="Q1524" s="819">
        <f t="shared" si="333"/>
        <v>616</v>
      </c>
      <c r="R1524" s="819">
        <f t="shared" si="334"/>
        <v>1458</v>
      </c>
      <c r="S1524" s="819">
        <f t="shared" si="335"/>
        <v>338</v>
      </c>
      <c r="T1524" s="819">
        <f t="shared" si="336"/>
        <v>1166</v>
      </c>
      <c r="U1524" s="819">
        <f t="shared" si="337"/>
        <v>3720</v>
      </c>
      <c r="V1524" s="819">
        <f t="shared" si="338"/>
        <v>1684</v>
      </c>
      <c r="W1524" s="379">
        <f t="shared" si="339"/>
        <v>1684</v>
      </c>
      <c r="X1524" s="819" t="str">
        <f t="shared" si="340"/>
        <v/>
      </c>
      <c r="Y1524" s="837"/>
      <c r="Z1524" s="839"/>
      <c r="AA1524" s="838"/>
      <c r="AB1524" s="839"/>
    </row>
    <row r="1525" spans="1:28" ht="14.45">
      <c r="A1525" s="816"/>
      <c r="B1525" s="819" t="s">
        <v>3477</v>
      </c>
      <c r="C1525" s="819" t="s">
        <v>3478</v>
      </c>
      <c r="D1525" s="379" t="s">
        <v>336</v>
      </c>
      <c r="E1525" s="818" t="s">
        <v>441</v>
      </c>
      <c r="F1525" s="820">
        <v>1.5090805890000001</v>
      </c>
      <c r="G1525" s="821">
        <v>0.92879884199999996</v>
      </c>
      <c r="H1525" s="822">
        <v>615033268.59703004</v>
      </c>
      <c r="I1525" s="819"/>
      <c r="J1525" s="820">
        <v>-3.3751000000000001E-4</v>
      </c>
      <c r="K1525" s="819">
        <f t="shared" si="330"/>
        <v>309</v>
      </c>
      <c r="L1525" s="819">
        <f t="shared" si="331"/>
        <v>829</v>
      </c>
      <c r="M1525" s="819">
        <f t="shared" si="327"/>
        <v>309</v>
      </c>
      <c r="N1525" s="819">
        <f t="shared" si="328"/>
        <v>364</v>
      </c>
      <c r="O1525" s="819">
        <f t="shared" si="329"/>
        <v>1195</v>
      </c>
      <c r="P1525" s="819">
        <f t="shared" si="332"/>
        <v>1089</v>
      </c>
      <c r="Q1525" s="819">
        <f t="shared" si="333"/>
        <v>406</v>
      </c>
      <c r="R1525" s="819">
        <f t="shared" si="334"/>
        <v>227</v>
      </c>
      <c r="S1525" s="819">
        <f t="shared" si="335"/>
        <v>338</v>
      </c>
      <c r="T1525" s="819">
        <f t="shared" si="336"/>
        <v>1173</v>
      </c>
      <c r="U1525" s="819">
        <f t="shared" si="337"/>
        <v>3233</v>
      </c>
      <c r="V1525" s="819">
        <f t="shared" si="338"/>
        <v>1243</v>
      </c>
      <c r="W1525" s="379">
        <f t="shared" si="339"/>
        <v>1243</v>
      </c>
      <c r="X1525" s="819" t="str">
        <f t="shared" si="340"/>
        <v/>
      </c>
      <c r="Y1525" s="837"/>
      <c r="Z1525" s="839"/>
      <c r="AA1525" s="838"/>
      <c r="AB1525" s="839"/>
    </row>
    <row r="1526" spans="1:28" ht="13.15">
      <c r="B1526" s="819" t="s">
        <v>3479</v>
      </c>
      <c r="C1526" s="819" t="s">
        <v>3480</v>
      </c>
      <c r="D1526" s="379" t="s">
        <v>336</v>
      </c>
      <c r="E1526" s="818" t="s">
        <v>941</v>
      </c>
      <c r="F1526" s="820">
        <v>0.93863884799999997</v>
      </c>
      <c r="G1526" s="821">
        <v>1.305994385</v>
      </c>
      <c r="H1526" s="822">
        <v>142436672.57362401</v>
      </c>
      <c r="I1526" s="819"/>
      <c r="J1526" s="820">
        <v>-3.1823399999999998E-4</v>
      </c>
      <c r="K1526" s="819">
        <f t="shared" si="330"/>
        <v>634</v>
      </c>
      <c r="L1526" s="819">
        <f t="shared" si="331"/>
        <v>770</v>
      </c>
      <c r="M1526" s="819">
        <f t="shared" si="327"/>
        <v>634</v>
      </c>
      <c r="N1526" s="819">
        <f t="shared" si="328"/>
        <v>364</v>
      </c>
      <c r="O1526" s="819">
        <f t="shared" si="329"/>
        <v>1189</v>
      </c>
      <c r="P1526" s="819">
        <f t="shared" si="332"/>
        <v>764</v>
      </c>
      <c r="Q1526" s="819">
        <f t="shared" si="333"/>
        <v>347</v>
      </c>
      <c r="R1526" s="819">
        <f t="shared" si="334"/>
        <v>552</v>
      </c>
      <c r="S1526" s="819">
        <f t="shared" si="335"/>
        <v>338</v>
      </c>
      <c r="T1526" s="819">
        <f t="shared" si="336"/>
        <v>1167</v>
      </c>
      <c r="U1526" s="819">
        <f t="shared" si="337"/>
        <v>3168</v>
      </c>
      <c r="V1526" s="819">
        <f t="shared" si="338"/>
        <v>1153</v>
      </c>
      <c r="W1526" s="379">
        <f t="shared" si="339"/>
        <v>1153</v>
      </c>
      <c r="X1526" s="819" t="str">
        <f t="shared" si="340"/>
        <v/>
      </c>
      <c r="Y1526" s="837"/>
      <c r="Z1526" s="839"/>
      <c r="AA1526" s="838"/>
      <c r="AB1526" s="839"/>
    </row>
    <row r="1527" spans="1:28" ht="14.45">
      <c r="A1527" s="816"/>
      <c r="B1527" s="819" t="s">
        <v>3481</v>
      </c>
      <c r="C1527" s="819" t="s">
        <v>3482</v>
      </c>
      <c r="D1527" s="379" t="s">
        <v>336</v>
      </c>
      <c r="E1527" s="818" t="s">
        <v>378</v>
      </c>
      <c r="F1527" s="820">
        <v>-0.66886911500000001</v>
      </c>
      <c r="G1527" s="821">
        <v>-3.328513182</v>
      </c>
      <c r="H1527" s="822">
        <v>56406291.418328099</v>
      </c>
      <c r="I1527" s="819">
        <v>-2.2000000000000002</v>
      </c>
      <c r="J1527" s="820">
        <v>5.8555370000000001E-3</v>
      </c>
      <c r="K1527" s="819">
        <f t="shared" si="330"/>
        <v>846</v>
      </c>
      <c r="L1527" s="819">
        <f t="shared" si="331"/>
        <v>1378</v>
      </c>
      <c r="M1527" s="819">
        <f t="shared" si="327"/>
        <v>846</v>
      </c>
      <c r="N1527" s="819">
        <f t="shared" si="328"/>
        <v>385</v>
      </c>
      <c r="O1527" s="819">
        <f t="shared" si="329"/>
        <v>143</v>
      </c>
      <c r="P1527" s="819">
        <f t="shared" si="332"/>
        <v>552</v>
      </c>
      <c r="Q1527" s="819">
        <f t="shared" si="333"/>
        <v>955</v>
      </c>
      <c r="R1527" s="819">
        <f t="shared" si="334"/>
        <v>764</v>
      </c>
      <c r="S1527" s="819">
        <f t="shared" si="335"/>
        <v>359</v>
      </c>
      <c r="T1527" s="819">
        <f t="shared" si="336"/>
        <v>121</v>
      </c>
      <c r="U1527" s="819">
        <f t="shared" si="337"/>
        <v>2751</v>
      </c>
      <c r="V1527" s="819">
        <f t="shared" si="338"/>
        <v>421</v>
      </c>
      <c r="W1527" s="379">
        <f t="shared" si="339"/>
        <v>421</v>
      </c>
      <c r="X1527" s="819" t="str">
        <f t="shared" si="340"/>
        <v/>
      </c>
      <c r="Y1527" s="837"/>
      <c r="Z1527" s="839"/>
      <c r="AA1527" s="838"/>
      <c r="AB1527" s="839"/>
    </row>
    <row r="1528" spans="1:28" ht="13.15">
      <c r="B1528" s="819" t="s">
        <v>3483</v>
      </c>
      <c r="C1528" s="819" t="s">
        <v>3484</v>
      </c>
      <c r="D1528" s="379" t="s">
        <v>336</v>
      </c>
      <c r="E1528" s="818" t="s">
        <v>337</v>
      </c>
      <c r="F1528" s="820">
        <v>1.037694237</v>
      </c>
      <c r="G1528" s="821">
        <v>1.4846397819999999</v>
      </c>
      <c r="H1528" s="822">
        <v>470125677.25</v>
      </c>
      <c r="I1528" s="819">
        <v>0.11</v>
      </c>
      <c r="J1528" s="820">
        <v>-1.52118E-4</v>
      </c>
      <c r="K1528" s="819">
        <f t="shared" si="330"/>
        <v>369</v>
      </c>
      <c r="L1528" s="819">
        <f t="shared" si="331"/>
        <v>742</v>
      </c>
      <c r="M1528" s="819">
        <f t="shared" si="327"/>
        <v>369</v>
      </c>
      <c r="N1528" s="819">
        <f t="shared" si="328"/>
        <v>258</v>
      </c>
      <c r="O1528" s="819">
        <f t="shared" si="329"/>
        <v>1062</v>
      </c>
      <c r="P1528" s="819">
        <f t="shared" si="332"/>
        <v>1029</v>
      </c>
      <c r="Q1528" s="819">
        <f t="shared" si="333"/>
        <v>319</v>
      </c>
      <c r="R1528" s="819">
        <f t="shared" si="334"/>
        <v>287</v>
      </c>
      <c r="S1528" s="819">
        <f t="shared" si="335"/>
        <v>232</v>
      </c>
      <c r="T1528" s="819">
        <f t="shared" si="336"/>
        <v>1040</v>
      </c>
      <c r="U1528" s="819">
        <f t="shared" si="337"/>
        <v>2907</v>
      </c>
      <c r="V1528" s="819">
        <f t="shared" si="338"/>
        <v>814</v>
      </c>
      <c r="W1528" s="379">
        <f t="shared" si="339"/>
        <v>814</v>
      </c>
      <c r="X1528" s="819" t="str">
        <f t="shared" si="340"/>
        <v/>
      </c>
      <c r="Y1528" s="837"/>
      <c r="Z1528" s="839"/>
      <c r="AA1528" s="838"/>
      <c r="AB1528" s="839"/>
    </row>
    <row r="1529" spans="1:28" ht="14.45">
      <c r="A1529" s="816"/>
      <c r="B1529" s="819" t="s">
        <v>3485</v>
      </c>
      <c r="C1529" s="819" t="s">
        <v>3486</v>
      </c>
      <c r="D1529" s="379" t="s">
        <v>336</v>
      </c>
      <c r="E1529" s="818" t="s">
        <v>441</v>
      </c>
      <c r="F1529" s="820">
        <v>1.5167498690000001</v>
      </c>
      <c r="G1529" s="821">
        <v>0.634838546</v>
      </c>
      <c r="H1529" s="822">
        <v>340481485.062361</v>
      </c>
      <c r="I1529" s="819"/>
      <c r="J1529" s="820">
        <v>-1.16793E-4</v>
      </c>
      <c r="K1529" s="819">
        <f t="shared" si="330"/>
        <v>443</v>
      </c>
      <c r="L1529" s="819">
        <f t="shared" si="331"/>
        <v>894</v>
      </c>
      <c r="M1529" s="819">
        <f t="shared" si="327"/>
        <v>443</v>
      </c>
      <c r="N1529" s="819">
        <f t="shared" si="328"/>
        <v>364</v>
      </c>
      <c r="O1529" s="819">
        <f t="shared" si="329"/>
        <v>1026</v>
      </c>
      <c r="P1529" s="819">
        <f t="shared" si="332"/>
        <v>955</v>
      </c>
      <c r="Q1529" s="819">
        <f t="shared" si="333"/>
        <v>471</v>
      </c>
      <c r="R1529" s="819">
        <f t="shared" si="334"/>
        <v>361</v>
      </c>
      <c r="S1529" s="819">
        <f t="shared" si="335"/>
        <v>338</v>
      </c>
      <c r="T1529" s="819">
        <f t="shared" si="336"/>
        <v>1004</v>
      </c>
      <c r="U1529" s="819">
        <f t="shared" si="337"/>
        <v>3129</v>
      </c>
      <c r="V1529" s="819">
        <f t="shared" si="338"/>
        <v>1096</v>
      </c>
      <c r="W1529" s="379">
        <f t="shared" si="339"/>
        <v>1096</v>
      </c>
      <c r="X1529" s="819" t="str">
        <f t="shared" si="340"/>
        <v/>
      </c>
      <c r="Y1529" s="837"/>
      <c r="Z1529" s="839"/>
      <c r="AA1529" s="838"/>
      <c r="AB1529" s="839"/>
    </row>
    <row r="1530" spans="1:28" ht="13.15">
      <c r="B1530" s="819" t="s">
        <v>3487</v>
      </c>
      <c r="C1530" s="819" t="s">
        <v>3488</v>
      </c>
      <c r="D1530" s="379" t="s">
        <v>336</v>
      </c>
      <c r="E1530" s="818" t="s">
        <v>941</v>
      </c>
      <c r="F1530" s="820">
        <v>0.36041385399999998</v>
      </c>
      <c r="G1530" s="821">
        <v>-33.802029150000003</v>
      </c>
      <c r="H1530" s="822">
        <v>58698337.867203198</v>
      </c>
      <c r="I1530" s="819"/>
      <c r="J1530" s="820">
        <v>4.53682E-6</v>
      </c>
      <c r="K1530" s="819">
        <f t="shared" si="330"/>
        <v>843</v>
      </c>
      <c r="L1530" s="819">
        <f t="shared" si="331"/>
        <v>1498</v>
      </c>
      <c r="M1530" s="819">
        <f t="shared" si="327"/>
        <v>843</v>
      </c>
      <c r="N1530" s="819">
        <f t="shared" si="328"/>
        <v>364</v>
      </c>
      <c r="O1530" s="819">
        <f t="shared" si="329"/>
        <v>447</v>
      </c>
      <c r="P1530" s="819">
        <f t="shared" si="332"/>
        <v>555</v>
      </c>
      <c r="Q1530" s="819">
        <f t="shared" si="333"/>
        <v>1075</v>
      </c>
      <c r="R1530" s="819">
        <f t="shared" si="334"/>
        <v>761</v>
      </c>
      <c r="S1530" s="819">
        <f t="shared" si="335"/>
        <v>338</v>
      </c>
      <c r="T1530" s="819">
        <f t="shared" si="336"/>
        <v>425</v>
      </c>
      <c r="U1530" s="819">
        <f t="shared" si="337"/>
        <v>3154</v>
      </c>
      <c r="V1530" s="819">
        <f t="shared" si="338"/>
        <v>1133</v>
      </c>
      <c r="W1530" s="379">
        <f t="shared" si="339"/>
        <v>1133</v>
      </c>
      <c r="X1530" s="819" t="str">
        <f t="shared" si="340"/>
        <v/>
      </c>
      <c r="Y1530" s="837"/>
      <c r="Z1530" s="839"/>
      <c r="AA1530" s="838"/>
      <c r="AB1530" s="839"/>
    </row>
    <row r="1531" spans="1:28" ht="14.45">
      <c r="A1531" s="816"/>
      <c r="B1531" s="819" t="s">
        <v>3489</v>
      </c>
      <c r="C1531" s="819" t="s">
        <v>3490</v>
      </c>
      <c r="D1531" s="379" t="s">
        <v>336</v>
      </c>
      <c r="E1531" s="818" t="s">
        <v>941</v>
      </c>
      <c r="F1531" s="820">
        <v>0</v>
      </c>
      <c r="G1531" s="821">
        <v>8.7016065000000004E-2</v>
      </c>
      <c r="H1531" s="822">
        <v>32079604.9021401</v>
      </c>
      <c r="I1531" s="819"/>
      <c r="J1531" s="820">
        <v>-1.1038300000000001E-5</v>
      </c>
      <c r="K1531" s="819">
        <f t="shared" si="330"/>
        <v>986</v>
      </c>
      <c r="L1531" s="819">
        <f t="shared" si="331"/>
        <v>1019</v>
      </c>
      <c r="M1531" s="819">
        <f t="shared" si="327"/>
        <v>986</v>
      </c>
      <c r="N1531" s="819">
        <f t="shared" si="328"/>
        <v>364</v>
      </c>
      <c r="O1531" s="819">
        <f t="shared" si="329"/>
        <v>809</v>
      </c>
      <c r="P1531" s="819">
        <f t="shared" si="332"/>
        <v>412</v>
      </c>
      <c r="Q1531" s="819">
        <f t="shared" si="333"/>
        <v>596</v>
      </c>
      <c r="R1531" s="819">
        <f t="shared" si="334"/>
        <v>904</v>
      </c>
      <c r="S1531" s="819">
        <f t="shared" si="335"/>
        <v>338</v>
      </c>
      <c r="T1531" s="819">
        <f t="shared" si="336"/>
        <v>787</v>
      </c>
      <c r="U1531" s="819">
        <f t="shared" si="337"/>
        <v>3037</v>
      </c>
      <c r="V1531" s="819">
        <f t="shared" si="338"/>
        <v>977</v>
      </c>
      <c r="W1531" s="379">
        <f t="shared" si="339"/>
        <v>977</v>
      </c>
      <c r="X1531" s="819" t="str">
        <f t="shared" si="340"/>
        <v/>
      </c>
      <c r="Y1531" s="837"/>
      <c r="Z1531" s="839"/>
      <c r="AA1531" s="838"/>
      <c r="AB1531" s="839"/>
    </row>
    <row r="1532" spans="1:28" ht="13.15">
      <c r="B1532" s="819" t="s">
        <v>3491</v>
      </c>
      <c r="C1532" s="819" t="s">
        <v>3492</v>
      </c>
      <c r="D1532" s="379" t="s">
        <v>336</v>
      </c>
      <c r="E1532" s="818" t="s">
        <v>337</v>
      </c>
      <c r="F1532" s="820">
        <v>5.4903650629999996</v>
      </c>
      <c r="G1532" s="821">
        <v>-3.7225212000000001E-2</v>
      </c>
      <c r="H1532" s="822">
        <v>72102197.027090594</v>
      </c>
      <c r="I1532" s="819"/>
      <c r="J1532" s="820">
        <v>2.91809E-5</v>
      </c>
      <c r="K1532" s="819">
        <f t="shared" si="330"/>
        <v>789</v>
      </c>
      <c r="L1532" s="819">
        <f t="shared" si="331"/>
        <v>1208</v>
      </c>
      <c r="M1532" s="819">
        <f t="shared" si="327"/>
        <v>789</v>
      </c>
      <c r="N1532" s="819">
        <f t="shared" si="328"/>
        <v>364</v>
      </c>
      <c r="O1532" s="819">
        <f t="shared" si="329"/>
        <v>381</v>
      </c>
      <c r="P1532" s="819">
        <f t="shared" si="332"/>
        <v>609</v>
      </c>
      <c r="Q1532" s="819">
        <f t="shared" si="333"/>
        <v>785</v>
      </c>
      <c r="R1532" s="819">
        <f t="shared" si="334"/>
        <v>707</v>
      </c>
      <c r="S1532" s="819">
        <f t="shared" si="335"/>
        <v>338</v>
      </c>
      <c r="T1532" s="819">
        <f t="shared" si="336"/>
        <v>359</v>
      </c>
      <c r="U1532" s="819">
        <f t="shared" si="337"/>
        <v>2798</v>
      </c>
      <c r="V1532" s="819">
        <f t="shared" si="338"/>
        <v>623</v>
      </c>
      <c r="W1532" s="379">
        <f t="shared" si="339"/>
        <v>623</v>
      </c>
      <c r="X1532" s="819" t="str">
        <f t="shared" si="340"/>
        <v/>
      </c>
      <c r="Y1532" s="837"/>
      <c r="Z1532" s="839"/>
      <c r="AA1532" s="838"/>
      <c r="AB1532" s="839"/>
    </row>
    <row r="1533" spans="1:28" ht="14.45">
      <c r="A1533" s="816"/>
      <c r="B1533" s="819" t="s">
        <v>3493</v>
      </c>
      <c r="C1533" s="819" t="s">
        <v>3494</v>
      </c>
      <c r="D1533" s="379" t="s">
        <v>336</v>
      </c>
      <c r="E1533" s="818" t="s">
        <v>625</v>
      </c>
      <c r="F1533" s="820">
        <v>3.9732234630000001</v>
      </c>
      <c r="G1533" s="821">
        <v>10.894325889999999</v>
      </c>
      <c r="H1533" s="822">
        <v>4901112.4845488304</v>
      </c>
      <c r="I1533" s="819"/>
      <c r="J1533" s="820">
        <v>-1.001477E-3</v>
      </c>
      <c r="K1533" s="819">
        <f t="shared" si="330"/>
        <v>1367</v>
      </c>
      <c r="L1533" s="819">
        <f t="shared" si="331"/>
        <v>174</v>
      </c>
      <c r="M1533" s="819">
        <f t="shared" si="327"/>
        <v>1367</v>
      </c>
      <c r="N1533" s="819">
        <f t="shared" si="328"/>
        <v>364</v>
      </c>
      <c r="O1533" s="819">
        <f t="shared" si="329"/>
        <v>1397</v>
      </c>
      <c r="P1533" s="819">
        <f t="shared" si="332"/>
        <v>31</v>
      </c>
      <c r="Q1533" s="819">
        <f t="shared" si="333"/>
        <v>249</v>
      </c>
      <c r="R1533" s="819">
        <f t="shared" si="334"/>
        <v>1285</v>
      </c>
      <c r="S1533" s="819">
        <f t="shared" si="335"/>
        <v>338</v>
      </c>
      <c r="T1533" s="819">
        <f t="shared" si="336"/>
        <v>1375</v>
      </c>
      <c r="U1533" s="819">
        <f t="shared" si="337"/>
        <v>3278</v>
      </c>
      <c r="V1533" s="819">
        <f t="shared" si="338"/>
        <v>1309</v>
      </c>
      <c r="W1533" s="379">
        <f t="shared" si="339"/>
        <v>1309</v>
      </c>
      <c r="X1533" s="819" t="str">
        <f t="shared" si="340"/>
        <v/>
      </c>
      <c r="Y1533" s="837"/>
      <c r="Z1533" s="839"/>
      <c r="AA1533" s="838"/>
      <c r="AB1533" s="839"/>
    </row>
    <row r="1534" spans="1:28" ht="13.15">
      <c r="B1534" s="819" t="s">
        <v>3495</v>
      </c>
      <c r="C1534" s="819" t="s">
        <v>3496</v>
      </c>
      <c r="D1534" s="379" t="s">
        <v>336</v>
      </c>
      <c r="E1534" s="818" t="s">
        <v>441</v>
      </c>
      <c r="F1534" s="820">
        <v>0.94112947700000005</v>
      </c>
      <c r="G1534" s="821">
        <v>32.31114307</v>
      </c>
      <c r="H1534" s="822">
        <v>1192132239.3295701</v>
      </c>
      <c r="I1534" s="819"/>
      <c r="J1534" s="820">
        <v>-1.4831100000000001E-6</v>
      </c>
      <c r="K1534" s="819">
        <f t="shared" si="330"/>
        <v>201</v>
      </c>
      <c r="L1534" s="819">
        <f t="shared" si="331"/>
        <v>55</v>
      </c>
      <c r="M1534" s="819">
        <f t="shared" si="327"/>
        <v>201</v>
      </c>
      <c r="N1534" s="819">
        <f t="shared" si="328"/>
        <v>364</v>
      </c>
      <c r="O1534" s="819">
        <f t="shared" si="329"/>
        <v>759</v>
      </c>
      <c r="P1534" s="819">
        <f t="shared" si="332"/>
        <v>1197</v>
      </c>
      <c r="Q1534" s="819">
        <f t="shared" si="333"/>
        <v>368</v>
      </c>
      <c r="R1534" s="819">
        <f t="shared" si="334"/>
        <v>119</v>
      </c>
      <c r="S1534" s="819">
        <f t="shared" si="335"/>
        <v>338</v>
      </c>
      <c r="T1534" s="819">
        <f t="shared" si="336"/>
        <v>737</v>
      </c>
      <c r="U1534" s="819">
        <f t="shared" si="337"/>
        <v>2759</v>
      </c>
      <c r="V1534" s="819">
        <f t="shared" si="338"/>
        <v>429</v>
      </c>
      <c r="W1534" s="379">
        <f t="shared" si="339"/>
        <v>429</v>
      </c>
      <c r="X1534" s="819" t="str">
        <f t="shared" si="340"/>
        <v/>
      </c>
      <c r="Y1534" s="837"/>
      <c r="Z1534" s="839"/>
      <c r="AA1534" s="838"/>
      <c r="AB1534" s="839"/>
    </row>
    <row r="1535" spans="1:28" ht="14.45">
      <c r="A1535" s="816"/>
      <c r="B1535" s="819" t="s">
        <v>3497</v>
      </c>
      <c r="C1535" s="819" t="s">
        <v>3498</v>
      </c>
      <c r="D1535" s="379" t="s">
        <v>336</v>
      </c>
      <c r="E1535" s="818" t="s">
        <v>1832</v>
      </c>
      <c r="F1535" s="820">
        <v>-0.88693098400000003</v>
      </c>
      <c r="G1535" s="821">
        <v>-1.1045328400000001</v>
      </c>
      <c r="H1535" s="822">
        <v>4568333.43836156</v>
      </c>
      <c r="I1535" s="819"/>
      <c r="J1535" s="820">
        <v>3.6807799999999997E-5</v>
      </c>
      <c r="K1535" s="819">
        <f t="shared" si="330"/>
        <v>1378</v>
      </c>
      <c r="L1535" s="819">
        <f t="shared" si="331"/>
        <v>1301</v>
      </c>
      <c r="M1535" s="819">
        <f t="shared" si="327"/>
        <v>1378</v>
      </c>
      <c r="N1535" s="819">
        <f t="shared" si="328"/>
        <v>364</v>
      </c>
      <c r="O1535" s="819">
        <f t="shared" si="329"/>
        <v>367</v>
      </c>
      <c r="P1535" s="819">
        <f t="shared" si="332"/>
        <v>20</v>
      </c>
      <c r="Q1535" s="819">
        <f t="shared" si="333"/>
        <v>878</v>
      </c>
      <c r="R1535" s="819">
        <f t="shared" si="334"/>
        <v>1296</v>
      </c>
      <c r="S1535" s="819">
        <f t="shared" si="335"/>
        <v>338</v>
      </c>
      <c r="T1535" s="819">
        <f t="shared" si="336"/>
        <v>345</v>
      </c>
      <c r="U1535" s="819">
        <f t="shared" si="337"/>
        <v>2877</v>
      </c>
      <c r="V1535" s="819">
        <f t="shared" si="338"/>
        <v>767</v>
      </c>
      <c r="W1535" s="379">
        <f t="shared" si="339"/>
        <v>767</v>
      </c>
      <c r="X1535" s="819" t="str">
        <f t="shared" si="340"/>
        <v/>
      </c>
      <c r="Y1535" s="837"/>
      <c r="Z1535" s="839"/>
      <c r="AA1535" s="838"/>
      <c r="AB1535" s="839"/>
    </row>
    <row r="1536" spans="1:28" ht="13.15">
      <c r="B1536" s="819" t="s">
        <v>3499</v>
      </c>
      <c r="C1536" s="819" t="s">
        <v>3500</v>
      </c>
      <c r="D1536" s="379" t="s">
        <v>336</v>
      </c>
      <c r="E1536" s="818" t="s">
        <v>191</v>
      </c>
      <c r="F1536" s="820">
        <v>0.43561570399999999</v>
      </c>
      <c r="G1536" s="821">
        <v>-1.0018158239999999</v>
      </c>
      <c r="H1536" s="822">
        <v>1358410.05240938</v>
      </c>
      <c r="I1536" s="819"/>
      <c r="J1536" s="820">
        <v>3.0602E-4</v>
      </c>
      <c r="K1536" s="819">
        <f t="shared" si="330"/>
        <v>1538</v>
      </c>
      <c r="L1536" s="819">
        <f t="shared" si="331"/>
        <v>1292</v>
      </c>
      <c r="M1536" s="819">
        <f t="shared" si="327"/>
        <v>1538</v>
      </c>
      <c r="N1536" s="819">
        <f t="shared" si="328"/>
        <v>364</v>
      </c>
      <c r="O1536" s="819">
        <f t="shared" si="329"/>
        <v>232</v>
      </c>
      <c r="P1536" s="819">
        <f t="shared" si="332"/>
        <v>140</v>
      </c>
      <c r="Q1536" s="819">
        <f t="shared" si="333"/>
        <v>869</v>
      </c>
      <c r="R1536" s="819">
        <f t="shared" si="334"/>
        <v>1456</v>
      </c>
      <c r="S1536" s="819">
        <f t="shared" si="335"/>
        <v>338</v>
      </c>
      <c r="T1536" s="819">
        <f t="shared" si="336"/>
        <v>210</v>
      </c>
      <c r="U1536" s="819">
        <f t="shared" si="337"/>
        <v>3013</v>
      </c>
      <c r="V1536" s="819">
        <f t="shared" si="338"/>
        <v>941</v>
      </c>
      <c r="W1536" s="379">
        <f t="shared" si="339"/>
        <v>941</v>
      </c>
      <c r="X1536" s="819" t="str">
        <f t="shared" si="340"/>
        <v/>
      </c>
      <c r="Y1536" s="837"/>
      <c r="Z1536" s="839"/>
      <c r="AA1536" s="838"/>
      <c r="AB1536" s="839"/>
    </row>
    <row r="1537" spans="1:28" ht="14.45">
      <c r="A1537" s="816"/>
      <c r="B1537" s="819" t="s">
        <v>3501</v>
      </c>
      <c r="C1537" s="819" t="s">
        <v>3502</v>
      </c>
      <c r="D1537" s="379" t="s">
        <v>336</v>
      </c>
      <c r="E1537" s="818" t="s">
        <v>600</v>
      </c>
      <c r="F1537" s="820">
        <v>1.8219471789999999</v>
      </c>
      <c r="G1537" s="821">
        <v>-0.177570271</v>
      </c>
      <c r="H1537" s="822">
        <v>15167985.6283102</v>
      </c>
      <c r="I1537" s="819"/>
      <c r="J1537" s="820">
        <v>5.4684700000000004E-4</v>
      </c>
      <c r="K1537" s="819">
        <f t="shared" si="330"/>
        <v>1160</v>
      </c>
      <c r="L1537" s="819">
        <f t="shared" si="331"/>
        <v>1235</v>
      </c>
      <c r="M1537" s="819">
        <f t="shared" si="327"/>
        <v>1160</v>
      </c>
      <c r="N1537" s="819">
        <f t="shared" si="328"/>
        <v>364</v>
      </c>
      <c r="O1537" s="819">
        <f t="shared" si="329"/>
        <v>209</v>
      </c>
      <c r="P1537" s="819">
        <f t="shared" si="332"/>
        <v>238</v>
      </c>
      <c r="Q1537" s="819">
        <f t="shared" si="333"/>
        <v>812</v>
      </c>
      <c r="R1537" s="819">
        <f t="shared" si="334"/>
        <v>1078</v>
      </c>
      <c r="S1537" s="819">
        <f t="shared" si="335"/>
        <v>338</v>
      </c>
      <c r="T1537" s="819">
        <f t="shared" si="336"/>
        <v>187</v>
      </c>
      <c r="U1537" s="819">
        <f t="shared" si="337"/>
        <v>2653</v>
      </c>
      <c r="V1537" s="819">
        <f t="shared" si="338"/>
        <v>320</v>
      </c>
      <c r="W1537" s="379">
        <f t="shared" si="339"/>
        <v>320</v>
      </c>
      <c r="X1537" s="819" t="str">
        <f t="shared" si="340"/>
        <v/>
      </c>
      <c r="Y1537" s="837"/>
      <c r="Z1537" s="839"/>
      <c r="AA1537" s="838"/>
      <c r="AB1537" s="839"/>
    </row>
    <row r="1538" spans="1:28" ht="13.15">
      <c r="B1538" s="819" t="s">
        <v>3503</v>
      </c>
      <c r="C1538" s="819" t="s">
        <v>3504</v>
      </c>
      <c r="D1538" s="379" t="s">
        <v>336</v>
      </c>
      <c r="E1538" s="818" t="s">
        <v>337</v>
      </c>
      <c r="F1538" s="820">
        <v>1.135882863</v>
      </c>
      <c r="G1538" s="821">
        <v>-14.28694776</v>
      </c>
      <c r="H1538" s="822">
        <v>4814554.0250000004</v>
      </c>
      <c r="I1538" s="819"/>
      <c r="J1538" s="820">
        <v>2.6037499999999999E-5</v>
      </c>
      <c r="K1538" s="819">
        <f t="shared" si="330"/>
        <v>1372</v>
      </c>
      <c r="L1538" s="819">
        <f t="shared" si="331"/>
        <v>1471</v>
      </c>
      <c r="M1538" s="819">
        <f t="shared" si="327"/>
        <v>1372</v>
      </c>
      <c r="N1538" s="819">
        <f t="shared" si="328"/>
        <v>364</v>
      </c>
      <c r="O1538" s="819">
        <f t="shared" si="329"/>
        <v>388</v>
      </c>
      <c r="P1538" s="819">
        <f t="shared" si="332"/>
        <v>26</v>
      </c>
      <c r="Q1538" s="819">
        <f t="shared" si="333"/>
        <v>1048</v>
      </c>
      <c r="R1538" s="819">
        <f t="shared" si="334"/>
        <v>1290</v>
      </c>
      <c r="S1538" s="819">
        <f t="shared" si="335"/>
        <v>338</v>
      </c>
      <c r="T1538" s="819">
        <f t="shared" si="336"/>
        <v>366</v>
      </c>
      <c r="U1538" s="819">
        <f t="shared" si="337"/>
        <v>3068</v>
      </c>
      <c r="V1538" s="819">
        <f t="shared" si="338"/>
        <v>1013</v>
      </c>
      <c r="W1538" s="379">
        <f t="shared" si="339"/>
        <v>1013</v>
      </c>
      <c r="X1538" s="819" t="str">
        <f t="shared" si="340"/>
        <v/>
      </c>
      <c r="Y1538" s="837"/>
      <c r="Z1538" s="839"/>
      <c r="AA1538" s="838"/>
      <c r="AB1538" s="839"/>
    </row>
    <row r="1539" spans="1:28" ht="14.45">
      <c r="A1539" s="816"/>
      <c r="B1539" s="819" t="s">
        <v>3505</v>
      </c>
      <c r="C1539" s="819" t="s">
        <v>3506</v>
      </c>
      <c r="D1539" s="379" t="s">
        <v>336</v>
      </c>
      <c r="E1539" s="818" t="s">
        <v>625</v>
      </c>
      <c r="F1539" s="820">
        <v>6.6503352509999996</v>
      </c>
      <c r="G1539" s="821">
        <v>-3.2766789999999997E-2</v>
      </c>
      <c r="H1539" s="822">
        <v>8634650.4954882599</v>
      </c>
      <c r="I1539" s="819"/>
      <c r="J1539" s="820">
        <v>1.160969E-3</v>
      </c>
      <c r="K1539" s="819">
        <f t="shared" si="330"/>
        <v>1280</v>
      </c>
      <c r="L1539" s="819">
        <f t="shared" si="331"/>
        <v>1202</v>
      </c>
      <c r="M1539" s="819">
        <f t="shared" si="327"/>
        <v>1280</v>
      </c>
      <c r="N1539" s="819">
        <f t="shared" si="328"/>
        <v>364</v>
      </c>
      <c r="O1539" s="819">
        <f t="shared" si="329"/>
        <v>175</v>
      </c>
      <c r="P1539" s="819">
        <f t="shared" si="332"/>
        <v>118</v>
      </c>
      <c r="Q1539" s="819">
        <f t="shared" si="333"/>
        <v>779</v>
      </c>
      <c r="R1539" s="819">
        <f t="shared" si="334"/>
        <v>1198</v>
      </c>
      <c r="S1539" s="819">
        <f t="shared" si="335"/>
        <v>338</v>
      </c>
      <c r="T1539" s="819">
        <f t="shared" si="336"/>
        <v>153</v>
      </c>
      <c r="U1539" s="819">
        <f t="shared" si="337"/>
        <v>2586</v>
      </c>
      <c r="V1539" s="819">
        <f t="shared" si="338"/>
        <v>277</v>
      </c>
      <c r="W1539" s="379">
        <f t="shared" si="339"/>
        <v>277</v>
      </c>
      <c r="X1539" s="819" t="str">
        <f t="shared" si="340"/>
        <v/>
      </c>
      <c r="Y1539" s="837"/>
      <c r="Z1539" s="839"/>
      <c r="AA1539" s="838"/>
      <c r="AB1539" s="839"/>
    </row>
    <row r="1540" spans="1:28" ht="13.15">
      <c r="B1540" s="819" t="s">
        <v>3507</v>
      </c>
      <c r="C1540" s="819" t="s">
        <v>3508</v>
      </c>
      <c r="D1540" s="379" t="s">
        <v>336</v>
      </c>
      <c r="E1540" s="818" t="s">
        <v>441</v>
      </c>
      <c r="F1540" s="820">
        <v>3.0255319539999999</v>
      </c>
      <c r="G1540" s="821">
        <v>4.4739134160000003</v>
      </c>
      <c r="H1540" s="822">
        <v>8070623</v>
      </c>
      <c r="I1540" s="819">
        <v>0.76</v>
      </c>
      <c r="J1540" s="820">
        <v>-9.1611700000000004E-4</v>
      </c>
      <c r="K1540" s="819">
        <f t="shared" si="330"/>
        <v>1296</v>
      </c>
      <c r="L1540" s="819">
        <f t="shared" si="331"/>
        <v>416</v>
      </c>
      <c r="M1540" s="819">
        <f t="shared" ref="M1540:M1603" si="341">IFERROR(_xlfn.RANK.EQ(H1540,H$3:H$1787),"N/A")</f>
        <v>1296</v>
      </c>
      <c r="N1540" s="819">
        <f t="shared" ref="N1540:N1603" si="342">IFERROR(_xlfn.RANK.EQ(I1540,I$3:I$1787),"N/A")</f>
        <v>145</v>
      </c>
      <c r="O1540" s="819">
        <f t="shared" ref="O1540:O1603" si="343">IFERROR(_xlfn.RANK.EQ(J1540,J$3:J$1787),"N/A")</f>
        <v>1381</v>
      </c>
      <c r="P1540" s="819">
        <f t="shared" si="332"/>
        <v>102</v>
      </c>
      <c r="Q1540" s="819">
        <f t="shared" si="333"/>
        <v>7</v>
      </c>
      <c r="R1540" s="819">
        <f t="shared" si="334"/>
        <v>1214</v>
      </c>
      <c r="S1540" s="819">
        <f t="shared" si="335"/>
        <v>119</v>
      </c>
      <c r="T1540" s="819">
        <f t="shared" si="336"/>
        <v>1359</v>
      </c>
      <c r="U1540" s="819">
        <f t="shared" si="337"/>
        <v>2801</v>
      </c>
      <c r="V1540" s="819">
        <f t="shared" si="338"/>
        <v>630</v>
      </c>
      <c r="W1540" s="379">
        <f t="shared" si="339"/>
        <v>630</v>
      </c>
      <c r="X1540" s="819" t="str">
        <f t="shared" si="340"/>
        <v/>
      </c>
      <c r="Y1540" s="837"/>
      <c r="Z1540" s="839"/>
      <c r="AA1540" s="838"/>
      <c r="AB1540" s="839"/>
    </row>
    <row r="1541" spans="1:28" ht="14.45">
      <c r="A1541" s="816"/>
      <c r="B1541" s="819" t="s">
        <v>3509</v>
      </c>
      <c r="C1541" s="819" t="s">
        <v>3510</v>
      </c>
      <c r="D1541" s="379" t="s">
        <v>336</v>
      </c>
      <c r="E1541" s="818" t="s">
        <v>600</v>
      </c>
      <c r="F1541" s="820">
        <v>0</v>
      </c>
      <c r="G1541" s="821">
        <v>-5.9623135830000002</v>
      </c>
      <c r="H1541" s="822">
        <v>293235753.40128201</v>
      </c>
      <c r="I1541" s="819"/>
      <c r="J1541" s="820">
        <v>3.1888599999999998E-6</v>
      </c>
      <c r="K1541" s="819">
        <f t="shared" ref="K1541:K1604" si="344">IFERROR(_xlfn.RANK.EQ(H1541,H$3:H$1787),"N/A")</f>
        <v>479</v>
      </c>
      <c r="L1541" s="819">
        <f t="shared" ref="L1541:L1604" si="345">IFERROR(_xlfn.RANK.EQ(G1541,G$3:G$1787),"N/A")</f>
        <v>1418</v>
      </c>
      <c r="M1541" s="819">
        <f t="shared" si="341"/>
        <v>479</v>
      </c>
      <c r="N1541" s="819">
        <f t="shared" si="342"/>
        <v>364</v>
      </c>
      <c r="O1541" s="819">
        <f t="shared" si="343"/>
        <v>456</v>
      </c>
      <c r="P1541" s="819">
        <f t="shared" ref="P1541:P1604" si="346">IFERROR(ABS(K$3-K1541),"N/A")</f>
        <v>919</v>
      </c>
      <c r="Q1541" s="819">
        <f t="shared" ref="Q1541:Q1604" si="347">IFERROR(ABS(L$3-L1541),"N/A")</f>
        <v>995</v>
      </c>
      <c r="R1541" s="819">
        <f t="shared" ref="R1541:R1604" si="348">IFERROR(ABS(M$3-M1541),"N/A")</f>
        <v>397</v>
      </c>
      <c r="S1541" s="819">
        <f t="shared" ref="S1541:S1604" si="349">IFERROR(ABS(N$3-N1541),"N/A")</f>
        <v>338</v>
      </c>
      <c r="T1541" s="819">
        <f t="shared" ref="T1541:T1604" si="350">IFERROR(ABS(O$3-O1541),"N/A")</f>
        <v>434</v>
      </c>
      <c r="U1541" s="819">
        <f t="shared" ref="U1541:U1604" si="351">SUM(P1541:T1541)</f>
        <v>3083</v>
      </c>
      <c r="V1541" s="819">
        <f t="shared" ref="V1541:V1604" si="352">_xlfn.RANK.EQ(U1541,$U$4:$U$1787,1)</f>
        <v>1038</v>
      </c>
      <c r="W1541" s="379">
        <f t="shared" ref="W1541:W1604" si="353">IF(Y1541="Not suitable","-",V1541)</f>
        <v>1038</v>
      </c>
      <c r="X1541" s="819" t="str">
        <f t="shared" si="340"/>
        <v/>
      </c>
      <c r="Y1541" s="837"/>
      <c r="Z1541" s="839"/>
      <c r="AA1541" s="838"/>
      <c r="AB1541" s="839"/>
    </row>
    <row r="1542" spans="1:28" ht="13.15">
      <c r="B1542" s="819" t="s">
        <v>3511</v>
      </c>
      <c r="C1542" s="819" t="s">
        <v>3512</v>
      </c>
      <c r="D1542" s="379" t="s">
        <v>336</v>
      </c>
      <c r="E1542" s="818" t="s">
        <v>191</v>
      </c>
      <c r="F1542" s="820">
        <v>0.87950545099999999</v>
      </c>
      <c r="G1542" s="821">
        <v>11.12843292</v>
      </c>
      <c r="H1542" s="822">
        <v>169788.89212403601</v>
      </c>
      <c r="I1542" s="819"/>
      <c r="J1542" s="820">
        <v>-5.8822700000000002E-5</v>
      </c>
      <c r="K1542" s="819">
        <f t="shared" si="344"/>
        <v>1646</v>
      </c>
      <c r="L1542" s="819">
        <f t="shared" si="345"/>
        <v>170</v>
      </c>
      <c r="M1542" s="819">
        <f t="shared" si="341"/>
        <v>1646</v>
      </c>
      <c r="N1542" s="819">
        <f t="shared" si="342"/>
        <v>364</v>
      </c>
      <c r="O1542" s="819">
        <f t="shared" si="343"/>
        <v>934</v>
      </c>
      <c r="P1542" s="819">
        <f t="shared" si="346"/>
        <v>248</v>
      </c>
      <c r="Q1542" s="819">
        <f t="shared" si="347"/>
        <v>253</v>
      </c>
      <c r="R1542" s="819">
        <f t="shared" si="348"/>
        <v>1564</v>
      </c>
      <c r="S1542" s="819">
        <f t="shared" si="349"/>
        <v>338</v>
      </c>
      <c r="T1542" s="819">
        <f t="shared" si="350"/>
        <v>912</v>
      </c>
      <c r="U1542" s="819">
        <f t="shared" si="351"/>
        <v>3315</v>
      </c>
      <c r="V1542" s="819">
        <f t="shared" si="352"/>
        <v>1364</v>
      </c>
      <c r="W1542" s="379">
        <f t="shared" si="353"/>
        <v>1364</v>
      </c>
      <c r="X1542" s="819" t="str">
        <f t="shared" ref="X1542:X1605" si="354">IF(L1542="N/A","Y","")</f>
        <v/>
      </c>
      <c r="Y1542" s="837"/>
      <c r="Z1542" s="839"/>
      <c r="AA1542" s="838"/>
      <c r="AB1542" s="839"/>
    </row>
    <row r="1543" spans="1:28" ht="14.45">
      <c r="A1543" s="816"/>
      <c r="B1543" s="819" t="s">
        <v>3513</v>
      </c>
      <c r="C1543" s="819" t="s">
        <v>3514</v>
      </c>
      <c r="D1543" s="379" t="s">
        <v>336</v>
      </c>
      <c r="E1543" s="818" t="s">
        <v>441</v>
      </c>
      <c r="F1543" s="820">
        <v>2.1888553380000002</v>
      </c>
      <c r="G1543" s="821">
        <v>27.390646310000001</v>
      </c>
      <c r="H1543" s="822">
        <v>17030732.013260499</v>
      </c>
      <c r="I1543" s="819"/>
      <c r="J1543" s="820">
        <v>-2.6055099999999998E-4</v>
      </c>
      <c r="K1543" s="819">
        <f t="shared" si="344"/>
        <v>1137</v>
      </c>
      <c r="L1543" s="819">
        <f t="shared" si="345"/>
        <v>70</v>
      </c>
      <c r="M1543" s="819">
        <f t="shared" si="341"/>
        <v>1137</v>
      </c>
      <c r="N1543" s="819">
        <f t="shared" si="342"/>
        <v>364</v>
      </c>
      <c r="O1543" s="819">
        <f t="shared" si="343"/>
        <v>1155</v>
      </c>
      <c r="P1543" s="819">
        <f t="shared" si="346"/>
        <v>261</v>
      </c>
      <c r="Q1543" s="819">
        <f t="shared" si="347"/>
        <v>353</v>
      </c>
      <c r="R1543" s="819">
        <f t="shared" si="348"/>
        <v>1055</v>
      </c>
      <c r="S1543" s="819">
        <f t="shared" si="349"/>
        <v>338</v>
      </c>
      <c r="T1543" s="819">
        <f t="shared" si="350"/>
        <v>1133</v>
      </c>
      <c r="U1543" s="819">
        <f t="shared" si="351"/>
        <v>3140</v>
      </c>
      <c r="V1543" s="819">
        <f t="shared" si="352"/>
        <v>1109</v>
      </c>
      <c r="W1543" s="379">
        <f t="shared" si="353"/>
        <v>1109</v>
      </c>
      <c r="X1543" s="819" t="str">
        <f t="shared" si="354"/>
        <v/>
      </c>
      <c r="Y1543" s="837"/>
      <c r="Z1543" s="839"/>
      <c r="AA1543" s="838"/>
      <c r="AB1543" s="839"/>
    </row>
    <row r="1544" spans="1:28" ht="13.15">
      <c r="B1544" s="819" t="s">
        <v>3515</v>
      </c>
      <c r="C1544" s="819" t="s">
        <v>3516</v>
      </c>
      <c r="D1544" s="379" t="s">
        <v>336</v>
      </c>
      <c r="E1544" s="818" t="s">
        <v>337</v>
      </c>
      <c r="F1544" s="820"/>
      <c r="G1544" s="821"/>
      <c r="H1544" s="822">
        <v>208576303.44</v>
      </c>
      <c r="I1544" s="819"/>
      <c r="J1544" s="820">
        <v>0</v>
      </c>
      <c r="K1544" s="819">
        <f t="shared" si="344"/>
        <v>554</v>
      </c>
      <c r="L1544" s="819">
        <f t="shared" si="345"/>
        <v>1084</v>
      </c>
      <c r="M1544" s="819">
        <f t="shared" si="341"/>
        <v>554</v>
      </c>
      <c r="N1544" s="819">
        <f t="shared" si="342"/>
        <v>364</v>
      </c>
      <c r="O1544" s="819">
        <f t="shared" si="343"/>
        <v>492</v>
      </c>
      <c r="P1544" s="819">
        <f t="shared" si="346"/>
        <v>844</v>
      </c>
      <c r="Q1544" s="819">
        <f t="shared" si="347"/>
        <v>661</v>
      </c>
      <c r="R1544" s="819">
        <f t="shared" si="348"/>
        <v>472</v>
      </c>
      <c r="S1544" s="819">
        <f t="shared" si="349"/>
        <v>338</v>
      </c>
      <c r="T1544" s="819">
        <f t="shared" si="350"/>
        <v>470</v>
      </c>
      <c r="U1544" s="819">
        <f t="shared" si="351"/>
        <v>2785</v>
      </c>
      <c r="V1544" s="819">
        <f t="shared" si="352"/>
        <v>463</v>
      </c>
      <c r="W1544" s="379">
        <f t="shared" si="353"/>
        <v>463</v>
      </c>
      <c r="X1544" s="819" t="str">
        <f t="shared" si="354"/>
        <v/>
      </c>
      <c r="Y1544" s="837"/>
      <c r="Z1544" s="839"/>
      <c r="AA1544" s="838"/>
      <c r="AB1544" s="839"/>
    </row>
    <row r="1545" spans="1:28" ht="14.45">
      <c r="A1545" s="816"/>
      <c r="B1545" s="819" t="s">
        <v>3517</v>
      </c>
      <c r="C1545" s="819" t="s">
        <v>3518</v>
      </c>
      <c r="D1545" s="379" t="s">
        <v>336</v>
      </c>
      <c r="E1545" s="818" t="s">
        <v>2987</v>
      </c>
      <c r="F1545" s="820">
        <v>0</v>
      </c>
      <c r="G1545" s="821">
        <v>-0.25151668300000002</v>
      </c>
      <c r="H1545" s="822">
        <v>11008446.7009813</v>
      </c>
      <c r="I1545" s="819"/>
      <c r="J1545" s="820">
        <v>1.13072E-4</v>
      </c>
      <c r="K1545" s="819">
        <f t="shared" si="344"/>
        <v>1233</v>
      </c>
      <c r="L1545" s="819">
        <f t="shared" si="345"/>
        <v>1250</v>
      </c>
      <c r="M1545" s="819">
        <f t="shared" si="341"/>
        <v>1233</v>
      </c>
      <c r="N1545" s="819">
        <f t="shared" si="342"/>
        <v>364</v>
      </c>
      <c r="O1545" s="819">
        <f t="shared" si="343"/>
        <v>292</v>
      </c>
      <c r="P1545" s="819">
        <f t="shared" si="346"/>
        <v>165</v>
      </c>
      <c r="Q1545" s="819">
        <f t="shared" si="347"/>
        <v>827</v>
      </c>
      <c r="R1545" s="819">
        <f t="shared" si="348"/>
        <v>1151</v>
      </c>
      <c r="S1545" s="819">
        <f t="shared" si="349"/>
        <v>338</v>
      </c>
      <c r="T1545" s="819">
        <f t="shared" si="350"/>
        <v>270</v>
      </c>
      <c r="U1545" s="819">
        <f t="shared" si="351"/>
        <v>2751</v>
      </c>
      <c r="V1545" s="819">
        <f t="shared" si="352"/>
        <v>421</v>
      </c>
      <c r="W1545" s="379">
        <f t="shared" si="353"/>
        <v>421</v>
      </c>
      <c r="X1545" s="819" t="str">
        <f t="shared" si="354"/>
        <v/>
      </c>
      <c r="Y1545" s="837"/>
      <c r="Z1545" s="839"/>
      <c r="AA1545" s="838"/>
      <c r="AB1545" s="839"/>
    </row>
    <row r="1546" spans="1:28" ht="13.15">
      <c r="B1546" s="819" t="s">
        <v>3519</v>
      </c>
      <c r="C1546" s="819" t="s">
        <v>3520</v>
      </c>
      <c r="D1546" s="379" t="s">
        <v>336</v>
      </c>
      <c r="E1546" s="818" t="s">
        <v>191</v>
      </c>
      <c r="F1546" s="820">
        <v>0.91745814199999998</v>
      </c>
      <c r="G1546" s="821">
        <v>0.25345648599999998</v>
      </c>
      <c r="H1546" s="822">
        <v>354080.692240501</v>
      </c>
      <c r="I1546" s="819">
        <v>0.01</v>
      </c>
      <c r="J1546" s="820">
        <v>-3.9841399999999998E-4</v>
      </c>
      <c r="K1546" s="819">
        <f t="shared" si="344"/>
        <v>1616</v>
      </c>
      <c r="L1546" s="819">
        <f t="shared" si="345"/>
        <v>969</v>
      </c>
      <c r="M1546" s="819">
        <f t="shared" si="341"/>
        <v>1616</v>
      </c>
      <c r="N1546" s="819">
        <f t="shared" si="342"/>
        <v>344</v>
      </c>
      <c r="O1546" s="819">
        <f t="shared" si="343"/>
        <v>1223</v>
      </c>
      <c r="P1546" s="819">
        <f t="shared" si="346"/>
        <v>218</v>
      </c>
      <c r="Q1546" s="819">
        <f t="shared" si="347"/>
        <v>546</v>
      </c>
      <c r="R1546" s="819">
        <f t="shared" si="348"/>
        <v>1534</v>
      </c>
      <c r="S1546" s="819">
        <f t="shared" si="349"/>
        <v>318</v>
      </c>
      <c r="T1546" s="819">
        <f t="shared" si="350"/>
        <v>1201</v>
      </c>
      <c r="U1546" s="819">
        <f t="shared" si="351"/>
        <v>3817</v>
      </c>
      <c r="V1546" s="819">
        <f t="shared" si="352"/>
        <v>1718</v>
      </c>
      <c r="W1546" s="379">
        <f t="shared" si="353"/>
        <v>1718</v>
      </c>
      <c r="X1546" s="819" t="str">
        <f t="shared" si="354"/>
        <v/>
      </c>
      <c r="Y1546" s="837"/>
      <c r="Z1546" s="839"/>
      <c r="AA1546" s="838"/>
      <c r="AB1546" s="839"/>
    </row>
    <row r="1547" spans="1:28" ht="14.45">
      <c r="A1547" s="816"/>
      <c r="B1547" s="819" t="s">
        <v>3521</v>
      </c>
      <c r="C1547" s="819" t="s">
        <v>3522</v>
      </c>
      <c r="D1547" s="379" t="s">
        <v>336</v>
      </c>
      <c r="E1547" s="818" t="s">
        <v>676</v>
      </c>
      <c r="F1547" s="820">
        <v>0.57528699400000005</v>
      </c>
      <c r="G1547" s="821">
        <v>3.1519033000000002E-2</v>
      </c>
      <c r="H1547" s="822">
        <v>581048058.64784098</v>
      </c>
      <c r="I1547" s="819"/>
      <c r="J1547" s="820">
        <v>-4.6149E-4</v>
      </c>
      <c r="K1547" s="819">
        <f t="shared" si="344"/>
        <v>321</v>
      </c>
      <c r="L1547" s="819">
        <f t="shared" si="345"/>
        <v>1048</v>
      </c>
      <c r="M1547" s="819">
        <f t="shared" si="341"/>
        <v>321</v>
      </c>
      <c r="N1547" s="819">
        <f t="shared" si="342"/>
        <v>364</v>
      </c>
      <c r="O1547" s="819">
        <f t="shared" si="343"/>
        <v>1251</v>
      </c>
      <c r="P1547" s="819">
        <f t="shared" si="346"/>
        <v>1077</v>
      </c>
      <c r="Q1547" s="819">
        <f t="shared" si="347"/>
        <v>625</v>
      </c>
      <c r="R1547" s="819">
        <f t="shared" si="348"/>
        <v>239</v>
      </c>
      <c r="S1547" s="819">
        <f t="shared" si="349"/>
        <v>338</v>
      </c>
      <c r="T1547" s="819">
        <f t="shared" si="350"/>
        <v>1229</v>
      </c>
      <c r="U1547" s="819">
        <f t="shared" si="351"/>
        <v>3508</v>
      </c>
      <c r="V1547" s="819">
        <f t="shared" si="352"/>
        <v>1561</v>
      </c>
      <c r="W1547" s="379">
        <f t="shared" si="353"/>
        <v>1561</v>
      </c>
      <c r="X1547" s="819" t="str">
        <f t="shared" si="354"/>
        <v/>
      </c>
      <c r="Y1547" s="837"/>
      <c r="Z1547" s="839"/>
      <c r="AA1547" s="838"/>
      <c r="AB1547" s="839"/>
    </row>
    <row r="1548" spans="1:28" ht="13.15">
      <c r="B1548" s="819" t="s">
        <v>3523</v>
      </c>
      <c r="C1548" s="819" t="s">
        <v>3524</v>
      </c>
      <c r="D1548" s="379" t="s">
        <v>336</v>
      </c>
      <c r="E1548" s="818" t="s">
        <v>441</v>
      </c>
      <c r="F1548" s="820">
        <v>0.45651244600000002</v>
      </c>
      <c r="G1548" s="821">
        <v>0.46853477100000002</v>
      </c>
      <c r="H1548" s="822">
        <v>304521695.84335798</v>
      </c>
      <c r="I1548" s="819"/>
      <c r="J1548" s="820">
        <v>-3.6363399999999999E-4</v>
      </c>
      <c r="K1548" s="819">
        <f t="shared" si="344"/>
        <v>467</v>
      </c>
      <c r="L1548" s="819">
        <f t="shared" si="345"/>
        <v>931</v>
      </c>
      <c r="M1548" s="819">
        <f t="shared" si="341"/>
        <v>467</v>
      </c>
      <c r="N1548" s="819">
        <f t="shared" si="342"/>
        <v>364</v>
      </c>
      <c r="O1548" s="819">
        <f t="shared" si="343"/>
        <v>1200</v>
      </c>
      <c r="P1548" s="819">
        <f t="shared" si="346"/>
        <v>931</v>
      </c>
      <c r="Q1548" s="819">
        <f t="shared" si="347"/>
        <v>508</v>
      </c>
      <c r="R1548" s="819">
        <f t="shared" si="348"/>
        <v>385</v>
      </c>
      <c r="S1548" s="819">
        <f t="shared" si="349"/>
        <v>338</v>
      </c>
      <c r="T1548" s="819">
        <f t="shared" si="350"/>
        <v>1178</v>
      </c>
      <c r="U1548" s="819">
        <f t="shared" si="351"/>
        <v>3340</v>
      </c>
      <c r="V1548" s="819">
        <f t="shared" si="352"/>
        <v>1395</v>
      </c>
      <c r="W1548" s="379">
        <f t="shared" si="353"/>
        <v>1395</v>
      </c>
      <c r="X1548" s="819" t="str">
        <f t="shared" si="354"/>
        <v/>
      </c>
      <c r="Y1548" s="837"/>
      <c r="Z1548" s="839"/>
      <c r="AA1548" s="838"/>
      <c r="AB1548" s="839"/>
    </row>
    <row r="1549" spans="1:28" ht="14.45">
      <c r="A1549" s="816"/>
      <c r="B1549" s="819" t="s">
        <v>3525</v>
      </c>
      <c r="C1549" s="819" t="s">
        <v>3526</v>
      </c>
      <c r="D1549" s="379" t="s">
        <v>336</v>
      </c>
      <c r="E1549" s="818" t="s">
        <v>441</v>
      </c>
      <c r="F1549" s="820">
        <v>2.2595760779999998</v>
      </c>
      <c r="G1549" s="821">
        <v>-4.9444104729999996</v>
      </c>
      <c r="H1549" s="822">
        <v>326431955.35973299</v>
      </c>
      <c r="I1549" s="819"/>
      <c r="J1549" s="820">
        <v>3.4865599999999998E-4</v>
      </c>
      <c r="K1549" s="819">
        <f t="shared" si="344"/>
        <v>451</v>
      </c>
      <c r="L1549" s="819">
        <f t="shared" si="345"/>
        <v>1407</v>
      </c>
      <c r="M1549" s="819">
        <f t="shared" si="341"/>
        <v>451</v>
      </c>
      <c r="N1549" s="819">
        <f t="shared" si="342"/>
        <v>364</v>
      </c>
      <c r="O1549" s="819">
        <f t="shared" si="343"/>
        <v>222</v>
      </c>
      <c r="P1549" s="819">
        <f t="shared" si="346"/>
        <v>947</v>
      </c>
      <c r="Q1549" s="819">
        <f t="shared" si="347"/>
        <v>984</v>
      </c>
      <c r="R1549" s="819">
        <f t="shared" si="348"/>
        <v>369</v>
      </c>
      <c r="S1549" s="819">
        <f t="shared" si="349"/>
        <v>338</v>
      </c>
      <c r="T1549" s="819">
        <f t="shared" si="350"/>
        <v>200</v>
      </c>
      <c r="U1549" s="819">
        <f t="shared" si="351"/>
        <v>2838</v>
      </c>
      <c r="V1549" s="819">
        <f t="shared" si="352"/>
        <v>697</v>
      </c>
      <c r="W1549" s="379">
        <f t="shared" si="353"/>
        <v>697</v>
      </c>
      <c r="X1549" s="819" t="str">
        <f t="shared" si="354"/>
        <v/>
      </c>
      <c r="Y1549" s="837"/>
      <c r="Z1549" s="839"/>
      <c r="AA1549" s="838"/>
      <c r="AB1549" s="839"/>
    </row>
    <row r="1550" spans="1:28" ht="13.15">
      <c r="B1550" s="819" t="s">
        <v>3527</v>
      </c>
      <c r="C1550" s="819" t="s">
        <v>3528</v>
      </c>
      <c r="D1550" s="379" t="s">
        <v>336</v>
      </c>
      <c r="E1550" s="818" t="s">
        <v>441</v>
      </c>
      <c r="F1550" s="820">
        <v>0.82838100400000003</v>
      </c>
      <c r="G1550" s="821">
        <v>2.0169548320000001</v>
      </c>
      <c r="H1550" s="822">
        <v>627134323.40496099</v>
      </c>
      <c r="I1550" s="819"/>
      <c r="J1550" s="820">
        <v>-8.4691400000000004E-4</v>
      </c>
      <c r="K1550" s="819">
        <f t="shared" si="344"/>
        <v>305</v>
      </c>
      <c r="L1550" s="819">
        <f t="shared" si="345"/>
        <v>671</v>
      </c>
      <c r="M1550" s="819">
        <f t="shared" si="341"/>
        <v>305</v>
      </c>
      <c r="N1550" s="819">
        <f t="shared" si="342"/>
        <v>364</v>
      </c>
      <c r="O1550" s="819">
        <f t="shared" si="343"/>
        <v>1371</v>
      </c>
      <c r="P1550" s="819">
        <f t="shared" si="346"/>
        <v>1093</v>
      </c>
      <c r="Q1550" s="819">
        <f t="shared" si="347"/>
        <v>248</v>
      </c>
      <c r="R1550" s="819">
        <f t="shared" si="348"/>
        <v>223</v>
      </c>
      <c r="S1550" s="819">
        <f t="shared" si="349"/>
        <v>338</v>
      </c>
      <c r="T1550" s="819">
        <f t="shared" si="350"/>
        <v>1349</v>
      </c>
      <c r="U1550" s="819">
        <f t="shared" si="351"/>
        <v>3251</v>
      </c>
      <c r="V1550" s="819">
        <f t="shared" si="352"/>
        <v>1271</v>
      </c>
      <c r="W1550" s="379">
        <f t="shared" si="353"/>
        <v>1271</v>
      </c>
      <c r="X1550" s="819" t="str">
        <f t="shared" si="354"/>
        <v/>
      </c>
      <c r="Y1550" s="837"/>
      <c r="Z1550" s="839"/>
      <c r="AA1550" s="838"/>
      <c r="AB1550" s="839"/>
    </row>
    <row r="1551" spans="1:28" ht="14.45">
      <c r="A1551" s="816"/>
      <c r="B1551" s="819" t="s">
        <v>3529</v>
      </c>
      <c r="C1551" s="819" t="s">
        <v>3530</v>
      </c>
      <c r="D1551" s="379" t="s">
        <v>336</v>
      </c>
      <c r="E1551" s="818" t="s">
        <v>441</v>
      </c>
      <c r="F1551" s="820">
        <v>1.5806559330000001</v>
      </c>
      <c r="G1551" s="821">
        <v>0.62991264700000005</v>
      </c>
      <c r="H1551" s="822">
        <v>685990924.43474495</v>
      </c>
      <c r="I1551" s="819">
        <v>0.09</v>
      </c>
      <c r="J1551" s="820">
        <v>-6.25867E-4</v>
      </c>
      <c r="K1551" s="819">
        <f t="shared" si="344"/>
        <v>289</v>
      </c>
      <c r="L1551" s="819">
        <f t="shared" si="345"/>
        <v>895</v>
      </c>
      <c r="M1551" s="819">
        <f t="shared" si="341"/>
        <v>289</v>
      </c>
      <c r="N1551" s="819">
        <f t="shared" si="342"/>
        <v>275</v>
      </c>
      <c r="O1551" s="819">
        <f t="shared" si="343"/>
        <v>1321</v>
      </c>
      <c r="P1551" s="819">
        <f t="shared" si="346"/>
        <v>1109</v>
      </c>
      <c r="Q1551" s="819">
        <f t="shared" si="347"/>
        <v>472</v>
      </c>
      <c r="R1551" s="819">
        <f t="shared" si="348"/>
        <v>207</v>
      </c>
      <c r="S1551" s="819">
        <f t="shared" si="349"/>
        <v>249</v>
      </c>
      <c r="T1551" s="819">
        <f t="shared" si="350"/>
        <v>1299</v>
      </c>
      <c r="U1551" s="819">
        <f t="shared" si="351"/>
        <v>3336</v>
      </c>
      <c r="V1551" s="819">
        <f t="shared" si="352"/>
        <v>1387</v>
      </c>
      <c r="W1551" s="379">
        <f t="shared" si="353"/>
        <v>1387</v>
      </c>
      <c r="X1551" s="819" t="str">
        <f t="shared" si="354"/>
        <v/>
      </c>
      <c r="Y1551" s="837"/>
      <c r="Z1551" s="839"/>
      <c r="AA1551" s="838"/>
      <c r="AB1551" s="839"/>
    </row>
    <row r="1552" spans="1:28" ht="13.15">
      <c r="B1552" s="819" t="s">
        <v>3531</v>
      </c>
      <c r="C1552" s="819" t="s">
        <v>3532</v>
      </c>
      <c r="D1552" s="379" t="s">
        <v>336</v>
      </c>
      <c r="E1552" s="818" t="s">
        <v>441</v>
      </c>
      <c r="F1552" s="820">
        <v>0.57048990799999999</v>
      </c>
      <c r="G1552" s="821"/>
      <c r="H1552" s="822">
        <v>934347742.16930795</v>
      </c>
      <c r="I1552" s="819"/>
      <c r="J1552" s="820">
        <v>0</v>
      </c>
      <c r="K1552" s="819">
        <f t="shared" si="344"/>
        <v>232</v>
      </c>
      <c r="L1552" s="819">
        <f t="shared" si="345"/>
        <v>1084</v>
      </c>
      <c r="M1552" s="819">
        <f t="shared" si="341"/>
        <v>232</v>
      </c>
      <c r="N1552" s="819">
        <f t="shared" si="342"/>
        <v>364</v>
      </c>
      <c r="O1552" s="819">
        <f t="shared" si="343"/>
        <v>492</v>
      </c>
      <c r="P1552" s="819">
        <f t="shared" si="346"/>
        <v>1166</v>
      </c>
      <c r="Q1552" s="819">
        <f t="shared" si="347"/>
        <v>661</v>
      </c>
      <c r="R1552" s="819">
        <f t="shared" si="348"/>
        <v>150</v>
      </c>
      <c r="S1552" s="819">
        <f t="shared" si="349"/>
        <v>338</v>
      </c>
      <c r="T1552" s="819">
        <f t="shared" si="350"/>
        <v>470</v>
      </c>
      <c r="U1552" s="819">
        <f t="shared" si="351"/>
        <v>2785</v>
      </c>
      <c r="V1552" s="819">
        <f t="shared" si="352"/>
        <v>463</v>
      </c>
      <c r="W1552" s="379">
        <f t="shared" si="353"/>
        <v>463</v>
      </c>
      <c r="X1552" s="819" t="str">
        <f t="shared" si="354"/>
        <v/>
      </c>
      <c r="Y1552" s="837"/>
      <c r="Z1552" s="839"/>
      <c r="AA1552" s="838"/>
      <c r="AB1552" s="839"/>
    </row>
    <row r="1553" spans="1:28" ht="14.45">
      <c r="A1553" s="816"/>
      <c r="B1553" s="819" t="s">
        <v>3533</v>
      </c>
      <c r="C1553" s="819" t="s">
        <v>3534</v>
      </c>
      <c r="D1553" s="379" t="s">
        <v>336</v>
      </c>
      <c r="E1553" s="818" t="s">
        <v>645</v>
      </c>
      <c r="F1553" s="820">
        <v>1.5246852420000001</v>
      </c>
      <c r="G1553" s="821">
        <v>12.784910999999999</v>
      </c>
      <c r="H1553" s="822">
        <v>148008703.336465</v>
      </c>
      <c r="I1553" s="819"/>
      <c r="J1553" s="820">
        <v>-2.71842E-5</v>
      </c>
      <c r="K1553" s="819">
        <f t="shared" si="344"/>
        <v>624</v>
      </c>
      <c r="L1553" s="819">
        <f t="shared" si="345"/>
        <v>155</v>
      </c>
      <c r="M1553" s="819">
        <f t="shared" si="341"/>
        <v>624</v>
      </c>
      <c r="N1553" s="819">
        <f t="shared" si="342"/>
        <v>364</v>
      </c>
      <c r="O1553" s="819">
        <f t="shared" si="343"/>
        <v>873</v>
      </c>
      <c r="P1553" s="819">
        <f t="shared" si="346"/>
        <v>774</v>
      </c>
      <c r="Q1553" s="819">
        <f t="shared" si="347"/>
        <v>268</v>
      </c>
      <c r="R1553" s="819">
        <f t="shared" si="348"/>
        <v>542</v>
      </c>
      <c r="S1553" s="819">
        <f t="shared" si="349"/>
        <v>338</v>
      </c>
      <c r="T1553" s="819">
        <f t="shared" si="350"/>
        <v>851</v>
      </c>
      <c r="U1553" s="819">
        <f t="shared" si="351"/>
        <v>2773</v>
      </c>
      <c r="V1553" s="819">
        <f t="shared" si="352"/>
        <v>448</v>
      </c>
      <c r="W1553" s="379">
        <f t="shared" si="353"/>
        <v>448</v>
      </c>
      <c r="X1553" s="819" t="str">
        <f t="shared" si="354"/>
        <v/>
      </c>
      <c r="Y1553" s="837"/>
      <c r="Z1553" s="839"/>
      <c r="AA1553" s="838"/>
      <c r="AB1553" s="839"/>
    </row>
    <row r="1554" spans="1:28" ht="13.15">
      <c r="B1554" s="819" t="s">
        <v>3535</v>
      </c>
      <c r="C1554" s="819" t="s">
        <v>3536</v>
      </c>
      <c r="D1554" s="379" t="s">
        <v>336</v>
      </c>
      <c r="E1554" s="818" t="s">
        <v>941</v>
      </c>
      <c r="F1554" s="820">
        <v>2.7490219680000001</v>
      </c>
      <c r="G1554" s="821">
        <v>35.691716149999998</v>
      </c>
      <c r="H1554" s="822">
        <v>36651589.537223302</v>
      </c>
      <c r="I1554" s="819">
        <v>0.09</v>
      </c>
      <c r="J1554" s="820">
        <v>-7.9524290000000004E-3</v>
      </c>
      <c r="K1554" s="819">
        <f t="shared" si="344"/>
        <v>949</v>
      </c>
      <c r="L1554" s="819">
        <f t="shared" si="345"/>
        <v>51</v>
      </c>
      <c r="M1554" s="819">
        <f t="shared" si="341"/>
        <v>949</v>
      </c>
      <c r="N1554" s="819">
        <f t="shared" si="342"/>
        <v>275</v>
      </c>
      <c r="O1554" s="819">
        <f t="shared" si="343"/>
        <v>1638</v>
      </c>
      <c r="P1554" s="819">
        <f t="shared" si="346"/>
        <v>449</v>
      </c>
      <c r="Q1554" s="819">
        <f t="shared" si="347"/>
        <v>372</v>
      </c>
      <c r="R1554" s="819">
        <f t="shared" si="348"/>
        <v>867</v>
      </c>
      <c r="S1554" s="819">
        <f t="shared" si="349"/>
        <v>249</v>
      </c>
      <c r="T1554" s="819">
        <f t="shared" si="350"/>
        <v>1616</v>
      </c>
      <c r="U1554" s="819">
        <f t="shared" si="351"/>
        <v>3553</v>
      </c>
      <c r="V1554" s="819">
        <f t="shared" si="352"/>
        <v>1596</v>
      </c>
      <c r="W1554" s="379">
        <f t="shared" si="353"/>
        <v>1596</v>
      </c>
      <c r="X1554" s="819" t="str">
        <f t="shared" si="354"/>
        <v/>
      </c>
      <c r="Y1554" s="837"/>
      <c r="Z1554" s="839"/>
      <c r="AA1554" s="838"/>
      <c r="AB1554" s="839"/>
    </row>
    <row r="1555" spans="1:28" ht="14.45">
      <c r="A1555" s="816"/>
      <c r="B1555" s="819" t="s">
        <v>3537</v>
      </c>
      <c r="C1555" s="819" t="s">
        <v>3538</v>
      </c>
      <c r="D1555" s="379" t="s">
        <v>336</v>
      </c>
      <c r="E1555" s="818" t="s">
        <v>441</v>
      </c>
      <c r="F1555" s="820">
        <v>0.63988238600000003</v>
      </c>
      <c r="G1555" s="821">
        <v>-5.6442023179999996</v>
      </c>
      <c r="H1555" s="822">
        <v>23540193897.840099</v>
      </c>
      <c r="I1555" s="819"/>
      <c r="J1555" s="820">
        <v>6.3948999999999994E-5</v>
      </c>
      <c r="K1555" s="819">
        <f t="shared" si="344"/>
        <v>13</v>
      </c>
      <c r="L1555" s="819">
        <f t="shared" si="345"/>
        <v>1415</v>
      </c>
      <c r="M1555" s="819">
        <f t="shared" si="341"/>
        <v>13</v>
      </c>
      <c r="N1555" s="819">
        <f t="shared" si="342"/>
        <v>364</v>
      </c>
      <c r="O1555" s="819">
        <f t="shared" si="343"/>
        <v>328</v>
      </c>
      <c r="P1555" s="819">
        <f t="shared" si="346"/>
        <v>1385</v>
      </c>
      <c r="Q1555" s="819">
        <f t="shared" si="347"/>
        <v>992</v>
      </c>
      <c r="R1555" s="819">
        <f t="shared" si="348"/>
        <v>69</v>
      </c>
      <c r="S1555" s="819">
        <f t="shared" si="349"/>
        <v>338</v>
      </c>
      <c r="T1555" s="819">
        <f t="shared" si="350"/>
        <v>306</v>
      </c>
      <c r="U1555" s="819">
        <f t="shared" si="351"/>
        <v>3090</v>
      </c>
      <c r="V1555" s="819">
        <f t="shared" si="352"/>
        <v>1056</v>
      </c>
      <c r="W1555" s="379">
        <f t="shared" si="353"/>
        <v>1056</v>
      </c>
      <c r="X1555" s="819" t="str">
        <f t="shared" si="354"/>
        <v/>
      </c>
      <c r="Y1555" s="837"/>
      <c r="Z1555" s="839"/>
      <c r="AA1555" s="838"/>
      <c r="AB1555" s="839"/>
    </row>
    <row r="1556" spans="1:28" ht="13.15">
      <c r="B1556" s="819" t="s">
        <v>3539</v>
      </c>
      <c r="C1556" s="819" t="s">
        <v>3540</v>
      </c>
      <c r="D1556" s="379" t="s">
        <v>336</v>
      </c>
      <c r="E1556" s="818" t="s">
        <v>941</v>
      </c>
      <c r="F1556" s="820">
        <v>0.84589589600000004</v>
      </c>
      <c r="G1556" s="821">
        <v>1.5378375E-2</v>
      </c>
      <c r="H1556" s="822">
        <v>51331076.883116901</v>
      </c>
      <c r="I1556" s="819"/>
      <c r="J1556" s="820">
        <v>-1.18427E-4</v>
      </c>
      <c r="K1556" s="819">
        <f t="shared" si="344"/>
        <v>871</v>
      </c>
      <c r="L1556" s="819">
        <f t="shared" si="345"/>
        <v>1064</v>
      </c>
      <c r="M1556" s="819">
        <f t="shared" si="341"/>
        <v>871</v>
      </c>
      <c r="N1556" s="819">
        <f t="shared" si="342"/>
        <v>364</v>
      </c>
      <c r="O1556" s="819">
        <f t="shared" si="343"/>
        <v>1027</v>
      </c>
      <c r="P1556" s="819">
        <f t="shared" si="346"/>
        <v>527</v>
      </c>
      <c r="Q1556" s="819">
        <f t="shared" si="347"/>
        <v>641</v>
      </c>
      <c r="R1556" s="819">
        <f t="shared" si="348"/>
        <v>789</v>
      </c>
      <c r="S1556" s="819">
        <f t="shared" si="349"/>
        <v>338</v>
      </c>
      <c r="T1556" s="819">
        <f t="shared" si="350"/>
        <v>1005</v>
      </c>
      <c r="U1556" s="819">
        <f t="shared" si="351"/>
        <v>3300</v>
      </c>
      <c r="V1556" s="819">
        <f t="shared" si="352"/>
        <v>1344</v>
      </c>
      <c r="W1556" s="379">
        <f t="shared" si="353"/>
        <v>1344</v>
      </c>
      <c r="X1556" s="819" t="str">
        <f t="shared" si="354"/>
        <v/>
      </c>
      <c r="Y1556" s="837"/>
      <c r="Z1556" s="839"/>
      <c r="AA1556" s="838"/>
      <c r="AB1556" s="839"/>
    </row>
    <row r="1557" spans="1:28" ht="14.45">
      <c r="A1557" s="816"/>
      <c r="B1557" s="819" t="s">
        <v>3541</v>
      </c>
      <c r="C1557" s="819" t="s">
        <v>3542</v>
      </c>
      <c r="D1557" s="379" t="s">
        <v>336</v>
      </c>
      <c r="E1557" s="818" t="s">
        <v>441</v>
      </c>
      <c r="F1557" s="820">
        <v>2.7427049289999998</v>
      </c>
      <c r="G1557" s="821">
        <v>0.48925801600000002</v>
      </c>
      <c r="H1557" s="822"/>
      <c r="I1557" s="819"/>
      <c r="J1557" s="820">
        <v>-1.2783099999999999E-4</v>
      </c>
      <c r="K1557" s="819" t="str">
        <f t="shared" si="344"/>
        <v>N/A</v>
      </c>
      <c r="L1557" s="819">
        <f t="shared" si="345"/>
        <v>927</v>
      </c>
      <c r="M1557" s="819" t="str">
        <f t="shared" si="341"/>
        <v>N/A</v>
      </c>
      <c r="N1557" s="819">
        <f t="shared" si="342"/>
        <v>364</v>
      </c>
      <c r="O1557" s="819">
        <f t="shared" si="343"/>
        <v>1037</v>
      </c>
      <c r="P1557" s="819" t="str">
        <f t="shared" si="346"/>
        <v>N/A</v>
      </c>
      <c r="Q1557" s="819">
        <f t="shared" si="347"/>
        <v>504</v>
      </c>
      <c r="R1557" s="819" t="str">
        <f t="shared" si="348"/>
        <v>N/A</v>
      </c>
      <c r="S1557" s="819">
        <f t="shared" si="349"/>
        <v>338</v>
      </c>
      <c r="T1557" s="819">
        <f t="shared" si="350"/>
        <v>1015</v>
      </c>
      <c r="U1557" s="819">
        <f t="shared" si="351"/>
        <v>1857</v>
      </c>
      <c r="V1557" s="819">
        <f t="shared" si="352"/>
        <v>131</v>
      </c>
      <c r="W1557" s="379">
        <f t="shared" si="353"/>
        <v>131</v>
      </c>
      <c r="X1557" s="819" t="str">
        <f t="shared" si="354"/>
        <v/>
      </c>
      <c r="Y1557" s="837"/>
      <c r="Z1557" s="839"/>
      <c r="AA1557" s="838"/>
      <c r="AB1557" s="839"/>
    </row>
    <row r="1558" spans="1:28" ht="13.15">
      <c r="B1558" s="819" t="s">
        <v>3543</v>
      </c>
      <c r="C1558" s="819" t="s">
        <v>3544</v>
      </c>
      <c r="D1558" s="379" t="s">
        <v>336</v>
      </c>
      <c r="E1558" s="818" t="s">
        <v>373</v>
      </c>
      <c r="F1558" s="820">
        <v>0.334744235</v>
      </c>
      <c r="G1558" s="821">
        <v>1.3409619070000001</v>
      </c>
      <c r="H1558" s="822">
        <v>71116452.256944403</v>
      </c>
      <c r="I1558" s="819"/>
      <c r="J1558" s="820">
        <v>-2.1117699999999999E-5</v>
      </c>
      <c r="K1558" s="819">
        <f t="shared" si="344"/>
        <v>793</v>
      </c>
      <c r="L1558" s="819">
        <f t="shared" si="345"/>
        <v>765</v>
      </c>
      <c r="M1558" s="819">
        <f t="shared" si="341"/>
        <v>793</v>
      </c>
      <c r="N1558" s="819">
        <f t="shared" si="342"/>
        <v>364</v>
      </c>
      <c r="O1558" s="819">
        <f t="shared" si="343"/>
        <v>855</v>
      </c>
      <c r="P1558" s="819">
        <f t="shared" si="346"/>
        <v>605</v>
      </c>
      <c r="Q1558" s="819">
        <f t="shared" si="347"/>
        <v>342</v>
      </c>
      <c r="R1558" s="819">
        <f t="shared" si="348"/>
        <v>711</v>
      </c>
      <c r="S1558" s="819">
        <f t="shared" si="349"/>
        <v>338</v>
      </c>
      <c r="T1558" s="819">
        <f t="shared" si="350"/>
        <v>833</v>
      </c>
      <c r="U1558" s="819">
        <f t="shared" si="351"/>
        <v>2829</v>
      </c>
      <c r="V1558" s="819">
        <f t="shared" si="352"/>
        <v>682</v>
      </c>
      <c r="W1558" s="379">
        <f t="shared" si="353"/>
        <v>682</v>
      </c>
      <c r="X1558" s="819" t="str">
        <f t="shared" si="354"/>
        <v/>
      </c>
      <c r="Y1558" s="837"/>
      <c r="Z1558" s="839"/>
      <c r="AA1558" s="838"/>
      <c r="AB1558" s="839"/>
    </row>
    <row r="1559" spans="1:28" ht="14.45">
      <c r="A1559" s="816"/>
      <c r="B1559" s="819" t="s">
        <v>3545</v>
      </c>
      <c r="C1559" s="819" t="s">
        <v>3546</v>
      </c>
      <c r="D1559" s="379" t="s">
        <v>336</v>
      </c>
      <c r="E1559" s="818" t="s">
        <v>941</v>
      </c>
      <c r="F1559" s="820">
        <v>-5.1523956719999999</v>
      </c>
      <c r="G1559" s="821">
        <v>2.9822485209999998</v>
      </c>
      <c r="H1559" s="822">
        <v>38174533.777208701</v>
      </c>
      <c r="I1559" s="819">
        <v>1.67</v>
      </c>
      <c r="J1559" s="820">
        <v>-4.8056649999999998E-3</v>
      </c>
      <c r="K1559" s="819">
        <f t="shared" si="344"/>
        <v>938</v>
      </c>
      <c r="L1559" s="819">
        <f t="shared" si="345"/>
        <v>545</v>
      </c>
      <c r="M1559" s="819">
        <f t="shared" si="341"/>
        <v>938</v>
      </c>
      <c r="N1559" s="819">
        <f t="shared" si="342"/>
        <v>92</v>
      </c>
      <c r="O1559" s="819">
        <f t="shared" si="343"/>
        <v>1601</v>
      </c>
      <c r="P1559" s="819">
        <f t="shared" si="346"/>
        <v>460</v>
      </c>
      <c r="Q1559" s="819">
        <f t="shared" si="347"/>
        <v>122</v>
      </c>
      <c r="R1559" s="819">
        <f t="shared" si="348"/>
        <v>856</v>
      </c>
      <c r="S1559" s="819">
        <f t="shared" si="349"/>
        <v>66</v>
      </c>
      <c r="T1559" s="819">
        <f t="shared" si="350"/>
        <v>1579</v>
      </c>
      <c r="U1559" s="819">
        <f t="shared" si="351"/>
        <v>3083</v>
      </c>
      <c r="V1559" s="819">
        <f t="shared" si="352"/>
        <v>1038</v>
      </c>
      <c r="W1559" s="379">
        <f t="shared" si="353"/>
        <v>1038</v>
      </c>
      <c r="X1559" s="819" t="str">
        <f t="shared" si="354"/>
        <v/>
      </c>
      <c r="Y1559" s="837"/>
      <c r="Z1559" s="839"/>
      <c r="AA1559" s="838"/>
      <c r="AB1559" s="839"/>
    </row>
    <row r="1560" spans="1:28" ht="13.15">
      <c r="B1560" s="819" t="s">
        <v>3547</v>
      </c>
      <c r="C1560" s="819" t="s">
        <v>3548</v>
      </c>
      <c r="D1560" s="379" t="s">
        <v>336</v>
      </c>
      <c r="E1560" s="818" t="s">
        <v>337</v>
      </c>
      <c r="F1560" s="820">
        <v>1.575313019</v>
      </c>
      <c r="G1560" s="821">
        <v>-8.3146037929999999</v>
      </c>
      <c r="H1560" s="822">
        <v>7489384766.46</v>
      </c>
      <c r="I1560" s="819"/>
      <c r="J1560" s="820">
        <v>1.7049400000000001E-4</v>
      </c>
      <c r="K1560" s="819">
        <f t="shared" si="344"/>
        <v>50</v>
      </c>
      <c r="L1560" s="819">
        <f t="shared" si="345"/>
        <v>1437</v>
      </c>
      <c r="M1560" s="819">
        <f t="shared" si="341"/>
        <v>50</v>
      </c>
      <c r="N1560" s="819">
        <f t="shared" si="342"/>
        <v>364</v>
      </c>
      <c r="O1560" s="819">
        <f t="shared" si="343"/>
        <v>264</v>
      </c>
      <c r="P1560" s="819">
        <f t="shared" si="346"/>
        <v>1348</v>
      </c>
      <c r="Q1560" s="819">
        <f t="shared" si="347"/>
        <v>1014</v>
      </c>
      <c r="R1560" s="819">
        <f t="shared" si="348"/>
        <v>32</v>
      </c>
      <c r="S1560" s="819">
        <f t="shared" si="349"/>
        <v>338</v>
      </c>
      <c r="T1560" s="819">
        <f t="shared" si="350"/>
        <v>242</v>
      </c>
      <c r="U1560" s="819">
        <f t="shared" si="351"/>
        <v>2974</v>
      </c>
      <c r="V1560" s="819">
        <f t="shared" si="352"/>
        <v>894</v>
      </c>
      <c r="W1560" s="379">
        <f t="shared" si="353"/>
        <v>894</v>
      </c>
      <c r="X1560" s="819" t="str">
        <f t="shared" si="354"/>
        <v/>
      </c>
      <c r="Y1560" s="837"/>
      <c r="Z1560" s="839"/>
      <c r="AA1560" s="838"/>
      <c r="AB1560" s="839"/>
    </row>
    <row r="1561" spans="1:28" ht="14.45">
      <c r="A1561" s="816"/>
      <c r="B1561" s="819" t="s">
        <v>3549</v>
      </c>
      <c r="C1561" s="819" t="s">
        <v>3550</v>
      </c>
      <c r="D1561" s="379" t="s">
        <v>336</v>
      </c>
      <c r="E1561" s="818" t="s">
        <v>378</v>
      </c>
      <c r="F1561" s="820">
        <v>1.3499813940000001</v>
      </c>
      <c r="G1561" s="821">
        <v>2.4055690589999998</v>
      </c>
      <c r="H1561" s="822">
        <v>82833929.371408105</v>
      </c>
      <c r="I1561" s="819"/>
      <c r="J1561" s="820">
        <v>-7.9087500000000005E-5</v>
      </c>
      <c r="K1561" s="819">
        <f t="shared" si="344"/>
        <v>764</v>
      </c>
      <c r="L1561" s="819">
        <f t="shared" si="345"/>
        <v>614</v>
      </c>
      <c r="M1561" s="819">
        <f t="shared" si="341"/>
        <v>764</v>
      </c>
      <c r="N1561" s="819">
        <f t="shared" si="342"/>
        <v>364</v>
      </c>
      <c r="O1561" s="819">
        <f t="shared" si="343"/>
        <v>971</v>
      </c>
      <c r="P1561" s="819">
        <f t="shared" si="346"/>
        <v>634</v>
      </c>
      <c r="Q1561" s="819">
        <f t="shared" si="347"/>
        <v>191</v>
      </c>
      <c r="R1561" s="819">
        <f t="shared" si="348"/>
        <v>682</v>
      </c>
      <c r="S1561" s="819">
        <f t="shared" si="349"/>
        <v>338</v>
      </c>
      <c r="T1561" s="819">
        <f t="shared" si="350"/>
        <v>949</v>
      </c>
      <c r="U1561" s="819">
        <f t="shared" si="351"/>
        <v>2794</v>
      </c>
      <c r="V1561" s="819">
        <f t="shared" si="352"/>
        <v>617</v>
      </c>
      <c r="W1561" s="379">
        <f t="shared" si="353"/>
        <v>617</v>
      </c>
      <c r="X1561" s="819" t="str">
        <f t="shared" si="354"/>
        <v/>
      </c>
      <c r="Y1561" s="837"/>
      <c r="Z1561" s="839"/>
      <c r="AA1561" s="838"/>
      <c r="AB1561" s="839"/>
    </row>
    <row r="1562" spans="1:28" ht="13.15">
      <c r="B1562" s="819" t="s">
        <v>3551</v>
      </c>
      <c r="C1562" s="819" t="s">
        <v>3552</v>
      </c>
      <c r="D1562" s="379" t="s">
        <v>336</v>
      </c>
      <c r="E1562" s="818" t="s">
        <v>453</v>
      </c>
      <c r="F1562" s="820">
        <v>1.6934660690000001</v>
      </c>
      <c r="G1562" s="821">
        <v>5.6105096010000004</v>
      </c>
      <c r="H1562" s="822">
        <v>35086962.549874403</v>
      </c>
      <c r="I1562" s="819"/>
      <c r="J1562" s="820">
        <v>-3.9983800000000002E-4</v>
      </c>
      <c r="K1562" s="819">
        <f t="shared" si="344"/>
        <v>957</v>
      </c>
      <c r="L1562" s="819">
        <f t="shared" si="345"/>
        <v>342</v>
      </c>
      <c r="M1562" s="819">
        <f t="shared" si="341"/>
        <v>957</v>
      </c>
      <c r="N1562" s="819">
        <f t="shared" si="342"/>
        <v>364</v>
      </c>
      <c r="O1562" s="819">
        <f t="shared" si="343"/>
        <v>1225</v>
      </c>
      <c r="P1562" s="819">
        <f t="shared" si="346"/>
        <v>441</v>
      </c>
      <c r="Q1562" s="819">
        <f t="shared" si="347"/>
        <v>81</v>
      </c>
      <c r="R1562" s="819">
        <f t="shared" si="348"/>
        <v>875</v>
      </c>
      <c r="S1562" s="819">
        <f t="shared" si="349"/>
        <v>338</v>
      </c>
      <c r="T1562" s="819">
        <f t="shared" si="350"/>
        <v>1203</v>
      </c>
      <c r="U1562" s="819">
        <f t="shared" si="351"/>
        <v>2938</v>
      </c>
      <c r="V1562" s="819">
        <f t="shared" si="352"/>
        <v>853</v>
      </c>
      <c r="W1562" s="379">
        <f t="shared" si="353"/>
        <v>853</v>
      </c>
      <c r="X1562" s="819" t="str">
        <f t="shared" si="354"/>
        <v/>
      </c>
      <c r="Y1562" s="837"/>
      <c r="Z1562" s="839"/>
      <c r="AA1562" s="838"/>
      <c r="AB1562" s="839"/>
    </row>
    <row r="1563" spans="1:28" ht="14.45">
      <c r="A1563" s="816"/>
      <c r="B1563" s="819" t="s">
        <v>3553</v>
      </c>
      <c r="C1563" s="819" t="s">
        <v>3554</v>
      </c>
      <c r="D1563" s="379" t="s">
        <v>336</v>
      </c>
      <c r="E1563" s="818" t="s">
        <v>441</v>
      </c>
      <c r="F1563" s="820">
        <v>1.869232757</v>
      </c>
      <c r="G1563" s="821">
        <v>0.62516318500000001</v>
      </c>
      <c r="H1563" s="822">
        <v>307906275.67934299</v>
      </c>
      <c r="I1563" s="819">
        <v>0.02</v>
      </c>
      <c r="J1563" s="820">
        <v>-3.85318E-4</v>
      </c>
      <c r="K1563" s="819">
        <f t="shared" si="344"/>
        <v>463</v>
      </c>
      <c r="L1563" s="819">
        <f t="shared" si="345"/>
        <v>896</v>
      </c>
      <c r="M1563" s="819">
        <f t="shared" si="341"/>
        <v>463</v>
      </c>
      <c r="N1563" s="819">
        <f t="shared" si="342"/>
        <v>337</v>
      </c>
      <c r="O1563" s="819">
        <f t="shared" si="343"/>
        <v>1213</v>
      </c>
      <c r="P1563" s="819">
        <f t="shared" si="346"/>
        <v>935</v>
      </c>
      <c r="Q1563" s="819">
        <f t="shared" si="347"/>
        <v>473</v>
      </c>
      <c r="R1563" s="819">
        <f t="shared" si="348"/>
        <v>381</v>
      </c>
      <c r="S1563" s="819">
        <f t="shared" si="349"/>
        <v>311</v>
      </c>
      <c r="T1563" s="819">
        <f t="shared" si="350"/>
        <v>1191</v>
      </c>
      <c r="U1563" s="819">
        <f t="shared" si="351"/>
        <v>3291</v>
      </c>
      <c r="V1563" s="819">
        <f t="shared" si="352"/>
        <v>1325</v>
      </c>
      <c r="W1563" s="379">
        <f t="shared" si="353"/>
        <v>1325</v>
      </c>
      <c r="X1563" s="819" t="str">
        <f t="shared" si="354"/>
        <v/>
      </c>
      <c r="Y1563" s="837"/>
      <c r="Z1563" s="839"/>
      <c r="AA1563" s="838"/>
      <c r="AB1563" s="839"/>
    </row>
    <row r="1564" spans="1:28" ht="13.15">
      <c r="B1564" s="819" t="s">
        <v>3555</v>
      </c>
      <c r="C1564" s="819" t="s">
        <v>3556</v>
      </c>
      <c r="D1564" s="379" t="s">
        <v>336</v>
      </c>
      <c r="E1564" s="818" t="s">
        <v>676</v>
      </c>
      <c r="F1564" s="820">
        <v>12.456186900000001</v>
      </c>
      <c r="G1564" s="821">
        <v>9.8570441449999997</v>
      </c>
      <c r="H1564" s="822">
        <v>437903882.70431697</v>
      </c>
      <c r="I1564" s="819"/>
      <c r="J1564" s="820">
        <v>-5.2255200000000001E-5</v>
      </c>
      <c r="K1564" s="819">
        <f t="shared" si="344"/>
        <v>385</v>
      </c>
      <c r="L1564" s="819">
        <f t="shared" si="345"/>
        <v>198</v>
      </c>
      <c r="M1564" s="819">
        <f t="shared" si="341"/>
        <v>385</v>
      </c>
      <c r="N1564" s="819">
        <f t="shared" si="342"/>
        <v>364</v>
      </c>
      <c r="O1564" s="819">
        <f t="shared" si="343"/>
        <v>926</v>
      </c>
      <c r="P1564" s="819">
        <f t="shared" si="346"/>
        <v>1013</v>
      </c>
      <c r="Q1564" s="819">
        <f t="shared" si="347"/>
        <v>225</v>
      </c>
      <c r="R1564" s="819">
        <f t="shared" si="348"/>
        <v>303</v>
      </c>
      <c r="S1564" s="819">
        <f t="shared" si="349"/>
        <v>338</v>
      </c>
      <c r="T1564" s="819">
        <f t="shared" si="350"/>
        <v>904</v>
      </c>
      <c r="U1564" s="819">
        <f t="shared" si="351"/>
        <v>2783</v>
      </c>
      <c r="V1564" s="819">
        <f t="shared" si="352"/>
        <v>461</v>
      </c>
      <c r="W1564" s="379">
        <f t="shared" si="353"/>
        <v>461</v>
      </c>
      <c r="X1564" s="819" t="str">
        <f t="shared" si="354"/>
        <v/>
      </c>
      <c r="Y1564" s="837"/>
      <c r="Z1564" s="839"/>
      <c r="AA1564" s="838"/>
      <c r="AB1564" s="839"/>
    </row>
    <row r="1565" spans="1:28" ht="14.45">
      <c r="A1565" s="816"/>
      <c r="B1565" s="819" t="s">
        <v>3557</v>
      </c>
      <c r="C1565" s="819" t="s">
        <v>3558</v>
      </c>
      <c r="D1565" s="379" t="s">
        <v>336</v>
      </c>
      <c r="E1565" s="818" t="s">
        <v>460</v>
      </c>
      <c r="F1565" s="820">
        <v>5.0010022950000002</v>
      </c>
      <c r="G1565" s="821">
        <v>12.78686061</v>
      </c>
      <c r="H1565" s="822">
        <v>39831752.307185203</v>
      </c>
      <c r="I1565" s="819">
        <v>0.28000000000000003</v>
      </c>
      <c r="J1565" s="820">
        <v>-5.7490799999999995E-4</v>
      </c>
      <c r="K1565" s="819">
        <f t="shared" si="344"/>
        <v>928</v>
      </c>
      <c r="L1565" s="819">
        <f t="shared" si="345"/>
        <v>154</v>
      </c>
      <c r="M1565" s="819">
        <f t="shared" si="341"/>
        <v>928</v>
      </c>
      <c r="N1565" s="819">
        <f t="shared" si="342"/>
        <v>193</v>
      </c>
      <c r="O1565" s="819">
        <f t="shared" si="343"/>
        <v>1301</v>
      </c>
      <c r="P1565" s="819">
        <f t="shared" si="346"/>
        <v>470</v>
      </c>
      <c r="Q1565" s="819">
        <f t="shared" si="347"/>
        <v>269</v>
      </c>
      <c r="R1565" s="819">
        <f t="shared" si="348"/>
        <v>846</v>
      </c>
      <c r="S1565" s="819">
        <f t="shared" si="349"/>
        <v>167</v>
      </c>
      <c r="T1565" s="819">
        <f t="shared" si="350"/>
        <v>1279</v>
      </c>
      <c r="U1565" s="819">
        <f t="shared" si="351"/>
        <v>3031</v>
      </c>
      <c r="V1565" s="819">
        <f t="shared" si="352"/>
        <v>966</v>
      </c>
      <c r="W1565" s="379">
        <f t="shared" si="353"/>
        <v>966</v>
      </c>
      <c r="X1565" s="819" t="str">
        <f t="shared" si="354"/>
        <v/>
      </c>
      <c r="Y1565" s="837"/>
      <c r="Z1565" s="839"/>
      <c r="AA1565" s="838"/>
      <c r="AB1565" s="839"/>
    </row>
    <row r="1566" spans="1:28" ht="13.15">
      <c r="B1566" s="819" t="s">
        <v>3559</v>
      </c>
      <c r="C1566" s="819" t="s">
        <v>3560</v>
      </c>
      <c r="D1566" s="379" t="s">
        <v>336</v>
      </c>
      <c r="E1566" s="818" t="s">
        <v>352</v>
      </c>
      <c r="F1566" s="820">
        <v>0.78301516999999998</v>
      </c>
      <c r="G1566" s="821">
        <v>0.33322500100000002</v>
      </c>
      <c r="H1566" s="822">
        <v>281830978.59261698</v>
      </c>
      <c r="I1566" s="819">
        <v>0.06</v>
      </c>
      <c r="J1566" s="820">
        <v>-1.1514323E-2</v>
      </c>
      <c r="K1566" s="819">
        <f t="shared" si="344"/>
        <v>486</v>
      </c>
      <c r="L1566" s="819">
        <f t="shared" si="345"/>
        <v>953</v>
      </c>
      <c r="M1566" s="819">
        <f t="shared" si="341"/>
        <v>486</v>
      </c>
      <c r="N1566" s="819">
        <f t="shared" si="342"/>
        <v>300</v>
      </c>
      <c r="O1566" s="819">
        <f t="shared" si="343"/>
        <v>1654</v>
      </c>
      <c r="P1566" s="819">
        <f t="shared" si="346"/>
        <v>912</v>
      </c>
      <c r="Q1566" s="819">
        <f t="shared" si="347"/>
        <v>530</v>
      </c>
      <c r="R1566" s="819">
        <f t="shared" si="348"/>
        <v>404</v>
      </c>
      <c r="S1566" s="819">
        <f t="shared" si="349"/>
        <v>274</v>
      </c>
      <c r="T1566" s="819">
        <f t="shared" si="350"/>
        <v>1632</v>
      </c>
      <c r="U1566" s="819">
        <f t="shared" si="351"/>
        <v>3752</v>
      </c>
      <c r="V1566" s="819">
        <f t="shared" si="352"/>
        <v>1698</v>
      </c>
      <c r="W1566" s="379">
        <f t="shared" si="353"/>
        <v>1698</v>
      </c>
      <c r="X1566" s="819" t="str">
        <f t="shared" si="354"/>
        <v/>
      </c>
      <c r="Y1566" s="837"/>
      <c r="Z1566" s="839"/>
      <c r="AA1566" s="838"/>
      <c r="AB1566" s="839"/>
    </row>
    <row r="1567" spans="1:28" ht="14.45">
      <c r="A1567" s="816"/>
      <c r="B1567" s="819" t="s">
        <v>3561</v>
      </c>
      <c r="C1567" s="819" t="s">
        <v>3562</v>
      </c>
      <c r="D1567" s="379" t="s">
        <v>336</v>
      </c>
      <c r="E1567" s="818" t="s">
        <v>441</v>
      </c>
      <c r="F1567" s="820">
        <v>0.96343577800000002</v>
      </c>
      <c r="G1567" s="821">
        <v>2.7348989000000001E-2</v>
      </c>
      <c r="H1567" s="822">
        <v>5152968572.4218302</v>
      </c>
      <c r="I1567" s="819">
        <v>0.47</v>
      </c>
      <c r="J1567" s="820">
        <v>-5.0488900000000001E-4</v>
      </c>
      <c r="K1567" s="819">
        <f t="shared" si="344"/>
        <v>75</v>
      </c>
      <c r="L1567" s="819">
        <f t="shared" si="345"/>
        <v>1054</v>
      </c>
      <c r="M1567" s="819">
        <f t="shared" si="341"/>
        <v>75</v>
      </c>
      <c r="N1567" s="819">
        <f t="shared" si="342"/>
        <v>168</v>
      </c>
      <c r="O1567" s="819">
        <f t="shared" si="343"/>
        <v>1272</v>
      </c>
      <c r="P1567" s="819">
        <f t="shared" si="346"/>
        <v>1323</v>
      </c>
      <c r="Q1567" s="819">
        <f t="shared" si="347"/>
        <v>631</v>
      </c>
      <c r="R1567" s="819">
        <f t="shared" si="348"/>
        <v>7</v>
      </c>
      <c r="S1567" s="819">
        <f t="shared" si="349"/>
        <v>142</v>
      </c>
      <c r="T1567" s="819">
        <f t="shared" si="350"/>
        <v>1250</v>
      </c>
      <c r="U1567" s="819">
        <f t="shared" si="351"/>
        <v>3353</v>
      </c>
      <c r="V1567" s="819">
        <f t="shared" si="352"/>
        <v>1414</v>
      </c>
      <c r="W1567" s="379">
        <f t="shared" si="353"/>
        <v>1414</v>
      </c>
      <c r="X1567" s="819" t="str">
        <f t="shared" si="354"/>
        <v/>
      </c>
      <c r="Y1567" s="837"/>
      <c r="Z1567" s="839"/>
      <c r="AA1567" s="838"/>
      <c r="AB1567" s="839"/>
    </row>
    <row r="1568" spans="1:28" ht="13.15">
      <c r="B1568" s="819" t="s">
        <v>3563</v>
      </c>
      <c r="C1568" s="819" t="s">
        <v>3564</v>
      </c>
      <c r="D1568" s="379" t="s">
        <v>336</v>
      </c>
      <c r="E1568" s="818" t="s">
        <v>441</v>
      </c>
      <c r="F1568" s="820">
        <v>3.6313968170000002</v>
      </c>
      <c r="G1568" s="821">
        <v>2.7740676550000001</v>
      </c>
      <c r="H1568" s="822">
        <v>1051800631.87588</v>
      </c>
      <c r="I1568" s="819">
        <v>0.33</v>
      </c>
      <c r="J1568" s="820">
        <v>-4.6239899999999998E-5</v>
      </c>
      <c r="K1568" s="819">
        <f t="shared" si="344"/>
        <v>213</v>
      </c>
      <c r="L1568" s="819">
        <f t="shared" si="345"/>
        <v>571</v>
      </c>
      <c r="M1568" s="819">
        <f t="shared" si="341"/>
        <v>213</v>
      </c>
      <c r="N1568" s="819">
        <f t="shared" si="342"/>
        <v>182</v>
      </c>
      <c r="O1568" s="819">
        <f t="shared" si="343"/>
        <v>916</v>
      </c>
      <c r="P1568" s="819">
        <f t="shared" si="346"/>
        <v>1185</v>
      </c>
      <c r="Q1568" s="819">
        <f t="shared" si="347"/>
        <v>148</v>
      </c>
      <c r="R1568" s="819">
        <f t="shared" si="348"/>
        <v>131</v>
      </c>
      <c r="S1568" s="819">
        <f t="shared" si="349"/>
        <v>156</v>
      </c>
      <c r="T1568" s="819">
        <f t="shared" si="350"/>
        <v>894</v>
      </c>
      <c r="U1568" s="819">
        <f t="shared" si="351"/>
        <v>2514</v>
      </c>
      <c r="V1568" s="819">
        <f t="shared" si="352"/>
        <v>252</v>
      </c>
      <c r="W1568" s="379">
        <f t="shared" si="353"/>
        <v>252</v>
      </c>
      <c r="X1568" s="819" t="str">
        <f t="shared" si="354"/>
        <v/>
      </c>
      <c r="Y1568" s="837"/>
      <c r="Z1568" s="839"/>
      <c r="AA1568" s="838"/>
      <c r="AB1568" s="839"/>
    </row>
    <row r="1569" spans="1:28" ht="14.45">
      <c r="A1569" s="816"/>
      <c r="B1569" s="819" t="s">
        <v>3565</v>
      </c>
      <c r="C1569" s="819" t="s">
        <v>3566</v>
      </c>
      <c r="D1569" s="379" t="s">
        <v>336</v>
      </c>
      <c r="E1569" s="818" t="s">
        <v>642</v>
      </c>
      <c r="F1569" s="820">
        <v>-2.6346548190000001</v>
      </c>
      <c r="G1569" s="821">
        <v>-0.67188252299999995</v>
      </c>
      <c r="H1569" s="822">
        <v>45596599.449555002</v>
      </c>
      <c r="I1569" s="819"/>
      <c r="J1569" s="820">
        <v>6.1225700000000006E-5</v>
      </c>
      <c r="K1569" s="819">
        <f t="shared" si="344"/>
        <v>895</v>
      </c>
      <c r="L1569" s="819">
        <f t="shared" si="345"/>
        <v>1272</v>
      </c>
      <c r="M1569" s="819">
        <f t="shared" si="341"/>
        <v>895</v>
      </c>
      <c r="N1569" s="819">
        <f t="shared" si="342"/>
        <v>364</v>
      </c>
      <c r="O1569" s="819">
        <f t="shared" si="343"/>
        <v>333</v>
      </c>
      <c r="P1569" s="819">
        <f t="shared" si="346"/>
        <v>503</v>
      </c>
      <c r="Q1569" s="819">
        <f t="shared" si="347"/>
        <v>849</v>
      </c>
      <c r="R1569" s="819">
        <f t="shared" si="348"/>
        <v>813</v>
      </c>
      <c r="S1569" s="819">
        <f t="shared" si="349"/>
        <v>338</v>
      </c>
      <c r="T1569" s="819">
        <f t="shared" si="350"/>
        <v>311</v>
      </c>
      <c r="U1569" s="819">
        <f t="shared" si="351"/>
        <v>2814</v>
      </c>
      <c r="V1569" s="819">
        <f t="shared" si="352"/>
        <v>654</v>
      </c>
      <c r="W1569" s="379">
        <f t="shared" si="353"/>
        <v>654</v>
      </c>
      <c r="X1569" s="819" t="str">
        <f t="shared" si="354"/>
        <v/>
      </c>
      <c r="Y1569" s="837"/>
      <c r="Z1569" s="839"/>
      <c r="AA1569" s="838"/>
      <c r="AB1569" s="839"/>
    </row>
    <row r="1570" spans="1:28" ht="13.15">
      <c r="B1570" s="819" t="s">
        <v>3567</v>
      </c>
      <c r="C1570" s="819" t="s">
        <v>3568</v>
      </c>
      <c r="D1570" s="379" t="s">
        <v>336</v>
      </c>
      <c r="E1570" s="818" t="s">
        <v>444</v>
      </c>
      <c r="F1570" s="820">
        <v>1.520141486</v>
      </c>
      <c r="G1570" s="821">
        <v>0</v>
      </c>
      <c r="H1570" s="822">
        <v>12265030.0152316</v>
      </c>
      <c r="I1570" s="819"/>
      <c r="J1570" s="820">
        <v>-1.0465E-4</v>
      </c>
      <c r="K1570" s="819">
        <f t="shared" si="344"/>
        <v>1211</v>
      </c>
      <c r="L1570" s="819">
        <f t="shared" si="345"/>
        <v>1084</v>
      </c>
      <c r="M1570" s="819">
        <f t="shared" si="341"/>
        <v>1211</v>
      </c>
      <c r="N1570" s="819">
        <f t="shared" si="342"/>
        <v>364</v>
      </c>
      <c r="O1570" s="819">
        <f t="shared" si="343"/>
        <v>1012</v>
      </c>
      <c r="P1570" s="819">
        <f t="shared" si="346"/>
        <v>187</v>
      </c>
      <c r="Q1570" s="819">
        <f t="shared" si="347"/>
        <v>661</v>
      </c>
      <c r="R1570" s="819">
        <f t="shared" si="348"/>
        <v>1129</v>
      </c>
      <c r="S1570" s="819">
        <f t="shared" si="349"/>
        <v>338</v>
      </c>
      <c r="T1570" s="819">
        <f t="shared" si="350"/>
        <v>990</v>
      </c>
      <c r="U1570" s="819">
        <f t="shared" si="351"/>
        <v>3305</v>
      </c>
      <c r="V1570" s="819">
        <f t="shared" si="352"/>
        <v>1353</v>
      </c>
      <c r="W1570" s="379">
        <f t="shared" si="353"/>
        <v>1353</v>
      </c>
      <c r="X1570" s="819" t="str">
        <f t="shared" si="354"/>
        <v/>
      </c>
      <c r="Y1570" s="837"/>
      <c r="Z1570" s="839"/>
      <c r="AA1570" s="838"/>
      <c r="AB1570" s="839"/>
    </row>
    <row r="1571" spans="1:28" ht="14.45">
      <c r="A1571" s="816"/>
      <c r="B1571" s="819" t="s">
        <v>3569</v>
      </c>
      <c r="C1571" s="819" t="s">
        <v>3570</v>
      </c>
      <c r="D1571" s="379" t="s">
        <v>336</v>
      </c>
      <c r="E1571" s="818" t="s">
        <v>625</v>
      </c>
      <c r="F1571" s="820">
        <v>4.5613618489999999</v>
      </c>
      <c r="G1571" s="821">
        <v>59.859939920000002</v>
      </c>
      <c r="H1571" s="822">
        <v>118665018.541409</v>
      </c>
      <c r="I1571" s="819"/>
      <c r="J1571" s="820">
        <v>-1.4637899999999999E-5</v>
      </c>
      <c r="K1571" s="819">
        <f t="shared" si="344"/>
        <v>677</v>
      </c>
      <c r="L1571" s="819">
        <f t="shared" si="345"/>
        <v>29</v>
      </c>
      <c r="M1571" s="819">
        <f t="shared" si="341"/>
        <v>677</v>
      </c>
      <c r="N1571" s="819">
        <f t="shared" si="342"/>
        <v>364</v>
      </c>
      <c r="O1571" s="819">
        <f t="shared" si="343"/>
        <v>830</v>
      </c>
      <c r="P1571" s="819">
        <f t="shared" si="346"/>
        <v>721</v>
      </c>
      <c r="Q1571" s="819">
        <f t="shared" si="347"/>
        <v>394</v>
      </c>
      <c r="R1571" s="819">
        <f t="shared" si="348"/>
        <v>595</v>
      </c>
      <c r="S1571" s="819">
        <f t="shared" si="349"/>
        <v>338</v>
      </c>
      <c r="T1571" s="819">
        <f t="shared" si="350"/>
        <v>808</v>
      </c>
      <c r="U1571" s="819">
        <f t="shared" si="351"/>
        <v>2856</v>
      </c>
      <c r="V1571" s="819">
        <f t="shared" si="352"/>
        <v>733</v>
      </c>
      <c r="W1571" s="379">
        <f t="shared" si="353"/>
        <v>733</v>
      </c>
      <c r="X1571" s="819" t="str">
        <f t="shared" si="354"/>
        <v/>
      </c>
      <c r="Y1571" s="837"/>
      <c r="Z1571" s="839"/>
      <c r="AA1571" s="838"/>
      <c r="AB1571" s="839"/>
    </row>
    <row r="1572" spans="1:28" ht="13.15">
      <c r="B1572" s="819" t="s">
        <v>3571</v>
      </c>
      <c r="C1572" s="819" t="s">
        <v>3572</v>
      </c>
      <c r="D1572" s="379" t="s">
        <v>336</v>
      </c>
      <c r="E1572" s="818" t="s">
        <v>941</v>
      </c>
      <c r="F1572" s="820">
        <v>8.1341543349999998</v>
      </c>
      <c r="G1572" s="821">
        <v>51.052953719999998</v>
      </c>
      <c r="H1572" s="822">
        <v>51012243.116883099</v>
      </c>
      <c r="I1572" s="819"/>
      <c r="J1572" s="820">
        <v>-1.4051599999999999E-5</v>
      </c>
      <c r="K1572" s="819">
        <f t="shared" si="344"/>
        <v>874</v>
      </c>
      <c r="L1572" s="819">
        <f t="shared" si="345"/>
        <v>35</v>
      </c>
      <c r="M1572" s="819">
        <f t="shared" si="341"/>
        <v>874</v>
      </c>
      <c r="N1572" s="819">
        <f t="shared" si="342"/>
        <v>364</v>
      </c>
      <c r="O1572" s="819">
        <f t="shared" si="343"/>
        <v>828</v>
      </c>
      <c r="P1572" s="819">
        <f t="shared" si="346"/>
        <v>524</v>
      </c>
      <c r="Q1572" s="819">
        <f t="shared" si="347"/>
        <v>388</v>
      </c>
      <c r="R1572" s="819">
        <f t="shared" si="348"/>
        <v>792</v>
      </c>
      <c r="S1572" s="819">
        <f t="shared" si="349"/>
        <v>338</v>
      </c>
      <c r="T1572" s="819">
        <f t="shared" si="350"/>
        <v>806</v>
      </c>
      <c r="U1572" s="819">
        <f t="shared" si="351"/>
        <v>2848</v>
      </c>
      <c r="V1572" s="819">
        <f t="shared" si="352"/>
        <v>717</v>
      </c>
      <c r="W1572" s="379">
        <f t="shared" si="353"/>
        <v>717</v>
      </c>
      <c r="X1572" s="819" t="str">
        <f t="shared" si="354"/>
        <v/>
      </c>
      <c r="Y1572" s="837"/>
      <c r="Z1572" s="839"/>
      <c r="AA1572" s="838"/>
      <c r="AB1572" s="839"/>
    </row>
    <row r="1573" spans="1:28" ht="14.45">
      <c r="A1573" s="816"/>
      <c r="B1573" s="819" t="s">
        <v>3573</v>
      </c>
      <c r="C1573" s="819" t="s">
        <v>3574</v>
      </c>
      <c r="D1573" s="379" t="s">
        <v>336</v>
      </c>
      <c r="E1573" s="818" t="s">
        <v>1832</v>
      </c>
      <c r="F1573" s="820">
        <v>0.39830778500000003</v>
      </c>
      <c r="G1573" s="821">
        <v>0.97246812100000002</v>
      </c>
      <c r="H1573" s="822">
        <v>7064573.2768806601</v>
      </c>
      <c r="I1573" s="819"/>
      <c r="J1573" s="820">
        <v>-2.4730900000000001E-5</v>
      </c>
      <c r="K1573" s="819">
        <f t="shared" si="344"/>
        <v>1319</v>
      </c>
      <c r="L1573" s="819">
        <f t="shared" si="345"/>
        <v>821</v>
      </c>
      <c r="M1573" s="819">
        <f t="shared" si="341"/>
        <v>1319</v>
      </c>
      <c r="N1573" s="819">
        <f t="shared" si="342"/>
        <v>364</v>
      </c>
      <c r="O1573" s="819">
        <f t="shared" si="343"/>
        <v>863</v>
      </c>
      <c r="P1573" s="819">
        <f t="shared" si="346"/>
        <v>79</v>
      </c>
      <c r="Q1573" s="819">
        <f t="shared" si="347"/>
        <v>398</v>
      </c>
      <c r="R1573" s="819">
        <f t="shared" si="348"/>
        <v>1237</v>
      </c>
      <c r="S1573" s="819">
        <f t="shared" si="349"/>
        <v>338</v>
      </c>
      <c r="T1573" s="819">
        <f t="shared" si="350"/>
        <v>841</v>
      </c>
      <c r="U1573" s="819">
        <f t="shared" si="351"/>
        <v>2893</v>
      </c>
      <c r="V1573" s="819">
        <f t="shared" si="352"/>
        <v>796</v>
      </c>
      <c r="W1573" s="379">
        <f t="shared" si="353"/>
        <v>796</v>
      </c>
      <c r="X1573" s="819" t="str">
        <f t="shared" si="354"/>
        <v/>
      </c>
      <c r="Y1573" s="837"/>
      <c r="Z1573" s="839"/>
      <c r="AA1573" s="838"/>
      <c r="AB1573" s="839"/>
    </row>
    <row r="1574" spans="1:28" ht="13.15">
      <c r="B1574" s="819" t="s">
        <v>3575</v>
      </c>
      <c r="C1574" s="819" t="s">
        <v>3576</v>
      </c>
      <c r="D1574" s="379" t="s">
        <v>336</v>
      </c>
      <c r="E1574" s="818" t="s">
        <v>373</v>
      </c>
      <c r="F1574" s="820">
        <v>0.68586799600000004</v>
      </c>
      <c r="G1574" s="821">
        <v>-3.2516176000000001E-2</v>
      </c>
      <c r="H1574" s="822">
        <v>21133352.507869899</v>
      </c>
      <c r="I1574" s="819">
        <v>-0.04</v>
      </c>
      <c r="J1574" s="820">
        <v>9.6381199999999998E-5</v>
      </c>
      <c r="K1574" s="819">
        <f t="shared" si="344"/>
        <v>1089</v>
      </c>
      <c r="L1574" s="819">
        <f t="shared" si="345"/>
        <v>1201</v>
      </c>
      <c r="M1574" s="819">
        <f t="shared" si="341"/>
        <v>1089</v>
      </c>
      <c r="N1574" s="819">
        <f t="shared" si="342"/>
        <v>375</v>
      </c>
      <c r="O1574" s="819">
        <f t="shared" si="343"/>
        <v>301</v>
      </c>
      <c r="P1574" s="819">
        <f t="shared" si="346"/>
        <v>309</v>
      </c>
      <c r="Q1574" s="819">
        <f t="shared" si="347"/>
        <v>778</v>
      </c>
      <c r="R1574" s="819">
        <f t="shared" si="348"/>
        <v>1007</v>
      </c>
      <c r="S1574" s="819">
        <f t="shared" si="349"/>
        <v>349</v>
      </c>
      <c r="T1574" s="819">
        <f t="shared" si="350"/>
        <v>279</v>
      </c>
      <c r="U1574" s="819">
        <f t="shared" si="351"/>
        <v>2722</v>
      </c>
      <c r="V1574" s="819">
        <f t="shared" si="352"/>
        <v>383</v>
      </c>
      <c r="W1574" s="379">
        <f t="shared" si="353"/>
        <v>383</v>
      </c>
      <c r="X1574" s="819" t="str">
        <f t="shared" si="354"/>
        <v/>
      </c>
      <c r="Y1574" s="837"/>
      <c r="Z1574" s="839"/>
      <c r="AA1574" s="838"/>
      <c r="AB1574" s="839"/>
    </row>
    <row r="1575" spans="1:28" ht="14.45">
      <c r="A1575" s="816"/>
      <c r="B1575" s="819" t="s">
        <v>3577</v>
      </c>
      <c r="C1575" s="819" t="s">
        <v>3578</v>
      </c>
      <c r="D1575" s="379" t="s">
        <v>336</v>
      </c>
      <c r="E1575" s="818" t="s">
        <v>600</v>
      </c>
      <c r="F1575" s="820">
        <v>0.44858489400000001</v>
      </c>
      <c r="G1575" s="821">
        <v>12.14524939</v>
      </c>
      <c r="H1575" s="822">
        <v>8586476.5142515898</v>
      </c>
      <c r="I1575" s="819">
        <v>0.03</v>
      </c>
      <c r="J1575" s="820">
        <v>-8.2318599999999995E-4</v>
      </c>
      <c r="K1575" s="819">
        <f t="shared" si="344"/>
        <v>1283</v>
      </c>
      <c r="L1575" s="819">
        <f t="shared" si="345"/>
        <v>160</v>
      </c>
      <c r="M1575" s="819">
        <f t="shared" si="341"/>
        <v>1283</v>
      </c>
      <c r="N1575" s="819">
        <f t="shared" si="342"/>
        <v>323</v>
      </c>
      <c r="O1575" s="819">
        <f t="shared" si="343"/>
        <v>1368</v>
      </c>
      <c r="P1575" s="819">
        <f t="shared" si="346"/>
        <v>115</v>
      </c>
      <c r="Q1575" s="819">
        <f t="shared" si="347"/>
        <v>263</v>
      </c>
      <c r="R1575" s="819">
        <f t="shared" si="348"/>
        <v>1201</v>
      </c>
      <c r="S1575" s="819">
        <f t="shared" si="349"/>
        <v>297</v>
      </c>
      <c r="T1575" s="819">
        <f t="shared" si="350"/>
        <v>1346</v>
      </c>
      <c r="U1575" s="819">
        <f t="shared" si="351"/>
        <v>3222</v>
      </c>
      <c r="V1575" s="819">
        <f t="shared" si="352"/>
        <v>1229</v>
      </c>
      <c r="W1575" s="379">
        <f t="shared" si="353"/>
        <v>1229</v>
      </c>
      <c r="X1575" s="819" t="str">
        <f t="shared" si="354"/>
        <v/>
      </c>
      <c r="Y1575" s="837"/>
      <c r="Z1575" s="839"/>
      <c r="AA1575" s="838"/>
      <c r="AB1575" s="839"/>
    </row>
    <row r="1576" spans="1:28" ht="13.15">
      <c r="B1576" s="819" t="s">
        <v>3579</v>
      </c>
      <c r="C1576" s="819" t="s">
        <v>3580</v>
      </c>
      <c r="D1576" s="379" t="s">
        <v>336</v>
      </c>
      <c r="E1576" s="818" t="s">
        <v>1339</v>
      </c>
      <c r="F1576" s="820">
        <v>5.1277039550000003</v>
      </c>
      <c r="G1576" s="821">
        <v>98.55200653</v>
      </c>
      <c r="H1576" s="822">
        <v>701273998.90290701</v>
      </c>
      <c r="I1576" s="819"/>
      <c r="J1576" s="820">
        <v>-2.8633300000000002E-6</v>
      </c>
      <c r="K1576" s="819">
        <f t="shared" si="344"/>
        <v>284</v>
      </c>
      <c r="L1576" s="819">
        <f t="shared" si="345"/>
        <v>16</v>
      </c>
      <c r="M1576" s="819">
        <f t="shared" si="341"/>
        <v>284</v>
      </c>
      <c r="N1576" s="819">
        <f t="shared" si="342"/>
        <v>364</v>
      </c>
      <c r="O1576" s="819">
        <f t="shared" si="343"/>
        <v>771</v>
      </c>
      <c r="P1576" s="819">
        <f t="shared" si="346"/>
        <v>1114</v>
      </c>
      <c r="Q1576" s="819">
        <f t="shared" si="347"/>
        <v>407</v>
      </c>
      <c r="R1576" s="819">
        <f t="shared" si="348"/>
        <v>202</v>
      </c>
      <c r="S1576" s="819">
        <f t="shared" si="349"/>
        <v>338</v>
      </c>
      <c r="T1576" s="819">
        <f t="shared" si="350"/>
        <v>749</v>
      </c>
      <c r="U1576" s="819">
        <f t="shared" si="351"/>
        <v>2810</v>
      </c>
      <c r="V1576" s="819">
        <f t="shared" si="352"/>
        <v>647</v>
      </c>
      <c r="W1576" s="379">
        <f t="shared" si="353"/>
        <v>647</v>
      </c>
      <c r="X1576" s="819" t="str">
        <f t="shared" si="354"/>
        <v/>
      </c>
      <c r="Y1576" s="837"/>
      <c r="Z1576" s="839"/>
      <c r="AA1576" s="838"/>
      <c r="AB1576" s="839"/>
    </row>
    <row r="1577" spans="1:28" ht="14.45">
      <c r="A1577" s="816"/>
      <c r="B1577" s="819" t="s">
        <v>3581</v>
      </c>
      <c r="C1577" s="819" t="s">
        <v>3582</v>
      </c>
      <c r="D1577" s="379" t="s">
        <v>336</v>
      </c>
      <c r="E1577" s="818" t="s">
        <v>1832</v>
      </c>
      <c r="F1577" s="820">
        <v>0.74018280599999997</v>
      </c>
      <c r="G1577" s="821">
        <v>0.21139902999999999</v>
      </c>
      <c r="H1577" s="822">
        <v>8678533.2650649901</v>
      </c>
      <c r="I1577" s="819">
        <v>0.14000000000000001</v>
      </c>
      <c r="J1577" s="820">
        <v>-5.8680099999999997E-4</v>
      </c>
      <c r="K1577" s="819">
        <f t="shared" si="344"/>
        <v>1279</v>
      </c>
      <c r="L1577" s="819">
        <f t="shared" si="345"/>
        <v>983</v>
      </c>
      <c r="M1577" s="819">
        <f t="shared" si="341"/>
        <v>1279</v>
      </c>
      <c r="N1577" s="819">
        <f t="shared" si="342"/>
        <v>241</v>
      </c>
      <c r="O1577" s="819">
        <f t="shared" si="343"/>
        <v>1304</v>
      </c>
      <c r="P1577" s="819">
        <f t="shared" si="346"/>
        <v>119</v>
      </c>
      <c r="Q1577" s="819">
        <f t="shared" si="347"/>
        <v>560</v>
      </c>
      <c r="R1577" s="819">
        <f t="shared" si="348"/>
        <v>1197</v>
      </c>
      <c r="S1577" s="819">
        <f t="shared" si="349"/>
        <v>215</v>
      </c>
      <c r="T1577" s="819">
        <f t="shared" si="350"/>
        <v>1282</v>
      </c>
      <c r="U1577" s="819">
        <f t="shared" si="351"/>
        <v>3373</v>
      </c>
      <c r="V1577" s="819">
        <f t="shared" si="352"/>
        <v>1436</v>
      </c>
      <c r="W1577" s="379">
        <f t="shared" si="353"/>
        <v>1436</v>
      </c>
      <c r="X1577" s="819" t="str">
        <f t="shared" si="354"/>
        <v/>
      </c>
      <c r="Y1577" s="837"/>
      <c r="Z1577" s="839"/>
      <c r="AA1577" s="838"/>
      <c r="AB1577" s="839"/>
    </row>
    <row r="1578" spans="1:28" ht="13.15">
      <c r="B1578" s="819" t="s">
        <v>3583</v>
      </c>
      <c r="C1578" s="819" t="s">
        <v>3584</v>
      </c>
      <c r="D1578" s="379" t="s">
        <v>336</v>
      </c>
      <c r="E1578" s="818" t="s">
        <v>441</v>
      </c>
      <c r="F1578" s="820"/>
      <c r="G1578" s="821"/>
      <c r="H1578" s="822">
        <v>603930627.22973502</v>
      </c>
      <c r="I1578" s="819"/>
      <c r="J1578" s="820">
        <v>0</v>
      </c>
      <c r="K1578" s="819">
        <f t="shared" si="344"/>
        <v>312</v>
      </c>
      <c r="L1578" s="819">
        <f t="shared" si="345"/>
        <v>1084</v>
      </c>
      <c r="M1578" s="819">
        <f t="shared" si="341"/>
        <v>312</v>
      </c>
      <c r="N1578" s="819">
        <f t="shared" si="342"/>
        <v>364</v>
      </c>
      <c r="O1578" s="819">
        <f t="shared" si="343"/>
        <v>492</v>
      </c>
      <c r="P1578" s="819">
        <f t="shared" si="346"/>
        <v>1086</v>
      </c>
      <c r="Q1578" s="819">
        <f t="shared" si="347"/>
        <v>661</v>
      </c>
      <c r="R1578" s="819">
        <f t="shared" si="348"/>
        <v>230</v>
      </c>
      <c r="S1578" s="819">
        <f t="shared" si="349"/>
        <v>338</v>
      </c>
      <c r="T1578" s="819">
        <f t="shared" si="350"/>
        <v>470</v>
      </c>
      <c r="U1578" s="819">
        <f t="shared" si="351"/>
        <v>2785</v>
      </c>
      <c r="V1578" s="819">
        <f t="shared" si="352"/>
        <v>463</v>
      </c>
      <c r="W1578" s="379">
        <f t="shared" si="353"/>
        <v>463</v>
      </c>
      <c r="X1578" s="819" t="str">
        <f t="shared" si="354"/>
        <v/>
      </c>
      <c r="Y1578" s="837"/>
      <c r="Z1578" s="839"/>
      <c r="AA1578" s="838"/>
      <c r="AB1578" s="839"/>
    </row>
    <row r="1579" spans="1:28" ht="14.45">
      <c r="A1579" s="816"/>
      <c r="B1579" s="819" t="s">
        <v>3585</v>
      </c>
      <c r="C1579" s="819" t="s">
        <v>3586</v>
      </c>
      <c r="D1579" s="379" t="s">
        <v>336</v>
      </c>
      <c r="E1579" s="818" t="s">
        <v>460</v>
      </c>
      <c r="F1579" s="820">
        <v>-2.3111892539999999</v>
      </c>
      <c r="G1579" s="821">
        <v>-0.74534819399999996</v>
      </c>
      <c r="H1579" s="822"/>
      <c r="I1579" s="819"/>
      <c r="J1579" s="820">
        <v>1.7587700000000001E-5</v>
      </c>
      <c r="K1579" s="819" t="str">
        <f t="shared" si="344"/>
        <v>N/A</v>
      </c>
      <c r="L1579" s="819">
        <f t="shared" si="345"/>
        <v>1281</v>
      </c>
      <c r="M1579" s="819" t="str">
        <f t="shared" si="341"/>
        <v>N/A</v>
      </c>
      <c r="N1579" s="819">
        <f t="shared" si="342"/>
        <v>364</v>
      </c>
      <c r="O1579" s="819">
        <f t="shared" si="343"/>
        <v>410</v>
      </c>
      <c r="P1579" s="819" t="str">
        <f t="shared" si="346"/>
        <v>N/A</v>
      </c>
      <c r="Q1579" s="819">
        <f t="shared" si="347"/>
        <v>858</v>
      </c>
      <c r="R1579" s="819" t="str">
        <f t="shared" si="348"/>
        <v>N/A</v>
      </c>
      <c r="S1579" s="819">
        <f t="shared" si="349"/>
        <v>338</v>
      </c>
      <c r="T1579" s="819">
        <f t="shared" si="350"/>
        <v>388</v>
      </c>
      <c r="U1579" s="819">
        <f t="shared" si="351"/>
        <v>1584</v>
      </c>
      <c r="V1579" s="819">
        <f t="shared" si="352"/>
        <v>65</v>
      </c>
      <c r="W1579" s="379">
        <f t="shared" si="353"/>
        <v>65</v>
      </c>
      <c r="X1579" s="819" t="str">
        <f t="shared" si="354"/>
        <v/>
      </c>
      <c r="Y1579" s="837"/>
      <c r="Z1579" s="839"/>
      <c r="AA1579" s="838"/>
      <c r="AB1579" s="839"/>
    </row>
    <row r="1580" spans="1:28" ht="13.15">
      <c r="B1580" s="819" t="s">
        <v>3587</v>
      </c>
      <c r="C1580" s="819" t="s">
        <v>3588</v>
      </c>
      <c r="D1580" s="379" t="s">
        <v>336</v>
      </c>
      <c r="E1580" s="818" t="s">
        <v>337</v>
      </c>
      <c r="F1580" s="820">
        <v>0.65770201399999995</v>
      </c>
      <c r="G1580" s="821">
        <v>0.24040320700000001</v>
      </c>
      <c r="H1580" s="822">
        <v>1378444.0264000001</v>
      </c>
      <c r="I1580" s="819">
        <v>0.17</v>
      </c>
      <c r="J1580" s="820">
        <v>-3.81989E-4</v>
      </c>
      <c r="K1580" s="819">
        <f t="shared" si="344"/>
        <v>1535</v>
      </c>
      <c r="L1580" s="819">
        <f t="shared" si="345"/>
        <v>975</v>
      </c>
      <c r="M1580" s="819">
        <f t="shared" si="341"/>
        <v>1535</v>
      </c>
      <c r="N1580" s="819">
        <f t="shared" si="342"/>
        <v>224</v>
      </c>
      <c r="O1580" s="819">
        <f t="shared" si="343"/>
        <v>1210</v>
      </c>
      <c r="P1580" s="819">
        <f t="shared" si="346"/>
        <v>137</v>
      </c>
      <c r="Q1580" s="819">
        <f t="shared" si="347"/>
        <v>552</v>
      </c>
      <c r="R1580" s="819">
        <f t="shared" si="348"/>
        <v>1453</v>
      </c>
      <c r="S1580" s="819">
        <f t="shared" si="349"/>
        <v>198</v>
      </c>
      <c r="T1580" s="819">
        <f t="shared" si="350"/>
        <v>1188</v>
      </c>
      <c r="U1580" s="819">
        <f t="shared" si="351"/>
        <v>3528</v>
      </c>
      <c r="V1580" s="819">
        <f t="shared" si="352"/>
        <v>1579</v>
      </c>
      <c r="W1580" s="379">
        <f t="shared" si="353"/>
        <v>1579</v>
      </c>
      <c r="X1580" s="819" t="str">
        <f t="shared" si="354"/>
        <v/>
      </c>
      <c r="Y1580" s="837"/>
      <c r="Z1580" s="839"/>
      <c r="AA1580" s="838"/>
      <c r="AB1580" s="839"/>
    </row>
    <row r="1581" spans="1:28" ht="14.45">
      <c r="A1581" s="816"/>
      <c r="B1581" s="819" t="s">
        <v>3589</v>
      </c>
      <c r="C1581" s="819" t="s">
        <v>3590</v>
      </c>
      <c r="D1581" s="379" t="s">
        <v>336</v>
      </c>
      <c r="E1581" s="818" t="s">
        <v>441</v>
      </c>
      <c r="F1581" s="820">
        <v>9.5703918839999993</v>
      </c>
      <c r="G1581" s="821">
        <v>31.069408450000001</v>
      </c>
      <c r="H1581" s="822">
        <v>536934572.72689605</v>
      </c>
      <c r="I1581" s="819"/>
      <c r="J1581" s="820">
        <v>-1.3052100000000001E-4</v>
      </c>
      <c r="K1581" s="819">
        <f t="shared" si="344"/>
        <v>333</v>
      </c>
      <c r="L1581" s="819">
        <f t="shared" si="345"/>
        <v>58</v>
      </c>
      <c r="M1581" s="819">
        <f t="shared" si="341"/>
        <v>333</v>
      </c>
      <c r="N1581" s="819">
        <f t="shared" si="342"/>
        <v>364</v>
      </c>
      <c r="O1581" s="819">
        <f t="shared" si="343"/>
        <v>1041</v>
      </c>
      <c r="P1581" s="819">
        <f t="shared" si="346"/>
        <v>1065</v>
      </c>
      <c r="Q1581" s="819">
        <f t="shared" si="347"/>
        <v>365</v>
      </c>
      <c r="R1581" s="819">
        <f t="shared" si="348"/>
        <v>251</v>
      </c>
      <c r="S1581" s="819">
        <f t="shared" si="349"/>
        <v>338</v>
      </c>
      <c r="T1581" s="819">
        <f t="shared" si="350"/>
        <v>1019</v>
      </c>
      <c r="U1581" s="819">
        <f t="shared" si="351"/>
        <v>3038</v>
      </c>
      <c r="V1581" s="819">
        <f t="shared" si="352"/>
        <v>980</v>
      </c>
      <c r="W1581" s="379">
        <f t="shared" si="353"/>
        <v>980</v>
      </c>
      <c r="X1581" s="819" t="str">
        <f t="shared" si="354"/>
        <v/>
      </c>
      <c r="Y1581" s="837"/>
      <c r="Z1581" s="839"/>
      <c r="AA1581" s="838"/>
      <c r="AB1581" s="839"/>
    </row>
    <row r="1582" spans="1:28" ht="13.15">
      <c r="B1582" s="819" t="s">
        <v>3591</v>
      </c>
      <c r="C1582" s="819" t="s">
        <v>3592</v>
      </c>
      <c r="D1582" s="379" t="s">
        <v>336</v>
      </c>
      <c r="E1582" s="818" t="s">
        <v>441</v>
      </c>
      <c r="F1582" s="820">
        <v>1.5923947030000001</v>
      </c>
      <c r="G1582" s="821">
        <v>2.0345841999999999E-2</v>
      </c>
      <c r="H1582" s="822">
        <v>607726414.193174</v>
      </c>
      <c r="I1582" s="819"/>
      <c r="J1582" s="820">
        <v>-4.3356800000000001E-4</v>
      </c>
      <c r="K1582" s="819">
        <f t="shared" si="344"/>
        <v>311</v>
      </c>
      <c r="L1582" s="819">
        <f t="shared" si="345"/>
        <v>1060</v>
      </c>
      <c r="M1582" s="819">
        <f t="shared" si="341"/>
        <v>311</v>
      </c>
      <c r="N1582" s="819">
        <f t="shared" si="342"/>
        <v>364</v>
      </c>
      <c r="O1582" s="819">
        <f t="shared" si="343"/>
        <v>1244</v>
      </c>
      <c r="P1582" s="819">
        <f t="shared" si="346"/>
        <v>1087</v>
      </c>
      <c r="Q1582" s="819">
        <f t="shared" si="347"/>
        <v>637</v>
      </c>
      <c r="R1582" s="819">
        <f t="shared" si="348"/>
        <v>229</v>
      </c>
      <c r="S1582" s="819">
        <f t="shared" si="349"/>
        <v>338</v>
      </c>
      <c r="T1582" s="819">
        <f t="shared" si="350"/>
        <v>1222</v>
      </c>
      <c r="U1582" s="819">
        <f t="shared" si="351"/>
        <v>3513</v>
      </c>
      <c r="V1582" s="819">
        <f t="shared" si="352"/>
        <v>1566</v>
      </c>
      <c r="W1582" s="379">
        <f t="shared" si="353"/>
        <v>1566</v>
      </c>
      <c r="X1582" s="819" t="str">
        <f t="shared" si="354"/>
        <v/>
      </c>
      <c r="Y1582" s="837"/>
      <c r="Z1582" s="839"/>
      <c r="AA1582" s="838"/>
      <c r="AB1582" s="839"/>
    </row>
    <row r="1583" spans="1:28" ht="14.45">
      <c r="A1583" s="816"/>
      <c r="B1583" s="819" t="s">
        <v>3593</v>
      </c>
      <c r="C1583" s="819" t="s">
        <v>3594</v>
      </c>
      <c r="D1583" s="379" t="s">
        <v>336</v>
      </c>
      <c r="E1583" s="818" t="s">
        <v>625</v>
      </c>
      <c r="F1583" s="820">
        <v>1.4021859670000001</v>
      </c>
      <c r="G1583" s="821">
        <v>3.328011396</v>
      </c>
      <c r="H1583" s="822">
        <v>430113959.517923</v>
      </c>
      <c r="I1583" s="819"/>
      <c r="J1583" s="820">
        <v>-1.80104E-5</v>
      </c>
      <c r="K1583" s="819">
        <f t="shared" si="344"/>
        <v>390</v>
      </c>
      <c r="L1583" s="819">
        <f t="shared" si="345"/>
        <v>523</v>
      </c>
      <c r="M1583" s="819">
        <f t="shared" si="341"/>
        <v>390</v>
      </c>
      <c r="N1583" s="819">
        <f t="shared" si="342"/>
        <v>364</v>
      </c>
      <c r="O1583" s="819">
        <f t="shared" si="343"/>
        <v>843</v>
      </c>
      <c r="P1583" s="819">
        <f t="shared" si="346"/>
        <v>1008</v>
      </c>
      <c r="Q1583" s="819">
        <f t="shared" si="347"/>
        <v>100</v>
      </c>
      <c r="R1583" s="819">
        <f t="shared" si="348"/>
        <v>308</v>
      </c>
      <c r="S1583" s="819">
        <f t="shared" si="349"/>
        <v>338</v>
      </c>
      <c r="T1583" s="819">
        <f t="shared" si="350"/>
        <v>821</v>
      </c>
      <c r="U1583" s="819">
        <f t="shared" si="351"/>
        <v>2575</v>
      </c>
      <c r="V1583" s="819">
        <f t="shared" si="352"/>
        <v>275</v>
      </c>
      <c r="W1583" s="379">
        <f t="shared" si="353"/>
        <v>275</v>
      </c>
      <c r="X1583" s="819" t="str">
        <f t="shared" si="354"/>
        <v/>
      </c>
      <c r="Y1583" s="837"/>
      <c r="Z1583" s="839"/>
      <c r="AA1583" s="838"/>
      <c r="AB1583" s="839"/>
    </row>
    <row r="1584" spans="1:28" ht="13.15">
      <c r="B1584" s="819" t="s">
        <v>3595</v>
      </c>
      <c r="C1584" s="819" t="s">
        <v>3596</v>
      </c>
      <c r="D1584" s="379" t="s">
        <v>336</v>
      </c>
      <c r="E1584" s="818" t="s">
        <v>842</v>
      </c>
      <c r="F1584" s="820"/>
      <c r="G1584" s="821"/>
      <c r="H1584" s="822">
        <v>18520050.317031998</v>
      </c>
      <c r="I1584" s="819"/>
      <c r="J1584" s="820">
        <v>0</v>
      </c>
      <c r="K1584" s="819">
        <f t="shared" si="344"/>
        <v>1114</v>
      </c>
      <c r="L1584" s="819">
        <f t="shared" si="345"/>
        <v>1084</v>
      </c>
      <c r="M1584" s="819">
        <f t="shared" si="341"/>
        <v>1114</v>
      </c>
      <c r="N1584" s="819">
        <f t="shared" si="342"/>
        <v>364</v>
      </c>
      <c r="O1584" s="819">
        <f t="shared" si="343"/>
        <v>492</v>
      </c>
      <c r="P1584" s="819">
        <f t="shared" si="346"/>
        <v>284</v>
      </c>
      <c r="Q1584" s="819">
        <f t="shared" si="347"/>
        <v>661</v>
      </c>
      <c r="R1584" s="819">
        <f t="shared" si="348"/>
        <v>1032</v>
      </c>
      <c r="S1584" s="819">
        <f t="shared" si="349"/>
        <v>338</v>
      </c>
      <c r="T1584" s="819">
        <f t="shared" si="350"/>
        <v>470</v>
      </c>
      <c r="U1584" s="819">
        <f t="shared" si="351"/>
        <v>2785</v>
      </c>
      <c r="V1584" s="819">
        <f t="shared" si="352"/>
        <v>463</v>
      </c>
      <c r="W1584" s="379">
        <f t="shared" si="353"/>
        <v>463</v>
      </c>
      <c r="X1584" s="819" t="str">
        <f t="shared" si="354"/>
        <v/>
      </c>
      <c r="Y1584" s="837"/>
      <c r="Z1584" s="839"/>
      <c r="AA1584" s="838"/>
      <c r="AB1584" s="839"/>
    </row>
    <row r="1585" spans="1:28" ht="14.45">
      <c r="A1585" s="816"/>
      <c r="B1585" s="819" t="s">
        <v>3597</v>
      </c>
      <c r="C1585" s="819" t="s">
        <v>3598</v>
      </c>
      <c r="D1585" s="379" t="s">
        <v>336</v>
      </c>
      <c r="E1585" s="818" t="s">
        <v>409</v>
      </c>
      <c r="F1585" s="820">
        <v>0.115043825</v>
      </c>
      <c r="G1585" s="821">
        <v>-0.244672483</v>
      </c>
      <c r="H1585" s="822">
        <v>8698475.6744021699</v>
      </c>
      <c r="I1585" s="819"/>
      <c r="J1585" s="820">
        <v>4.5606199999999997E-5</v>
      </c>
      <c r="K1585" s="819">
        <f t="shared" si="344"/>
        <v>1278</v>
      </c>
      <c r="L1585" s="819">
        <f t="shared" si="345"/>
        <v>1248</v>
      </c>
      <c r="M1585" s="819">
        <f t="shared" si="341"/>
        <v>1278</v>
      </c>
      <c r="N1585" s="819">
        <f t="shared" si="342"/>
        <v>364</v>
      </c>
      <c r="O1585" s="819">
        <f t="shared" si="343"/>
        <v>354</v>
      </c>
      <c r="P1585" s="819">
        <f t="shared" si="346"/>
        <v>120</v>
      </c>
      <c r="Q1585" s="819">
        <f t="shared" si="347"/>
        <v>825</v>
      </c>
      <c r="R1585" s="819">
        <f t="shared" si="348"/>
        <v>1196</v>
      </c>
      <c r="S1585" s="819">
        <f t="shared" si="349"/>
        <v>338</v>
      </c>
      <c r="T1585" s="819">
        <f t="shared" si="350"/>
        <v>332</v>
      </c>
      <c r="U1585" s="819">
        <f t="shared" si="351"/>
        <v>2811</v>
      </c>
      <c r="V1585" s="819">
        <f t="shared" si="352"/>
        <v>648</v>
      </c>
      <c r="W1585" s="379">
        <f t="shared" si="353"/>
        <v>648</v>
      </c>
      <c r="X1585" s="819" t="str">
        <f t="shared" si="354"/>
        <v/>
      </c>
      <c r="Y1585" s="837"/>
      <c r="Z1585" s="839"/>
      <c r="AA1585" s="838"/>
      <c r="AB1585" s="839"/>
    </row>
    <row r="1586" spans="1:28" ht="13.15">
      <c r="B1586" s="819" t="s">
        <v>3599</v>
      </c>
      <c r="C1586" s="819" t="s">
        <v>3600</v>
      </c>
      <c r="D1586" s="379" t="s">
        <v>336</v>
      </c>
      <c r="E1586" s="818" t="s">
        <v>998</v>
      </c>
      <c r="F1586" s="820">
        <v>1.011868601</v>
      </c>
      <c r="G1586" s="821">
        <v>25.440213069999999</v>
      </c>
      <c r="H1586" s="822">
        <v>4063587.9387893402</v>
      </c>
      <c r="I1586" s="819"/>
      <c r="J1586" s="820">
        <v>-4.89635E-5</v>
      </c>
      <c r="K1586" s="819">
        <f t="shared" si="344"/>
        <v>1401</v>
      </c>
      <c r="L1586" s="819">
        <f t="shared" si="345"/>
        <v>74</v>
      </c>
      <c r="M1586" s="819">
        <f t="shared" si="341"/>
        <v>1401</v>
      </c>
      <c r="N1586" s="819">
        <f t="shared" si="342"/>
        <v>364</v>
      </c>
      <c r="O1586" s="819">
        <f t="shared" si="343"/>
        <v>923</v>
      </c>
      <c r="P1586" s="819">
        <f t="shared" si="346"/>
        <v>3</v>
      </c>
      <c r="Q1586" s="819">
        <f t="shared" si="347"/>
        <v>349</v>
      </c>
      <c r="R1586" s="819">
        <f t="shared" si="348"/>
        <v>1319</v>
      </c>
      <c r="S1586" s="819">
        <f t="shared" si="349"/>
        <v>338</v>
      </c>
      <c r="T1586" s="819">
        <f t="shared" si="350"/>
        <v>901</v>
      </c>
      <c r="U1586" s="819">
        <f t="shared" si="351"/>
        <v>2910</v>
      </c>
      <c r="V1586" s="819">
        <f t="shared" si="352"/>
        <v>820</v>
      </c>
      <c r="W1586" s="379">
        <f t="shared" si="353"/>
        <v>820</v>
      </c>
      <c r="X1586" s="819" t="str">
        <f t="shared" si="354"/>
        <v/>
      </c>
      <c r="Y1586" s="837"/>
      <c r="Z1586" s="839"/>
      <c r="AA1586" s="838"/>
      <c r="AB1586" s="839"/>
    </row>
    <row r="1587" spans="1:28" ht="14.45">
      <c r="A1587" s="816"/>
      <c r="B1587" s="819" t="s">
        <v>3601</v>
      </c>
      <c r="C1587" s="819" t="s">
        <v>3602</v>
      </c>
      <c r="D1587" s="379" t="s">
        <v>336</v>
      </c>
      <c r="E1587" s="818" t="s">
        <v>676</v>
      </c>
      <c r="F1587" s="820">
        <v>2.3601999290000002</v>
      </c>
      <c r="G1587" s="821">
        <v>-0.17350901299999999</v>
      </c>
      <c r="H1587" s="822">
        <v>200157966.690198</v>
      </c>
      <c r="I1587" s="819"/>
      <c r="J1587" s="820">
        <v>8.5395499999999999E-5</v>
      </c>
      <c r="K1587" s="819">
        <f t="shared" si="344"/>
        <v>569</v>
      </c>
      <c r="L1587" s="819">
        <f t="shared" si="345"/>
        <v>1233</v>
      </c>
      <c r="M1587" s="819">
        <f t="shared" si="341"/>
        <v>569</v>
      </c>
      <c r="N1587" s="819">
        <f t="shared" si="342"/>
        <v>364</v>
      </c>
      <c r="O1587" s="819">
        <f t="shared" si="343"/>
        <v>306</v>
      </c>
      <c r="P1587" s="819">
        <f t="shared" si="346"/>
        <v>829</v>
      </c>
      <c r="Q1587" s="819">
        <f t="shared" si="347"/>
        <v>810</v>
      </c>
      <c r="R1587" s="819">
        <f t="shared" si="348"/>
        <v>487</v>
      </c>
      <c r="S1587" s="819">
        <f t="shared" si="349"/>
        <v>338</v>
      </c>
      <c r="T1587" s="819">
        <f t="shared" si="350"/>
        <v>284</v>
      </c>
      <c r="U1587" s="819">
        <f t="shared" si="351"/>
        <v>2748</v>
      </c>
      <c r="V1587" s="819">
        <f t="shared" si="352"/>
        <v>416</v>
      </c>
      <c r="W1587" s="379">
        <f t="shared" si="353"/>
        <v>416</v>
      </c>
      <c r="X1587" s="819" t="str">
        <f t="shared" si="354"/>
        <v/>
      </c>
      <c r="Y1587" s="837"/>
      <c r="Z1587" s="839"/>
      <c r="AA1587" s="838"/>
      <c r="AB1587" s="839"/>
    </row>
    <row r="1588" spans="1:28" ht="13.15">
      <c r="B1588" s="819" t="s">
        <v>3603</v>
      </c>
      <c r="C1588" s="819" t="s">
        <v>3604</v>
      </c>
      <c r="D1588" s="379" t="s">
        <v>336</v>
      </c>
      <c r="E1588" s="818" t="s">
        <v>337</v>
      </c>
      <c r="F1588" s="820">
        <v>-9.2913434000000003E-2</v>
      </c>
      <c r="G1588" s="821">
        <v>-2.4935662449999998</v>
      </c>
      <c r="H1588" s="822">
        <v>2424681.0528000002</v>
      </c>
      <c r="I1588" s="819"/>
      <c r="J1588" s="820">
        <v>8.7584099999999997E-6</v>
      </c>
      <c r="K1588" s="819">
        <f t="shared" si="344"/>
        <v>1473</v>
      </c>
      <c r="L1588" s="819">
        <f t="shared" si="345"/>
        <v>1359</v>
      </c>
      <c r="M1588" s="819">
        <f t="shared" si="341"/>
        <v>1473</v>
      </c>
      <c r="N1588" s="819">
        <f t="shared" si="342"/>
        <v>364</v>
      </c>
      <c r="O1588" s="819">
        <f t="shared" si="343"/>
        <v>426</v>
      </c>
      <c r="P1588" s="819">
        <f t="shared" si="346"/>
        <v>75</v>
      </c>
      <c r="Q1588" s="819">
        <f t="shared" si="347"/>
        <v>936</v>
      </c>
      <c r="R1588" s="819">
        <f t="shared" si="348"/>
        <v>1391</v>
      </c>
      <c r="S1588" s="819">
        <f t="shared" si="349"/>
        <v>338</v>
      </c>
      <c r="T1588" s="819">
        <f t="shared" si="350"/>
        <v>404</v>
      </c>
      <c r="U1588" s="819">
        <f t="shared" si="351"/>
        <v>3144</v>
      </c>
      <c r="V1588" s="819">
        <f t="shared" si="352"/>
        <v>1117</v>
      </c>
      <c r="W1588" s="379">
        <f t="shared" si="353"/>
        <v>1117</v>
      </c>
      <c r="X1588" s="819" t="str">
        <f t="shared" si="354"/>
        <v/>
      </c>
      <c r="Y1588" s="837"/>
      <c r="Z1588" s="839"/>
      <c r="AA1588" s="838"/>
      <c r="AB1588" s="839"/>
    </row>
    <row r="1589" spans="1:28" ht="14.45">
      <c r="A1589" s="816"/>
      <c r="B1589" s="819" t="s">
        <v>3605</v>
      </c>
      <c r="C1589" s="819" t="s">
        <v>3606</v>
      </c>
      <c r="D1589" s="379" t="s">
        <v>336</v>
      </c>
      <c r="E1589" s="818" t="s">
        <v>373</v>
      </c>
      <c r="F1589" s="820"/>
      <c r="G1589" s="821"/>
      <c r="H1589" s="822">
        <v>3500000</v>
      </c>
      <c r="I1589" s="819"/>
      <c r="J1589" s="820">
        <v>0</v>
      </c>
      <c r="K1589" s="819">
        <f t="shared" si="344"/>
        <v>1428</v>
      </c>
      <c r="L1589" s="819">
        <f t="shared" si="345"/>
        <v>1084</v>
      </c>
      <c r="M1589" s="819">
        <f t="shared" si="341"/>
        <v>1428</v>
      </c>
      <c r="N1589" s="819">
        <f t="shared" si="342"/>
        <v>364</v>
      </c>
      <c r="O1589" s="819">
        <f t="shared" si="343"/>
        <v>492</v>
      </c>
      <c r="P1589" s="819">
        <f t="shared" si="346"/>
        <v>30</v>
      </c>
      <c r="Q1589" s="819">
        <f t="shared" si="347"/>
        <v>661</v>
      </c>
      <c r="R1589" s="819">
        <f t="shared" si="348"/>
        <v>1346</v>
      </c>
      <c r="S1589" s="819">
        <f t="shared" si="349"/>
        <v>338</v>
      </c>
      <c r="T1589" s="819">
        <f t="shared" si="350"/>
        <v>470</v>
      </c>
      <c r="U1589" s="819">
        <f t="shared" si="351"/>
        <v>2845</v>
      </c>
      <c r="V1589" s="819">
        <f t="shared" si="352"/>
        <v>712</v>
      </c>
      <c r="W1589" s="379">
        <f t="shared" si="353"/>
        <v>712</v>
      </c>
      <c r="X1589" s="819" t="str">
        <f t="shared" si="354"/>
        <v/>
      </c>
      <c r="Y1589" s="837"/>
      <c r="Z1589" s="839"/>
      <c r="AA1589" s="838"/>
      <c r="AB1589" s="839"/>
    </row>
    <row r="1590" spans="1:28" ht="13.15">
      <c r="B1590" s="819" t="s">
        <v>3607</v>
      </c>
      <c r="C1590" s="819" t="s">
        <v>3608</v>
      </c>
      <c r="D1590" s="379" t="s">
        <v>336</v>
      </c>
      <c r="E1590" s="818" t="s">
        <v>2377</v>
      </c>
      <c r="F1590" s="820"/>
      <c r="G1590" s="821"/>
      <c r="H1590" s="822">
        <v>63730593.607305899</v>
      </c>
      <c r="I1590" s="819"/>
      <c r="J1590" s="820">
        <v>0</v>
      </c>
      <c r="K1590" s="819">
        <f t="shared" si="344"/>
        <v>826</v>
      </c>
      <c r="L1590" s="819">
        <f t="shared" si="345"/>
        <v>1084</v>
      </c>
      <c r="M1590" s="819">
        <f t="shared" si="341"/>
        <v>826</v>
      </c>
      <c r="N1590" s="819">
        <f t="shared" si="342"/>
        <v>364</v>
      </c>
      <c r="O1590" s="819">
        <f t="shared" si="343"/>
        <v>492</v>
      </c>
      <c r="P1590" s="819">
        <f t="shared" si="346"/>
        <v>572</v>
      </c>
      <c r="Q1590" s="819">
        <f t="shared" si="347"/>
        <v>661</v>
      </c>
      <c r="R1590" s="819">
        <f t="shared" si="348"/>
        <v>744</v>
      </c>
      <c r="S1590" s="819">
        <f t="shared" si="349"/>
        <v>338</v>
      </c>
      <c r="T1590" s="819">
        <f t="shared" si="350"/>
        <v>470</v>
      </c>
      <c r="U1590" s="819">
        <f t="shared" si="351"/>
        <v>2785</v>
      </c>
      <c r="V1590" s="819">
        <f t="shared" si="352"/>
        <v>463</v>
      </c>
      <c r="W1590" s="379">
        <f t="shared" si="353"/>
        <v>463</v>
      </c>
      <c r="X1590" s="819" t="str">
        <f t="shared" si="354"/>
        <v/>
      </c>
      <c r="Y1590" s="837"/>
      <c r="Z1590" s="839"/>
      <c r="AA1590" s="838"/>
      <c r="AB1590" s="839"/>
    </row>
    <row r="1591" spans="1:28" ht="14.45">
      <c r="A1591" s="816"/>
      <c r="B1591" s="819" t="s">
        <v>3609</v>
      </c>
      <c r="C1591" s="819" t="s">
        <v>3610</v>
      </c>
      <c r="D1591" s="379" t="s">
        <v>336</v>
      </c>
      <c r="E1591" s="818" t="s">
        <v>460</v>
      </c>
      <c r="F1591" s="820">
        <v>1.6809399359999999</v>
      </c>
      <c r="G1591" s="821">
        <v>0.66315470799999998</v>
      </c>
      <c r="H1591" s="822">
        <v>2696710.0137831802</v>
      </c>
      <c r="I1591" s="819"/>
      <c r="J1591" s="820">
        <v>-5.3986300000000002E-5</v>
      </c>
      <c r="K1591" s="819">
        <f t="shared" si="344"/>
        <v>1459</v>
      </c>
      <c r="L1591" s="819">
        <f t="shared" si="345"/>
        <v>887</v>
      </c>
      <c r="M1591" s="819">
        <f t="shared" si="341"/>
        <v>1459</v>
      </c>
      <c r="N1591" s="819">
        <f t="shared" si="342"/>
        <v>364</v>
      </c>
      <c r="O1591" s="819">
        <f t="shared" si="343"/>
        <v>928</v>
      </c>
      <c r="P1591" s="819">
        <f t="shared" si="346"/>
        <v>61</v>
      </c>
      <c r="Q1591" s="819">
        <f t="shared" si="347"/>
        <v>464</v>
      </c>
      <c r="R1591" s="819">
        <f t="shared" si="348"/>
        <v>1377</v>
      </c>
      <c r="S1591" s="819">
        <f t="shared" si="349"/>
        <v>338</v>
      </c>
      <c r="T1591" s="819">
        <f t="shared" si="350"/>
        <v>906</v>
      </c>
      <c r="U1591" s="819">
        <f t="shared" si="351"/>
        <v>3146</v>
      </c>
      <c r="V1591" s="819">
        <f t="shared" si="352"/>
        <v>1120</v>
      </c>
      <c r="W1591" s="379">
        <f t="shared" si="353"/>
        <v>1120</v>
      </c>
      <c r="X1591" s="819" t="str">
        <f t="shared" si="354"/>
        <v/>
      </c>
      <c r="Y1591" s="837"/>
      <c r="Z1591" s="839"/>
      <c r="AA1591" s="838"/>
      <c r="AB1591" s="839"/>
    </row>
    <row r="1592" spans="1:28" ht="13.15">
      <c r="B1592" s="819" t="s">
        <v>3611</v>
      </c>
      <c r="C1592" s="819" t="s">
        <v>3612</v>
      </c>
      <c r="D1592" s="379" t="s">
        <v>336</v>
      </c>
      <c r="E1592" s="818" t="s">
        <v>1832</v>
      </c>
      <c r="F1592" s="820"/>
      <c r="G1592" s="821"/>
      <c r="H1592" s="822">
        <v>40687741.6305632</v>
      </c>
      <c r="I1592" s="819"/>
      <c r="J1592" s="820">
        <v>0</v>
      </c>
      <c r="K1592" s="819">
        <f t="shared" si="344"/>
        <v>925</v>
      </c>
      <c r="L1592" s="819">
        <f t="shared" si="345"/>
        <v>1084</v>
      </c>
      <c r="M1592" s="819">
        <f t="shared" si="341"/>
        <v>925</v>
      </c>
      <c r="N1592" s="819">
        <f t="shared" si="342"/>
        <v>364</v>
      </c>
      <c r="O1592" s="819">
        <f t="shared" si="343"/>
        <v>492</v>
      </c>
      <c r="P1592" s="819">
        <f t="shared" si="346"/>
        <v>473</v>
      </c>
      <c r="Q1592" s="819">
        <f t="shared" si="347"/>
        <v>661</v>
      </c>
      <c r="R1592" s="819">
        <f t="shared" si="348"/>
        <v>843</v>
      </c>
      <c r="S1592" s="819">
        <f t="shared" si="349"/>
        <v>338</v>
      </c>
      <c r="T1592" s="819">
        <f t="shared" si="350"/>
        <v>470</v>
      </c>
      <c r="U1592" s="819">
        <f t="shared" si="351"/>
        <v>2785</v>
      </c>
      <c r="V1592" s="819">
        <f t="shared" si="352"/>
        <v>463</v>
      </c>
      <c r="W1592" s="379">
        <f t="shared" si="353"/>
        <v>463</v>
      </c>
      <c r="X1592" s="819" t="str">
        <f t="shared" si="354"/>
        <v/>
      </c>
      <c r="Y1592" s="837"/>
      <c r="Z1592" s="839"/>
      <c r="AA1592" s="838"/>
      <c r="AB1592" s="839"/>
    </row>
    <row r="1593" spans="1:28" ht="14.45">
      <c r="A1593" s="816"/>
      <c r="B1593" s="819" t="s">
        <v>3613</v>
      </c>
      <c r="C1593" s="819" t="s">
        <v>3614</v>
      </c>
      <c r="D1593" s="379" t="s">
        <v>336</v>
      </c>
      <c r="E1593" s="818" t="s">
        <v>595</v>
      </c>
      <c r="F1593" s="820"/>
      <c r="G1593" s="821"/>
      <c r="H1593" s="822"/>
      <c r="I1593" s="819"/>
      <c r="J1593" s="820">
        <v>0</v>
      </c>
      <c r="K1593" s="819" t="str">
        <f t="shared" si="344"/>
        <v>N/A</v>
      </c>
      <c r="L1593" s="819">
        <f t="shared" si="345"/>
        <v>1084</v>
      </c>
      <c r="M1593" s="819" t="str">
        <f t="shared" si="341"/>
        <v>N/A</v>
      </c>
      <c r="N1593" s="819">
        <f t="shared" si="342"/>
        <v>364</v>
      </c>
      <c r="O1593" s="819">
        <f t="shared" si="343"/>
        <v>492</v>
      </c>
      <c r="P1593" s="819" t="str">
        <f t="shared" si="346"/>
        <v>N/A</v>
      </c>
      <c r="Q1593" s="819">
        <f t="shared" si="347"/>
        <v>661</v>
      </c>
      <c r="R1593" s="819" t="str">
        <f t="shared" si="348"/>
        <v>N/A</v>
      </c>
      <c r="S1593" s="819">
        <f t="shared" si="349"/>
        <v>338</v>
      </c>
      <c r="T1593" s="819">
        <f t="shared" si="350"/>
        <v>470</v>
      </c>
      <c r="U1593" s="819">
        <f t="shared" si="351"/>
        <v>1469</v>
      </c>
      <c r="V1593" s="819">
        <f t="shared" si="352"/>
        <v>22</v>
      </c>
      <c r="W1593" s="379">
        <f t="shared" si="353"/>
        <v>22</v>
      </c>
      <c r="X1593" s="819" t="str">
        <f t="shared" si="354"/>
        <v/>
      </c>
      <c r="Y1593" s="837"/>
      <c r="Z1593" s="839"/>
      <c r="AA1593" s="838"/>
      <c r="AB1593" s="839"/>
    </row>
    <row r="1594" spans="1:28" ht="13.15">
      <c r="B1594" s="819" t="s">
        <v>3615</v>
      </c>
      <c r="C1594" s="819" t="s">
        <v>3616</v>
      </c>
      <c r="D1594" s="379" t="s">
        <v>336</v>
      </c>
      <c r="E1594" s="818" t="s">
        <v>595</v>
      </c>
      <c r="F1594" s="820"/>
      <c r="G1594" s="821"/>
      <c r="H1594" s="822"/>
      <c r="I1594" s="819"/>
      <c r="J1594" s="820">
        <v>0</v>
      </c>
      <c r="K1594" s="819" t="str">
        <f t="shared" si="344"/>
        <v>N/A</v>
      </c>
      <c r="L1594" s="819">
        <f t="shared" si="345"/>
        <v>1084</v>
      </c>
      <c r="M1594" s="819" t="str">
        <f t="shared" si="341"/>
        <v>N/A</v>
      </c>
      <c r="N1594" s="819">
        <f t="shared" si="342"/>
        <v>364</v>
      </c>
      <c r="O1594" s="819">
        <f t="shared" si="343"/>
        <v>492</v>
      </c>
      <c r="P1594" s="819" t="str">
        <f t="shared" si="346"/>
        <v>N/A</v>
      </c>
      <c r="Q1594" s="819">
        <f t="shared" si="347"/>
        <v>661</v>
      </c>
      <c r="R1594" s="819" t="str">
        <f t="shared" si="348"/>
        <v>N/A</v>
      </c>
      <c r="S1594" s="819">
        <f t="shared" si="349"/>
        <v>338</v>
      </c>
      <c r="T1594" s="819">
        <f t="shared" si="350"/>
        <v>470</v>
      </c>
      <c r="U1594" s="819">
        <f t="shared" si="351"/>
        <v>1469</v>
      </c>
      <c r="V1594" s="819">
        <f t="shared" si="352"/>
        <v>22</v>
      </c>
      <c r="W1594" s="379">
        <f t="shared" si="353"/>
        <v>22</v>
      </c>
      <c r="X1594" s="819" t="str">
        <f t="shared" si="354"/>
        <v/>
      </c>
      <c r="Y1594" s="837"/>
      <c r="Z1594" s="839"/>
      <c r="AA1594" s="838"/>
      <c r="AB1594" s="839"/>
    </row>
    <row r="1595" spans="1:28" ht="14.45">
      <c r="A1595" s="816"/>
      <c r="B1595" s="819" t="s">
        <v>3617</v>
      </c>
      <c r="C1595" s="819" t="s">
        <v>3618</v>
      </c>
      <c r="D1595" s="379" t="s">
        <v>336</v>
      </c>
      <c r="E1595" s="818" t="s">
        <v>595</v>
      </c>
      <c r="F1595" s="820">
        <v>1.3728243090000001</v>
      </c>
      <c r="G1595" s="821">
        <v>0.803062253</v>
      </c>
      <c r="H1595" s="822"/>
      <c r="I1595" s="819">
        <v>0.08</v>
      </c>
      <c r="J1595" s="820">
        <v>-4.1782199999999999E-4</v>
      </c>
      <c r="K1595" s="819" t="str">
        <f t="shared" si="344"/>
        <v>N/A</v>
      </c>
      <c r="L1595" s="819">
        <f t="shared" si="345"/>
        <v>850</v>
      </c>
      <c r="M1595" s="819" t="str">
        <f t="shared" si="341"/>
        <v>N/A</v>
      </c>
      <c r="N1595" s="819">
        <f t="shared" si="342"/>
        <v>283</v>
      </c>
      <c r="O1595" s="819">
        <f t="shared" si="343"/>
        <v>1236</v>
      </c>
      <c r="P1595" s="819" t="str">
        <f t="shared" si="346"/>
        <v>N/A</v>
      </c>
      <c r="Q1595" s="819">
        <f t="shared" si="347"/>
        <v>427</v>
      </c>
      <c r="R1595" s="819" t="str">
        <f t="shared" si="348"/>
        <v>N/A</v>
      </c>
      <c r="S1595" s="819">
        <f t="shared" si="349"/>
        <v>257</v>
      </c>
      <c r="T1595" s="819">
        <f t="shared" si="350"/>
        <v>1214</v>
      </c>
      <c r="U1595" s="819">
        <f t="shared" si="351"/>
        <v>1898</v>
      </c>
      <c r="V1595" s="819">
        <f t="shared" si="352"/>
        <v>146</v>
      </c>
      <c r="W1595" s="379">
        <f t="shared" si="353"/>
        <v>146</v>
      </c>
      <c r="X1595" s="819" t="str">
        <f t="shared" si="354"/>
        <v/>
      </c>
      <c r="Y1595" s="837"/>
      <c r="Z1595" s="839"/>
      <c r="AA1595" s="838"/>
      <c r="AB1595" s="839"/>
    </row>
    <row r="1596" spans="1:28" ht="13.15">
      <c r="B1596" s="819" t="s">
        <v>3619</v>
      </c>
      <c r="C1596" s="819" t="s">
        <v>3620</v>
      </c>
      <c r="D1596" s="379" t="s">
        <v>336</v>
      </c>
      <c r="E1596" s="818" t="s">
        <v>441</v>
      </c>
      <c r="F1596" s="820">
        <v>2.2956235930000002</v>
      </c>
      <c r="G1596" s="821">
        <v>4.6782589789999998</v>
      </c>
      <c r="H1596" s="822">
        <v>838763067.56824005</v>
      </c>
      <c r="I1596" s="819"/>
      <c r="J1596" s="820">
        <v>-4.7252900000000003E-5</v>
      </c>
      <c r="K1596" s="819">
        <f t="shared" si="344"/>
        <v>246</v>
      </c>
      <c r="L1596" s="819">
        <f t="shared" si="345"/>
        <v>401</v>
      </c>
      <c r="M1596" s="819">
        <f t="shared" si="341"/>
        <v>246</v>
      </c>
      <c r="N1596" s="819">
        <f t="shared" si="342"/>
        <v>364</v>
      </c>
      <c r="O1596" s="819">
        <f t="shared" si="343"/>
        <v>918</v>
      </c>
      <c r="P1596" s="819">
        <f t="shared" si="346"/>
        <v>1152</v>
      </c>
      <c r="Q1596" s="819">
        <f t="shared" si="347"/>
        <v>22</v>
      </c>
      <c r="R1596" s="819">
        <f t="shared" si="348"/>
        <v>164</v>
      </c>
      <c r="S1596" s="819">
        <f t="shared" si="349"/>
        <v>338</v>
      </c>
      <c r="T1596" s="819">
        <f t="shared" si="350"/>
        <v>896</v>
      </c>
      <c r="U1596" s="819">
        <f t="shared" si="351"/>
        <v>2572</v>
      </c>
      <c r="V1596" s="819">
        <f t="shared" si="352"/>
        <v>273</v>
      </c>
      <c r="W1596" s="379">
        <f t="shared" si="353"/>
        <v>273</v>
      </c>
      <c r="X1596" s="819" t="str">
        <f t="shared" si="354"/>
        <v/>
      </c>
      <c r="Y1596" s="837"/>
      <c r="Z1596" s="839"/>
      <c r="AA1596" s="838"/>
      <c r="AB1596" s="839"/>
    </row>
    <row r="1597" spans="1:28" ht="14.45">
      <c r="A1597" s="816"/>
      <c r="B1597" s="819" t="s">
        <v>3621</v>
      </c>
      <c r="C1597" s="819" t="s">
        <v>3622</v>
      </c>
      <c r="D1597" s="379" t="s">
        <v>336</v>
      </c>
      <c r="E1597" s="818" t="s">
        <v>941</v>
      </c>
      <c r="F1597" s="820">
        <v>0.74227458099999999</v>
      </c>
      <c r="G1597" s="821">
        <v>8.6350364959999997</v>
      </c>
      <c r="H1597" s="822">
        <v>31059035.4929577</v>
      </c>
      <c r="I1597" s="819">
        <v>1.83</v>
      </c>
      <c r="J1597" s="820">
        <v>-1.2304093E-2</v>
      </c>
      <c r="K1597" s="819">
        <f t="shared" si="344"/>
        <v>995</v>
      </c>
      <c r="L1597" s="819">
        <f t="shared" si="345"/>
        <v>236</v>
      </c>
      <c r="M1597" s="819">
        <f t="shared" si="341"/>
        <v>995</v>
      </c>
      <c r="N1597" s="819">
        <f t="shared" si="342"/>
        <v>88</v>
      </c>
      <c r="O1597" s="819">
        <f t="shared" si="343"/>
        <v>1660</v>
      </c>
      <c r="P1597" s="819">
        <f t="shared" si="346"/>
        <v>403</v>
      </c>
      <c r="Q1597" s="819">
        <f t="shared" si="347"/>
        <v>187</v>
      </c>
      <c r="R1597" s="819">
        <f t="shared" si="348"/>
        <v>913</v>
      </c>
      <c r="S1597" s="819">
        <f t="shared" si="349"/>
        <v>62</v>
      </c>
      <c r="T1597" s="819">
        <f t="shared" si="350"/>
        <v>1638</v>
      </c>
      <c r="U1597" s="819">
        <f t="shared" si="351"/>
        <v>3203</v>
      </c>
      <c r="V1597" s="819">
        <f t="shared" si="352"/>
        <v>1198</v>
      </c>
      <c r="W1597" s="379">
        <f t="shared" si="353"/>
        <v>1198</v>
      </c>
      <c r="X1597" s="819" t="str">
        <f t="shared" si="354"/>
        <v/>
      </c>
      <c r="Y1597" s="837"/>
      <c r="Z1597" s="839"/>
      <c r="AA1597" s="838"/>
      <c r="AB1597" s="839"/>
    </row>
    <row r="1598" spans="1:28" ht="13.15">
      <c r="B1598" s="819" t="s">
        <v>3623</v>
      </c>
      <c r="C1598" s="819" t="s">
        <v>3624</v>
      </c>
      <c r="D1598" s="379" t="s">
        <v>336</v>
      </c>
      <c r="E1598" s="818" t="s">
        <v>2890</v>
      </c>
      <c r="F1598" s="820">
        <v>0.30512443500000003</v>
      </c>
      <c r="G1598" s="821">
        <v>-0.42475690300000002</v>
      </c>
      <c r="H1598" s="822">
        <v>10732484627.078899</v>
      </c>
      <c r="I1598" s="819"/>
      <c r="J1598" s="820">
        <v>7.5881600000000005E-4</v>
      </c>
      <c r="K1598" s="819">
        <f t="shared" si="344"/>
        <v>34</v>
      </c>
      <c r="L1598" s="819">
        <f t="shared" si="345"/>
        <v>1260</v>
      </c>
      <c r="M1598" s="819">
        <f t="shared" si="341"/>
        <v>34</v>
      </c>
      <c r="N1598" s="819">
        <f t="shared" si="342"/>
        <v>364</v>
      </c>
      <c r="O1598" s="819">
        <f t="shared" si="343"/>
        <v>190</v>
      </c>
      <c r="P1598" s="819">
        <f t="shared" si="346"/>
        <v>1364</v>
      </c>
      <c r="Q1598" s="819">
        <f t="shared" si="347"/>
        <v>837</v>
      </c>
      <c r="R1598" s="819">
        <f t="shared" si="348"/>
        <v>48</v>
      </c>
      <c r="S1598" s="819">
        <f t="shared" si="349"/>
        <v>338</v>
      </c>
      <c r="T1598" s="819">
        <f t="shared" si="350"/>
        <v>168</v>
      </c>
      <c r="U1598" s="819">
        <f t="shared" si="351"/>
        <v>2755</v>
      </c>
      <c r="V1598" s="819">
        <f t="shared" si="352"/>
        <v>425</v>
      </c>
      <c r="W1598" s="379">
        <f t="shared" si="353"/>
        <v>425</v>
      </c>
      <c r="X1598" s="819" t="str">
        <f t="shared" si="354"/>
        <v/>
      </c>
      <c r="Y1598" s="837"/>
      <c r="Z1598" s="839"/>
      <c r="AA1598" s="838"/>
      <c r="AB1598" s="839"/>
    </row>
    <row r="1599" spans="1:28" ht="14.45">
      <c r="A1599" s="816"/>
      <c r="B1599" s="819" t="s">
        <v>3625</v>
      </c>
      <c r="C1599" s="819" t="s">
        <v>3626</v>
      </c>
      <c r="D1599" s="379" t="s">
        <v>336</v>
      </c>
      <c r="E1599" s="818" t="s">
        <v>191</v>
      </c>
      <c r="F1599" s="820">
        <v>0.42217073599999999</v>
      </c>
      <c r="G1599" s="821">
        <v>-322.39616610000002</v>
      </c>
      <c r="H1599" s="822">
        <v>97.318303</v>
      </c>
      <c r="I1599" s="819"/>
      <c r="J1599" s="820">
        <v>1.66373E-7</v>
      </c>
      <c r="K1599" s="819">
        <f t="shared" si="344"/>
        <v>1689</v>
      </c>
      <c r="L1599" s="819">
        <f t="shared" si="345"/>
        <v>1528</v>
      </c>
      <c r="M1599" s="819">
        <f t="shared" si="341"/>
        <v>1689</v>
      </c>
      <c r="N1599" s="819">
        <f t="shared" si="342"/>
        <v>364</v>
      </c>
      <c r="O1599" s="819">
        <f t="shared" si="343"/>
        <v>488</v>
      </c>
      <c r="P1599" s="819">
        <f t="shared" si="346"/>
        <v>291</v>
      </c>
      <c r="Q1599" s="819">
        <f t="shared" si="347"/>
        <v>1105</v>
      </c>
      <c r="R1599" s="819">
        <f t="shared" si="348"/>
        <v>1607</v>
      </c>
      <c r="S1599" s="819">
        <f t="shared" si="349"/>
        <v>338</v>
      </c>
      <c r="T1599" s="819">
        <f t="shared" si="350"/>
        <v>466</v>
      </c>
      <c r="U1599" s="819">
        <f t="shared" si="351"/>
        <v>3807</v>
      </c>
      <c r="V1599" s="819">
        <f t="shared" si="352"/>
        <v>1715</v>
      </c>
      <c r="W1599" s="379">
        <f t="shared" si="353"/>
        <v>1715</v>
      </c>
      <c r="X1599" s="819" t="str">
        <f t="shared" si="354"/>
        <v/>
      </c>
      <c r="Y1599" s="837"/>
      <c r="Z1599" s="839"/>
      <c r="AA1599" s="838"/>
      <c r="AB1599" s="839"/>
    </row>
    <row r="1600" spans="1:28" ht="13.15">
      <c r="B1600" s="819" t="s">
        <v>3627</v>
      </c>
      <c r="C1600" s="819" t="s">
        <v>3628</v>
      </c>
      <c r="D1600" s="379" t="s">
        <v>336</v>
      </c>
      <c r="E1600" s="818" t="s">
        <v>425</v>
      </c>
      <c r="F1600" s="820">
        <v>1.4362479850000001</v>
      </c>
      <c r="G1600" s="821">
        <v>9.9742368270000004</v>
      </c>
      <c r="H1600" s="822">
        <v>22413515.539893001</v>
      </c>
      <c r="I1600" s="819"/>
      <c r="J1600" s="820">
        <v>-1.10544E-4</v>
      </c>
      <c r="K1600" s="819">
        <f t="shared" si="344"/>
        <v>1077</v>
      </c>
      <c r="L1600" s="819">
        <f t="shared" si="345"/>
        <v>193</v>
      </c>
      <c r="M1600" s="819">
        <f t="shared" si="341"/>
        <v>1077</v>
      </c>
      <c r="N1600" s="819">
        <f t="shared" si="342"/>
        <v>364</v>
      </c>
      <c r="O1600" s="819">
        <f t="shared" si="343"/>
        <v>1017</v>
      </c>
      <c r="P1600" s="819">
        <f t="shared" si="346"/>
        <v>321</v>
      </c>
      <c r="Q1600" s="819">
        <f t="shared" si="347"/>
        <v>230</v>
      </c>
      <c r="R1600" s="819">
        <f t="shared" si="348"/>
        <v>995</v>
      </c>
      <c r="S1600" s="819">
        <f t="shared" si="349"/>
        <v>338</v>
      </c>
      <c r="T1600" s="819">
        <f t="shared" si="350"/>
        <v>995</v>
      </c>
      <c r="U1600" s="819">
        <f t="shared" si="351"/>
        <v>2879</v>
      </c>
      <c r="V1600" s="819">
        <f t="shared" si="352"/>
        <v>773</v>
      </c>
      <c r="W1600" s="379">
        <f t="shared" si="353"/>
        <v>773</v>
      </c>
      <c r="X1600" s="819" t="str">
        <f t="shared" si="354"/>
        <v/>
      </c>
      <c r="Y1600" s="837"/>
      <c r="Z1600" s="839"/>
      <c r="AA1600" s="838"/>
      <c r="AB1600" s="839"/>
    </row>
    <row r="1601" spans="1:28" ht="14.45">
      <c r="A1601" s="816"/>
      <c r="B1601" s="819" t="s">
        <v>3629</v>
      </c>
      <c r="C1601" s="819" t="s">
        <v>3630</v>
      </c>
      <c r="D1601" s="379" t="s">
        <v>336</v>
      </c>
      <c r="E1601" s="818" t="s">
        <v>441</v>
      </c>
      <c r="F1601" s="820">
        <v>2.1460197440000002</v>
      </c>
      <c r="G1601" s="821">
        <v>0</v>
      </c>
      <c r="H1601" s="822">
        <v>301260258.83620399</v>
      </c>
      <c r="I1601" s="819"/>
      <c r="J1601" s="820">
        <v>6.0423900000000003E-5</v>
      </c>
      <c r="K1601" s="819">
        <f t="shared" si="344"/>
        <v>470</v>
      </c>
      <c r="L1601" s="819">
        <f t="shared" si="345"/>
        <v>1084</v>
      </c>
      <c r="M1601" s="819">
        <f t="shared" si="341"/>
        <v>470</v>
      </c>
      <c r="N1601" s="819">
        <f t="shared" si="342"/>
        <v>364</v>
      </c>
      <c r="O1601" s="819">
        <f t="shared" si="343"/>
        <v>334</v>
      </c>
      <c r="P1601" s="819">
        <f t="shared" si="346"/>
        <v>928</v>
      </c>
      <c r="Q1601" s="819">
        <f t="shared" si="347"/>
        <v>661</v>
      </c>
      <c r="R1601" s="819">
        <f t="shared" si="348"/>
        <v>388</v>
      </c>
      <c r="S1601" s="819">
        <f t="shared" si="349"/>
        <v>338</v>
      </c>
      <c r="T1601" s="819">
        <f t="shared" si="350"/>
        <v>312</v>
      </c>
      <c r="U1601" s="819">
        <f t="shared" si="351"/>
        <v>2627</v>
      </c>
      <c r="V1601" s="819">
        <f t="shared" si="352"/>
        <v>299</v>
      </c>
      <c r="W1601" s="379">
        <f t="shared" si="353"/>
        <v>299</v>
      </c>
      <c r="X1601" s="819" t="str">
        <f t="shared" si="354"/>
        <v/>
      </c>
      <c r="Y1601" s="837"/>
      <c r="Z1601" s="839"/>
      <c r="AA1601" s="838"/>
      <c r="AB1601" s="839"/>
    </row>
    <row r="1602" spans="1:28" ht="13.15">
      <c r="B1602" s="819" t="s">
        <v>3631</v>
      </c>
      <c r="C1602" s="819" t="s">
        <v>3632</v>
      </c>
      <c r="D1602" s="379" t="s">
        <v>336</v>
      </c>
      <c r="E1602" s="818" t="s">
        <v>600</v>
      </c>
      <c r="F1602" s="820">
        <v>0.53673972299999995</v>
      </c>
      <c r="G1602" s="821">
        <v>6.8060408000000003E-2</v>
      </c>
      <c r="H1602" s="822">
        <v>2087779.3632563101</v>
      </c>
      <c r="I1602" s="819">
        <v>0.17</v>
      </c>
      <c r="J1602" s="820">
        <v>-4.1498799999999998E-4</v>
      </c>
      <c r="K1602" s="819">
        <f t="shared" si="344"/>
        <v>1491</v>
      </c>
      <c r="L1602" s="819">
        <f t="shared" si="345"/>
        <v>1031</v>
      </c>
      <c r="M1602" s="819">
        <f t="shared" si="341"/>
        <v>1491</v>
      </c>
      <c r="N1602" s="819">
        <f t="shared" si="342"/>
        <v>224</v>
      </c>
      <c r="O1602" s="819">
        <f t="shared" si="343"/>
        <v>1235</v>
      </c>
      <c r="P1602" s="819">
        <f t="shared" si="346"/>
        <v>93</v>
      </c>
      <c r="Q1602" s="819">
        <f t="shared" si="347"/>
        <v>608</v>
      </c>
      <c r="R1602" s="819">
        <f t="shared" si="348"/>
        <v>1409</v>
      </c>
      <c r="S1602" s="819">
        <f t="shared" si="349"/>
        <v>198</v>
      </c>
      <c r="T1602" s="819">
        <f t="shared" si="350"/>
        <v>1213</v>
      </c>
      <c r="U1602" s="819">
        <f t="shared" si="351"/>
        <v>3521</v>
      </c>
      <c r="V1602" s="819">
        <f t="shared" si="352"/>
        <v>1575</v>
      </c>
      <c r="W1602" s="379">
        <f t="shared" si="353"/>
        <v>1575</v>
      </c>
      <c r="X1602" s="819" t="str">
        <f t="shared" si="354"/>
        <v/>
      </c>
      <c r="Y1602" s="837"/>
      <c r="Z1602" s="839"/>
      <c r="AA1602" s="838"/>
      <c r="AB1602" s="839"/>
    </row>
    <row r="1603" spans="1:28" ht="14.45">
      <c r="A1603" s="816"/>
      <c r="B1603" s="819" t="s">
        <v>3633</v>
      </c>
      <c r="C1603" s="819" t="s">
        <v>3634</v>
      </c>
      <c r="D1603" s="379" t="s">
        <v>336</v>
      </c>
      <c r="E1603" s="818" t="s">
        <v>441</v>
      </c>
      <c r="F1603" s="820">
        <v>0.51327745899999999</v>
      </c>
      <c r="G1603" s="821">
        <v>0.241822643</v>
      </c>
      <c r="H1603" s="822">
        <v>958741873.73102605</v>
      </c>
      <c r="I1603" s="819">
        <v>0.03</v>
      </c>
      <c r="J1603" s="820">
        <v>-2.18693E-4</v>
      </c>
      <c r="K1603" s="819">
        <f t="shared" si="344"/>
        <v>226</v>
      </c>
      <c r="L1603" s="819">
        <f t="shared" si="345"/>
        <v>973</v>
      </c>
      <c r="M1603" s="819">
        <f t="shared" si="341"/>
        <v>226</v>
      </c>
      <c r="N1603" s="819">
        <f t="shared" si="342"/>
        <v>323</v>
      </c>
      <c r="O1603" s="819">
        <f t="shared" si="343"/>
        <v>1122</v>
      </c>
      <c r="P1603" s="819">
        <f t="shared" si="346"/>
        <v>1172</v>
      </c>
      <c r="Q1603" s="819">
        <f t="shared" si="347"/>
        <v>550</v>
      </c>
      <c r="R1603" s="819">
        <f t="shared" si="348"/>
        <v>144</v>
      </c>
      <c r="S1603" s="819">
        <f t="shared" si="349"/>
        <v>297</v>
      </c>
      <c r="T1603" s="819">
        <f t="shared" si="350"/>
        <v>1100</v>
      </c>
      <c r="U1603" s="819">
        <f t="shared" si="351"/>
        <v>3263</v>
      </c>
      <c r="V1603" s="819">
        <f t="shared" si="352"/>
        <v>1291</v>
      </c>
      <c r="W1603" s="379">
        <f t="shared" si="353"/>
        <v>1291</v>
      </c>
      <c r="X1603" s="819" t="str">
        <f t="shared" si="354"/>
        <v/>
      </c>
      <c r="Y1603" s="837"/>
      <c r="Z1603" s="839"/>
      <c r="AA1603" s="838"/>
      <c r="AB1603" s="839"/>
    </row>
    <row r="1604" spans="1:28" ht="13.15">
      <c r="B1604" s="819" t="s">
        <v>3635</v>
      </c>
      <c r="C1604" s="819" t="s">
        <v>3636</v>
      </c>
      <c r="D1604" s="379" t="s">
        <v>336</v>
      </c>
      <c r="E1604" s="818" t="s">
        <v>441</v>
      </c>
      <c r="F1604" s="820">
        <v>0.33395582899999998</v>
      </c>
      <c r="G1604" s="821">
        <v>1.9823122909999999</v>
      </c>
      <c r="H1604" s="822">
        <v>520862971.50591803</v>
      </c>
      <c r="I1604" s="819"/>
      <c r="J1604" s="820">
        <v>-2.3006500000000001E-5</v>
      </c>
      <c r="K1604" s="819">
        <f t="shared" si="344"/>
        <v>340</v>
      </c>
      <c r="L1604" s="819">
        <f t="shared" si="345"/>
        <v>677</v>
      </c>
      <c r="M1604" s="819">
        <f t="shared" ref="M1604:M1667" si="355">IFERROR(_xlfn.RANK.EQ(H1604,H$3:H$1787),"N/A")</f>
        <v>340</v>
      </c>
      <c r="N1604" s="819">
        <f t="shared" ref="N1604:N1667" si="356">IFERROR(_xlfn.RANK.EQ(I1604,I$3:I$1787),"N/A")</f>
        <v>364</v>
      </c>
      <c r="O1604" s="819">
        <f t="shared" ref="O1604:O1667" si="357">IFERROR(_xlfn.RANK.EQ(J1604,J$3:J$1787),"N/A")</f>
        <v>860</v>
      </c>
      <c r="P1604" s="819">
        <f t="shared" si="346"/>
        <v>1058</v>
      </c>
      <c r="Q1604" s="819">
        <f t="shared" si="347"/>
        <v>254</v>
      </c>
      <c r="R1604" s="819">
        <f t="shared" si="348"/>
        <v>258</v>
      </c>
      <c r="S1604" s="819">
        <f t="shared" si="349"/>
        <v>338</v>
      </c>
      <c r="T1604" s="819">
        <f t="shared" si="350"/>
        <v>838</v>
      </c>
      <c r="U1604" s="819">
        <f t="shared" si="351"/>
        <v>2746</v>
      </c>
      <c r="V1604" s="819">
        <f t="shared" si="352"/>
        <v>413</v>
      </c>
      <c r="W1604" s="379">
        <f t="shared" si="353"/>
        <v>413</v>
      </c>
      <c r="X1604" s="819" t="str">
        <f t="shared" si="354"/>
        <v/>
      </c>
      <c r="Y1604" s="837"/>
      <c r="Z1604" s="839"/>
      <c r="AA1604" s="838"/>
      <c r="AB1604" s="839"/>
    </row>
    <row r="1605" spans="1:28" ht="14.45">
      <c r="A1605" s="816"/>
      <c r="B1605" s="819" t="s">
        <v>3637</v>
      </c>
      <c r="C1605" s="819" t="s">
        <v>3638</v>
      </c>
      <c r="D1605" s="379" t="s">
        <v>336</v>
      </c>
      <c r="E1605" s="818" t="s">
        <v>453</v>
      </c>
      <c r="F1605" s="820">
        <v>2.5665626979999998</v>
      </c>
      <c r="G1605" s="821">
        <v>1.8122142409999999</v>
      </c>
      <c r="H1605" s="822">
        <v>47974710.766718499</v>
      </c>
      <c r="I1605" s="819"/>
      <c r="J1605" s="820">
        <v>-3.1733199999999998E-4</v>
      </c>
      <c r="K1605" s="819">
        <f t="shared" ref="K1605:K1668" si="358">IFERROR(_xlfn.RANK.EQ(H1605,H$3:H$1787),"N/A")</f>
        <v>887</v>
      </c>
      <c r="L1605" s="819">
        <f t="shared" ref="L1605:L1668" si="359">IFERROR(_xlfn.RANK.EQ(G1605,G$3:G$1787),"N/A")</f>
        <v>700</v>
      </c>
      <c r="M1605" s="819">
        <f t="shared" si="355"/>
        <v>887</v>
      </c>
      <c r="N1605" s="819">
        <f t="shared" si="356"/>
        <v>364</v>
      </c>
      <c r="O1605" s="819">
        <f t="shared" si="357"/>
        <v>1187</v>
      </c>
      <c r="P1605" s="819">
        <f t="shared" ref="P1605:P1668" si="360">IFERROR(ABS(K$3-K1605),"N/A")</f>
        <v>511</v>
      </c>
      <c r="Q1605" s="819">
        <f t="shared" ref="Q1605:Q1668" si="361">IFERROR(ABS(L$3-L1605),"N/A")</f>
        <v>277</v>
      </c>
      <c r="R1605" s="819">
        <f t="shared" ref="R1605:R1668" si="362">IFERROR(ABS(M$3-M1605),"N/A")</f>
        <v>805</v>
      </c>
      <c r="S1605" s="819">
        <f t="shared" ref="S1605:S1668" si="363">IFERROR(ABS(N$3-N1605),"N/A")</f>
        <v>338</v>
      </c>
      <c r="T1605" s="819">
        <f t="shared" ref="T1605:T1668" si="364">IFERROR(ABS(O$3-O1605),"N/A")</f>
        <v>1165</v>
      </c>
      <c r="U1605" s="819">
        <f t="shared" ref="U1605:U1668" si="365">SUM(P1605:T1605)</f>
        <v>3096</v>
      </c>
      <c r="V1605" s="819">
        <f t="shared" ref="V1605:V1668" si="366">_xlfn.RANK.EQ(U1605,$U$4:$U$1787,1)</f>
        <v>1063</v>
      </c>
      <c r="W1605" s="379">
        <f t="shared" ref="W1605:W1668" si="367">IF(Y1605="Not suitable","-",V1605)</f>
        <v>1063</v>
      </c>
      <c r="X1605" s="819" t="str">
        <f t="shared" si="354"/>
        <v/>
      </c>
      <c r="Y1605" s="837"/>
      <c r="Z1605" s="839"/>
      <c r="AA1605" s="838"/>
      <c r="AB1605" s="839"/>
    </row>
    <row r="1606" spans="1:28" ht="13.15">
      <c r="B1606" s="819" t="s">
        <v>3639</v>
      </c>
      <c r="C1606" s="819" t="s">
        <v>3640</v>
      </c>
      <c r="D1606" s="379" t="s">
        <v>336</v>
      </c>
      <c r="E1606" s="818" t="s">
        <v>625</v>
      </c>
      <c r="F1606" s="820">
        <v>4.2682929119999997</v>
      </c>
      <c r="G1606" s="821">
        <v>0.82705524699999999</v>
      </c>
      <c r="H1606" s="822">
        <v>69047435.105067998</v>
      </c>
      <c r="I1606" s="819"/>
      <c r="J1606" s="820">
        <v>-2.6599300000000001E-4</v>
      </c>
      <c r="K1606" s="819">
        <f t="shared" si="358"/>
        <v>801</v>
      </c>
      <c r="L1606" s="819">
        <f t="shared" si="359"/>
        <v>841</v>
      </c>
      <c r="M1606" s="819">
        <f t="shared" si="355"/>
        <v>801</v>
      </c>
      <c r="N1606" s="819">
        <f t="shared" si="356"/>
        <v>364</v>
      </c>
      <c r="O1606" s="819">
        <f t="shared" si="357"/>
        <v>1156</v>
      </c>
      <c r="P1606" s="819">
        <f t="shared" si="360"/>
        <v>597</v>
      </c>
      <c r="Q1606" s="819">
        <f t="shared" si="361"/>
        <v>418</v>
      </c>
      <c r="R1606" s="819">
        <f t="shared" si="362"/>
        <v>719</v>
      </c>
      <c r="S1606" s="819">
        <f t="shared" si="363"/>
        <v>338</v>
      </c>
      <c r="T1606" s="819">
        <f t="shared" si="364"/>
        <v>1134</v>
      </c>
      <c r="U1606" s="819">
        <f t="shared" si="365"/>
        <v>3206</v>
      </c>
      <c r="V1606" s="819">
        <f t="shared" si="366"/>
        <v>1203</v>
      </c>
      <c r="W1606" s="379">
        <f t="shared" si="367"/>
        <v>1203</v>
      </c>
      <c r="X1606" s="819" t="str">
        <f t="shared" ref="X1606:X1669" si="368">IF(L1606="N/A","Y","")</f>
        <v/>
      </c>
      <c r="Y1606" s="837"/>
      <c r="Z1606" s="839"/>
      <c r="AA1606" s="838"/>
      <c r="AB1606" s="839"/>
    </row>
    <row r="1607" spans="1:28" ht="14.45">
      <c r="A1607" s="816"/>
      <c r="B1607" s="819" t="s">
        <v>3641</v>
      </c>
      <c r="C1607" s="819" t="s">
        <v>3642</v>
      </c>
      <c r="D1607" s="379" t="s">
        <v>336</v>
      </c>
      <c r="E1607" s="818" t="s">
        <v>418</v>
      </c>
      <c r="F1607" s="820">
        <v>1.5915940689999999</v>
      </c>
      <c r="G1607" s="821">
        <v>0</v>
      </c>
      <c r="H1607" s="822">
        <v>160175454.780864</v>
      </c>
      <c r="I1607" s="819">
        <v>-0.38</v>
      </c>
      <c r="J1607" s="820">
        <v>6.5234199999999998E-4</v>
      </c>
      <c r="K1607" s="819">
        <f t="shared" si="358"/>
        <v>614</v>
      </c>
      <c r="L1607" s="819">
        <f t="shared" si="359"/>
        <v>1084</v>
      </c>
      <c r="M1607" s="819">
        <f t="shared" si="355"/>
        <v>614</v>
      </c>
      <c r="N1607" s="819">
        <f t="shared" si="356"/>
        <v>382</v>
      </c>
      <c r="O1607" s="819">
        <f t="shared" si="357"/>
        <v>196</v>
      </c>
      <c r="P1607" s="819">
        <f t="shared" si="360"/>
        <v>784</v>
      </c>
      <c r="Q1607" s="819">
        <f t="shared" si="361"/>
        <v>661</v>
      </c>
      <c r="R1607" s="819">
        <f t="shared" si="362"/>
        <v>532</v>
      </c>
      <c r="S1607" s="819">
        <f t="shared" si="363"/>
        <v>356</v>
      </c>
      <c r="T1607" s="819">
        <f t="shared" si="364"/>
        <v>174</v>
      </c>
      <c r="U1607" s="819">
        <f t="shared" si="365"/>
        <v>2507</v>
      </c>
      <c r="V1607" s="819">
        <f t="shared" si="366"/>
        <v>249</v>
      </c>
      <c r="W1607" s="379">
        <f t="shared" si="367"/>
        <v>249</v>
      </c>
      <c r="X1607" s="819" t="str">
        <f t="shared" si="368"/>
        <v/>
      </c>
      <c r="Y1607" s="837"/>
      <c r="Z1607" s="839"/>
      <c r="AA1607" s="838"/>
      <c r="AB1607" s="839"/>
    </row>
    <row r="1608" spans="1:28" ht="13.15">
      <c r="B1608" s="819" t="s">
        <v>3643</v>
      </c>
      <c r="C1608" s="819" t="s">
        <v>3644</v>
      </c>
      <c r="D1608" s="379" t="s">
        <v>336</v>
      </c>
      <c r="E1608" s="818" t="s">
        <v>337</v>
      </c>
      <c r="F1608" s="820">
        <v>3.0729883679999999</v>
      </c>
      <c r="G1608" s="821">
        <v>0.35607023599999998</v>
      </c>
      <c r="H1608" s="822">
        <v>22414232.879999999</v>
      </c>
      <c r="I1608" s="819">
        <v>0.04</v>
      </c>
      <c r="J1608" s="820">
        <v>-2.0551099999999999E-4</v>
      </c>
      <c r="K1608" s="819">
        <f t="shared" si="358"/>
        <v>1076</v>
      </c>
      <c r="L1608" s="819">
        <f t="shared" si="359"/>
        <v>948</v>
      </c>
      <c r="M1608" s="819">
        <f t="shared" si="355"/>
        <v>1076</v>
      </c>
      <c r="N1608" s="819">
        <f t="shared" si="356"/>
        <v>309</v>
      </c>
      <c r="O1608" s="819">
        <f t="shared" si="357"/>
        <v>1108</v>
      </c>
      <c r="P1608" s="819">
        <f t="shared" si="360"/>
        <v>322</v>
      </c>
      <c r="Q1608" s="819">
        <f t="shared" si="361"/>
        <v>525</v>
      </c>
      <c r="R1608" s="819">
        <f t="shared" si="362"/>
        <v>994</v>
      </c>
      <c r="S1608" s="819">
        <f t="shared" si="363"/>
        <v>283</v>
      </c>
      <c r="T1608" s="819">
        <f t="shared" si="364"/>
        <v>1086</v>
      </c>
      <c r="U1608" s="819">
        <f t="shared" si="365"/>
        <v>3210</v>
      </c>
      <c r="V1608" s="819">
        <f t="shared" si="366"/>
        <v>1213</v>
      </c>
      <c r="W1608" s="379">
        <f t="shared" si="367"/>
        <v>1213</v>
      </c>
      <c r="X1608" s="819" t="str">
        <f t="shared" si="368"/>
        <v/>
      </c>
      <c r="Y1608" s="837"/>
      <c r="Z1608" s="839"/>
      <c r="AA1608" s="838"/>
      <c r="AB1608" s="839"/>
    </row>
    <row r="1609" spans="1:28" ht="14.45">
      <c r="A1609" s="816"/>
      <c r="B1609" s="819" t="s">
        <v>3645</v>
      </c>
      <c r="C1609" s="819" t="s">
        <v>3646</v>
      </c>
      <c r="D1609" s="379" t="s">
        <v>336</v>
      </c>
      <c r="E1609" s="818" t="s">
        <v>676</v>
      </c>
      <c r="F1609" s="820">
        <v>0.73720982499999999</v>
      </c>
      <c r="G1609" s="821">
        <v>-0.992184913</v>
      </c>
      <c r="H1609" s="822">
        <v>217893021.99294099</v>
      </c>
      <c r="I1609" s="819"/>
      <c r="J1609" s="820">
        <v>2.29886E-4</v>
      </c>
      <c r="K1609" s="819">
        <f t="shared" si="358"/>
        <v>543</v>
      </c>
      <c r="L1609" s="819">
        <f t="shared" si="359"/>
        <v>1290</v>
      </c>
      <c r="M1609" s="819">
        <f t="shared" si="355"/>
        <v>543</v>
      </c>
      <c r="N1609" s="819">
        <f t="shared" si="356"/>
        <v>364</v>
      </c>
      <c r="O1609" s="819">
        <f t="shared" si="357"/>
        <v>246</v>
      </c>
      <c r="P1609" s="819">
        <f t="shared" si="360"/>
        <v>855</v>
      </c>
      <c r="Q1609" s="819">
        <f t="shared" si="361"/>
        <v>867</v>
      </c>
      <c r="R1609" s="819">
        <f t="shared" si="362"/>
        <v>461</v>
      </c>
      <c r="S1609" s="819">
        <f t="shared" si="363"/>
        <v>338</v>
      </c>
      <c r="T1609" s="819">
        <f t="shared" si="364"/>
        <v>224</v>
      </c>
      <c r="U1609" s="819">
        <f t="shared" si="365"/>
        <v>2745</v>
      </c>
      <c r="V1609" s="819">
        <f t="shared" si="366"/>
        <v>410</v>
      </c>
      <c r="W1609" s="379">
        <f t="shared" si="367"/>
        <v>410</v>
      </c>
      <c r="X1609" s="819" t="str">
        <f t="shared" si="368"/>
        <v/>
      </c>
      <c r="Y1609" s="837"/>
      <c r="Z1609" s="839"/>
      <c r="AA1609" s="838"/>
      <c r="AB1609" s="839"/>
    </row>
    <row r="1610" spans="1:28" ht="13.15">
      <c r="B1610" s="819" t="s">
        <v>3647</v>
      </c>
      <c r="C1610" s="819" t="s">
        <v>3648</v>
      </c>
      <c r="D1610" s="379" t="s">
        <v>336</v>
      </c>
      <c r="E1610" s="818" t="s">
        <v>941</v>
      </c>
      <c r="F1610" s="820">
        <v>1.2808688340000001</v>
      </c>
      <c r="G1610" s="821">
        <v>-1.3447375989999999</v>
      </c>
      <c r="H1610" s="822">
        <v>107087005.685019</v>
      </c>
      <c r="I1610" s="819"/>
      <c r="J1610" s="820">
        <v>7.2922999999999998E-4</v>
      </c>
      <c r="K1610" s="819">
        <f t="shared" si="358"/>
        <v>705</v>
      </c>
      <c r="L1610" s="819">
        <f t="shared" si="359"/>
        <v>1314</v>
      </c>
      <c r="M1610" s="819">
        <f t="shared" si="355"/>
        <v>705</v>
      </c>
      <c r="N1610" s="819">
        <f t="shared" si="356"/>
        <v>364</v>
      </c>
      <c r="O1610" s="819">
        <f t="shared" si="357"/>
        <v>192</v>
      </c>
      <c r="P1610" s="819">
        <f t="shared" si="360"/>
        <v>693</v>
      </c>
      <c r="Q1610" s="819">
        <f t="shared" si="361"/>
        <v>891</v>
      </c>
      <c r="R1610" s="819">
        <f t="shared" si="362"/>
        <v>623</v>
      </c>
      <c r="S1610" s="819">
        <f t="shared" si="363"/>
        <v>338</v>
      </c>
      <c r="T1610" s="819">
        <f t="shared" si="364"/>
        <v>170</v>
      </c>
      <c r="U1610" s="819">
        <f t="shared" si="365"/>
        <v>2715</v>
      </c>
      <c r="V1610" s="819">
        <f t="shared" si="366"/>
        <v>372</v>
      </c>
      <c r="W1610" s="379">
        <f t="shared" si="367"/>
        <v>372</v>
      </c>
      <c r="X1610" s="819" t="str">
        <f t="shared" si="368"/>
        <v/>
      </c>
      <c r="Y1610" s="837"/>
      <c r="Z1610" s="839"/>
      <c r="AA1610" s="838"/>
      <c r="AB1610" s="839"/>
    </row>
    <row r="1611" spans="1:28" ht="14.45">
      <c r="A1611" s="816"/>
      <c r="B1611" s="819" t="s">
        <v>3649</v>
      </c>
      <c r="C1611" s="819" t="s">
        <v>3650</v>
      </c>
      <c r="D1611" s="379" t="s">
        <v>336</v>
      </c>
      <c r="E1611" s="818" t="s">
        <v>337</v>
      </c>
      <c r="F1611" s="820">
        <v>3.055588486</v>
      </c>
      <c r="G1611" s="821">
        <v>7.1388672030000002</v>
      </c>
      <c r="H1611" s="822">
        <v>127504025.81999999</v>
      </c>
      <c r="I1611" s="819"/>
      <c r="J1611" s="820">
        <v>-4.2686199999999998E-5</v>
      </c>
      <c r="K1611" s="819">
        <f t="shared" si="358"/>
        <v>655</v>
      </c>
      <c r="L1611" s="819">
        <f t="shared" si="359"/>
        <v>282</v>
      </c>
      <c r="M1611" s="819">
        <f t="shared" si="355"/>
        <v>655</v>
      </c>
      <c r="N1611" s="819">
        <f t="shared" si="356"/>
        <v>364</v>
      </c>
      <c r="O1611" s="819">
        <f t="shared" si="357"/>
        <v>904</v>
      </c>
      <c r="P1611" s="819">
        <f t="shared" si="360"/>
        <v>743</v>
      </c>
      <c r="Q1611" s="819">
        <f t="shared" si="361"/>
        <v>141</v>
      </c>
      <c r="R1611" s="819">
        <f t="shared" si="362"/>
        <v>573</v>
      </c>
      <c r="S1611" s="819">
        <f t="shared" si="363"/>
        <v>338</v>
      </c>
      <c r="T1611" s="819">
        <f t="shared" si="364"/>
        <v>882</v>
      </c>
      <c r="U1611" s="819">
        <f t="shared" si="365"/>
        <v>2677</v>
      </c>
      <c r="V1611" s="819">
        <f t="shared" si="366"/>
        <v>335</v>
      </c>
      <c r="W1611" s="379">
        <f t="shared" si="367"/>
        <v>335</v>
      </c>
      <c r="X1611" s="819" t="str">
        <f t="shared" si="368"/>
        <v/>
      </c>
      <c r="Y1611" s="837"/>
      <c r="Z1611" s="839"/>
      <c r="AA1611" s="838"/>
      <c r="AB1611" s="839"/>
    </row>
    <row r="1612" spans="1:28" ht="13.15">
      <c r="B1612" s="819" t="s">
        <v>3651</v>
      </c>
      <c r="C1612" s="819" t="s">
        <v>3652</v>
      </c>
      <c r="D1612" s="379" t="s">
        <v>336</v>
      </c>
      <c r="E1612" s="818" t="s">
        <v>1832</v>
      </c>
      <c r="F1612" s="820">
        <v>1.200885789</v>
      </c>
      <c r="G1612" s="821">
        <v>3.6436011160000001</v>
      </c>
      <c r="H1612" s="822">
        <v>9550948.9365892094</v>
      </c>
      <c r="I1612" s="819"/>
      <c r="J1612" s="820">
        <v>-3.6597000000000002E-4</v>
      </c>
      <c r="K1612" s="819">
        <f t="shared" si="358"/>
        <v>1259</v>
      </c>
      <c r="L1612" s="819">
        <f t="shared" si="359"/>
        <v>481</v>
      </c>
      <c r="M1612" s="819">
        <f t="shared" si="355"/>
        <v>1259</v>
      </c>
      <c r="N1612" s="819">
        <f t="shared" si="356"/>
        <v>364</v>
      </c>
      <c r="O1612" s="819">
        <f t="shared" si="357"/>
        <v>1203</v>
      </c>
      <c r="P1612" s="819">
        <f t="shared" si="360"/>
        <v>139</v>
      </c>
      <c r="Q1612" s="819">
        <f t="shared" si="361"/>
        <v>58</v>
      </c>
      <c r="R1612" s="819">
        <f t="shared" si="362"/>
        <v>1177</v>
      </c>
      <c r="S1612" s="819">
        <f t="shared" si="363"/>
        <v>338</v>
      </c>
      <c r="T1612" s="819">
        <f t="shared" si="364"/>
        <v>1181</v>
      </c>
      <c r="U1612" s="819">
        <f t="shared" si="365"/>
        <v>2893</v>
      </c>
      <c r="V1612" s="819">
        <f t="shared" si="366"/>
        <v>796</v>
      </c>
      <c r="W1612" s="379">
        <f t="shared" si="367"/>
        <v>796</v>
      </c>
      <c r="X1612" s="819" t="str">
        <f t="shared" si="368"/>
        <v/>
      </c>
      <c r="Y1612" s="837"/>
      <c r="Z1612" s="839"/>
      <c r="AA1612" s="838"/>
      <c r="AB1612" s="839"/>
    </row>
    <row r="1613" spans="1:28" ht="14.45">
      <c r="A1613" s="816"/>
      <c r="B1613" s="819" t="s">
        <v>3653</v>
      </c>
      <c r="C1613" s="819" t="s">
        <v>3654</v>
      </c>
      <c r="D1613" s="379" t="s">
        <v>336</v>
      </c>
      <c r="E1613" s="818" t="s">
        <v>441</v>
      </c>
      <c r="F1613" s="820">
        <v>11.462647110000001</v>
      </c>
      <c r="G1613" s="821">
        <v>-0.52471262100000005</v>
      </c>
      <c r="H1613" s="822">
        <v>777142689.23366201</v>
      </c>
      <c r="I1613" s="819"/>
      <c r="J1613" s="820">
        <v>4.1303800000000003E-5</v>
      </c>
      <c r="K1613" s="819">
        <f t="shared" si="358"/>
        <v>262</v>
      </c>
      <c r="L1613" s="819">
        <f t="shared" si="359"/>
        <v>1266</v>
      </c>
      <c r="M1613" s="819">
        <f t="shared" si="355"/>
        <v>262</v>
      </c>
      <c r="N1613" s="819">
        <f t="shared" si="356"/>
        <v>364</v>
      </c>
      <c r="O1613" s="819">
        <f t="shared" si="357"/>
        <v>362</v>
      </c>
      <c r="P1613" s="819">
        <f t="shared" si="360"/>
        <v>1136</v>
      </c>
      <c r="Q1613" s="819">
        <f t="shared" si="361"/>
        <v>843</v>
      </c>
      <c r="R1613" s="819">
        <f t="shared" si="362"/>
        <v>180</v>
      </c>
      <c r="S1613" s="819">
        <f t="shared" si="363"/>
        <v>338</v>
      </c>
      <c r="T1613" s="819">
        <f t="shared" si="364"/>
        <v>340</v>
      </c>
      <c r="U1613" s="819">
        <f t="shared" si="365"/>
        <v>2837</v>
      </c>
      <c r="V1613" s="819">
        <f t="shared" si="366"/>
        <v>695</v>
      </c>
      <c r="W1613" s="379">
        <f t="shared" si="367"/>
        <v>695</v>
      </c>
      <c r="X1613" s="819" t="str">
        <f t="shared" si="368"/>
        <v/>
      </c>
      <c r="Y1613" s="837"/>
      <c r="Z1613" s="839"/>
      <c r="AA1613" s="838"/>
      <c r="AB1613" s="839"/>
    </row>
    <row r="1614" spans="1:28" ht="13.15">
      <c r="B1614" s="819" t="s">
        <v>3655</v>
      </c>
      <c r="C1614" s="819" t="s">
        <v>3656</v>
      </c>
      <c r="D1614" s="379" t="s">
        <v>336</v>
      </c>
      <c r="E1614" s="818" t="s">
        <v>998</v>
      </c>
      <c r="F1614" s="820">
        <v>0</v>
      </c>
      <c r="G1614" s="821">
        <v>0</v>
      </c>
      <c r="H1614" s="822">
        <v>5296718.8312996998</v>
      </c>
      <c r="I1614" s="819"/>
      <c r="J1614" s="820">
        <v>2.0055999999999999E-5</v>
      </c>
      <c r="K1614" s="819">
        <f t="shared" si="358"/>
        <v>1357</v>
      </c>
      <c r="L1614" s="819">
        <f t="shared" si="359"/>
        <v>1084</v>
      </c>
      <c r="M1614" s="819">
        <f t="shared" si="355"/>
        <v>1357</v>
      </c>
      <c r="N1614" s="819">
        <f t="shared" si="356"/>
        <v>364</v>
      </c>
      <c r="O1614" s="819">
        <f t="shared" si="357"/>
        <v>401</v>
      </c>
      <c r="P1614" s="819">
        <f t="shared" si="360"/>
        <v>41</v>
      </c>
      <c r="Q1614" s="819">
        <f t="shared" si="361"/>
        <v>661</v>
      </c>
      <c r="R1614" s="819">
        <f t="shared" si="362"/>
        <v>1275</v>
      </c>
      <c r="S1614" s="819">
        <f t="shared" si="363"/>
        <v>338</v>
      </c>
      <c r="T1614" s="819">
        <f t="shared" si="364"/>
        <v>379</v>
      </c>
      <c r="U1614" s="819">
        <f t="shared" si="365"/>
        <v>2694</v>
      </c>
      <c r="V1614" s="819">
        <f t="shared" si="366"/>
        <v>349</v>
      </c>
      <c r="W1614" s="379">
        <f t="shared" si="367"/>
        <v>349</v>
      </c>
      <c r="X1614" s="819" t="str">
        <f t="shared" si="368"/>
        <v/>
      </c>
      <c r="Y1614" s="837"/>
      <c r="Z1614" s="839"/>
      <c r="AA1614" s="838"/>
      <c r="AB1614" s="839"/>
    </row>
    <row r="1615" spans="1:28" ht="14.45">
      <c r="A1615" s="816"/>
      <c r="B1615" s="819" t="s">
        <v>3657</v>
      </c>
      <c r="C1615" s="819" t="s">
        <v>3658</v>
      </c>
      <c r="D1615" s="379" t="s">
        <v>336</v>
      </c>
      <c r="E1615" s="818" t="s">
        <v>191</v>
      </c>
      <c r="F1615" s="820">
        <v>3.1220461180000001</v>
      </c>
      <c r="G1615" s="821">
        <v>2.2078673329999998</v>
      </c>
      <c r="H1615" s="822">
        <v>1229546.39016897</v>
      </c>
      <c r="I1615" s="819"/>
      <c r="J1615" s="820">
        <v>-6.2166000000000001E-4</v>
      </c>
      <c r="K1615" s="819">
        <f t="shared" si="358"/>
        <v>1542</v>
      </c>
      <c r="L1615" s="819">
        <f t="shared" si="359"/>
        <v>647</v>
      </c>
      <c r="M1615" s="819">
        <f t="shared" si="355"/>
        <v>1542</v>
      </c>
      <c r="N1615" s="819">
        <f t="shared" si="356"/>
        <v>364</v>
      </c>
      <c r="O1615" s="819">
        <f t="shared" si="357"/>
        <v>1317</v>
      </c>
      <c r="P1615" s="819">
        <f t="shared" si="360"/>
        <v>144</v>
      </c>
      <c r="Q1615" s="819">
        <f t="shared" si="361"/>
        <v>224</v>
      </c>
      <c r="R1615" s="819">
        <f t="shared" si="362"/>
        <v>1460</v>
      </c>
      <c r="S1615" s="819">
        <f t="shared" si="363"/>
        <v>338</v>
      </c>
      <c r="T1615" s="819">
        <f t="shared" si="364"/>
        <v>1295</v>
      </c>
      <c r="U1615" s="819">
        <f t="shared" si="365"/>
        <v>3461</v>
      </c>
      <c r="V1615" s="819">
        <f t="shared" si="366"/>
        <v>1518</v>
      </c>
      <c r="W1615" s="379">
        <f t="shared" si="367"/>
        <v>1518</v>
      </c>
      <c r="X1615" s="819" t="str">
        <f t="shared" si="368"/>
        <v/>
      </c>
      <c r="Y1615" s="837"/>
      <c r="Z1615" s="839"/>
      <c r="AA1615" s="838"/>
      <c r="AB1615" s="839"/>
    </row>
    <row r="1616" spans="1:28" ht="13.15">
      <c r="B1616" s="819" t="s">
        <v>3659</v>
      </c>
      <c r="C1616" s="819" t="s">
        <v>3660</v>
      </c>
      <c r="D1616" s="379" t="s">
        <v>336</v>
      </c>
      <c r="E1616" s="818" t="s">
        <v>453</v>
      </c>
      <c r="F1616" s="820">
        <v>0.50204456200000003</v>
      </c>
      <c r="G1616" s="821">
        <v>0</v>
      </c>
      <c r="H1616" s="822">
        <v>206306903.08566901</v>
      </c>
      <c r="I1616" s="819"/>
      <c r="J1616" s="820">
        <v>-2.6021399999999999E-4</v>
      </c>
      <c r="K1616" s="819">
        <f t="shared" si="358"/>
        <v>559</v>
      </c>
      <c r="L1616" s="819">
        <f t="shared" si="359"/>
        <v>1084</v>
      </c>
      <c r="M1616" s="819">
        <f t="shared" si="355"/>
        <v>559</v>
      </c>
      <c r="N1616" s="819">
        <f t="shared" si="356"/>
        <v>364</v>
      </c>
      <c r="O1616" s="819">
        <f t="shared" si="357"/>
        <v>1154</v>
      </c>
      <c r="P1616" s="819">
        <f t="shared" si="360"/>
        <v>839</v>
      </c>
      <c r="Q1616" s="819">
        <f t="shared" si="361"/>
        <v>661</v>
      </c>
      <c r="R1616" s="819">
        <f t="shared" si="362"/>
        <v>477</v>
      </c>
      <c r="S1616" s="819">
        <f t="shared" si="363"/>
        <v>338</v>
      </c>
      <c r="T1616" s="819">
        <f t="shared" si="364"/>
        <v>1132</v>
      </c>
      <c r="U1616" s="819">
        <f t="shared" si="365"/>
        <v>3447</v>
      </c>
      <c r="V1616" s="819">
        <f t="shared" si="366"/>
        <v>1505</v>
      </c>
      <c r="W1616" s="379">
        <f t="shared" si="367"/>
        <v>1505</v>
      </c>
      <c r="X1616" s="819" t="str">
        <f t="shared" si="368"/>
        <v/>
      </c>
      <c r="Y1616" s="837"/>
      <c r="Z1616" s="839"/>
      <c r="AA1616" s="838"/>
      <c r="AB1616" s="839"/>
    </row>
    <row r="1617" spans="1:28" ht="14.45">
      <c r="A1617" s="816"/>
      <c r="B1617" s="819" t="s">
        <v>3661</v>
      </c>
      <c r="C1617" s="819" t="s">
        <v>3662</v>
      </c>
      <c r="D1617" s="379" t="s">
        <v>336</v>
      </c>
      <c r="E1617" s="818" t="s">
        <v>441</v>
      </c>
      <c r="F1617" s="820">
        <v>1.151916742</v>
      </c>
      <c r="G1617" s="821">
        <v>5.3197155499999997</v>
      </c>
      <c r="H1617" s="822">
        <v>353211540.586456</v>
      </c>
      <c r="I1617" s="819"/>
      <c r="J1617" s="820">
        <v>-8.6032999999999994E-5</v>
      </c>
      <c r="K1617" s="819">
        <f t="shared" si="358"/>
        <v>436</v>
      </c>
      <c r="L1617" s="819">
        <f t="shared" si="359"/>
        <v>364</v>
      </c>
      <c r="M1617" s="819">
        <f t="shared" si="355"/>
        <v>436</v>
      </c>
      <c r="N1617" s="819">
        <f t="shared" si="356"/>
        <v>364</v>
      </c>
      <c r="O1617" s="819">
        <f t="shared" si="357"/>
        <v>989</v>
      </c>
      <c r="P1617" s="819">
        <f t="shared" si="360"/>
        <v>962</v>
      </c>
      <c r="Q1617" s="819">
        <f t="shared" si="361"/>
        <v>59</v>
      </c>
      <c r="R1617" s="819">
        <f t="shared" si="362"/>
        <v>354</v>
      </c>
      <c r="S1617" s="819">
        <f t="shared" si="363"/>
        <v>338</v>
      </c>
      <c r="T1617" s="819">
        <f t="shared" si="364"/>
        <v>967</v>
      </c>
      <c r="U1617" s="819">
        <f t="shared" si="365"/>
        <v>2680</v>
      </c>
      <c r="V1617" s="819">
        <f t="shared" si="366"/>
        <v>337</v>
      </c>
      <c r="W1617" s="379">
        <f t="shared" si="367"/>
        <v>337</v>
      </c>
      <c r="X1617" s="819" t="str">
        <f t="shared" si="368"/>
        <v/>
      </c>
      <c r="Y1617" s="837"/>
      <c r="Z1617" s="839"/>
      <c r="AA1617" s="838"/>
      <c r="AB1617" s="839"/>
    </row>
    <row r="1618" spans="1:28" ht="13.15">
      <c r="B1618" s="819" t="s">
        <v>3663</v>
      </c>
      <c r="C1618" s="819" t="s">
        <v>3664</v>
      </c>
      <c r="D1618" s="379" t="s">
        <v>336</v>
      </c>
      <c r="E1618" s="818" t="s">
        <v>2377</v>
      </c>
      <c r="F1618" s="820">
        <v>1.580115087</v>
      </c>
      <c r="G1618" s="821">
        <v>-187.4501976</v>
      </c>
      <c r="H1618" s="822">
        <v>30725660.354337901</v>
      </c>
      <c r="I1618" s="819">
        <v>0.03</v>
      </c>
      <c r="J1618" s="820">
        <v>3.3849299999999999E-4</v>
      </c>
      <c r="K1618" s="819">
        <f t="shared" si="358"/>
        <v>997</v>
      </c>
      <c r="L1618" s="819">
        <f t="shared" si="359"/>
        <v>1523</v>
      </c>
      <c r="M1618" s="819">
        <f t="shared" si="355"/>
        <v>997</v>
      </c>
      <c r="N1618" s="819">
        <f t="shared" si="356"/>
        <v>323</v>
      </c>
      <c r="O1618" s="819">
        <f t="shared" si="357"/>
        <v>226</v>
      </c>
      <c r="P1618" s="819">
        <f t="shared" si="360"/>
        <v>401</v>
      </c>
      <c r="Q1618" s="819">
        <f t="shared" si="361"/>
        <v>1100</v>
      </c>
      <c r="R1618" s="819">
        <f t="shared" si="362"/>
        <v>915</v>
      </c>
      <c r="S1618" s="819">
        <f t="shared" si="363"/>
        <v>297</v>
      </c>
      <c r="T1618" s="819">
        <f t="shared" si="364"/>
        <v>204</v>
      </c>
      <c r="U1618" s="819">
        <f t="shared" si="365"/>
        <v>2917</v>
      </c>
      <c r="V1618" s="819">
        <f t="shared" si="366"/>
        <v>829</v>
      </c>
      <c r="W1618" s="379">
        <f t="shared" si="367"/>
        <v>829</v>
      </c>
      <c r="X1618" s="819" t="str">
        <f t="shared" si="368"/>
        <v/>
      </c>
      <c r="Y1618" s="837"/>
      <c r="Z1618" s="839"/>
      <c r="AA1618" s="838"/>
      <c r="AB1618" s="839"/>
    </row>
    <row r="1619" spans="1:28" ht="14.45">
      <c r="A1619" s="816"/>
      <c r="B1619" s="819" t="s">
        <v>3665</v>
      </c>
      <c r="C1619" s="819" t="s">
        <v>3666</v>
      </c>
      <c r="D1619" s="379" t="s">
        <v>336</v>
      </c>
      <c r="E1619" s="818" t="s">
        <v>441</v>
      </c>
      <c r="F1619" s="820">
        <v>0</v>
      </c>
      <c r="G1619" s="821">
        <v>-0.87028974699999995</v>
      </c>
      <c r="H1619" s="822">
        <v>592675116.15702605</v>
      </c>
      <c r="I1619" s="819"/>
      <c r="J1619" s="820">
        <v>4.0785699999999998E-5</v>
      </c>
      <c r="K1619" s="819">
        <f t="shared" si="358"/>
        <v>318</v>
      </c>
      <c r="L1619" s="819">
        <f t="shared" si="359"/>
        <v>1285</v>
      </c>
      <c r="M1619" s="819">
        <f t="shared" si="355"/>
        <v>318</v>
      </c>
      <c r="N1619" s="819">
        <f t="shared" si="356"/>
        <v>364</v>
      </c>
      <c r="O1619" s="819">
        <f t="shared" si="357"/>
        <v>363</v>
      </c>
      <c r="P1619" s="819">
        <f t="shared" si="360"/>
        <v>1080</v>
      </c>
      <c r="Q1619" s="819">
        <f t="shared" si="361"/>
        <v>862</v>
      </c>
      <c r="R1619" s="819">
        <f t="shared" si="362"/>
        <v>236</v>
      </c>
      <c r="S1619" s="819">
        <f t="shared" si="363"/>
        <v>338</v>
      </c>
      <c r="T1619" s="819">
        <f t="shared" si="364"/>
        <v>341</v>
      </c>
      <c r="U1619" s="819">
        <f t="shared" si="365"/>
        <v>2857</v>
      </c>
      <c r="V1619" s="819">
        <f t="shared" si="366"/>
        <v>736</v>
      </c>
      <c r="W1619" s="379">
        <f t="shared" si="367"/>
        <v>736</v>
      </c>
      <c r="X1619" s="819" t="str">
        <f t="shared" si="368"/>
        <v/>
      </c>
      <c r="Y1619" s="837"/>
      <c r="Z1619" s="839"/>
      <c r="AA1619" s="838"/>
      <c r="AB1619" s="839"/>
    </row>
    <row r="1620" spans="1:28" ht="13.15">
      <c r="B1620" s="819" t="s">
        <v>3667</v>
      </c>
      <c r="C1620" s="819" t="s">
        <v>3668</v>
      </c>
      <c r="D1620" s="379" t="s">
        <v>336</v>
      </c>
      <c r="E1620" s="818" t="s">
        <v>600</v>
      </c>
      <c r="F1620" s="820">
        <v>2.6071095799999999</v>
      </c>
      <c r="G1620" s="821">
        <v>-1.6192613000000002E-2</v>
      </c>
      <c r="H1620" s="822">
        <v>31352537.699999999</v>
      </c>
      <c r="I1620" s="819"/>
      <c r="J1620" s="820">
        <v>2.89225E-5</v>
      </c>
      <c r="K1620" s="819">
        <f t="shared" si="358"/>
        <v>990</v>
      </c>
      <c r="L1620" s="819">
        <f t="shared" si="359"/>
        <v>1198</v>
      </c>
      <c r="M1620" s="819">
        <f t="shared" si="355"/>
        <v>990</v>
      </c>
      <c r="N1620" s="819">
        <f t="shared" si="356"/>
        <v>364</v>
      </c>
      <c r="O1620" s="819">
        <f t="shared" si="357"/>
        <v>383</v>
      </c>
      <c r="P1620" s="819">
        <f t="shared" si="360"/>
        <v>408</v>
      </c>
      <c r="Q1620" s="819">
        <f t="shared" si="361"/>
        <v>775</v>
      </c>
      <c r="R1620" s="819">
        <f t="shared" si="362"/>
        <v>908</v>
      </c>
      <c r="S1620" s="819">
        <f t="shared" si="363"/>
        <v>338</v>
      </c>
      <c r="T1620" s="819">
        <f t="shared" si="364"/>
        <v>361</v>
      </c>
      <c r="U1620" s="819">
        <f t="shared" si="365"/>
        <v>2790</v>
      </c>
      <c r="V1620" s="819">
        <f t="shared" si="366"/>
        <v>611</v>
      </c>
      <c r="W1620" s="379">
        <f t="shared" si="367"/>
        <v>611</v>
      </c>
      <c r="X1620" s="819" t="str">
        <f t="shared" si="368"/>
        <v/>
      </c>
      <c r="Y1620" s="837"/>
      <c r="Z1620" s="839"/>
      <c r="AA1620" s="838"/>
      <c r="AB1620" s="839"/>
    </row>
    <row r="1621" spans="1:28" ht="14.45">
      <c r="A1621" s="816"/>
      <c r="B1621" s="819" t="s">
        <v>3669</v>
      </c>
      <c r="C1621" s="819" t="s">
        <v>3670</v>
      </c>
      <c r="D1621" s="379" t="s">
        <v>336</v>
      </c>
      <c r="E1621" s="818" t="s">
        <v>600</v>
      </c>
      <c r="F1621" s="820"/>
      <c r="G1621" s="821"/>
      <c r="H1621" s="822">
        <v>52995609.277477697</v>
      </c>
      <c r="I1621" s="819"/>
      <c r="J1621" s="820">
        <v>0</v>
      </c>
      <c r="K1621" s="819">
        <f t="shared" si="358"/>
        <v>860</v>
      </c>
      <c r="L1621" s="819">
        <f t="shared" si="359"/>
        <v>1084</v>
      </c>
      <c r="M1621" s="819">
        <f t="shared" si="355"/>
        <v>860</v>
      </c>
      <c r="N1621" s="819">
        <f t="shared" si="356"/>
        <v>364</v>
      </c>
      <c r="O1621" s="819">
        <f t="shared" si="357"/>
        <v>492</v>
      </c>
      <c r="P1621" s="819">
        <f t="shared" si="360"/>
        <v>538</v>
      </c>
      <c r="Q1621" s="819">
        <f t="shared" si="361"/>
        <v>661</v>
      </c>
      <c r="R1621" s="819">
        <f t="shared" si="362"/>
        <v>778</v>
      </c>
      <c r="S1621" s="819">
        <f t="shared" si="363"/>
        <v>338</v>
      </c>
      <c r="T1621" s="819">
        <f t="shared" si="364"/>
        <v>470</v>
      </c>
      <c r="U1621" s="819">
        <f t="shared" si="365"/>
        <v>2785</v>
      </c>
      <c r="V1621" s="819">
        <f t="shared" si="366"/>
        <v>463</v>
      </c>
      <c r="W1621" s="379">
        <f t="shared" si="367"/>
        <v>463</v>
      </c>
      <c r="X1621" s="819" t="str">
        <f t="shared" si="368"/>
        <v/>
      </c>
      <c r="Y1621" s="837"/>
      <c r="Z1621" s="839"/>
      <c r="AA1621" s="838"/>
      <c r="AB1621" s="839"/>
    </row>
    <row r="1622" spans="1:28" ht="13.15">
      <c r="B1622" s="819" t="s">
        <v>3671</v>
      </c>
      <c r="C1622" s="819" t="s">
        <v>3672</v>
      </c>
      <c r="D1622" s="379" t="s">
        <v>336</v>
      </c>
      <c r="E1622" s="818" t="s">
        <v>2962</v>
      </c>
      <c r="F1622" s="820"/>
      <c r="G1622" s="821"/>
      <c r="H1622" s="822">
        <v>3593013.4127421002</v>
      </c>
      <c r="I1622" s="819"/>
      <c r="J1622" s="820">
        <v>0</v>
      </c>
      <c r="K1622" s="819">
        <f t="shared" si="358"/>
        <v>1424</v>
      </c>
      <c r="L1622" s="819">
        <f t="shared" si="359"/>
        <v>1084</v>
      </c>
      <c r="M1622" s="819">
        <f t="shared" si="355"/>
        <v>1424</v>
      </c>
      <c r="N1622" s="819">
        <f t="shared" si="356"/>
        <v>364</v>
      </c>
      <c r="O1622" s="819">
        <f t="shared" si="357"/>
        <v>492</v>
      </c>
      <c r="P1622" s="819">
        <f t="shared" si="360"/>
        <v>26</v>
      </c>
      <c r="Q1622" s="819">
        <f t="shared" si="361"/>
        <v>661</v>
      </c>
      <c r="R1622" s="819">
        <f t="shared" si="362"/>
        <v>1342</v>
      </c>
      <c r="S1622" s="819">
        <f t="shared" si="363"/>
        <v>338</v>
      </c>
      <c r="T1622" s="819">
        <f t="shared" si="364"/>
        <v>470</v>
      </c>
      <c r="U1622" s="819">
        <f t="shared" si="365"/>
        <v>2837</v>
      </c>
      <c r="V1622" s="819">
        <f t="shared" si="366"/>
        <v>695</v>
      </c>
      <c r="W1622" s="379">
        <f t="shared" si="367"/>
        <v>695</v>
      </c>
      <c r="X1622" s="819" t="str">
        <f t="shared" si="368"/>
        <v/>
      </c>
      <c r="Y1622" s="837"/>
      <c r="Z1622" s="839"/>
      <c r="AA1622" s="838"/>
      <c r="AB1622" s="839"/>
    </row>
    <row r="1623" spans="1:28" ht="14.45">
      <c r="A1623" s="816"/>
      <c r="B1623" s="819" t="s">
        <v>3673</v>
      </c>
      <c r="C1623" s="819" t="s">
        <v>3674</v>
      </c>
      <c r="D1623" s="379" t="s">
        <v>336</v>
      </c>
      <c r="E1623" s="818" t="s">
        <v>2962</v>
      </c>
      <c r="F1623" s="820">
        <v>2.310190564</v>
      </c>
      <c r="G1623" s="821">
        <v>15.20066345</v>
      </c>
      <c r="H1623" s="822">
        <v>51374678.944997802</v>
      </c>
      <c r="I1623" s="819"/>
      <c r="J1623" s="820">
        <v>-2.01282E-4</v>
      </c>
      <c r="K1623" s="819">
        <f t="shared" si="358"/>
        <v>870</v>
      </c>
      <c r="L1623" s="819">
        <f t="shared" si="359"/>
        <v>122</v>
      </c>
      <c r="M1623" s="819">
        <f t="shared" si="355"/>
        <v>870</v>
      </c>
      <c r="N1623" s="819">
        <f t="shared" si="356"/>
        <v>364</v>
      </c>
      <c r="O1623" s="819">
        <f t="shared" si="357"/>
        <v>1106</v>
      </c>
      <c r="P1623" s="819">
        <f t="shared" si="360"/>
        <v>528</v>
      </c>
      <c r="Q1623" s="819">
        <f t="shared" si="361"/>
        <v>301</v>
      </c>
      <c r="R1623" s="819">
        <f t="shared" si="362"/>
        <v>788</v>
      </c>
      <c r="S1623" s="819">
        <f t="shared" si="363"/>
        <v>338</v>
      </c>
      <c r="T1623" s="819">
        <f t="shared" si="364"/>
        <v>1084</v>
      </c>
      <c r="U1623" s="819">
        <f t="shared" si="365"/>
        <v>3039</v>
      </c>
      <c r="V1623" s="819">
        <f t="shared" si="366"/>
        <v>983</v>
      </c>
      <c r="W1623" s="379">
        <f t="shared" si="367"/>
        <v>983</v>
      </c>
      <c r="X1623" s="819" t="str">
        <f t="shared" si="368"/>
        <v/>
      </c>
      <c r="Y1623" s="837"/>
      <c r="Z1623" s="839"/>
      <c r="AA1623" s="838"/>
      <c r="AB1623" s="839"/>
    </row>
    <row r="1624" spans="1:28" ht="13.15">
      <c r="B1624" s="819" t="s">
        <v>3675</v>
      </c>
      <c r="C1624" s="819" t="s">
        <v>3676</v>
      </c>
      <c r="D1624" s="379" t="s">
        <v>336</v>
      </c>
      <c r="E1624" s="818" t="s">
        <v>625</v>
      </c>
      <c r="F1624" s="820">
        <v>2.1703669620000001</v>
      </c>
      <c r="G1624" s="821">
        <v>4.5572464669999997</v>
      </c>
      <c r="H1624" s="822">
        <v>36153016.069221303</v>
      </c>
      <c r="I1624" s="819"/>
      <c r="J1624" s="820">
        <v>-2.1396499999999999E-4</v>
      </c>
      <c r="K1624" s="819">
        <f t="shared" si="358"/>
        <v>952</v>
      </c>
      <c r="L1624" s="819">
        <f t="shared" si="359"/>
        <v>410</v>
      </c>
      <c r="M1624" s="819">
        <f t="shared" si="355"/>
        <v>952</v>
      </c>
      <c r="N1624" s="819">
        <f t="shared" si="356"/>
        <v>364</v>
      </c>
      <c r="O1624" s="819">
        <f t="shared" si="357"/>
        <v>1119</v>
      </c>
      <c r="P1624" s="819">
        <f t="shared" si="360"/>
        <v>446</v>
      </c>
      <c r="Q1624" s="819">
        <f t="shared" si="361"/>
        <v>13</v>
      </c>
      <c r="R1624" s="819">
        <f t="shared" si="362"/>
        <v>870</v>
      </c>
      <c r="S1624" s="819">
        <f t="shared" si="363"/>
        <v>338</v>
      </c>
      <c r="T1624" s="819">
        <f t="shared" si="364"/>
        <v>1097</v>
      </c>
      <c r="U1624" s="819">
        <f t="shared" si="365"/>
        <v>2764</v>
      </c>
      <c r="V1624" s="819">
        <f t="shared" si="366"/>
        <v>435</v>
      </c>
      <c r="W1624" s="379">
        <f t="shared" si="367"/>
        <v>435</v>
      </c>
      <c r="X1624" s="819" t="str">
        <f t="shared" si="368"/>
        <v/>
      </c>
      <c r="Y1624" s="837"/>
      <c r="Z1624" s="839"/>
      <c r="AA1624" s="838"/>
      <c r="AB1624" s="839"/>
    </row>
    <row r="1625" spans="1:28" ht="14.45">
      <c r="A1625" s="816"/>
      <c r="B1625" s="819" t="s">
        <v>3677</v>
      </c>
      <c r="C1625" s="819" t="s">
        <v>3678</v>
      </c>
      <c r="D1625" s="379" t="s">
        <v>336</v>
      </c>
      <c r="E1625" s="818" t="s">
        <v>441</v>
      </c>
      <c r="F1625" s="820">
        <v>0</v>
      </c>
      <c r="G1625" s="821">
        <v>0</v>
      </c>
      <c r="H1625" s="822">
        <v>241985607.93359199</v>
      </c>
      <c r="I1625" s="819"/>
      <c r="J1625" s="820">
        <v>1.8967899999999999E-6</v>
      </c>
      <c r="K1625" s="819">
        <f t="shared" si="358"/>
        <v>520</v>
      </c>
      <c r="L1625" s="819">
        <f t="shared" si="359"/>
        <v>1084</v>
      </c>
      <c r="M1625" s="819">
        <f t="shared" si="355"/>
        <v>520</v>
      </c>
      <c r="N1625" s="819">
        <f t="shared" si="356"/>
        <v>364</v>
      </c>
      <c r="O1625" s="819">
        <f t="shared" si="357"/>
        <v>472</v>
      </c>
      <c r="P1625" s="819">
        <f t="shared" si="360"/>
        <v>878</v>
      </c>
      <c r="Q1625" s="819">
        <f t="shared" si="361"/>
        <v>661</v>
      </c>
      <c r="R1625" s="819">
        <f t="shared" si="362"/>
        <v>438</v>
      </c>
      <c r="S1625" s="819">
        <f t="shared" si="363"/>
        <v>338</v>
      </c>
      <c r="T1625" s="819">
        <f t="shared" si="364"/>
        <v>450</v>
      </c>
      <c r="U1625" s="819">
        <f t="shared" si="365"/>
        <v>2765</v>
      </c>
      <c r="V1625" s="819">
        <f t="shared" si="366"/>
        <v>437</v>
      </c>
      <c r="W1625" s="379">
        <f t="shared" si="367"/>
        <v>437</v>
      </c>
      <c r="X1625" s="819" t="str">
        <f t="shared" si="368"/>
        <v/>
      </c>
      <c r="Y1625" s="837"/>
      <c r="Z1625" s="839"/>
      <c r="AA1625" s="838"/>
      <c r="AB1625" s="839"/>
    </row>
    <row r="1626" spans="1:28" ht="13.15">
      <c r="B1626" s="819" t="s">
        <v>3679</v>
      </c>
      <c r="C1626" s="819" t="s">
        <v>3680</v>
      </c>
      <c r="D1626" s="379" t="s">
        <v>336</v>
      </c>
      <c r="E1626" s="818" t="s">
        <v>191</v>
      </c>
      <c r="F1626" s="820">
        <v>2.1712559109999998</v>
      </c>
      <c r="G1626" s="821">
        <v>0.67700078699999999</v>
      </c>
      <c r="H1626" s="822">
        <v>237378.723249381</v>
      </c>
      <c r="I1626" s="819"/>
      <c r="J1626" s="820">
        <v>-7.5371900000000003E-4</v>
      </c>
      <c r="K1626" s="819">
        <f t="shared" si="358"/>
        <v>1635</v>
      </c>
      <c r="L1626" s="819">
        <f t="shared" si="359"/>
        <v>882</v>
      </c>
      <c r="M1626" s="819">
        <f t="shared" si="355"/>
        <v>1635</v>
      </c>
      <c r="N1626" s="819">
        <f t="shared" si="356"/>
        <v>364</v>
      </c>
      <c r="O1626" s="819">
        <f t="shared" si="357"/>
        <v>1355</v>
      </c>
      <c r="P1626" s="819">
        <f t="shared" si="360"/>
        <v>237</v>
      </c>
      <c r="Q1626" s="819">
        <f t="shared" si="361"/>
        <v>459</v>
      </c>
      <c r="R1626" s="819">
        <f t="shared" si="362"/>
        <v>1553</v>
      </c>
      <c r="S1626" s="819">
        <f t="shared" si="363"/>
        <v>338</v>
      </c>
      <c r="T1626" s="819">
        <f t="shared" si="364"/>
        <v>1333</v>
      </c>
      <c r="U1626" s="819">
        <f t="shared" si="365"/>
        <v>3920</v>
      </c>
      <c r="V1626" s="819">
        <f t="shared" si="366"/>
        <v>1738</v>
      </c>
      <c r="W1626" s="379">
        <f t="shared" si="367"/>
        <v>1738</v>
      </c>
      <c r="X1626" s="819" t="str">
        <f t="shared" si="368"/>
        <v/>
      </c>
      <c r="Y1626" s="837"/>
      <c r="Z1626" s="839"/>
      <c r="AA1626" s="838"/>
      <c r="AB1626" s="839"/>
    </row>
    <row r="1627" spans="1:28" ht="14.45">
      <c r="A1627" s="816"/>
      <c r="B1627" s="819" t="s">
        <v>3681</v>
      </c>
      <c r="C1627" s="819" t="s">
        <v>3682</v>
      </c>
      <c r="D1627" s="379" t="s">
        <v>336</v>
      </c>
      <c r="E1627" s="818" t="s">
        <v>1832</v>
      </c>
      <c r="F1627" s="820">
        <v>0.63820728100000002</v>
      </c>
      <c r="G1627" s="821">
        <v>2.0132621400000001</v>
      </c>
      <c r="H1627" s="822">
        <v>596380293.02875102</v>
      </c>
      <c r="I1627" s="819"/>
      <c r="J1627" s="820">
        <v>-7.5259999999999994E-5</v>
      </c>
      <c r="K1627" s="819">
        <f t="shared" si="358"/>
        <v>315</v>
      </c>
      <c r="L1627" s="819">
        <f t="shared" si="359"/>
        <v>672</v>
      </c>
      <c r="M1627" s="819">
        <f t="shared" si="355"/>
        <v>315</v>
      </c>
      <c r="N1627" s="819">
        <f t="shared" si="356"/>
        <v>364</v>
      </c>
      <c r="O1627" s="819">
        <f t="shared" si="357"/>
        <v>961</v>
      </c>
      <c r="P1627" s="819">
        <f t="shared" si="360"/>
        <v>1083</v>
      </c>
      <c r="Q1627" s="819">
        <f t="shared" si="361"/>
        <v>249</v>
      </c>
      <c r="R1627" s="819">
        <f t="shared" si="362"/>
        <v>233</v>
      </c>
      <c r="S1627" s="819">
        <f t="shared" si="363"/>
        <v>338</v>
      </c>
      <c r="T1627" s="819">
        <f t="shared" si="364"/>
        <v>939</v>
      </c>
      <c r="U1627" s="819">
        <f t="shared" si="365"/>
        <v>2842</v>
      </c>
      <c r="V1627" s="819">
        <f t="shared" si="366"/>
        <v>706</v>
      </c>
      <c r="W1627" s="379">
        <f t="shared" si="367"/>
        <v>706</v>
      </c>
      <c r="X1627" s="819" t="str">
        <f t="shared" si="368"/>
        <v/>
      </c>
      <c r="Y1627" s="837"/>
      <c r="Z1627" s="839"/>
      <c r="AA1627" s="838"/>
      <c r="AB1627" s="839"/>
    </row>
    <row r="1628" spans="1:28" ht="13.15">
      <c r="B1628" s="819" t="s">
        <v>3683</v>
      </c>
      <c r="C1628" s="819" t="s">
        <v>3684</v>
      </c>
      <c r="D1628" s="379" t="s">
        <v>336</v>
      </c>
      <c r="E1628" s="818" t="s">
        <v>425</v>
      </c>
      <c r="F1628" s="820">
        <v>0.88140058799999998</v>
      </c>
      <c r="G1628" s="821">
        <v>3.4292144539999998</v>
      </c>
      <c r="H1628" s="822">
        <v>205619196.63668099</v>
      </c>
      <c r="I1628" s="819">
        <v>0.09</v>
      </c>
      <c r="J1628" s="820">
        <v>-3.0719699999999998E-3</v>
      </c>
      <c r="K1628" s="819">
        <f t="shared" si="358"/>
        <v>561</v>
      </c>
      <c r="L1628" s="819">
        <f t="shared" si="359"/>
        <v>510</v>
      </c>
      <c r="M1628" s="819">
        <f t="shared" si="355"/>
        <v>561</v>
      </c>
      <c r="N1628" s="819">
        <f t="shared" si="356"/>
        <v>275</v>
      </c>
      <c r="O1628" s="819">
        <f t="shared" si="357"/>
        <v>1549</v>
      </c>
      <c r="P1628" s="819">
        <f t="shared" si="360"/>
        <v>837</v>
      </c>
      <c r="Q1628" s="819">
        <f t="shared" si="361"/>
        <v>87</v>
      </c>
      <c r="R1628" s="819">
        <f t="shared" si="362"/>
        <v>479</v>
      </c>
      <c r="S1628" s="819">
        <f t="shared" si="363"/>
        <v>249</v>
      </c>
      <c r="T1628" s="819">
        <f t="shared" si="364"/>
        <v>1527</v>
      </c>
      <c r="U1628" s="819">
        <f t="shared" si="365"/>
        <v>3179</v>
      </c>
      <c r="V1628" s="819">
        <f t="shared" si="366"/>
        <v>1169</v>
      </c>
      <c r="W1628" s="379">
        <f t="shared" si="367"/>
        <v>1169</v>
      </c>
      <c r="X1628" s="819" t="str">
        <f t="shared" si="368"/>
        <v/>
      </c>
      <c r="Y1628" s="837"/>
      <c r="Z1628" s="839"/>
      <c r="AA1628" s="838"/>
      <c r="AB1628" s="839"/>
    </row>
    <row r="1629" spans="1:28" ht="14.45">
      <c r="A1629" s="816"/>
      <c r="B1629" s="819" t="s">
        <v>3685</v>
      </c>
      <c r="C1629" s="819" t="s">
        <v>3686</v>
      </c>
      <c r="D1629" s="379" t="s">
        <v>336</v>
      </c>
      <c r="E1629" s="818" t="s">
        <v>568</v>
      </c>
      <c r="F1629" s="820">
        <v>5.6566060000000001E-2</v>
      </c>
      <c r="G1629" s="821">
        <v>-7.5229357999999996E-2</v>
      </c>
      <c r="H1629" s="822">
        <v>419268201.79602098</v>
      </c>
      <c r="I1629" s="819"/>
      <c r="J1629" s="820">
        <v>6.9388500000000002E-5</v>
      </c>
      <c r="K1629" s="819">
        <f t="shared" si="358"/>
        <v>395</v>
      </c>
      <c r="L1629" s="819">
        <f t="shared" si="359"/>
        <v>1214</v>
      </c>
      <c r="M1629" s="819">
        <f t="shared" si="355"/>
        <v>395</v>
      </c>
      <c r="N1629" s="819">
        <f t="shared" si="356"/>
        <v>364</v>
      </c>
      <c r="O1629" s="819">
        <f t="shared" si="357"/>
        <v>318</v>
      </c>
      <c r="P1629" s="819">
        <f t="shared" si="360"/>
        <v>1003</v>
      </c>
      <c r="Q1629" s="819">
        <f t="shared" si="361"/>
        <v>791</v>
      </c>
      <c r="R1629" s="819">
        <f t="shared" si="362"/>
        <v>313</v>
      </c>
      <c r="S1629" s="819">
        <f t="shared" si="363"/>
        <v>338</v>
      </c>
      <c r="T1629" s="819">
        <f t="shared" si="364"/>
        <v>296</v>
      </c>
      <c r="U1629" s="819">
        <f t="shared" si="365"/>
        <v>2741</v>
      </c>
      <c r="V1629" s="819">
        <f t="shared" si="366"/>
        <v>406</v>
      </c>
      <c r="W1629" s="379">
        <f t="shared" si="367"/>
        <v>406</v>
      </c>
      <c r="X1629" s="819" t="str">
        <f t="shared" si="368"/>
        <v/>
      </c>
      <c r="Y1629" s="837"/>
      <c r="Z1629" s="839"/>
      <c r="AA1629" s="838"/>
      <c r="AB1629" s="839"/>
    </row>
    <row r="1630" spans="1:28" ht="13.15">
      <c r="B1630" s="819" t="s">
        <v>3687</v>
      </c>
      <c r="C1630" s="819" t="s">
        <v>3688</v>
      </c>
      <c r="D1630" s="379" t="s">
        <v>336</v>
      </c>
      <c r="E1630" s="818" t="s">
        <v>752</v>
      </c>
      <c r="F1630" s="820">
        <v>2.6880800370000002</v>
      </c>
      <c r="G1630" s="821">
        <v>2.9240077879999999</v>
      </c>
      <c r="H1630" s="822">
        <v>7387319.80806142</v>
      </c>
      <c r="I1630" s="819">
        <v>0.17</v>
      </c>
      <c r="J1630" s="820">
        <v>-1.447729E-3</v>
      </c>
      <c r="K1630" s="819">
        <f t="shared" si="358"/>
        <v>1312</v>
      </c>
      <c r="L1630" s="819">
        <f t="shared" si="359"/>
        <v>557</v>
      </c>
      <c r="M1630" s="819">
        <f t="shared" si="355"/>
        <v>1312</v>
      </c>
      <c r="N1630" s="819">
        <f t="shared" si="356"/>
        <v>224</v>
      </c>
      <c r="O1630" s="819">
        <f t="shared" si="357"/>
        <v>1456</v>
      </c>
      <c r="P1630" s="819">
        <f t="shared" si="360"/>
        <v>86</v>
      </c>
      <c r="Q1630" s="819">
        <f t="shared" si="361"/>
        <v>134</v>
      </c>
      <c r="R1630" s="819">
        <f t="shared" si="362"/>
        <v>1230</v>
      </c>
      <c r="S1630" s="819">
        <f t="shared" si="363"/>
        <v>198</v>
      </c>
      <c r="T1630" s="819">
        <f t="shared" si="364"/>
        <v>1434</v>
      </c>
      <c r="U1630" s="819">
        <f t="shared" si="365"/>
        <v>3082</v>
      </c>
      <c r="V1630" s="819">
        <f t="shared" si="366"/>
        <v>1033</v>
      </c>
      <c r="W1630" s="379">
        <f t="shared" si="367"/>
        <v>1033</v>
      </c>
      <c r="X1630" s="819" t="str">
        <f t="shared" si="368"/>
        <v/>
      </c>
      <c r="Y1630" s="837"/>
      <c r="Z1630" s="839"/>
      <c r="AA1630" s="838"/>
      <c r="AB1630" s="839"/>
    </row>
    <row r="1631" spans="1:28" ht="14.45">
      <c r="A1631" s="816"/>
      <c r="B1631" s="819" t="s">
        <v>3689</v>
      </c>
      <c r="C1631" s="819" t="s">
        <v>3690</v>
      </c>
      <c r="D1631" s="379" t="s">
        <v>336</v>
      </c>
      <c r="E1631" s="818" t="s">
        <v>568</v>
      </c>
      <c r="F1631" s="820">
        <v>3.0303563420000001</v>
      </c>
      <c r="G1631" s="821">
        <v>2.480596201</v>
      </c>
      <c r="H1631" s="822">
        <v>991467350.76986301</v>
      </c>
      <c r="I1631" s="819"/>
      <c r="J1631" s="820">
        <v>-1.09415E-4</v>
      </c>
      <c r="K1631" s="819">
        <f t="shared" si="358"/>
        <v>222</v>
      </c>
      <c r="L1631" s="819">
        <f t="shared" si="359"/>
        <v>604</v>
      </c>
      <c r="M1631" s="819">
        <f t="shared" si="355"/>
        <v>222</v>
      </c>
      <c r="N1631" s="819">
        <f t="shared" si="356"/>
        <v>364</v>
      </c>
      <c r="O1631" s="819">
        <f t="shared" si="357"/>
        <v>1016</v>
      </c>
      <c r="P1631" s="819">
        <f t="shared" si="360"/>
        <v>1176</v>
      </c>
      <c r="Q1631" s="819">
        <f t="shared" si="361"/>
        <v>181</v>
      </c>
      <c r="R1631" s="819">
        <f t="shared" si="362"/>
        <v>140</v>
      </c>
      <c r="S1631" s="819">
        <f t="shared" si="363"/>
        <v>338</v>
      </c>
      <c r="T1631" s="819">
        <f t="shared" si="364"/>
        <v>994</v>
      </c>
      <c r="U1631" s="819">
        <f t="shared" si="365"/>
        <v>2829</v>
      </c>
      <c r="V1631" s="819">
        <f t="shared" si="366"/>
        <v>682</v>
      </c>
      <c r="W1631" s="379">
        <f t="shared" si="367"/>
        <v>682</v>
      </c>
      <c r="X1631" s="819" t="str">
        <f t="shared" si="368"/>
        <v/>
      </c>
      <c r="Y1631" s="837"/>
      <c r="Z1631" s="839"/>
      <c r="AA1631" s="838"/>
      <c r="AB1631" s="839"/>
    </row>
    <row r="1632" spans="1:28" ht="13.15">
      <c r="B1632" s="819" t="s">
        <v>3691</v>
      </c>
      <c r="C1632" s="819" t="s">
        <v>3692</v>
      </c>
      <c r="D1632" s="379" t="s">
        <v>336</v>
      </c>
      <c r="E1632" s="818" t="s">
        <v>1957</v>
      </c>
      <c r="F1632" s="820">
        <v>9.2885371429999992</v>
      </c>
      <c r="G1632" s="821">
        <v>-1.3260658139999999</v>
      </c>
      <c r="H1632" s="822">
        <v>18335198.568417002</v>
      </c>
      <c r="I1632" s="819"/>
      <c r="J1632" s="820">
        <v>1.3382540000000001E-3</v>
      </c>
      <c r="K1632" s="819">
        <f t="shared" si="358"/>
        <v>1120</v>
      </c>
      <c r="L1632" s="819">
        <f t="shared" si="359"/>
        <v>1310</v>
      </c>
      <c r="M1632" s="819">
        <f t="shared" si="355"/>
        <v>1120</v>
      </c>
      <c r="N1632" s="819">
        <f t="shared" si="356"/>
        <v>364</v>
      </c>
      <c r="O1632" s="819">
        <f t="shared" si="357"/>
        <v>173</v>
      </c>
      <c r="P1632" s="819">
        <f t="shared" si="360"/>
        <v>278</v>
      </c>
      <c r="Q1632" s="819">
        <f t="shared" si="361"/>
        <v>887</v>
      </c>
      <c r="R1632" s="819">
        <f t="shared" si="362"/>
        <v>1038</v>
      </c>
      <c r="S1632" s="819">
        <f t="shared" si="363"/>
        <v>338</v>
      </c>
      <c r="T1632" s="819">
        <f t="shared" si="364"/>
        <v>151</v>
      </c>
      <c r="U1632" s="819">
        <f t="shared" si="365"/>
        <v>2692</v>
      </c>
      <c r="V1632" s="819">
        <f t="shared" si="366"/>
        <v>346</v>
      </c>
      <c r="W1632" s="379">
        <f t="shared" si="367"/>
        <v>346</v>
      </c>
      <c r="X1632" s="819" t="str">
        <f t="shared" si="368"/>
        <v/>
      </c>
      <c r="Y1632" s="837"/>
      <c r="Z1632" s="839"/>
      <c r="AA1632" s="838"/>
      <c r="AB1632" s="839"/>
    </row>
    <row r="1633" spans="1:28" ht="14.45">
      <c r="A1633" s="816"/>
      <c r="B1633" s="819" t="s">
        <v>3693</v>
      </c>
      <c r="C1633" s="819" t="s">
        <v>3694</v>
      </c>
      <c r="D1633" s="379" t="s">
        <v>336</v>
      </c>
      <c r="E1633" s="818" t="s">
        <v>441</v>
      </c>
      <c r="F1633" s="820">
        <v>8.2440200000000001E-4</v>
      </c>
      <c r="G1633" s="821">
        <v>-0.68191015799999999</v>
      </c>
      <c r="H1633" s="822">
        <v>175872952.80000001</v>
      </c>
      <c r="I1633" s="819"/>
      <c r="J1633" s="820">
        <v>3.78941E-5</v>
      </c>
      <c r="K1633" s="819">
        <f t="shared" si="358"/>
        <v>603</v>
      </c>
      <c r="L1633" s="819">
        <f t="shared" si="359"/>
        <v>1273</v>
      </c>
      <c r="M1633" s="819">
        <f t="shared" si="355"/>
        <v>603</v>
      </c>
      <c r="N1633" s="819">
        <f t="shared" si="356"/>
        <v>364</v>
      </c>
      <c r="O1633" s="819">
        <f t="shared" si="357"/>
        <v>365</v>
      </c>
      <c r="P1633" s="819">
        <f t="shared" si="360"/>
        <v>795</v>
      </c>
      <c r="Q1633" s="819">
        <f t="shared" si="361"/>
        <v>850</v>
      </c>
      <c r="R1633" s="819">
        <f t="shared" si="362"/>
        <v>521</v>
      </c>
      <c r="S1633" s="819">
        <f t="shared" si="363"/>
        <v>338</v>
      </c>
      <c r="T1633" s="819">
        <f t="shared" si="364"/>
        <v>343</v>
      </c>
      <c r="U1633" s="819">
        <f t="shared" si="365"/>
        <v>2847</v>
      </c>
      <c r="V1633" s="819">
        <f t="shared" si="366"/>
        <v>713</v>
      </c>
      <c r="W1633" s="379">
        <f t="shared" si="367"/>
        <v>713</v>
      </c>
      <c r="X1633" s="819" t="str">
        <f t="shared" si="368"/>
        <v/>
      </c>
      <c r="Y1633" s="837"/>
      <c r="Z1633" s="839"/>
      <c r="AA1633" s="838"/>
      <c r="AB1633" s="839"/>
    </row>
    <row r="1634" spans="1:28" ht="13.15">
      <c r="B1634" s="819" t="s">
        <v>3695</v>
      </c>
      <c r="C1634" s="819" t="s">
        <v>3696</v>
      </c>
      <c r="D1634" s="379" t="s">
        <v>336</v>
      </c>
      <c r="E1634" s="818" t="s">
        <v>752</v>
      </c>
      <c r="F1634" s="820">
        <v>7.8287719789999999</v>
      </c>
      <c r="G1634" s="821">
        <v>15.49913166</v>
      </c>
      <c r="H1634" s="822">
        <v>2228539.6907656202</v>
      </c>
      <c r="I1634" s="819"/>
      <c r="J1634" s="820">
        <v>-2.3031700000000001E-4</v>
      </c>
      <c r="K1634" s="819">
        <f t="shared" si="358"/>
        <v>1481</v>
      </c>
      <c r="L1634" s="819">
        <f t="shared" si="359"/>
        <v>118</v>
      </c>
      <c r="M1634" s="819">
        <f t="shared" si="355"/>
        <v>1481</v>
      </c>
      <c r="N1634" s="819">
        <f t="shared" si="356"/>
        <v>364</v>
      </c>
      <c r="O1634" s="819">
        <f t="shared" si="357"/>
        <v>1131</v>
      </c>
      <c r="P1634" s="819">
        <f t="shared" si="360"/>
        <v>83</v>
      </c>
      <c r="Q1634" s="819">
        <f t="shared" si="361"/>
        <v>305</v>
      </c>
      <c r="R1634" s="819">
        <f t="shared" si="362"/>
        <v>1399</v>
      </c>
      <c r="S1634" s="819">
        <f t="shared" si="363"/>
        <v>338</v>
      </c>
      <c r="T1634" s="819">
        <f t="shared" si="364"/>
        <v>1109</v>
      </c>
      <c r="U1634" s="819">
        <f t="shared" si="365"/>
        <v>3234</v>
      </c>
      <c r="V1634" s="819">
        <f t="shared" si="366"/>
        <v>1246</v>
      </c>
      <c r="W1634" s="379">
        <f t="shared" si="367"/>
        <v>1246</v>
      </c>
      <c r="X1634" s="819" t="str">
        <f t="shared" si="368"/>
        <v/>
      </c>
      <c r="Y1634" s="837"/>
      <c r="Z1634" s="839"/>
      <c r="AA1634" s="838"/>
      <c r="AB1634" s="839"/>
    </row>
    <row r="1635" spans="1:28" ht="14.45">
      <c r="A1635" s="816"/>
      <c r="B1635" s="819" t="s">
        <v>3697</v>
      </c>
      <c r="C1635" s="819" t="s">
        <v>3698</v>
      </c>
      <c r="D1635" s="379" t="s">
        <v>336</v>
      </c>
      <c r="E1635" s="818" t="s">
        <v>418</v>
      </c>
      <c r="F1635" s="820">
        <v>1.713224013</v>
      </c>
      <c r="G1635" s="821">
        <v>0.20620860899999999</v>
      </c>
      <c r="H1635" s="822">
        <v>169815617.07127601</v>
      </c>
      <c r="I1635" s="819"/>
      <c r="J1635" s="820">
        <v>-2.6995699999999998E-4</v>
      </c>
      <c r="K1635" s="819">
        <f t="shared" si="358"/>
        <v>609</v>
      </c>
      <c r="L1635" s="819">
        <f t="shared" si="359"/>
        <v>984</v>
      </c>
      <c r="M1635" s="819">
        <f t="shared" si="355"/>
        <v>609</v>
      </c>
      <c r="N1635" s="819">
        <f t="shared" si="356"/>
        <v>364</v>
      </c>
      <c r="O1635" s="819">
        <f t="shared" si="357"/>
        <v>1158</v>
      </c>
      <c r="P1635" s="819">
        <f t="shared" si="360"/>
        <v>789</v>
      </c>
      <c r="Q1635" s="819">
        <f t="shared" si="361"/>
        <v>561</v>
      </c>
      <c r="R1635" s="819">
        <f t="shared" si="362"/>
        <v>527</v>
      </c>
      <c r="S1635" s="819">
        <f t="shared" si="363"/>
        <v>338</v>
      </c>
      <c r="T1635" s="819">
        <f t="shared" si="364"/>
        <v>1136</v>
      </c>
      <c r="U1635" s="819">
        <f t="shared" si="365"/>
        <v>3351</v>
      </c>
      <c r="V1635" s="819">
        <f t="shared" si="366"/>
        <v>1410</v>
      </c>
      <c r="W1635" s="379">
        <f t="shared" si="367"/>
        <v>1410</v>
      </c>
      <c r="X1635" s="819" t="str">
        <f t="shared" si="368"/>
        <v/>
      </c>
      <c r="Y1635" s="837"/>
      <c r="Z1635" s="839"/>
      <c r="AA1635" s="838"/>
      <c r="AB1635" s="839"/>
    </row>
    <row r="1636" spans="1:28" ht="13.15">
      <c r="B1636" s="819" t="s">
        <v>3699</v>
      </c>
      <c r="C1636" s="819" t="s">
        <v>3700</v>
      </c>
      <c r="D1636" s="379" t="s">
        <v>336</v>
      </c>
      <c r="E1636" s="818" t="s">
        <v>941</v>
      </c>
      <c r="F1636" s="820">
        <v>0.89717204900000003</v>
      </c>
      <c r="G1636" s="821">
        <v>5.5390962339999996</v>
      </c>
      <c r="H1636" s="822">
        <v>120255677.142857</v>
      </c>
      <c r="I1636" s="819"/>
      <c r="J1636" s="820">
        <v>-8.5134600000000003E-5</v>
      </c>
      <c r="K1636" s="819">
        <f t="shared" si="358"/>
        <v>669</v>
      </c>
      <c r="L1636" s="819">
        <f t="shared" si="359"/>
        <v>346</v>
      </c>
      <c r="M1636" s="819">
        <f t="shared" si="355"/>
        <v>669</v>
      </c>
      <c r="N1636" s="819">
        <f t="shared" si="356"/>
        <v>364</v>
      </c>
      <c r="O1636" s="819">
        <f t="shared" si="357"/>
        <v>987</v>
      </c>
      <c r="P1636" s="819">
        <f t="shared" si="360"/>
        <v>729</v>
      </c>
      <c r="Q1636" s="819">
        <f t="shared" si="361"/>
        <v>77</v>
      </c>
      <c r="R1636" s="819">
        <f t="shared" si="362"/>
        <v>587</v>
      </c>
      <c r="S1636" s="819">
        <f t="shared" si="363"/>
        <v>338</v>
      </c>
      <c r="T1636" s="819">
        <f t="shared" si="364"/>
        <v>965</v>
      </c>
      <c r="U1636" s="819">
        <f t="shared" si="365"/>
        <v>2696</v>
      </c>
      <c r="V1636" s="819">
        <f t="shared" si="366"/>
        <v>351</v>
      </c>
      <c r="W1636" s="379">
        <f t="shared" si="367"/>
        <v>351</v>
      </c>
      <c r="X1636" s="819" t="str">
        <f t="shared" si="368"/>
        <v/>
      </c>
      <c r="Y1636" s="837"/>
      <c r="Z1636" s="839"/>
      <c r="AA1636" s="838"/>
      <c r="AB1636" s="839"/>
    </row>
    <row r="1637" spans="1:28" ht="14.45">
      <c r="A1637" s="816"/>
      <c r="B1637" s="819" t="s">
        <v>3701</v>
      </c>
      <c r="C1637" s="819" t="s">
        <v>3702</v>
      </c>
      <c r="D1637" s="379" t="s">
        <v>336</v>
      </c>
      <c r="E1637" s="818" t="s">
        <v>460</v>
      </c>
      <c r="F1637" s="820">
        <v>0.76426655600000004</v>
      </c>
      <c r="G1637" s="821">
        <v>0.81669314699999995</v>
      </c>
      <c r="H1637" s="822">
        <v>105479242.230239</v>
      </c>
      <c r="I1637" s="819">
        <v>0.01</v>
      </c>
      <c r="J1637" s="820">
        <v>-1.411247E-3</v>
      </c>
      <c r="K1637" s="819">
        <f t="shared" si="358"/>
        <v>712</v>
      </c>
      <c r="L1637" s="819">
        <f t="shared" si="359"/>
        <v>845</v>
      </c>
      <c r="M1637" s="819">
        <f t="shared" si="355"/>
        <v>712</v>
      </c>
      <c r="N1637" s="819">
        <f t="shared" si="356"/>
        <v>344</v>
      </c>
      <c r="O1637" s="819">
        <f t="shared" si="357"/>
        <v>1448</v>
      </c>
      <c r="P1637" s="819">
        <f t="shared" si="360"/>
        <v>686</v>
      </c>
      <c r="Q1637" s="819">
        <f t="shared" si="361"/>
        <v>422</v>
      </c>
      <c r="R1637" s="819">
        <f t="shared" si="362"/>
        <v>630</v>
      </c>
      <c r="S1637" s="819">
        <f t="shared" si="363"/>
        <v>318</v>
      </c>
      <c r="T1637" s="819">
        <f t="shared" si="364"/>
        <v>1426</v>
      </c>
      <c r="U1637" s="819">
        <f t="shared" si="365"/>
        <v>3482</v>
      </c>
      <c r="V1637" s="819">
        <f t="shared" si="366"/>
        <v>1534</v>
      </c>
      <c r="W1637" s="379">
        <f t="shared" si="367"/>
        <v>1534</v>
      </c>
      <c r="X1637" s="819" t="str">
        <f t="shared" si="368"/>
        <v/>
      </c>
      <c r="Y1637" s="837"/>
      <c r="Z1637" s="839"/>
      <c r="AA1637" s="838"/>
      <c r="AB1637" s="839"/>
    </row>
    <row r="1638" spans="1:28" ht="13.15">
      <c r="B1638" s="819" t="s">
        <v>3703</v>
      </c>
      <c r="C1638" s="819" t="s">
        <v>3704</v>
      </c>
      <c r="D1638" s="379" t="s">
        <v>336</v>
      </c>
      <c r="E1638" s="818" t="s">
        <v>625</v>
      </c>
      <c r="F1638" s="820">
        <v>2.2796331510000001</v>
      </c>
      <c r="G1638" s="821">
        <v>4.3189212049999997</v>
      </c>
      <c r="H1638" s="822">
        <v>803672045.73547602</v>
      </c>
      <c r="I1638" s="819">
        <v>0.21</v>
      </c>
      <c r="J1638" s="820">
        <v>-4.8291799999999997E-5</v>
      </c>
      <c r="K1638" s="819">
        <f t="shared" si="358"/>
        <v>254</v>
      </c>
      <c r="L1638" s="819">
        <f t="shared" si="359"/>
        <v>426</v>
      </c>
      <c r="M1638" s="819">
        <f t="shared" si="355"/>
        <v>254</v>
      </c>
      <c r="N1638" s="819">
        <f t="shared" si="356"/>
        <v>216</v>
      </c>
      <c r="O1638" s="819">
        <f t="shared" si="357"/>
        <v>922</v>
      </c>
      <c r="P1638" s="819">
        <f t="shared" si="360"/>
        <v>1144</v>
      </c>
      <c r="Q1638" s="819">
        <f t="shared" si="361"/>
        <v>3</v>
      </c>
      <c r="R1638" s="819">
        <f t="shared" si="362"/>
        <v>172</v>
      </c>
      <c r="S1638" s="819">
        <f t="shared" si="363"/>
        <v>190</v>
      </c>
      <c r="T1638" s="819">
        <f t="shared" si="364"/>
        <v>900</v>
      </c>
      <c r="U1638" s="819">
        <f t="shared" si="365"/>
        <v>2409</v>
      </c>
      <c r="V1638" s="819">
        <f t="shared" si="366"/>
        <v>230</v>
      </c>
      <c r="W1638" s="379">
        <f t="shared" si="367"/>
        <v>230</v>
      </c>
      <c r="X1638" s="819" t="str">
        <f t="shared" si="368"/>
        <v/>
      </c>
      <c r="Y1638" s="837"/>
      <c r="Z1638" s="839"/>
      <c r="AA1638" s="838"/>
      <c r="AB1638" s="839"/>
    </row>
    <row r="1639" spans="1:28" ht="14.45">
      <c r="A1639" s="816"/>
      <c r="B1639" s="819" t="s">
        <v>3705</v>
      </c>
      <c r="C1639" s="819" t="s">
        <v>3706</v>
      </c>
      <c r="D1639" s="379" t="s">
        <v>336</v>
      </c>
      <c r="E1639" s="818" t="s">
        <v>998</v>
      </c>
      <c r="F1639" s="820"/>
      <c r="G1639" s="821"/>
      <c r="H1639" s="822">
        <v>25319089.223553501</v>
      </c>
      <c r="I1639" s="819"/>
      <c r="J1639" s="820">
        <v>0</v>
      </c>
      <c r="K1639" s="819">
        <f t="shared" si="358"/>
        <v>1041</v>
      </c>
      <c r="L1639" s="819">
        <f t="shared" si="359"/>
        <v>1084</v>
      </c>
      <c r="M1639" s="819">
        <f t="shared" si="355"/>
        <v>1041</v>
      </c>
      <c r="N1639" s="819">
        <f t="shared" si="356"/>
        <v>364</v>
      </c>
      <c r="O1639" s="819">
        <f t="shared" si="357"/>
        <v>492</v>
      </c>
      <c r="P1639" s="819">
        <f t="shared" si="360"/>
        <v>357</v>
      </c>
      <c r="Q1639" s="819">
        <f t="shared" si="361"/>
        <v>661</v>
      </c>
      <c r="R1639" s="819">
        <f t="shared" si="362"/>
        <v>959</v>
      </c>
      <c r="S1639" s="819">
        <f t="shared" si="363"/>
        <v>338</v>
      </c>
      <c r="T1639" s="819">
        <f t="shared" si="364"/>
        <v>470</v>
      </c>
      <c r="U1639" s="819">
        <f t="shared" si="365"/>
        <v>2785</v>
      </c>
      <c r="V1639" s="819">
        <f t="shared" si="366"/>
        <v>463</v>
      </c>
      <c r="W1639" s="379">
        <f t="shared" si="367"/>
        <v>463</v>
      </c>
      <c r="X1639" s="819" t="str">
        <f t="shared" si="368"/>
        <v/>
      </c>
      <c r="Y1639" s="837"/>
      <c r="Z1639" s="839"/>
      <c r="AA1639" s="838"/>
      <c r="AB1639" s="839"/>
    </row>
    <row r="1640" spans="1:28" ht="13.15">
      <c r="B1640" s="819" t="s">
        <v>3707</v>
      </c>
      <c r="C1640" s="819" t="s">
        <v>3708</v>
      </c>
      <c r="D1640" s="379" t="s">
        <v>336</v>
      </c>
      <c r="E1640" s="818" t="s">
        <v>460</v>
      </c>
      <c r="F1640" s="820">
        <v>11.275714710000001</v>
      </c>
      <c r="G1640" s="821">
        <v>-0.30247145399999997</v>
      </c>
      <c r="H1640" s="822">
        <v>1031903.49373764</v>
      </c>
      <c r="I1640" s="819"/>
      <c r="J1640" s="820">
        <v>2.27125E-5</v>
      </c>
      <c r="K1640" s="819">
        <f t="shared" si="358"/>
        <v>1554</v>
      </c>
      <c r="L1640" s="819">
        <f t="shared" si="359"/>
        <v>1254</v>
      </c>
      <c r="M1640" s="819">
        <f t="shared" si="355"/>
        <v>1554</v>
      </c>
      <c r="N1640" s="819">
        <f t="shared" si="356"/>
        <v>364</v>
      </c>
      <c r="O1640" s="819">
        <f t="shared" si="357"/>
        <v>397</v>
      </c>
      <c r="P1640" s="819">
        <f t="shared" si="360"/>
        <v>156</v>
      </c>
      <c r="Q1640" s="819">
        <f t="shared" si="361"/>
        <v>831</v>
      </c>
      <c r="R1640" s="819">
        <f t="shared" si="362"/>
        <v>1472</v>
      </c>
      <c r="S1640" s="819">
        <f t="shared" si="363"/>
        <v>338</v>
      </c>
      <c r="T1640" s="819">
        <f t="shared" si="364"/>
        <v>375</v>
      </c>
      <c r="U1640" s="819">
        <f t="shared" si="365"/>
        <v>3172</v>
      </c>
      <c r="V1640" s="819">
        <f t="shared" si="366"/>
        <v>1159</v>
      </c>
      <c r="W1640" s="379">
        <f t="shared" si="367"/>
        <v>1159</v>
      </c>
      <c r="X1640" s="819" t="str">
        <f t="shared" si="368"/>
        <v/>
      </c>
      <c r="Y1640" s="837"/>
      <c r="Z1640" s="839"/>
      <c r="AA1640" s="838"/>
      <c r="AB1640" s="839"/>
    </row>
    <row r="1641" spans="1:28" ht="14.45">
      <c r="A1641" s="816"/>
      <c r="B1641" s="819" t="s">
        <v>3709</v>
      </c>
      <c r="C1641" s="819" t="s">
        <v>3710</v>
      </c>
      <c r="D1641" s="379" t="s">
        <v>336</v>
      </c>
      <c r="E1641" s="818" t="s">
        <v>441</v>
      </c>
      <c r="F1641" s="820">
        <v>1.138466373</v>
      </c>
      <c r="G1641" s="821">
        <v>14.26326312</v>
      </c>
      <c r="H1641" s="822">
        <v>23912700</v>
      </c>
      <c r="I1641" s="819"/>
      <c r="J1641" s="820">
        <v>-2.5216199999999998E-6</v>
      </c>
      <c r="K1641" s="819">
        <f t="shared" si="358"/>
        <v>1060</v>
      </c>
      <c r="L1641" s="819">
        <f t="shared" si="359"/>
        <v>136</v>
      </c>
      <c r="M1641" s="819">
        <f t="shared" si="355"/>
        <v>1060</v>
      </c>
      <c r="N1641" s="819">
        <f t="shared" si="356"/>
        <v>364</v>
      </c>
      <c r="O1641" s="819">
        <f t="shared" si="357"/>
        <v>769</v>
      </c>
      <c r="P1641" s="819">
        <f t="shared" si="360"/>
        <v>338</v>
      </c>
      <c r="Q1641" s="819">
        <f t="shared" si="361"/>
        <v>287</v>
      </c>
      <c r="R1641" s="819">
        <f t="shared" si="362"/>
        <v>978</v>
      </c>
      <c r="S1641" s="819">
        <f t="shared" si="363"/>
        <v>338</v>
      </c>
      <c r="T1641" s="819">
        <f t="shared" si="364"/>
        <v>747</v>
      </c>
      <c r="U1641" s="819">
        <f t="shared" si="365"/>
        <v>2688</v>
      </c>
      <c r="V1641" s="819">
        <f t="shared" si="366"/>
        <v>344</v>
      </c>
      <c r="W1641" s="379">
        <f t="shared" si="367"/>
        <v>344</v>
      </c>
      <c r="X1641" s="819" t="str">
        <f t="shared" si="368"/>
        <v/>
      </c>
      <c r="Y1641" s="837"/>
      <c r="Z1641" s="839"/>
      <c r="AA1641" s="838"/>
      <c r="AB1641" s="839"/>
    </row>
    <row r="1642" spans="1:28" ht="13.15">
      <c r="B1642" s="819" t="s">
        <v>3711</v>
      </c>
      <c r="C1642" s="819" t="s">
        <v>3712</v>
      </c>
      <c r="D1642" s="379" t="s">
        <v>336</v>
      </c>
      <c r="E1642" s="818" t="s">
        <v>373</v>
      </c>
      <c r="F1642" s="820">
        <v>29.81109185</v>
      </c>
      <c r="G1642" s="821">
        <v>-1.4152476549999999</v>
      </c>
      <c r="H1642" s="822">
        <v>16169840.0673401</v>
      </c>
      <c r="I1642" s="819">
        <v>-0.02</v>
      </c>
      <c r="J1642" s="820">
        <v>7.9195600000000002E-4</v>
      </c>
      <c r="K1642" s="819">
        <f t="shared" si="358"/>
        <v>1147</v>
      </c>
      <c r="L1642" s="819">
        <f t="shared" si="359"/>
        <v>1317</v>
      </c>
      <c r="M1642" s="819">
        <f t="shared" si="355"/>
        <v>1147</v>
      </c>
      <c r="N1642" s="819">
        <f t="shared" si="356"/>
        <v>374</v>
      </c>
      <c r="O1642" s="819">
        <f t="shared" si="357"/>
        <v>188</v>
      </c>
      <c r="P1642" s="819">
        <f t="shared" si="360"/>
        <v>251</v>
      </c>
      <c r="Q1642" s="819">
        <f t="shared" si="361"/>
        <v>894</v>
      </c>
      <c r="R1642" s="819">
        <f t="shared" si="362"/>
        <v>1065</v>
      </c>
      <c r="S1642" s="819">
        <f t="shared" si="363"/>
        <v>348</v>
      </c>
      <c r="T1642" s="819">
        <f t="shared" si="364"/>
        <v>166</v>
      </c>
      <c r="U1642" s="819">
        <f t="shared" si="365"/>
        <v>2724</v>
      </c>
      <c r="V1642" s="819">
        <f t="shared" si="366"/>
        <v>389</v>
      </c>
      <c r="W1642" s="379">
        <f t="shared" si="367"/>
        <v>389</v>
      </c>
      <c r="X1642" s="819" t="str">
        <f t="shared" si="368"/>
        <v/>
      </c>
      <c r="Y1642" s="837"/>
      <c r="Z1642" s="839"/>
      <c r="AA1642" s="838"/>
      <c r="AB1642" s="839"/>
    </row>
    <row r="1643" spans="1:28" ht="14.45">
      <c r="A1643" s="816"/>
      <c r="B1643" s="819" t="s">
        <v>3713</v>
      </c>
      <c r="C1643" s="819" t="s">
        <v>3714</v>
      </c>
      <c r="D1643" s="379" t="s">
        <v>336</v>
      </c>
      <c r="E1643" s="818" t="s">
        <v>337</v>
      </c>
      <c r="F1643" s="820">
        <v>2.3453954260000001</v>
      </c>
      <c r="G1643" s="821">
        <v>-1.1659103040000001</v>
      </c>
      <c r="H1643" s="822">
        <v>784958811</v>
      </c>
      <c r="I1643" s="819">
        <v>-0.3</v>
      </c>
      <c r="J1643" s="820">
        <v>7.2032930000000004E-3</v>
      </c>
      <c r="K1643" s="819">
        <f t="shared" si="358"/>
        <v>258</v>
      </c>
      <c r="L1643" s="819">
        <f t="shared" si="359"/>
        <v>1304</v>
      </c>
      <c r="M1643" s="819">
        <f t="shared" si="355"/>
        <v>258</v>
      </c>
      <c r="N1643" s="819">
        <f t="shared" si="356"/>
        <v>381</v>
      </c>
      <c r="O1643" s="819">
        <f t="shared" si="357"/>
        <v>140</v>
      </c>
      <c r="P1643" s="819">
        <f t="shared" si="360"/>
        <v>1140</v>
      </c>
      <c r="Q1643" s="819">
        <f t="shared" si="361"/>
        <v>881</v>
      </c>
      <c r="R1643" s="819">
        <f t="shared" si="362"/>
        <v>176</v>
      </c>
      <c r="S1643" s="819">
        <f t="shared" si="363"/>
        <v>355</v>
      </c>
      <c r="T1643" s="819">
        <f t="shared" si="364"/>
        <v>118</v>
      </c>
      <c r="U1643" s="819">
        <f t="shared" si="365"/>
        <v>2670</v>
      </c>
      <c r="V1643" s="819">
        <f t="shared" si="366"/>
        <v>332</v>
      </c>
      <c r="W1643" s="379">
        <f t="shared" si="367"/>
        <v>332</v>
      </c>
      <c r="X1643" s="819" t="str">
        <f t="shared" si="368"/>
        <v/>
      </c>
      <c r="Y1643" s="837"/>
      <c r="Z1643" s="839"/>
      <c r="AA1643" s="838"/>
      <c r="AB1643" s="839"/>
    </row>
    <row r="1644" spans="1:28" ht="13.15">
      <c r="B1644" s="819" t="s">
        <v>3715</v>
      </c>
      <c r="C1644" s="819" t="s">
        <v>3716</v>
      </c>
      <c r="D1644" s="379" t="s">
        <v>336</v>
      </c>
      <c r="E1644" s="818" t="s">
        <v>998</v>
      </c>
      <c r="F1644" s="820">
        <v>2.2716573040000001</v>
      </c>
      <c r="G1644" s="821">
        <v>1.4727688109999999</v>
      </c>
      <c r="H1644" s="822">
        <v>720022910.97000003</v>
      </c>
      <c r="I1644" s="819"/>
      <c r="J1644" s="820">
        <v>-1.22083E-5</v>
      </c>
      <c r="K1644" s="819">
        <f t="shared" si="358"/>
        <v>279</v>
      </c>
      <c r="L1644" s="819">
        <f t="shared" si="359"/>
        <v>745</v>
      </c>
      <c r="M1644" s="819">
        <f t="shared" si="355"/>
        <v>279</v>
      </c>
      <c r="N1644" s="819">
        <f t="shared" si="356"/>
        <v>364</v>
      </c>
      <c r="O1644" s="819">
        <f t="shared" si="357"/>
        <v>818</v>
      </c>
      <c r="P1644" s="819">
        <f t="shared" si="360"/>
        <v>1119</v>
      </c>
      <c r="Q1644" s="819">
        <f t="shared" si="361"/>
        <v>322</v>
      </c>
      <c r="R1644" s="819">
        <f t="shared" si="362"/>
        <v>197</v>
      </c>
      <c r="S1644" s="819">
        <f t="shared" si="363"/>
        <v>338</v>
      </c>
      <c r="T1644" s="819">
        <f t="shared" si="364"/>
        <v>796</v>
      </c>
      <c r="U1644" s="819">
        <f t="shared" si="365"/>
        <v>2772</v>
      </c>
      <c r="V1644" s="819">
        <f t="shared" si="366"/>
        <v>447</v>
      </c>
      <c r="W1644" s="379">
        <f t="shared" si="367"/>
        <v>447</v>
      </c>
      <c r="X1644" s="819" t="str">
        <f t="shared" si="368"/>
        <v/>
      </c>
      <c r="Y1644" s="837"/>
      <c r="Z1644" s="839"/>
      <c r="AA1644" s="838"/>
      <c r="AB1644" s="839"/>
    </row>
    <row r="1645" spans="1:28" ht="14.45">
      <c r="A1645" s="816"/>
      <c r="B1645" s="819" t="s">
        <v>3717</v>
      </c>
      <c r="C1645" s="819" t="s">
        <v>3718</v>
      </c>
      <c r="D1645" s="379" t="s">
        <v>336</v>
      </c>
      <c r="E1645" s="818" t="s">
        <v>887</v>
      </c>
      <c r="F1645" s="820">
        <v>0</v>
      </c>
      <c r="G1645" s="821"/>
      <c r="H1645" s="822">
        <v>52426407.849829398</v>
      </c>
      <c r="I1645" s="819">
        <v>0.01</v>
      </c>
      <c r="J1645" s="820">
        <v>0</v>
      </c>
      <c r="K1645" s="819">
        <f t="shared" si="358"/>
        <v>863</v>
      </c>
      <c r="L1645" s="819">
        <f t="shared" si="359"/>
        <v>1084</v>
      </c>
      <c r="M1645" s="819">
        <f t="shared" si="355"/>
        <v>863</v>
      </c>
      <c r="N1645" s="819">
        <f t="shared" si="356"/>
        <v>344</v>
      </c>
      <c r="O1645" s="819">
        <f t="shared" si="357"/>
        <v>492</v>
      </c>
      <c r="P1645" s="819">
        <f t="shared" si="360"/>
        <v>535</v>
      </c>
      <c r="Q1645" s="819">
        <f t="shared" si="361"/>
        <v>661</v>
      </c>
      <c r="R1645" s="819">
        <f t="shared" si="362"/>
        <v>781</v>
      </c>
      <c r="S1645" s="819">
        <f t="shared" si="363"/>
        <v>318</v>
      </c>
      <c r="T1645" s="819">
        <f t="shared" si="364"/>
        <v>470</v>
      </c>
      <c r="U1645" s="819">
        <f t="shared" si="365"/>
        <v>2765</v>
      </c>
      <c r="V1645" s="819">
        <f t="shared" si="366"/>
        <v>437</v>
      </c>
      <c r="W1645" s="379">
        <f t="shared" si="367"/>
        <v>437</v>
      </c>
      <c r="X1645" s="819" t="str">
        <f t="shared" si="368"/>
        <v/>
      </c>
      <c r="Y1645" s="837"/>
      <c r="Z1645" s="839"/>
      <c r="AA1645" s="838"/>
      <c r="AB1645" s="839"/>
    </row>
    <row r="1646" spans="1:28" ht="13.15">
      <c r="B1646" s="819" t="s">
        <v>3719</v>
      </c>
      <c r="C1646" s="819" t="s">
        <v>3720</v>
      </c>
      <c r="D1646" s="379" t="s">
        <v>336</v>
      </c>
      <c r="E1646" s="818" t="s">
        <v>645</v>
      </c>
      <c r="F1646" s="820">
        <v>0.85379898200000004</v>
      </c>
      <c r="G1646" s="821">
        <v>0.17537348899999999</v>
      </c>
      <c r="H1646" s="822">
        <v>3425807709.6364298</v>
      </c>
      <c r="I1646" s="819">
        <v>0.06</v>
      </c>
      <c r="J1646" s="820">
        <v>-2.4459170000000001E-3</v>
      </c>
      <c r="K1646" s="819">
        <f t="shared" si="358"/>
        <v>95</v>
      </c>
      <c r="L1646" s="819">
        <f t="shared" si="359"/>
        <v>992</v>
      </c>
      <c r="M1646" s="819">
        <f t="shared" si="355"/>
        <v>95</v>
      </c>
      <c r="N1646" s="819">
        <f t="shared" si="356"/>
        <v>300</v>
      </c>
      <c r="O1646" s="819">
        <f t="shared" si="357"/>
        <v>1523</v>
      </c>
      <c r="P1646" s="819">
        <f t="shared" si="360"/>
        <v>1303</v>
      </c>
      <c r="Q1646" s="819">
        <f t="shared" si="361"/>
        <v>569</v>
      </c>
      <c r="R1646" s="819">
        <f t="shared" si="362"/>
        <v>13</v>
      </c>
      <c r="S1646" s="819">
        <f t="shared" si="363"/>
        <v>274</v>
      </c>
      <c r="T1646" s="819">
        <f t="shared" si="364"/>
        <v>1501</v>
      </c>
      <c r="U1646" s="819">
        <f t="shared" si="365"/>
        <v>3660</v>
      </c>
      <c r="V1646" s="819">
        <f t="shared" si="366"/>
        <v>1659</v>
      </c>
      <c r="W1646" s="379">
        <f t="shared" si="367"/>
        <v>1659</v>
      </c>
      <c r="X1646" s="819" t="str">
        <f t="shared" si="368"/>
        <v/>
      </c>
      <c r="Y1646" s="837"/>
      <c r="Z1646" s="839"/>
      <c r="AA1646" s="838"/>
      <c r="AB1646" s="839"/>
    </row>
    <row r="1647" spans="1:28" ht="14.45">
      <c r="A1647" s="816"/>
      <c r="B1647" s="819" t="s">
        <v>3721</v>
      </c>
      <c r="C1647" s="819" t="s">
        <v>3722</v>
      </c>
      <c r="D1647" s="379" t="s">
        <v>336</v>
      </c>
      <c r="E1647" s="818" t="s">
        <v>441</v>
      </c>
      <c r="F1647" s="820">
        <v>1.1400104099999999</v>
      </c>
      <c r="G1647" s="821">
        <v>-31.262295080000001</v>
      </c>
      <c r="H1647" s="822">
        <v>1841746251.2780499</v>
      </c>
      <c r="I1647" s="819"/>
      <c r="J1647" s="820">
        <v>1.41839E-6</v>
      </c>
      <c r="K1647" s="819">
        <f t="shared" si="358"/>
        <v>155</v>
      </c>
      <c r="L1647" s="819">
        <f t="shared" si="359"/>
        <v>1496</v>
      </c>
      <c r="M1647" s="819">
        <f t="shared" si="355"/>
        <v>155</v>
      </c>
      <c r="N1647" s="819">
        <f t="shared" si="356"/>
        <v>364</v>
      </c>
      <c r="O1647" s="819">
        <f t="shared" si="357"/>
        <v>473</v>
      </c>
      <c r="P1647" s="819">
        <f t="shared" si="360"/>
        <v>1243</v>
      </c>
      <c r="Q1647" s="819">
        <f t="shared" si="361"/>
        <v>1073</v>
      </c>
      <c r="R1647" s="819">
        <f t="shared" si="362"/>
        <v>73</v>
      </c>
      <c r="S1647" s="819">
        <f t="shared" si="363"/>
        <v>338</v>
      </c>
      <c r="T1647" s="819">
        <f t="shared" si="364"/>
        <v>451</v>
      </c>
      <c r="U1647" s="819">
        <f t="shared" si="365"/>
        <v>3178</v>
      </c>
      <c r="V1647" s="819">
        <f t="shared" si="366"/>
        <v>1168</v>
      </c>
      <c r="W1647" s="379">
        <f t="shared" si="367"/>
        <v>1168</v>
      </c>
      <c r="X1647" s="819" t="str">
        <f t="shared" si="368"/>
        <v/>
      </c>
      <c r="Y1647" s="837"/>
      <c r="Z1647" s="839"/>
      <c r="AA1647" s="838"/>
      <c r="AB1647" s="839"/>
    </row>
    <row r="1648" spans="1:28" ht="13.15">
      <c r="B1648" s="819" t="s">
        <v>3723</v>
      </c>
      <c r="C1648" s="819" t="s">
        <v>3724</v>
      </c>
      <c r="D1648" s="379" t="s">
        <v>336</v>
      </c>
      <c r="E1648" s="818" t="s">
        <v>444</v>
      </c>
      <c r="F1648" s="820">
        <v>-0.67207006199999997</v>
      </c>
      <c r="G1648" s="821">
        <v>-8.1329163999999995E-2</v>
      </c>
      <c r="H1648" s="822">
        <v>20541977.405301601</v>
      </c>
      <c r="I1648" s="819"/>
      <c r="J1648" s="820">
        <v>1.6314899999999999E-4</v>
      </c>
      <c r="K1648" s="819">
        <f t="shared" si="358"/>
        <v>1099</v>
      </c>
      <c r="L1648" s="819">
        <f t="shared" si="359"/>
        <v>1216</v>
      </c>
      <c r="M1648" s="819">
        <f t="shared" si="355"/>
        <v>1099</v>
      </c>
      <c r="N1648" s="819">
        <f t="shared" si="356"/>
        <v>364</v>
      </c>
      <c r="O1648" s="819">
        <f t="shared" si="357"/>
        <v>268</v>
      </c>
      <c r="P1648" s="819">
        <f t="shared" si="360"/>
        <v>299</v>
      </c>
      <c r="Q1648" s="819">
        <f t="shared" si="361"/>
        <v>793</v>
      </c>
      <c r="R1648" s="819">
        <f t="shared" si="362"/>
        <v>1017</v>
      </c>
      <c r="S1648" s="819">
        <f t="shared" si="363"/>
        <v>338</v>
      </c>
      <c r="T1648" s="819">
        <f t="shared" si="364"/>
        <v>246</v>
      </c>
      <c r="U1648" s="819">
        <f t="shared" si="365"/>
        <v>2693</v>
      </c>
      <c r="V1648" s="819">
        <f t="shared" si="366"/>
        <v>347</v>
      </c>
      <c r="W1648" s="379">
        <f t="shared" si="367"/>
        <v>347</v>
      </c>
      <c r="X1648" s="819" t="str">
        <f t="shared" si="368"/>
        <v/>
      </c>
      <c r="Y1648" s="837"/>
      <c r="Z1648" s="839"/>
      <c r="AA1648" s="838"/>
      <c r="AB1648" s="839"/>
    </row>
    <row r="1649" spans="1:28" ht="14.45">
      <c r="A1649" s="816"/>
      <c r="B1649" s="819" t="s">
        <v>3725</v>
      </c>
      <c r="C1649" s="819" t="s">
        <v>3726</v>
      </c>
      <c r="D1649" s="379" t="s">
        <v>336</v>
      </c>
      <c r="E1649" s="818" t="s">
        <v>191</v>
      </c>
      <c r="F1649" s="820">
        <v>1.13312217</v>
      </c>
      <c r="G1649" s="821">
        <v>1.771342134</v>
      </c>
      <c r="H1649" s="822">
        <v>415807.268161304</v>
      </c>
      <c r="I1649" s="819"/>
      <c r="J1649" s="820">
        <v>-2.8537199999999999E-4</v>
      </c>
      <c r="K1649" s="819">
        <f t="shared" si="358"/>
        <v>1609</v>
      </c>
      <c r="L1649" s="819">
        <f t="shared" si="359"/>
        <v>708</v>
      </c>
      <c r="M1649" s="819">
        <f t="shared" si="355"/>
        <v>1609</v>
      </c>
      <c r="N1649" s="819">
        <f t="shared" si="356"/>
        <v>364</v>
      </c>
      <c r="O1649" s="819">
        <f t="shared" si="357"/>
        <v>1172</v>
      </c>
      <c r="P1649" s="819">
        <f t="shared" si="360"/>
        <v>211</v>
      </c>
      <c r="Q1649" s="819">
        <f t="shared" si="361"/>
        <v>285</v>
      </c>
      <c r="R1649" s="819">
        <f t="shared" si="362"/>
        <v>1527</v>
      </c>
      <c r="S1649" s="819">
        <f t="shared" si="363"/>
        <v>338</v>
      </c>
      <c r="T1649" s="819">
        <f t="shared" si="364"/>
        <v>1150</v>
      </c>
      <c r="U1649" s="819">
        <f t="shared" si="365"/>
        <v>3511</v>
      </c>
      <c r="V1649" s="819">
        <f t="shared" si="366"/>
        <v>1562</v>
      </c>
      <c r="W1649" s="379">
        <f t="shared" si="367"/>
        <v>1562</v>
      </c>
      <c r="X1649" s="819" t="str">
        <f t="shared" si="368"/>
        <v/>
      </c>
      <c r="Y1649" s="837"/>
      <c r="Z1649" s="839"/>
      <c r="AA1649" s="838"/>
      <c r="AB1649" s="839"/>
    </row>
    <row r="1650" spans="1:28" ht="13.15">
      <c r="B1650" s="819" t="s">
        <v>3727</v>
      </c>
      <c r="C1650" s="819" t="s">
        <v>3728</v>
      </c>
      <c r="D1650" s="379" t="s">
        <v>336</v>
      </c>
      <c r="E1650" s="818" t="s">
        <v>752</v>
      </c>
      <c r="F1650" s="820">
        <v>-0.82187166899999997</v>
      </c>
      <c r="G1650" s="821">
        <v>-0.14147214399999999</v>
      </c>
      <c r="H1650" s="822">
        <v>470292302.27927101</v>
      </c>
      <c r="I1650" s="819"/>
      <c r="J1650" s="820">
        <v>1.2020500000000001E-4</v>
      </c>
      <c r="K1650" s="819">
        <f t="shared" si="358"/>
        <v>368</v>
      </c>
      <c r="L1650" s="819">
        <f t="shared" si="359"/>
        <v>1227</v>
      </c>
      <c r="M1650" s="819">
        <f t="shared" si="355"/>
        <v>368</v>
      </c>
      <c r="N1650" s="819">
        <f t="shared" si="356"/>
        <v>364</v>
      </c>
      <c r="O1650" s="819">
        <f t="shared" si="357"/>
        <v>286</v>
      </c>
      <c r="P1650" s="819">
        <f t="shared" si="360"/>
        <v>1030</v>
      </c>
      <c r="Q1650" s="819">
        <f t="shared" si="361"/>
        <v>804</v>
      </c>
      <c r="R1650" s="819">
        <f t="shared" si="362"/>
        <v>286</v>
      </c>
      <c r="S1650" s="819">
        <f t="shared" si="363"/>
        <v>338</v>
      </c>
      <c r="T1650" s="819">
        <f t="shared" si="364"/>
        <v>264</v>
      </c>
      <c r="U1650" s="819">
        <f t="shared" si="365"/>
        <v>2722</v>
      </c>
      <c r="V1650" s="819">
        <f t="shared" si="366"/>
        <v>383</v>
      </c>
      <c r="W1650" s="379">
        <f t="shared" si="367"/>
        <v>383</v>
      </c>
      <c r="X1650" s="819" t="str">
        <f t="shared" si="368"/>
        <v/>
      </c>
      <c r="Y1650" s="837"/>
      <c r="Z1650" s="839"/>
      <c r="AA1650" s="838"/>
      <c r="AB1650" s="839"/>
    </row>
    <row r="1651" spans="1:28" ht="14.45">
      <c r="A1651" s="816"/>
      <c r="B1651" s="819" t="s">
        <v>3729</v>
      </c>
      <c r="C1651" s="819" t="s">
        <v>3730</v>
      </c>
      <c r="D1651" s="379" t="s">
        <v>336</v>
      </c>
      <c r="E1651" s="818" t="s">
        <v>191</v>
      </c>
      <c r="F1651" s="820">
        <v>1.6465284389999999</v>
      </c>
      <c r="G1651" s="821"/>
      <c r="H1651" s="822">
        <v>11202297.1939147</v>
      </c>
      <c r="I1651" s="819"/>
      <c r="J1651" s="820">
        <v>0</v>
      </c>
      <c r="K1651" s="819">
        <f t="shared" si="358"/>
        <v>1228</v>
      </c>
      <c r="L1651" s="819">
        <f t="shared" si="359"/>
        <v>1084</v>
      </c>
      <c r="M1651" s="819">
        <f t="shared" si="355"/>
        <v>1228</v>
      </c>
      <c r="N1651" s="819">
        <f t="shared" si="356"/>
        <v>364</v>
      </c>
      <c r="O1651" s="819">
        <f t="shared" si="357"/>
        <v>492</v>
      </c>
      <c r="P1651" s="819">
        <f t="shared" si="360"/>
        <v>170</v>
      </c>
      <c r="Q1651" s="819">
        <f t="shared" si="361"/>
        <v>661</v>
      </c>
      <c r="R1651" s="819">
        <f t="shared" si="362"/>
        <v>1146</v>
      </c>
      <c r="S1651" s="819">
        <f t="shared" si="363"/>
        <v>338</v>
      </c>
      <c r="T1651" s="819">
        <f t="shared" si="364"/>
        <v>470</v>
      </c>
      <c r="U1651" s="819">
        <f t="shared" si="365"/>
        <v>2785</v>
      </c>
      <c r="V1651" s="819">
        <f t="shared" si="366"/>
        <v>463</v>
      </c>
      <c r="W1651" s="379">
        <f t="shared" si="367"/>
        <v>463</v>
      </c>
      <c r="X1651" s="819" t="str">
        <f t="shared" si="368"/>
        <v/>
      </c>
      <c r="Y1651" s="837"/>
      <c r="Z1651" s="839"/>
      <c r="AA1651" s="838"/>
      <c r="AB1651" s="839"/>
    </row>
    <row r="1652" spans="1:28" ht="13.15">
      <c r="B1652" s="819" t="s">
        <v>3731</v>
      </c>
      <c r="C1652" s="819" t="s">
        <v>3732</v>
      </c>
      <c r="D1652" s="379" t="s">
        <v>336</v>
      </c>
      <c r="E1652" s="818" t="s">
        <v>441</v>
      </c>
      <c r="F1652" s="820">
        <v>0.66874549699999997</v>
      </c>
      <c r="G1652" s="821">
        <v>1.8444641740000001</v>
      </c>
      <c r="H1652" s="822">
        <v>271594660.29474699</v>
      </c>
      <c r="I1652" s="819"/>
      <c r="J1652" s="820">
        <v>-1.7881640000000001E-3</v>
      </c>
      <c r="K1652" s="819">
        <f t="shared" si="358"/>
        <v>495</v>
      </c>
      <c r="L1652" s="819">
        <f t="shared" si="359"/>
        <v>695</v>
      </c>
      <c r="M1652" s="819">
        <f t="shared" si="355"/>
        <v>495</v>
      </c>
      <c r="N1652" s="819">
        <f t="shared" si="356"/>
        <v>364</v>
      </c>
      <c r="O1652" s="819">
        <f t="shared" si="357"/>
        <v>1481</v>
      </c>
      <c r="P1652" s="819">
        <f t="shared" si="360"/>
        <v>903</v>
      </c>
      <c r="Q1652" s="819">
        <f t="shared" si="361"/>
        <v>272</v>
      </c>
      <c r="R1652" s="819">
        <f t="shared" si="362"/>
        <v>413</v>
      </c>
      <c r="S1652" s="819">
        <f t="shared" si="363"/>
        <v>338</v>
      </c>
      <c r="T1652" s="819">
        <f t="shared" si="364"/>
        <v>1459</v>
      </c>
      <c r="U1652" s="819">
        <f t="shared" si="365"/>
        <v>3385</v>
      </c>
      <c r="V1652" s="819">
        <f t="shared" si="366"/>
        <v>1448</v>
      </c>
      <c r="W1652" s="379">
        <f t="shared" si="367"/>
        <v>1448</v>
      </c>
      <c r="X1652" s="819" t="str">
        <f t="shared" si="368"/>
        <v/>
      </c>
      <c r="Y1652" s="837"/>
      <c r="Z1652" s="839"/>
      <c r="AA1652" s="838"/>
      <c r="AB1652" s="839"/>
    </row>
    <row r="1653" spans="1:28" ht="14.45">
      <c r="A1653" s="816"/>
      <c r="B1653" s="819" t="s">
        <v>3733</v>
      </c>
      <c r="C1653" s="819" t="s">
        <v>3734</v>
      </c>
      <c r="D1653" s="379" t="s">
        <v>336</v>
      </c>
      <c r="E1653" s="818" t="s">
        <v>453</v>
      </c>
      <c r="F1653" s="820">
        <v>1.4674470589999999</v>
      </c>
      <c r="G1653" s="821">
        <v>1.005812827</v>
      </c>
      <c r="H1653" s="822">
        <v>751320690.77072406</v>
      </c>
      <c r="I1653" s="819"/>
      <c r="J1653" s="820">
        <v>-4.7112199999999998E-4</v>
      </c>
      <c r="K1653" s="819">
        <f t="shared" si="358"/>
        <v>267</v>
      </c>
      <c r="L1653" s="819">
        <f t="shared" si="359"/>
        <v>808</v>
      </c>
      <c r="M1653" s="819">
        <f t="shared" si="355"/>
        <v>267</v>
      </c>
      <c r="N1653" s="819">
        <f t="shared" si="356"/>
        <v>364</v>
      </c>
      <c r="O1653" s="819">
        <f t="shared" si="357"/>
        <v>1257</v>
      </c>
      <c r="P1653" s="819">
        <f t="shared" si="360"/>
        <v>1131</v>
      </c>
      <c r="Q1653" s="819">
        <f t="shared" si="361"/>
        <v>385</v>
      </c>
      <c r="R1653" s="819">
        <f t="shared" si="362"/>
        <v>185</v>
      </c>
      <c r="S1653" s="819">
        <f t="shared" si="363"/>
        <v>338</v>
      </c>
      <c r="T1653" s="819">
        <f t="shared" si="364"/>
        <v>1235</v>
      </c>
      <c r="U1653" s="819">
        <f t="shared" si="365"/>
        <v>3274</v>
      </c>
      <c r="V1653" s="819">
        <f t="shared" si="366"/>
        <v>1304</v>
      </c>
      <c r="W1653" s="379">
        <f t="shared" si="367"/>
        <v>1304</v>
      </c>
      <c r="X1653" s="819" t="str">
        <f t="shared" si="368"/>
        <v/>
      </c>
      <c r="Y1653" s="837"/>
      <c r="Z1653" s="839"/>
      <c r="AA1653" s="838"/>
      <c r="AB1653" s="839"/>
    </row>
    <row r="1654" spans="1:28" ht="13.15">
      <c r="B1654" s="819" t="s">
        <v>3735</v>
      </c>
      <c r="C1654" s="819" t="s">
        <v>3736</v>
      </c>
      <c r="D1654" s="379" t="s">
        <v>336</v>
      </c>
      <c r="E1654" s="818" t="s">
        <v>441</v>
      </c>
      <c r="F1654" s="820">
        <v>7.1254704100000001</v>
      </c>
      <c r="G1654" s="821">
        <v>1.6050140989999999</v>
      </c>
      <c r="H1654" s="822">
        <v>557005813.15855002</v>
      </c>
      <c r="I1654" s="819">
        <v>0.01</v>
      </c>
      <c r="J1654" s="820">
        <v>-2.8426950000000001E-3</v>
      </c>
      <c r="K1654" s="819">
        <f t="shared" si="358"/>
        <v>327</v>
      </c>
      <c r="L1654" s="819">
        <f t="shared" si="359"/>
        <v>728</v>
      </c>
      <c r="M1654" s="819">
        <f t="shared" si="355"/>
        <v>327</v>
      </c>
      <c r="N1654" s="819">
        <f t="shared" si="356"/>
        <v>344</v>
      </c>
      <c r="O1654" s="819">
        <f t="shared" si="357"/>
        <v>1539</v>
      </c>
      <c r="P1654" s="819">
        <f t="shared" si="360"/>
        <v>1071</v>
      </c>
      <c r="Q1654" s="819">
        <f t="shared" si="361"/>
        <v>305</v>
      </c>
      <c r="R1654" s="819">
        <f t="shared" si="362"/>
        <v>245</v>
      </c>
      <c r="S1654" s="819">
        <f t="shared" si="363"/>
        <v>318</v>
      </c>
      <c r="T1654" s="819">
        <f t="shared" si="364"/>
        <v>1517</v>
      </c>
      <c r="U1654" s="819">
        <f t="shared" si="365"/>
        <v>3456</v>
      </c>
      <c r="V1654" s="819">
        <f t="shared" si="366"/>
        <v>1515</v>
      </c>
      <c r="W1654" s="379">
        <f t="shared" si="367"/>
        <v>1515</v>
      </c>
      <c r="X1654" s="819" t="str">
        <f t="shared" si="368"/>
        <v/>
      </c>
      <c r="Y1654" s="837"/>
      <c r="Z1654" s="839"/>
      <c r="AA1654" s="838"/>
      <c r="AB1654" s="839"/>
    </row>
    <row r="1655" spans="1:28" ht="14.45">
      <c r="A1655" s="816"/>
      <c r="B1655" s="819" t="s">
        <v>3737</v>
      </c>
      <c r="C1655" s="819" t="s">
        <v>3738</v>
      </c>
      <c r="D1655" s="379" t="s">
        <v>336</v>
      </c>
      <c r="E1655" s="818" t="s">
        <v>460</v>
      </c>
      <c r="F1655" s="820">
        <v>3.3823703740000002</v>
      </c>
      <c r="G1655" s="821">
        <v>6.0256484160000001</v>
      </c>
      <c r="H1655" s="822">
        <v>5362430152.4689903</v>
      </c>
      <c r="I1655" s="819">
        <v>1.76</v>
      </c>
      <c r="J1655" s="820">
        <v>-5.7005399999999996E-4</v>
      </c>
      <c r="K1655" s="819">
        <f t="shared" si="358"/>
        <v>70</v>
      </c>
      <c r="L1655" s="819">
        <f t="shared" si="359"/>
        <v>326</v>
      </c>
      <c r="M1655" s="819">
        <f t="shared" si="355"/>
        <v>70</v>
      </c>
      <c r="N1655" s="819">
        <f t="shared" si="356"/>
        <v>90</v>
      </c>
      <c r="O1655" s="819">
        <f t="shared" si="357"/>
        <v>1297</v>
      </c>
      <c r="P1655" s="819">
        <f t="shared" si="360"/>
        <v>1328</v>
      </c>
      <c r="Q1655" s="819">
        <f t="shared" si="361"/>
        <v>97</v>
      </c>
      <c r="R1655" s="819">
        <f t="shared" si="362"/>
        <v>12</v>
      </c>
      <c r="S1655" s="819">
        <f t="shared" si="363"/>
        <v>64</v>
      </c>
      <c r="T1655" s="819">
        <f t="shared" si="364"/>
        <v>1275</v>
      </c>
      <c r="U1655" s="819">
        <f t="shared" si="365"/>
        <v>2776</v>
      </c>
      <c r="V1655" s="819">
        <f t="shared" si="366"/>
        <v>454</v>
      </c>
      <c r="W1655" s="379">
        <f t="shared" si="367"/>
        <v>454</v>
      </c>
      <c r="X1655" s="819" t="str">
        <f t="shared" si="368"/>
        <v/>
      </c>
      <c r="Y1655" s="837"/>
      <c r="Z1655" s="839"/>
      <c r="AA1655" s="838"/>
      <c r="AB1655" s="839"/>
    </row>
    <row r="1656" spans="1:28" ht="13.15">
      <c r="B1656" s="819" t="s">
        <v>3739</v>
      </c>
      <c r="C1656" s="819" t="s">
        <v>3740</v>
      </c>
      <c r="D1656" s="379" t="s">
        <v>336</v>
      </c>
      <c r="E1656" s="818" t="s">
        <v>887</v>
      </c>
      <c r="F1656" s="820">
        <v>-1.537308229</v>
      </c>
      <c r="G1656" s="821">
        <v>-0.66858458300000001</v>
      </c>
      <c r="H1656" s="822">
        <v>730588737.20136499</v>
      </c>
      <c r="I1656" s="819"/>
      <c r="J1656" s="820">
        <v>4.9537299999999997E-5</v>
      </c>
      <c r="K1656" s="819">
        <f t="shared" si="358"/>
        <v>273</v>
      </c>
      <c r="L1656" s="819">
        <f t="shared" si="359"/>
        <v>1270</v>
      </c>
      <c r="M1656" s="819">
        <f t="shared" si="355"/>
        <v>273</v>
      </c>
      <c r="N1656" s="819">
        <f t="shared" si="356"/>
        <v>364</v>
      </c>
      <c r="O1656" s="819">
        <f t="shared" si="357"/>
        <v>347</v>
      </c>
      <c r="P1656" s="819">
        <f t="shared" si="360"/>
        <v>1125</v>
      </c>
      <c r="Q1656" s="819">
        <f t="shared" si="361"/>
        <v>847</v>
      </c>
      <c r="R1656" s="819">
        <f t="shared" si="362"/>
        <v>191</v>
      </c>
      <c r="S1656" s="819">
        <f t="shared" si="363"/>
        <v>338</v>
      </c>
      <c r="T1656" s="819">
        <f t="shared" si="364"/>
        <v>325</v>
      </c>
      <c r="U1656" s="819">
        <f t="shared" si="365"/>
        <v>2826</v>
      </c>
      <c r="V1656" s="819">
        <f t="shared" si="366"/>
        <v>673</v>
      </c>
      <c r="W1656" s="379">
        <f t="shared" si="367"/>
        <v>673</v>
      </c>
      <c r="X1656" s="819" t="str">
        <f t="shared" si="368"/>
        <v/>
      </c>
      <c r="Y1656" s="837"/>
      <c r="Z1656" s="839"/>
      <c r="AA1656" s="838"/>
      <c r="AB1656" s="839"/>
    </row>
    <row r="1657" spans="1:28" ht="14.45">
      <c r="A1657" s="816"/>
      <c r="B1657" s="819" t="s">
        <v>3741</v>
      </c>
      <c r="C1657" s="819" t="s">
        <v>3742</v>
      </c>
      <c r="D1657" s="379" t="s">
        <v>336</v>
      </c>
      <c r="E1657" s="818" t="s">
        <v>191</v>
      </c>
      <c r="F1657" s="820"/>
      <c r="G1657" s="821"/>
      <c r="H1657" s="822">
        <v>638024.47590624599</v>
      </c>
      <c r="I1657" s="819"/>
      <c r="J1657" s="820">
        <v>0</v>
      </c>
      <c r="K1657" s="819">
        <f t="shared" si="358"/>
        <v>1589</v>
      </c>
      <c r="L1657" s="819">
        <f t="shared" si="359"/>
        <v>1084</v>
      </c>
      <c r="M1657" s="819">
        <f t="shared" si="355"/>
        <v>1589</v>
      </c>
      <c r="N1657" s="819">
        <f t="shared" si="356"/>
        <v>364</v>
      </c>
      <c r="O1657" s="819">
        <f t="shared" si="357"/>
        <v>492</v>
      </c>
      <c r="P1657" s="819">
        <f t="shared" si="360"/>
        <v>191</v>
      </c>
      <c r="Q1657" s="819">
        <f t="shared" si="361"/>
        <v>661</v>
      </c>
      <c r="R1657" s="819">
        <f t="shared" si="362"/>
        <v>1507</v>
      </c>
      <c r="S1657" s="819">
        <f t="shared" si="363"/>
        <v>338</v>
      </c>
      <c r="T1657" s="819">
        <f t="shared" si="364"/>
        <v>470</v>
      </c>
      <c r="U1657" s="819">
        <f t="shared" si="365"/>
        <v>3167</v>
      </c>
      <c r="V1657" s="819">
        <f t="shared" si="366"/>
        <v>1149</v>
      </c>
      <c r="W1657" s="379">
        <f t="shared" si="367"/>
        <v>1149</v>
      </c>
      <c r="X1657" s="819" t="str">
        <f t="shared" si="368"/>
        <v/>
      </c>
      <c r="Y1657" s="837"/>
      <c r="Z1657" s="839"/>
      <c r="AA1657" s="838"/>
      <c r="AB1657" s="839"/>
    </row>
    <row r="1658" spans="1:28" ht="13.15">
      <c r="B1658" s="819" t="s">
        <v>3743</v>
      </c>
      <c r="C1658" s="819" t="s">
        <v>3744</v>
      </c>
      <c r="D1658" s="379" t="s">
        <v>336</v>
      </c>
      <c r="E1658" s="818" t="s">
        <v>642</v>
      </c>
      <c r="F1658" s="820"/>
      <c r="G1658" s="821"/>
      <c r="H1658" s="822">
        <v>4841939.4965373203</v>
      </c>
      <c r="I1658" s="819"/>
      <c r="J1658" s="820">
        <v>0</v>
      </c>
      <c r="K1658" s="819">
        <f t="shared" si="358"/>
        <v>1371</v>
      </c>
      <c r="L1658" s="819">
        <f t="shared" si="359"/>
        <v>1084</v>
      </c>
      <c r="M1658" s="819">
        <f t="shared" si="355"/>
        <v>1371</v>
      </c>
      <c r="N1658" s="819">
        <f t="shared" si="356"/>
        <v>364</v>
      </c>
      <c r="O1658" s="819">
        <f t="shared" si="357"/>
        <v>492</v>
      </c>
      <c r="P1658" s="819">
        <f t="shared" si="360"/>
        <v>27</v>
      </c>
      <c r="Q1658" s="819">
        <f t="shared" si="361"/>
        <v>661</v>
      </c>
      <c r="R1658" s="819">
        <f t="shared" si="362"/>
        <v>1289</v>
      </c>
      <c r="S1658" s="819">
        <f t="shared" si="363"/>
        <v>338</v>
      </c>
      <c r="T1658" s="819">
        <f t="shared" si="364"/>
        <v>470</v>
      </c>
      <c r="U1658" s="819">
        <f t="shared" si="365"/>
        <v>2785</v>
      </c>
      <c r="V1658" s="819">
        <f t="shared" si="366"/>
        <v>463</v>
      </c>
      <c r="W1658" s="379">
        <f t="shared" si="367"/>
        <v>463</v>
      </c>
      <c r="X1658" s="819" t="str">
        <f t="shared" si="368"/>
        <v/>
      </c>
      <c r="Y1658" s="837"/>
      <c r="Z1658" s="839"/>
      <c r="AA1658" s="838"/>
      <c r="AB1658" s="839"/>
    </row>
    <row r="1659" spans="1:28" ht="14.45">
      <c r="A1659" s="816"/>
      <c r="B1659" s="819" t="s">
        <v>3745</v>
      </c>
      <c r="C1659" s="819" t="s">
        <v>3746</v>
      </c>
      <c r="D1659" s="379" t="s">
        <v>336</v>
      </c>
      <c r="E1659" s="818" t="s">
        <v>1826</v>
      </c>
      <c r="F1659" s="820">
        <v>0.37821072900000002</v>
      </c>
      <c r="G1659" s="821">
        <v>0.52562335999999998</v>
      </c>
      <c r="H1659" s="822">
        <v>3304630.3087763102</v>
      </c>
      <c r="I1659" s="819"/>
      <c r="J1659" s="820">
        <v>-1.7866599999999999E-4</v>
      </c>
      <c r="K1659" s="819">
        <f t="shared" si="358"/>
        <v>1438</v>
      </c>
      <c r="L1659" s="819">
        <f t="shared" si="359"/>
        <v>917</v>
      </c>
      <c r="M1659" s="819">
        <f t="shared" si="355"/>
        <v>1438</v>
      </c>
      <c r="N1659" s="819">
        <f t="shared" si="356"/>
        <v>364</v>
      </c>
      <c r="O1659" s="819">
        <f t="shared" si="357"/>
        <v>1089</v>
      </c>
      <c r="P1659" s="819">
        <f t="shared" si="360"/>
        <v>40</v>
      </c>
      <c r="Q1659" s="819">
        <f t="shared" si="361"/>
        <v>494</v>
      </c>
      <c r="R1659" s="819">
        <f t="shared" si="362"/>
        <v>1356</v>
      </c>
      <c r="S1659" s="819">
        <f t="shared" si="363"/>
        <v>338</v>
      </c>
      <c r="T1659" s="819">
        <f t="shared" si="364"/>
        <v>1067</v>
      </c>
      <c r="U1659" s="819">
        <f t="shared" si="365"/>
        <v>3295</v>
      </c>
      <c r="V1659" s="819">
        <f t="shared" si="366"/>
        <v>1332</v>
      </c>
      <c r="W1659" s="379">
        <f t="shared" si="367"/>
        <v>1332</v>
      </c>
      <c r="X1659" s="819" t="str">
        <f t="shared" si="368"/>
        <v/>
      </c>
      <c r="Y1659" s="837"/>
      <c r="Z1659" s="839"/>
      <c r="AA1659" s="838"/>
      <c r="AB1659" s="839"/>
    </row>
    <row r="1660" spans="1:28" ht="13.15">
      <c r="B1660" s="819" t="s">
        <v>3747</v>
      </c>
      <c r="C1660" s="819" t="s">
        <v>3748</v>
      </c>
      <c r="D1660" s="379" t="s">
        <v>336</v>
      </c>
      <c r="E1660" s="818" t="s">
        <v>453</v>
      </c>
      <c r="F1660" s="820">
        <v>0.45062510900000002</v>
      </c>
      <c r="G1660" s="821">
        <v>8.9139690000000008E-3</v>
      </c>
      <c r="H1660" s="822">
        <v>104453653.351409</v>
      </c>
      <c r="I1660" s="819"/>
      <c r="J1660" s="820">
        <v>-2.4414400000000001E-4</v>
      </c>
      <c r="K1660" s="819">
        <f t="shared" si="358"/>
        <v>714</v>
      </c>
      <c r="L1660" s="819">
        <f t="shared" si="359"/>
        <v>1070</v>
      </c>
      <c r="M1660" s="819">
        <f t="shared" si="355"/>
        <v>714</v>
      </c>
      <c r="N1660" s="819">
        <f t="shared" si="356"/>
        <v>364</v>
      </c>
      <c r="O1660" s="819">
        <f t="shared" si="357"/>
        <v>1143</v>
      </c>
      <c r="P1660" s="819">
        <f t="shared" si="360"/>
        <v>684</v>
      </c>
      <c r="Q1660" s="819">
        <f t="shared" si="361"/>
        <v>647</v>
      </c>
      <c r="R1660" s="819">
        <f t="shared" si="362"/>
        <v>632</v>
      </c>
      <c r="S1660" s="819">
        <f t="shared" si="363"/>
        <v>338</v>
      </c>
      <c r="T1660" s="819">
        <f t="shared" si="364"/>
        <v>1121</v>
      </c>
      <c r="U1660" s="819">
        <f t="shared" si="365"/>
        <v>3422</v>
      </c>
      <c r="V1660" s="819">
        <f t="shared" si="366"/>
        <v>1484</v>
      </c>
      <c r="W1660" s="379">
        <f t="shared" si="367"/>
        <v>1484</v>
      </c>
      <c r="X1660" s="819" t="str">
        <f t="shared" si="368"/>
        <v/>
      </c>
      <c r="Y1660" s="837"/>
      <c r="Z1660" s="839"/>
      <c r="AA1660" s="838"/>
      <c r="AB1660" s="839"/>
    </row>
    <row r="1661" spans="1:28" ht="14.45">
      <c r="A1661" s="816"/>
      <c r="B1661" s="819" t="s">
        <v>3749</v>
      </c>
      <c r="C1661" s="819" t="s">
        <v>3750</v>
      </c>
      <c r="D1661" s="379" t="s">
        <v>336</v>
      </c>
      <c r="E1661" s="818" t="s">
        <v>441</v>
      </c>
      <c r="F1661" s="820">
        <v>1.80568667</v>
      </c>
      <c r="G1661" s="821">
        <v>0.16051829300000001</v>
      </c>
      <c r="H1661" s="822">
        <v>443231892.47490299</v>
      </c>
      <c r="I1661" s="819">
        <v>0.11</v>
      </c>
      <c r="J1661" s="820">
        <v>-6.6484300000000003E-4</v>
      </c>
      <c r="K1661" s="819">
        <f t="shared" si="358"/>
        <v>382</v>
      </c>
      <c r="L1661" s="819">
        <f t="shared" si="359"/>
        <v>996</v>
      </c>
      <c r="M1661" s="819">
        <f t="shared" si="355"/>
        <v>382</v>
      </c>
      <c r="N1661" s="819">
        <f t="shared" si="356"/>
        <v>258</v>
      </c>
      <c r="O1661" s="819">
        <f t="shared" si="357"/>
        <v>1337</v>
      </c>
      <c r="P1661" s="819">
        <f t="shared" si="360"/>
        <v>1016</v>
      </c>
      <c r="Q1661" s="819">
        <f t="shared" si="361"/>
        <v>573</v>
      </c>
      <c r="R1661" s="819">
        <f t="shared" si="362"/>
        <v>300</v>
      </c>
      <c r="S1661" s="819">
        <f t="shared" si="363"/>
        <v>232</v>
      </c>
      <c r="T1661" s="819">
        <f t="shared" si="364"/>
        <v>1315</v>
      </c>
      <c r="U1661" s="819">
        <f t="shared" si="365"/>
        <v>3436</v>
      </c>
      <c r="V1661" s="819">
        <f t="shared" si="366"/>
        <v>1493</v>
      </c>
      <c r="W1661" s="379">
        <f t="shared" si="367"/>
        <v>1493</v>
      </c>
      <c r="X1661" s="819" t="str">
        <f t="shared" si="368"/>
        <v/>
      </c>
      <c r="Y1661" s="837"/>
      <c r="Z1661" s="839"/>
      <c r="AA1661" s="838"/>
      <c r="AB1661" s="839"/>
    </row>
    <row r="1662" spans="1:28" ht="13.15">
      <c r="B1662" s="819" t="s">
        <v>3751</v>
      </c>
      <c r="C1662" s="819" t="s">
        <v>3752</v>
      </c>
      <c r="D1662" s="379" t="s">
        <v>336</v>
      </c>
      <c r="E1662" s="818" t="s">
        <v>441</v>
      </c>
      <c r="F1662" s="820">
        <v>1.7793236990000001</v>
      </c>
      <c r="G1662" s="821">
        <v>0.180230374</v>
      </c>
      <c r="H1662" s="822">
        <v>813821259.37486994</v>
      </c>
      <c r="I1662" s="819">
        <v>0.12</v>
      </c>
      <c r="J1662" s="820">
        <v>-6.3390500000000004E-4</v>
      </c>
      <c r="K1662" s="819">
        <f t="shared" si="358"/>
        <v>250</v>
      </c>
      <c r="L1662" s="819">
        <f t="shared" si="359"/>
        <v>991</v>
      </c>
      <c r="M1662" s="819">
        <f t="shared" si="355"/>
        <v>250</v>
      </c>
      <c r="N1662" s="819">
        <f t="shared" si="356"/>
        <v>250</v>
      </c>
      <c r="O1662" s="819">
        <f t="shared" si="357"/>
        <v>1326</v>
      </c>
      <c r="P1662" s="819">
        <f t="shared" si="360"/>
        <v>1148</v>
      </c>
      <c r="Q1662" s="819">
        <f t="shared" si="361"/>
        <v>568</v>
      </c>
      <c r="R1662" s="819">
        <f t="shared" si="362"/>
        <v>168</v>
      </c>
      <c r="S1662" s="819">
        <f t="shared" si="363"/>
        <v>224</v>
      </c>
      <c r="T1662" s="819">
        <f t="shared" si="364"/>
        <v>1304</v>
      </c>
      <c r="U1662" s="819">
        <f t="shared" si="365"/>
        <v>3412</v>
      </c>
      <c r="V1662" s="819">
        <f t="shared" si="366"/>
        <v>1475</v>
      </c>
      <c r="W1662" s="379">
        <f t="shared" si="367"/>
        <v>1475</v>
      </c>
      <c r="X1662" s="819" t="str">
        <f t="shared" si="368"/>
        <v/>
      </c>
      <c r="Y1662" s="837"/>
      <c r="Z1662" s="839"/>
      <c r="AA1662" s="838"/>
      <c r="AB1662" s="839"/>
    </row>
    <row r="1663" spans="1:28" ht="14.45">
      <c r="A1663" s="816"/>
      <c r="B1663" s="819" t="s">
        <v>3753</v>
      </c>
      <c r="C1663" s="819" t="s">
        <v>3754</v>
      </c>
      <c r="D1663" s="379" t="s">
        <v>336</v>
      </c>
      <c r="E1663" s="818" t="s">
        <v>441</v>
      </c>
      <c r="F1663" s="820">
        <v>0.102834535</v>
      </c>
      <c r="G1663" s="821">
        <v>-0.110558726</v>
      </c>
      <c r="H1663" s="822">
        <v>1117193506.4575901</v>
      </c>
      <c r="I1663" s="819"/>
      <c r="J1663" s="820">
        <v>2.2919399999999999E-5</v>
      </c>
      <c r="K1663" s="819">
        <f t="shared" si="358"/>
        <v>207</v>
      </c>
      <c r="L1663" s="819">
        <f t="shared" si="359"/>
        <v>1223</v>
      </c>
      <c r="M1663" s="819">
        <f t="shared" si="355"/>
        <v>207</v>
      </c>
      <c r="N1663" s="819">
        <f t="shared" si="356"/>
        <v>364</v>
      </c>
      <c r="O1663" s="819">
        <f t="shared" si="357"/>
        <v>396</v>
      </c>
      <c r="P1663" s="819">
        <f t="shared" si="360"/>
        <v>1191</v>
      </c>
      <c r="Q1663" s="819">
        <f t="shared" si="361"/>
        <v>800</v>
      </c>
      <c r="R1663" s="819">
        <f t="shared" si="362"/>
        <v>125</v>
      </c>
      <c r="S1663" s="819">
        <f t="shared" si="363"/>
        <v>338</v>
      </c>
      <c r="T1663" s="819">
        <f t="shared" si="364"/>
        <v>374</v>
      </c>
      <c r="U1663" s="819">
        <f t="shared" si="365"/>
        <v>2828</v>
      </c>
      <c r="V1663" s="819">
        <f t="shared" si="366"/>
        <v>678</v>
      </c>
      <c r="W1663" s="379">
        <f t="shared" si="367"/>
        <v>678</v>
      </c>
      <c r="X1663" s="819" t="str">
        <f t="shared" si="368"/>
        <v/>
      </c>
      <c r="Y1663" s="837"/>
      <c r="Z1663" s="839"/>
      <c r="AA1663" s="838"/>
      <c r="AB1663" s="839"/>
    </row>
    <row r="1664" spans="1:28" ht="13.15">
      <c r="B1664" s="819" t="s">
        <v>3755</v>
      </c>
      <c r="C1664" s="819" t="s">
        <v>3756</v>
      </c>
      <c r="D1664" s="379" t="s">
        <v>336</v>
      </c>
      <c r="E1664" s="818" t="s">
        <v>191</v>
      </c>
      <c r="F1664" s="820">
        <v>1.309461349</v>
      </c>
      <c r="G1664" s="821">
        <v>0.29994090899999998</v>
      </c>
      <c r="H1664" s="822">
        <v>7359949.7743485197</v>
      </c>
      <c r="I1664" s="819"/>
      <c r="J1664" s="820">
        <v>-1.5180099999999999E-4</v>
      </c>
      <c r="K1664" s="819">
        <f t="shared" si="358"/>
        <v>1313</v>
      </c>
      <c r="L1664" s="819">
        <f t="shared" si="359"/>
        <v>959</v>
      </c>
      <c r="M1664" s="819">
        <f t="shared" si="355"/>
        <v>1313</v>
      </c>
      <c r="N1664" s="819">
        <f t="shared" si="356"/>
        <v>364</v>
      </c>
      <c r="O1664" s="819">
        <f t="shared" si="357"/>
        <v>1061</v>
      </c>
      <c r="P1664" s="819">
        <f t="shared" si="360"/>
        <v>85</v>
      </c>
      <c r="Q1664" s="819">
        <f t="shared" si="361"/>
        <v>536</v>
      </c>
      <c r="R1664" s="819">
        <f t="shared" si="362"/>
        <v>1231</v>
      </c>
      <c r="S1664" s="819">
        <f t="shared" si="363"/>
        <v>338</v>
      </c>
      <c r="T1664" s="819">
        <f t="shared" si="364"/>
        <v>1039</v>
      </c>
      <c r="U1664" s="819">
        <f t="shared" si="365"/>
        <v>3229</v>
      </c>
      <c r="V1664" s="819">
        <f t="shared" si="366"/>
        <v>1236</v>
      </c>
      <c r="W1664" s="379">
        <f t="shared" si="367"/>
        <v>1236</v>
      </c>
      <c r="X1664" s="819" t="str">
        <f t="shared" si="368"/>
        <v/>
      </c>
      <c r="Y1664" s="837"/>
      <c r="Z1664" s="839"/>
      <c r="AA1664" s="838"/>
      <c r="AB1664" s="839"/>
    </row>
    <row r="1665" spans="1:28" ht="14.45">
      <c r="A1665" s="816"/>
      <c r="B1665" s="819" t="s">
        <v>3757</v>
      </c>
      <c r="C1665" s="819" t="s">
        <v>3758</v>
      </c>
      <c r="D1665" s="379" t="s">
        <v>336</v>
      </c>
      <c r="E1665" s="818" t="s">
        <v>453</v>
      </c>
      <c r="F1665" s="820">
        <v>0.198743437</v>
      </c>
      <c r="G1665" s="821">
        <v>-9.6294927000000002E-2</v>
      </c>
      <c r="H1665" s="822">
        <v>197335880.33213699</v>
      </c>
      <c r="I1665" s="819"/>
      <c r="J1665" s="820">
        <v>1.4381999999999999E-4</v>
      </c>
      <c r="K1665" s="819">
        <f t="shared" si="358"/>
        <v>572</v>
      </c>
      <c r="L1665" s="819">
        <f t="shared" si="359"/>
        <v>1220</v>
      </c>
      <c r="M1665" s="819">
        <f t="shared" si="355"/>
        <v>572</v>
      </c>
      <c r="N1665" s="819">
        <f t="shared" si="356"/>
        <v>364</v>
      </c>
      <c r="O1665" s="819">
        <f t="shared" si="357"/>
        <v>277</v>
      </c>
      <c r="P1665" s="819">
        <f t="shared" si="360"/>
        <v>826</v>
      </c>
      <c r="Q1665" s="819">
        <f t="shared" si="361"/>
        <v>797</v>
      </c>
      <c r="R1665" s="819">
        <f t="shared" si="362"/>
        <v>490</v>
      </c>
      <c r="S1665" s="819">
        <f t="shared" si="363"/>
        <v>338</v>
      </c>
      <c r="T1665" s="819">
        <f t="shared" si="364"/>
        <v>255</v>
      </c>
      <c r="U1665" s="819">
        <f t="shared" si="365"/>
        <v>2706</v>
      </c>
      <c r="V1665" s="819">
        <f t="shared" si="366"/>
        <v>365</v>
      </c>
      <c r="W1665" s="379">
        <f t="shared" si="367"/>
        <v>365</v>
      </c>
      <c r="X1665" s="819" t="str">
        <f t="shared" si="368"/>
        <v/>
      </c>
      <c r="Y1665" s="837"/>
      <c r="Z1665" s="839"/>
      <c r="AA1665" s="838"/>
      <c r="AB1665" s="839"/>
    </row>
    <row r="1666" spans="1:28" ht="13.15">
      <c r="B1666" s="819" t="s">
        <v>3759</v>
      </c>
      <c r="C1666" s="819" t="s">
        <v>3760</v>
      </c>
      <c r="D1666" s="379" t="s">
        <v>336</v>
      </c>
      <c r="E1666" s="818" t="s">
        <v>191</v>
      </c>
      <c r="F1666" s="820">
        <v>-3.2960189409999998</v>
      </c>
      <c r="G1666" s="821">
        <v>-5.9576200000000001E-4</v>
      </c>
      <c r="H1666" s="822">
        <v>291572.87814820203</v>
      </c>
      <c r="I1666" s="819"/>
      <c r="J1666" s="820">
        <v>6.5357299999999998E-5</v>
      </c>
      <c r="K1666" s="819">
        <f t="shared" si="358"/>
        <v>1630</v>
      </c>
      <c r="L1666" s="819">
        <f t="shared" si="359"/>
        <v>1190</v>
      </c>
      <c r="M1666" s="819">
        <f t="shared" si="355"/>
        <v>1630</v>
      </c>
      <c r="N1666" s="819">
        <f t="shared" si="356"/>
        <v>364</v>
      </c>
      <c r="O1666" s="819">
        <f t="shared" si="357"/>
        <v>324</v>
      </c>
      <c r="P1666" s="819">
        <f t="shared" si="360"/>
        <v>232</v>
      </c>
      <c r="Q1666" s="819">
        <f t="shared" si="361"/>
        <v>767</v>
      </c>
      <c r="R1666" s="819">
        <f t="shared" si="362"/>
        <v>1548</v>
      </c>
      <c r="S1666" s="819">
        <f t="shared" si="363"/>
        <v>338</v>
      </c>
      <c r="T1666" s="819">
        <f t="shared" si="364"/>
        <v>302</v>
      </c>
      <c r="U1666" s="819">
        <f t="shared" si="365"/>
        <v>3187</v>
      </c>
      <c r="V1666" s="819">
        <f t="shared" si="366"/>
        <v>1179</v>
      </c>
      <c r="W1666" s="379">
        <f t="shared" si="367"/>
        <v>1179</v>
      </c>
      <c r="X1666" s="819" t="str">
        <f t="shared" si="368"/>
        <v/>
      </c>
      <c r="Y1666" s="837"/>
      <c r="Z1666" s="839"/>
      <c r="AA1666" s="838"/>
      <c r="AB1666" s="839"/>
    </row>
    <row r="1667" spans="1:28" ht="14.45">
      <c r="A1667" s="816"/>
      <c r="B1667" s="819" t="s">
        <v>3761</v>
      </c>
      <c r="C1667" s="819" t="s">
        <v>3762</v>
      </c>
      <c r="D1667" s="379" t="s">
        <v>336</v>
      </c>
      <c r="E1667" s="818" t="s">
        <v>191</v>
      </c>
      <c r="F1667" s="820">
        <v>1.738602939</v>
      </c>
      <c r="G1667" s="821">
        <v>2.9634773779999999</v>
      </c>
      <c r="H1667" s="822">
        <v>1628231.0016014001</v>
      </c>
      <c r="I1667" s="819"/>
      <c r="J1667" s="820">
        <v>-6.5706300000000005E-5</v>
      </c>
      <c r="K1667" s="819">
        <f t="shared" si="358"/>
        <v>1519</v>
      </c>
      <c r="L1667" s="819">
        <f t="shared" si="359"/>
        <v>553</v>
      </c>
      <c r="M1667" s="819">
        <f t="shared" si="355"/>
        <v>1519</v>
      </c>
      <c r="N1667" s="819">
        <f t="shared" si="356"/>
        <v>364</v>
      </c>
      <c r="O1667" s="819">
        <f t="shared" si="357"/>
        <v>948</v>
      </c>
      <c r="P1667" s="819">
        <f t="shared" si="360"/>
        <v>121</v>
      </c>
      <c r="Q1667" s="819">
        <f t="shared" si="361"/>
        <v>130</v>
      </c>
      <c r="R1667" s="819">
        <f t="shared" si="362"/>
        <v>1437</v>
      </c>
      <c r="S1667" s="819">
        <f t="shared" si="363"/>
        <v>338</v>
      </c>
      <c r="T1667" s="819">
        <f t="shared" si="364"/>
        <v>926</v>
      </c>
      <c r="U1667" s="819">
        <f t="shared" si="365"/>
        <v>2952</v>
      </c>
      <c r="V1667" s="819">
        <f t="shared" si="366"/>
        <v>867</v>
      </c>
      <c r="W1667" s="379">
        <f t="shared" si="367"/>
        <v>867</v>
      </c>
      <c r="X1667" s="819" t="str">
        <f t="shared" si="368"/>
        <v/>
      </c>
      <c r="Y1667" s="837"/>
      <c r="Z1667" s="839"/>
      <c r="AA1667" s="838"/>
      <c r="AB1667" s="839"/>
    </row>
    <row r="1668" spans="1:28" ht="13.15">
      <c r="B1668" s="819" t="s">
        <v>3763</v>
      </c>
      <c r="C1668" s="819" t="s">
        <v>3764</v>
      </c>
      <c r="D1668" s="379" t="s">
        <v>336</v>
      </c>
      <c r="E1668" s="818" t="s">
        <v>453</v>
      </c>
      <c r="F1668" s="820">
        <v>0.58707594799999996</v>
      </c>
      <c r="G1668" s="821">
        <v>11.032683390000001</v>
      </c>
      <c r="H1668" s="822">
        <v>28345631.845701199</v>
      </c>
      <c r="I1668" s="819">
        <v>0.03</v>
      </c>
      <c r="J1668" s="820">
        <v>-1.84885E-4</v>
      </c>
      <c r="K1668" s="819">
        <f t="shared" si="358"/>
        <v>1019</v>
      </c>
      <c r="L1668" s="819">
        <f t="shared" si="359"/>
        <v>173</v>
      </c>
      <c r="M1668" s="819">
        <f t="shared" ref="M1668:M1731" si="369">IFERROR(_xlfn.RANK.EQ(H1668,H$3:H$1787),"N/A")</f>
        <v>1019</v>
      </c>
      <c r="N1668" s="819">
        <f t="shared" ref="N1668:N1731" si="370">IFERROR(_xlfn.RANK.EQ(I1668,I$3:I$1787),"N/A")</f>
        <v>323</v>
      </c>
      <c r="O1668" s="819">
        <f t="shared" ref="O1668:O1731" si="371">IFERROR(_xlfn.RANK.EQ(J1668,J$3:J$1787),"N/A")</f>
        <v>1094</v>
      </c>
      <c r="P1668" s="819">
        <f t="shared" si="360"/>
        <v>379</v>
      </c>
      <c r="Q1668" s="819">
        <f t="shared" si="361"/>
        <v>250</v>
      </c>
      <c r="R1668" s="819">
        <f t="shared" si="362"/>
        <v>937</v>
      </c>
      <c r="S1668" s="819">
        <f t="shared" si="363"/>
        <v>297</v>
      </c>
      <c r="T1668" s="819">
        <f t="shared" si="364"/>
        <v>1072</v>
      </c>
      <c r="U1668" s="819">
        <f t="shared" si="365"/>
        <v>2935</v>
      </c>
      <c r="V1668" s="819">
        <f t="shared" si="366"/>
        <v>851</v>
      </c>
      <c r="W1668" s="379">
        <f t="shared" si="367"/>
        <v>851</v>
      </c>
      <c r="X1668" s="819" t="str">
        <f t="shared" si="368"/>
        <v/>
      </c>
      <c r="Y1668" s="837"/>
      <c r="Z1668" s="839"/>
      <c r="AA1668" s="838"/>
      <c r="AB1668" s="839"/>
    </row>
    <row r="1669" spans="1:28" ht="14.45">
      <c r="A1669" s="816"/>
      <c r="B1669" s="819" t="s">
        <v>3765</v>
      </c>
      <c r="C1669" s="819" t="s">
        <v>3766</v>
      </c>
      <c r="D1669" s="379" t="s">
        <v>336</v>
      </c>
      <c r="E1669" s="818" t="s">
        <v>600</v>
      </c>
      <c r="F1669" s="820">
        <v>0.67463159100000003</v>
      </c>
      <c r="G1669" s="821">
        <v>8.4583192710000006</v>
      </c>
      <c r="H1669" s="822">
        <v>493116410.55595303</v>
      </c>
      <c r="I1669" s="819"/>
      <c r="J1669" s="820">
        <v>-4.58824E-5</v>
      </c>
      <c r="K1669" s="819">
        <f t="shared" ref="K1669:K1732" si="372">IFERROR(_xlfn.RANK.EQ(H1669,H$3:H$1787),"N/A")</f>
        <v>355</v>
      </c>
      <c r="L1669" s="819">
        <f t="shared" ref="L1669:L1732" si="373">IFERROR(_xlfn.RANK.EQ(G1669,G$3:G$1787),"N/A")</f>
        <v>243</v>
      </c>
      <c r="M1669" s="819">
        <f t="shared" si="369"/>
        <v>355</v>
      </c>
      <c r="N1669" s="819">
        <f t="shared" si="370"/>
        <v>364</v>
      </c>
      <c r="O1669" s="819">
        <f t="shared" si="371"/>
        <v>912</v>
      </c>
      <c r="P1669" s="819">
        <f t="shared" ref="P1669:P1732" si="374">IFERROR(ABS(K$3-K1669),"N/A")</f>
        <v>1043</v>
      </c>
      <c r="Q1669" s="819">
        <f t="shared" ref="Q1669:Q1732" si="375">IFERROR(ABS(L$3-L1669),"N/A")</f>
        <v>180</v>
      </c>
      <c r="R1669" s="819">
        <f t="shared" ref="R1669:R1732" si="376">IFERROR(ABS(M$3-M1669),"N/A")</f>
        <v>273</v>
      </c>
      <c r="S1669" s="819">
        <f t="shared" ref="S1669:S1732" si="377">IFERROR(ABS(N$3-N1669),"N/A")</f>
        <v>338</v>
      </c>
      <c r="T1669" s="819">
        <f t="shared" ref="T1669:T1732" si="378">IFERROR(ABS(O$3-O1669),"N/A")</f>
        <v>890</v>
      </c>
      <c r="U1669" s="819">
        <f t="shared" ref="U1669:U1732" si="379">SUM(P1669:T1669)</f>
        <v>2724</v>
      </c>
      <c r="V1669" s="819">
        <f t="shared" ref="V1669:V1732" si="380">_xlfn.RANK.EQ(U1669,$U$4:$U$1787,1)</f>
        <v>389</v>
      </c>
      <c r="W1669" s="379">
        <f t="shared" ref="W1669:W1732" si="381">IF(Y1669="Not suitable","-",V1669)</f>
        <v>389</v>
      </c>
      <c r="X1669" s="819" t="str">
        <f t="shared" si="368"/>
        <v/>
      </c>
      <c r="Y1669" s="837"/>
      <c r="Z1669" s="839"/>
      <c r="AA1669" s="838"/>
      <c r="AB1669" s="839"/>
    </row>
    <row r="1670" spans="1:28" ht="13.15">
      <c r="B1670" s="819" t="s">
        <v>3767</v>
      </c>
      <c r="C1670" s="819" t="s">
        <v>3768</v>
      </c>
      <c r="D1670" s="379" t="s">
        <v>336</v>
      </c>
      <c r="E1670" s="818" t="s">
        <v>752</v>
      </c>
      <c r="F1670" s="820">
        <v>1.4031568990000001</v>
      </c>
      <c r="G1670" s="821">
        <v>1.4615055830000001</v>
      </c>
      <c r="H1670" s="822">
        <v>187265936.692258</v>
      </c>
      <c r="I1670" s="819">
        <v>0.22</v>
      </c>
      <c r="J1670" s="820">
        <v>-2.7673900000000002E-4</v>
      </c>
      <c r="K1670" s="819">
        <f t="shared" si="372"/>
        <v>587</v>
      </c>
      <c r="L1670" s="819">
        <f t="shared" si="373"/>
        <v>748</v>
      </c>
      <c r="M1670" s="819">
        <f t="shared" si="369"/>
        <v>587</v>
      </c>
      <c r="N1670" s="819">
        <f t="shared" si="370"/>
        <v>213</v>
      </c>
      <c r="O1670" s="819">
        <f t="shared" si="371"/>
        <v>1164</v>
      </c>
      <c r="P1670" s="819">
        <f t="shared" si="374"/>
        <v>811</v>
      </c>
      <c r="Q1670" s="819">
        <f t="shared" si="375"/>
        <v>325</v>
      </c>
      <c r="R1670" s="819">
        <f t="shared" si="376"/>
        <v>505</v>
      </c>
      <c r="S1670" s="819">
        <f t="shared" si="377"/>
        <v>187</v>
      </c>
      <c r="T1670" s="819">
        <f t="shared" si="378"/>
        <v>1142</v>
      </c>
      <c r="U1670" s="819">
        <f t="shared" si="379"/>
        <v>2970</v>
      </c>
      <c r="V1670" s="819">
        <f t="shared" si="380"/>
        <v>892</v>
      </c>
      <c r="W1670" s="379">
        <f t="shared" si="381"/>
        <v>892</v>
      </c>
      <c r="X1670" s="819" t="str">
        <f t="shared" ref="X1670:X1733" si="382">IF(L1670="N/A","Y","")</f>
        <v/>
      </c>
      <c r="Y1670" s="837"/>
      <c r="Z1670" s="839"/>
      <c r="AA1670" s="838"/>
      <c r="AB1670" s="839"/>
    </row>
    <row r="1671" spans="1:28" ht="14.45">
      <c r="A1671" s="816"/>
      <c r="B1671" s="819" t="s">
        <v>3769</v>
      </c>
      <c r="C1671" s="819" t="s">
        <v>3770</v>
      </c>
      <c r="D1671" s="379" t="s">
        <v>336</v>
      </c>
      <c r="E1671" s="818" t="s">
        <v>441</v>
      </c>
      <c r="F1671" s="820">
        <v>0.87056162800000003</v>
      </c>
      <c r="G1671" s="821">
        <v>-1.2090208220000001</v>
      </c>
      <c r="H1671" s="822">
        <v>493598944.677674</v>
      </c>
      <c r="I1671" s="819"/>
      <c r="J1671" s="820">
        <v>1.8536099999999999E-4</v>
      </c>
      <c r="K1671" s="819">
        <f t="shared" si="372"/>
        <v>354</v>
      </c>
      <c r="L1671" s="819">
        <f t="shared" si="373"/>
        <v>1306</v>
      </c>
      <c r="M1671" s="819">
        <f t="shared" si="369"/>
        <v>354</v>
      </c>
      <c r="N1671" s="819">
        <f t="shared" si="370"/>
        <v>364</v>
      </c>
      <c r="O1671" s="819">
        <f t="shared" si="371"/>
        <v>259</v>
      </c>
      <c r="P1671" s="819">
        <f t="shared" si="374"/>
        <v>1044</v>
      </c>
      <c r="Q1671" s="819">
        <f t="shared" si="375"/>
        <v>883</v>
      </c>
      <c r="R1671" s="819">
        <f t="shared" si="376"/>
        <v>272</v>
      </c>
      <c r="S1671" s="819">
        <f t="shared" si="377"/>
        <v>338</v>
      </c>
      <c r="T1671" s="819">
        <f t="shared" si="378"/>
        <v>237</v>
      </c>
      <c r="U1671" s="819">
        <f t="shared" si="379"/>
        <v>2774</v>
      </c>
      <c r="V1671" s="819">
        <f t="shared" si="380"/>
        <v>450</v>
      </c>
      <c r="W1671" s="379">
        <f t="shared" si="381"/>
        <v>450</v>
      </c>
      <c r="X1671" s="819" t="str">
        <f t="shared" si="382"/>
        <v/>
      </c>
      <c r="Y1671" s="837"/>
      <c r="Z1671" s="839"/>
      <c r="AA1671" s="838"/>
      <c r="AB1671" s="839"/>
    </row>
    <row r="1672" spans="1:28" ht="13.15">
      <c r="B1672" s="819" t="s">
        <v>3771</v>
      </c>
      <c r="C1672" s="819" t="s">
        <v>3772</v>
      </c>
      <c r="D1672" s="379" t="s">
        <v>336</v>
      </c>
      <c r="E1672" s="818" t="s">
        <v>941</v>
      </c>
      <c r="F1672" s="820">
        <v>9.5137340120000005</v>
      </c>
      <c r="G1672" s="821">
        <v>2.8814962689999999</v>
      </c>
      <c r="H1672" s="822">
        <v>44948015.364916801</v>
      </c>
      <c r="I1672" s="819"/>
      <c r="J1672" s="820">
        <v>-5.0409299999999999E-5</v>
      </c>
      <c r="K1672" s="819">
        <f t="shared" si="372"/>
        <v>901</v>
      </c>
      <c r="L1672" s="819">
        <f t="shared" si="373"/>
        <v>562</v>
      </c>
      <c r="M1672" s="819">
        <f t="shared" si="369"/>
        <v>901</v>
      </c>
      <c r="N1672" s="819">
        <f t="shared" si="370"/>
        <v>364</v>
      </c>
      <c r="O1672" s="819">
        <f t="shared" si="371"/>
        <v>924</v>
      </c>
      <c r="P1672" s="819">
        <f t="shared" si="374"/>
        <v>497</v>
      </c>
      <c r="Q1672" s="819">
        <f t="shared" si="375"/>
        <v>139</v>
      </c>
      <c r="R1672" s="819">
        <f t="shared" si="376"/>
        <v>819</v>
      </c>
      <c r="S1672" s="819">
        <f t="shared" si="377"/>
        <v>338</v>
      </c>
      <c r="T1672" s="819">
        <f t="shared" si="378"/>
        <v>902</v>
      </c>
      <c r="U1672" s="819">
        <f t="shared" si="379"/>
        <v>2695</v>
      </c>
      <c r="V1672" s="819">
        <f t="shared" si="380"/>
        <v>350</v>
      </c>
      <c r="W1672" s="379">
        <f t="shared" si="381"/>
        <v>350</v>
      </c>
      <c r="X1672" s="819" t="str">
        <f t="shared" si="382"/>
        <v/>
      </c>
      <c r="Y1672" s="837"/>
      <c r="Z1672" s="839"/>
      <c r="AA1672" s="838"/>
      <c r="AB1672" s="839"/>
    </row>
    <row r="1673" spans="1:28" ht="14.45">
      <c r="A1673" s="816"/>
      <c r="B1673" s="819" t="s">
        <v>3773</v>
      </c>
      <c r="C1673" s="819" t="s">
        <v>3774</v>
      </c>
      <c r="D1673" s="379" t="s">
        <v>336</v>
      </c>
      <c r="E1673" s="818" t="s">
        <v>460</v>
      </c>
      <c r="F1673" s="820">
        <v>7.1059152440000002</v>
      </c>
      <c r="G1673" s="821">
        <v>8.2156104709999997</v>
      </c>
      <c r="H1673" s="822">
        <v>29427043.902438998</v>
      </c>
      <c r="I1673" s="819"/>
      <c r="J1673" s="820">
        <v>-1.1284800000000001E-5</v>
      </c>
      <c r="K1673" s="819">
        <f t="shared" si="372"/>
        <v>1007</v>
      </c>
      <c r="L1673" s="819">
        <f t="shared" si="373"/>
        <v>252</v>
      </c>
      <c r="M1673" s="819">
        <f t="shared" si="369"/>
        <v>1007</v>
      </c>
      <c r="N1673" s="819">
        <f t="shared" si="370"/>
        <v>364</v>
      </c>
      <c r="O1673" s="819">
        <f t="shared" si="371"/>
        <v>813</v>
      </c>
      <c r="P1673" s="819">
        <f t="shared" si="374"/>
        <v>391</v>
      </c>
      <c r="Q1673" s="819">
        <f t="shared" si="375"/>
        <v>171</v>
      </c>
      <c r="R1673" s="819">
        <f t="shared" si="376"/>
        <v>925</v>
      </c>
      <c r="S1673" s="819">
        <f t="shared" si="377"/>
        <v>338</v>
      </c>
      <c r="T1673" s="819">
        <f t="shared" si="378"/>
        <v>791</v>
      </c>
      <c r="U1673" s="819">
        <f t="shared" si="379"/>
        <v>2616</v>
      </c>
      <c r="V1673" s="819">
        <f t="shared" si="380"/>
        <v>293</v>
      </c>
      <c r="W1673" s="379">
        <f t="shared" si="381"/>
        <v>293</v>
      </c>
      <c r="X1673" s="819" t="str">
        <f t="shared" si="382"/>
        <v/>
      </c>
      <c r="Y1673" s="837"/>
      <c r="Z1673" s="839"/>
      <c r="AA1673" s="838"/>
      <c r="AB1673" s="839"/>
    </row>
    <row r="1674" spans="1:28" ht="13.15">
      <c r="B1674" s="819" t="s">
        <v>3775</v>
      </c>
      <c r="C1674" s="819" t="s">
        <v>3776</v>
      </c>
      <c r="D1674" s="379" t="s">
        <v>336</v>
      </c>
      <c r="E1674" s="818" t="s">
        <v>625</v>
      </c>
      <c r="F1674" s="820">
        <v>1.771964702</v>
      </c>
      <c r="G1674" s="821">
        <v>-0.51840425499999998</v>
      </c>
      <c r="H1674" s="822">
        <v>2722094.3517305302</v>
      </c>
      <c r="I1674" s="819"/>
      <c r="J1674" s="820">
        <v>7.1112200000000007E-5</v>
      </c>
      <c r="K1674" s="819">
        <f t="shared" si="372"/>
        <v>1458</v>
      </c>
      <c r="L1674" s="819">
        <f t="shared" si="373"/>
        <v>1264</v>
      </c>
      <c r="M1674" s="819">
        <f t="shared" si="369"/>
        <v>1458</v>
      </c>
      <c r="N1674" s="819">
        <f t="shared" si="370"/>
        <v>364</v>
      </c>
      <c r="O1674" s="819">
        <f t="shared" si="371"/>
        <v>315</v>
      </c>
      <c r="P1674" s="819">
        <f t="shared" si="374"/>
        <v>60</v>
      </c>
      <c r="Q1674" s="819">
        <f t="shared" si="375"/>
        <v>841</v>
      </c>
      <c r="R1674" s="819">
        <f t="shared" si="376"/>
        <v>1376</v>
      </c>
      <c r="S1674" s="819">
        <f t="shared" si="377"/>
        <v>338</v>
      </c>
      <c r="T1674" s="819">
        <f t="shared" si="378"/>
        <v>293</v>
      </c>
      <c r="U1674" s="819">
        <f t="shared" si="379"/>
        <v>2908</v>
      </c>
      <c r="V1674" s="819">
        <f t="shared" si="380"/>
        <v>815</v>
      </c>
      <c r="W1674" s="379">
        <f t="shared" si="381"/>
        <v>815</v>
      </c>
      <c r="X1674" s="819" t="str">
        <f t="shared" si="382"/>
        <v/>
      </c>
      <c r="Y1674" s="837"/>
      <c r="Z1674" s="839"/>
      <c r="AA1674" s="838"/>
      <c r="AB1674" s="839"/>
    </row>
    <row r="1675" spans="1:28" ht="14.45">
      <c r="A1675" s="816"/>
      <c r="B1675" s="819" t="s">
        <v>3777</v>
      </c>
      <c r="C1675" s="819" t="s">
        <v>3778</v>
      </c>
      <c r="D1675" s="379" t="s">
        <v>336</v>
      </c>
      <c r="E1675" s="818" t="s">
        <v>337</v>
      </c>
      <c r="F1675" s="820">
        <v>2.2288970909999999</v>
      </c>
      <c r="G1675" s="821">
        <v>-17.361251159999998</v>
      </c>
      <c r="H1675" s="822">
        <v>2546689.7692531701</v>
      </c>
      <c r="I1675" s="819">
        <v>-0.09</v>
      </c>
      <c r="J1675" s="820">
        <v>3.1506999999999998E-4</v>
      </c>
      <c r="K1675" s="819">
        <f t="shared" si="372"/>
        <v>1467</v>
      </c>
      <c r="L1675" s="819">
        <f t="shared" si="373"/>
        <v>1477</v>
      </c>
      <c r="M1675" s="819">
        <f t="shared" si="369"/>
        <v>1467</v>
      </c>
      <c r="N1675" s="819">
        <f t="shared" si="370"/>
        <v>376</v>
      </c>
      <c r="O1675" s="819">
        <f t="shared" si="371"/>
        <v>230</v>
      </c>
      <c r="P1675" s="819">
        <f t="shared" si="374"/>
        <v>69</v>
      </c>
      <c r="Q1675" s="819">
        <f t="shared" si="375"/>
        <v>1054</v>
      </c>
      <c r="R1675" s="819">
        <f t="shared" si="376"/>
        <v>1385</v>
      </c>
      <c r="S1675" s="819">
        <f t="shared" si="377"/>
        <v>350</v>
      </c>
      <c r="T1675" s="819">
        <f t="shared" si="378"/>
        <v>208</v>
      </c>
      <c r="U1675" s="819">
        <f t="shared" si="379"/>
        <v>3066</v>
      </c>
      <c r="V1675" s="819">
        <f t="shared" si="380"/>
        <v>1010</v>
      </c>
      <c r="W1675" s="379">
        <f t="shared" si="381"/>
        <v>1010</v>
      </c>
      <c r="X1675" s="819" t="str">
        <f t="shared" si="382"/>
        <v/>
      </c>
      <c r="Y1675" s="837"/>
      <c r="Z1675" s="839"/>
      <c r="AA1675" s="838"/>
      <c r="AB1675" s="839"/>
    </row>
    <row r="1676" spans="1:28" ht="13.15">
      <c r="B1676" s="819" t="s">
        <v>3779</v>
      </c>
      <c r="C1676" s="819" t="s">
        <v>3780</v>
      </c>
      <c r="D1676" s="379" t="s">
        <v>336</v>
      </c>
      <c r="E1676" s="818" t="s">
        <v>337</v>
      </c>
      <c r="F1676" s="820">
        <v>-5.6907803E-2</v>
      </c>
      <c r="G1676" s="821">
        <v>-0.73055106000000003</v>
      </c>
      <c r="H1676" s="822">
        <v>926610600.15999997</v>
      </c>
      <c r="I1676" s="819"/>
      <c r="J1676" s="820">
        <v>3.6758000000000003E-5</v>
      </c>
      <c r="K1676" s="819">
        <f t="shared" si="372"/>
        <v>236</v>
      </c>
      <c r="L1676" s="819">
        <f t="shared" si="373"/>
        <v>1278</v>
      </c>
      <c r="M1676" s="819">
        <f t="shared" si="369"/>
        <v>236</v>
      </c>
      <c r="N1676" s="819">
        <f t="shared" si="370"/>
        <v>364</v>
      </c>
      <c r="O1676" s="819">
        <f t="shared" si="371"/>
        <v>368</v>
      </c>
      <c r="P1676" s="819">
        <f t="shared" si="374"/>
        <v>1162</v>
      </c>
      <c r="Q1676" s="819">
        <f t="shared" si="375"/>
        <v>855</v>
      </c>
      <c r="R1676" s="819">
        <f t="shared" si="376"/>
        <v>154</v>
      </c>
      <c r="S1676" s="819">
        <f t="shared" si="377"/>
        <v>338</v>
      </c>
      <c r="T1676" s="819">
        <f t="shared" si="378"/>
        <v>346</v>
      </c>
      <c r="U1676" s="819">
        <f t="shared" si="379"/>
        <v>2855</v>
      </c>
      <c r="V1676" s="819">
        <f t="shared" si="380"/>
        <v>729</v>
      </c>
      <c r="W1676" s="379">
        <f t="shared" si="381"/>
        <v>729</v>
      </c>
      <c r="X1676" s="819" t="str">
        <f t="shared" si="382"/>
        <v/>
      </c>
      <c r="Y1676" s="837"/>
      <c r="Z1676" s="839"/>
      <c r="AA1676" s="838"/>
      <c r="AB1676" s="839"/>
    </row>
    <row r="1677" spans="1:28" ht="14.45">
      <c r="A1677" s="816"/>
      <c r="B1677" s="819" t="s">
        <v>3781</v>
      </c>
      <c r="C1677" s="819" t="s">
        <v>3782</v>
      </c>
      <c r="D1677" s="379" t="s">
        <v>336</v>
      </c>
      <c r="E1677" s="818" t="s">
        <v>191</v>
      </c>
      <c r="F1677" s="820">
        <v>0</v>
      </c>
      <c r="G1677" s="821">
        <v>-0.51964068600000002</v>
      </c>
      <c r="H1677" s="822">
        <v>176247.310379968</v>
      </c>
      <c r="I1677" s="819"/>
      <c r="J1677" s="820">
        <v>4.4459400000000003E-5</v>
      </c>
      <c r="K1677" s="819">
        <f t="shared" si="372"/>
        <v>1644</v>
      </c>
      <c r="L1677" s="819">
        <f t="shared" si="373"/>
        <v>1265</v>
      </c>
      <c r="M1677" s="819">
        <f t="shared" si="369"/>
        <v>1644</v>
      </c>
      <c r="N1677" s="819">
        <f t="shared" si="370"/>
        <v>364</v>
      </c>
      <c r="O1677" s="819">
        <f t="shared" si="371"/>
        <v>356</v>
      </c>
      <c r="P1677" s="819">
        <f t="shared" si="374"/>
        <v>246</v>
      </c>
      <c r="Q1677" s="819">
        <f t="shared" si="375"/>
        <v>842</v>
      </c>
      <c r="R1677" s="819">
        <f t="shared" si="376"/>
        <v>1562</v>
      </c>
      <c r="S1677" s="819">
        <f t="shared" si="377"/>
        <v>338</v>
      </c>
      <c r="T1677" s="819">
        <f t="shared" si="378"/>
        <v>334</v>
      </c>
      <c r="U1677" s="819">
        <f t="shared" si="379"/>
        <v>3322</v>
      </c>
      <c r="V1677" s="819">
        <f t="shared" si="380"/>
        <v>1372</v>
      </c>
      <c r="W1677" s="379">
        <f t="shared" si="381"/>
        <v>1372</v>
      </c>
      <c r="X1677" s="819" t="str">
        <f t="shared" si="382"/>
        <v/>
      </c>
      <c r="Y1677" s="837"/>
      <c r="Z1677" s="839"/>
      <c r="AA1677" s="838"/>
      <c r="AB1677" s="839"/>
    </row>
    <row r="1678" spans="1:28" ht="13.15">
      <c r="B1678" s="819" t="s">
        <v>3783</v>
      </c>
      <c r="C1678" s="819" t="s">
        <v>3784</v>
      </c>
      <c r="D1678" s="379" t="s">
        <v>336</v>
      </c>
      <c r="E1678" s="818" t="s">
        <v>191</v>
      </c>
      <c r="F1678" s="820">
        <v>0.997916943</v>
      </c>
      <c r="G1678" s="821">
        <v>5.4472802739999997</v>
      </c>
      <c r="H1678" s="822">
        <v>85515560</v>
      </c>
      <c r="I1678" s="819">
        <v>0.01</v>
      </c>
      <c r="J1678" s="820">
        <v>-2.22117E-4</v>
      </c>
      <c r="K1678" s="819">
        <f t="shared" si="372"/>
        <v>752</v>
      </c>
      <c r="L1678" s="819">
        <f t="shared" si="373"/>
        <v>355</v>
      </c>
      <c r="M1678" s="819">
        <f t="shared" si="369"/>
        <v>752</v>
      </c>
      <c r="N1678" s="819">
        <f t="shared" si="370"/>
        <v>344</v>
      </c>
      <c r="O1678" s="819">
        <f t="shared" si="371"/>
        <v>1126</v>
      </c>
      <c r="P1678" s="819">
        <f t="shared" si="374"/>
        <v>646</v>
      </c>
      <c r="Q1678" s="819">
        <f t="shared" si="375"/>
        <v>68</v>
      </c>
      <c r="R1678" s="819">
        <f t="shared" si="376"/>
        <v>670</v>
      </c>
      <c r="S1678" s="819">
        <f t="shared" si="377"/>
        <v>318</v>
      </c>
      <c r="T1678" s="819">
        <f t="shared" si="378"/>
        <v>1104</v>
      </c>
      <c r="U1678" s="819">
        <f t="shared" si="379"/>
        <v>2806</v>
      </c>
      <c r="V1678" s="819">
        <f t="shared" si="380"/>
        <v>640</v>
      </c>
      <c r="W1678" s="379">
        <f t="shared" si="381"/>
        <v>640</v>
      </c>
      <c r="X1678" s="819" t="str">
        <f t="shared" si="382"/>
        <v/>
      </c>
      <c r="Y1678" s="837"/>
      <c r="Z1678" s="839"/>
      <c r="AA1678" s="838"/>
      <c r="AB1678" s="839"/>
    </row>
    <row r="1679" spans="1:28" ht="14.45">
      <c r="A1679" s="816"/>
      <c r="B1679" s="819" t="s">
        <v>3785</v>
      </c>
      <c r="C1679" s="819" t="s">
        <v>3786</v>
      </c>
      <c r="D1679" s="379" t="s">
        <v>336</v>
      </c>
      <c r="E1679" s="818" t="s">
        <v>373</v>
      </c>
      <c r="F1679" s="820">
        <v>5.4801894100000004</v>
      </c>
      <c r="G1679" s="821">
        <v>-0.317316706</v>
      </c>
      <c r="H1679" s="822">
        <v>575162617.84932697</v>
      </c>
      <c r="I1679" s="819"/>
      <c r="J1679" s="820">
        <v>1.98533E-4</v>
      </c>
      <c r="K1679" s="819">
        <f t="shared" si="372"/>
        <v>322</v>
      </c>
      <c r="L1679" s="819">
        <f t="shared" si="373"/>
        <v>1255</v>
      </c>
      <c r="M1679" s="819">
        <f t="shared" si="369"/>
        <v>322</v>
      </c>
      <c r="N1679" s="819">
        <f t="shared" si="370"/>
        <v>364</v>
      </c>
      <c r="O1679" s="819">
        <f t="shared" si="371"/>
        <v>254</v>
      </c>
      <c r="P1679" s="819">
        <f t="shared" si="374"/>
        <v>1076</v>
      </c>
      <c r="Q1679" s="819">
        <f t="shared" si="375"/>
        <v>832</v>
      </c>
      <c r="R1679" s="819">
        <f t="shared" si="376"/>
        <v>240</v>
      </c>
      <c r="S1679" s="819">
        <f t="shared" si="377"/>
        <v>338</v>
      </c>
      <c r="T1679" s="819">
        <f t="shared" si="378"/>
        <v>232</v>
      </c>
      <c r="U1679" s="819">
        <f t="shared" si="379"/>
        <v>2718</v>
      </c>
      <c r="V1679" s="819">
        <f t="shared" si="380"/>
        <v>378</v>
      </c>
      <c r="W1679" s="379">
        <f t="shared" si="381"/>
        <v>378</v>
      </c>
      <c r="X1679" s="819" t="str">
        <f t="shared" si="382"/>
        <v/>
      </c>
      <c r="Y1679" s="837"/>
      <c r="Z1679" s="839"/>
      <c r="AA1679" s="838"/>
      <c r="AB1679" s="839"/>
    </row>
    <row r="1680" spans="1:28" ht="13.15">
      <c r="B1680" s="819" t="s">
        <v>3787</v>
      </c>
      <c r="C1680" s="819" t="s">
        <v>3788</v>
      </c>
      <c r="D1680" s="379" t="s">
        <v>336</v>
      </c>
      <c r="E1680" s="818" t="s">
        <v>191</v>
      </c>
      <c r="F1680" s="820">
        <v>1.4766162309999999</v>
      </c>
      <c r="G1680" s="821">
        <v>-0.89530292700000003</v>
      </c>
      <c r="H1680" s="822">
        <v>5391113.6337166997</v>
      </c>
      <c r="I1680" s="819"/>
      <c r="J1680" s="820">
        <v>2.1748700000000001E-4</v>
      </c>
      <c r="K1680" s="819">
        <f t="shared" si="372"/>
        <v>1356</v>
      </c>
      <c r="L1680" s="819">
        <f t="shared" si="373"/>
        <v>1288</v>
      </c>
      <c r="M1680" s="819">
        <f t="shared" si="369"/>
        <v>1356</v>
      </c>
      <c r="N1680" s="819">
        <f t="shared" si="370"/>
        <v>364</v>
      </c>
      <c r="O1680" s="819">
        <f t="shared" si="371"/>
        <v>249</v>
      </c>
      <c r="P1680" s="819">
        <f t="shared" si="374"/>
        <v>42</v>
      </c>
      <c r="Q1680" s="819">
        <f t="shared" si="375"/>
        <v>865</v>
      </c>
      <c r="R1680" s="819">
        <f t="shared" si="376"/>
        <v>1274</v>
      </c>
      <c r="S1680" s="819">
        <f t="shared" si="377"/>
        <v>338</v>
      </c>
      <c r="T1680" s="819">
        <f t="shared" si="378"/>
        <v>227</v>
      </c>
      <c r="U1680" s="819">
        <f t="shared" si="379"/>
        <v>2746</v>
      </c>
      <c r="V1680" s="819">
        <f t="shared" si="380"/>
        <v>413</v>
      </c>
      <c r="W1680" s="379">
        <f t="shared" si="381"/>
        <v>413</v>
      </c>
      <c r="X1680" s="819" t="str">
        <f t="shared" si="382"/>
        <v/>
      </c>
      <c r="Y1680" s="837"/>
      <c r="Z1680" s="839"/>
      <c r="AA1680" s="838"/>
      <c r="AB1680" s="839"/>
    </row>
    <row r="1681" spans="1:28" ht="14.45">
      <c r="A1681" s="816"/>
      <c r="B1681" s="819" t="s">
        <v>3789</v>
      </c>
      <c r="C1681" s="819" t="s">
        <v>3790</v>
      </c>
      <c r="D1681" s="379" t="s">
        <v>336</v>
      </c>
      <c r="E1681" s="818" t="s">
        <v>367</v>
      </c>
      <c r="F1681" s="820">
        <v>1.1139763620000001</v>
      </c>
      <c r="G1681" s="821">
        <v>0.45033131799999998</v>
      </c>
      <c r="H1681" s="822">
        <v>18971916.4373146</v>
      </c>
      <c r="I1681" s="819">
        <v>0.01</v>
      </c>
      <c r="J1681" s="820">
        <v>-1.7090399999999999E-4</v>
      </c>
      <c r="K1681" s="819">
        <f t="shared" si="372"/>
        <v>1111</v>
      </c>
      <c r="L1681" s="819">
        <f t="shared" si="373"/>
        <v>936</v>
      </c>
      <c r="M1681" s="819">
        <f t="shared" si="369"/>
        <v>1111</v>
      </c>
      <c r="N1681" s="819">
        <f t="shared" si="370"/>
        <v>344</v>
      </c>
      <c r="O1681" s="819">
        <f t="shared" si="371"/>
        <v>1083</v>
      </c>
      <c r="P1681" s="819">
        <f t="shared" si="374"/>
        <v>287</v>
      </c>
      <c r="Q1681" s="819">
        <f t="shared" si="375"/>
        <v>513</v>
      </c>
      <c r="R1681" s="819">
        <f t="shared" si="376"/>
        <v>1029</v>
      </c>
      <c r="S1681" s="819">
        <f t="shared" si="377"/>
        <v>318</v>
      </c>
      <c r="T1681" s="819">
        <f t="shared" si="378"/>
        <v>1061</v>
      </c>
      <c r="U1681" s="819">
        <f t="shared" si="379"/>
        <v>3208</v>
      </c>
      <c r="V1681" s="819">
        <f t="shared" si="380"/>
        <v>1205</v>
      </c>
      <c r="W1681" s="379">
        <f t="shared" si="381"/>
        <v>1205</v>
      </c>
      <c r="X1681" s="819" t="str">
        <f t="shared" si="382"/>
        <v/>
      </c>
      <c r="Y1681" s="837"/>
      <c r="Z1681" s="839"/>
      <c r="AA1681" s="838"/>
      <c r="AB1681" s="839"/>
    </row>
    <row r="1682" spans="1:28" ht="13.15">
      <c r="B1682" s="819" t="s">
        <v>3791</v>
      </c>
      <c r="C1682" s="819" t="s">
        <v>3792</v>
      </c>
      <c r="D1682" s="379" t="s">
        <v>336</v>
      </c>
      <c r="E1682" s="818" t="s">
        <v>676</v>
      </c>
      <c r="F1682" s="820">
        <v>4.0281081079999996</v>
      </c>
      <c r="G1682" s="821">
        <v>-2.5335382530000001</v>
      </c>
      <c r="H1682" s="822">
        <v>291372522.400217</v>
      </c>
      <c r="I1682" s="819">
        <v>-1.79</v>
      </c>
      <c r="J1682" s="820">
        <v>5.8928799999999999E-4</v>
      </c>
      <c r="K1682" s="819">
        <f t="shared" si="372"/>
        <v>482</v>
      </c>
      <c r="L1682" s="819">
        <f t="shared" si="373"/>
        <v>1362</v>
      </c>
      <c r="M1682" s="819">
        <f t="shared" si="369"/>
        <v>482</v>
      </c>
      <c r="N1682" s="819">
        <f t="shared" si="370"/>
        <v>384</v>
      </c>
      <c r="O1682" s="819">
        <f t="shared" si="371"/>
        <v>200</v>
      </c>
      <c r="P1682" s="819">
        <f t="shared" si="374"/>
        <v>916</v>
      </c>
      <c r="Q1682" s="819">
        <f t="shared" si="375"/>
        <v>939</v>
      </c>
      <c r="R1682" s="819">
        <f t="shared" si="376"/>
        <v>400</v>
      </c>
      <c r="S1682" s="819">
        <f t="shared" si="377"/>
        <v>358</v>
      </c>
      <c r="T1682" s="819">
        <f t="shared" si="378"/>
        <v>178</v>
      </c>
      <c r="U1682" s="819">
        <f t="shared" si="379"/>
        <v>2791</v>
      </c>
      <c r="V1682" s="819">
        <f t="shared" si="380"/>
        <v>612</v>
      </c>
      <c r="W1682" s="379">
        <f t="shared" si="381"/>
        <v>612</v>
      </c>
      <c r="X1682" s="819" t="str">
        <f t="shared" si="382"/>
        <v/>
      </c>
      <c r="Y1682" s="837"/>
      <c r="Z1682" s="839"/>
      <c r="AA1682" s="838"/>
      <c r="AB1682" s="839"/>
    </row>
    <row r="1683" spans="1:28" ht="14.45">
      <c r="A1683" s="816"/>
      <c r="B1683" s="819" t="s">
        <v>3793</v>
      </c>
      <c r="C1683" s="819" t="s">
        <v>3794</v>
      </c>
      <c r="D1683" s="379" t="s">
        <v>336</v>
      </c>
      <c r="E1683" s="818" t="s">
        <v>337</v>
      </c>
      <c r="F1683" s="820">
        <v>-2.0170495119999998</v>
      </c>
      <c r="G1683" s="821">
        <v>-3.5262902999999998E-2</v>
      </c>
      <c r="H1683" s="822">
        <v>20850522.276000001</v>
      </c>
      <c r="I1683" s="819"/>
      <c r="J1683" s="820">
        <v>9.9076700000000006E-5</v>
      </c>
      <c r="K1683" s="819">
        <f t="shared" si="372"/>
        <v>1094</v>
      </c>
      <c r="L1683" s="819">
        <f t="shared" si="373"/>
        <v>1207</v>
      </c>
      <c r="M1683" s="819">
        <f t="shared" si="369"/>
        <v>1094</v>
      </c>
      <c r="N1683" s="819">
        <f t="shared" si="370"/>
        <v>364</v>
      </c>
      <c r="O1683" s="819">
        <f t="shared" si="371"/>
        <v>300</v>
      </c>
      <c r="P1683" s="819">
        <f t="shared" si="374"/>
        <v>304</v>
      </c>
      <c r="Q1683" s="819">
        <f t="shared" si="375"/>
        <v>784</v>
      </c>
      <c r="R1683" s="819">
        <f t="shared" si="376"/>
        <v>1012</v>
      </c>
      <c r="S1683" s="819">
        <f t="shared" si="377"/>
        <v>338</v>
      </c>
      <c r="T1683" s="819">
        <f t="shared" si="378"/>
        <v>278</v>
      </c>
      <c r="U1683" s="819">
        <f t="shared" si="379"/>
        <v>2716</v>
      </c>
      <c r="V1683" s="819">
        <f t="shared" si="380"/>
        <v>375</v>
      </c>
      <c r="W1683" s="379">
        <f t="shared" si="381"/>
        <v>375</v>
      </c>
      <c r="X1683" s="819" t="str">
        <f t="shared" si="382"/>
        <v/>
      </c>
      <c r="Y1683" s="837"/>
      <c r="Z1683" s="839"/>
      <c r="AA1683" s="838"/>
      <c r="AB1683" s="839"/>
    </row>
    <row r="1684" spans="1:28" ht="13.15">
      <c r="B1684" s="819" t="s">
        <v>3795</v>
      </c>
      <c r="C1684" s="819" t="s">
        <v>3796</v>
      </c>
      <c r="D1684" s="379" t="s">
        <v>336</v>
      </c>
      <c r="E1684" s="818" t="s">
        <v>191</v>
      </c>
      <c r="F1684" s="820">
        <v>2.6605773589999999</v>
      </c>
      <c r="G1684" s="821">
        <v>1.9976950309999999</v>
      </c>
      <c r="H1684" s="822">
        <v>568802.07817731798</v>
      </c>
      <c r="I1684" s="819"/>
      <c r="J1684" s="820">
        <v>-2.1026299999999999E-5</v>
      </c>
      <c r="K1684" s="819">
        <f t="shared" si="372"/>
        <v>1594</v>
      </c>
      <c r="L1684" s="819">
        <f t="shared" si="373"/>
        <v>675</v>
      </c>
      <c r="M1684" s="819">
        <f t="shared" si="369"/>
        <v>1594</v>
      </c>
      <c r="N1684" s="819">
        <f t="shared" si="370"/>
        <v>364</v>
      </c>
      <c r="O1684" s="819">
        <f t="shared" si="371"/>
        <v>854</v>
      </c>
      <c r="P1684" s="819">
        <f t="shared" si="374"/>
        <v>196</v>
      </c>
      <c r="Q1684" s="819">
        <f t="shared" si="375"/>
        <v>252</v>
      </c>
      <c r="R1684" s="819">
        <f t="shared" si="376"/>
        <v>1512</v>
      </c>
      <c r="S1684" s="819">
        <f t="shared" si="377"/>
        <v>338</v>
      </c>
      <c r="T1684" s="819">
        <f t="shared" si="378"/>
        <v>832</v>
      </c>
      <c r="U1684" s="819">
        <f t="shared" si="379"/>
        <v>3130</v>
      </c>
      <c r="V1684" s="819">
        <f t="shared" si="380"/>
        <v>1099</v>
      </c>
      <c r="W1684" s="379">
        <f t="shared" si="381"/>
        <v>1099</v>
      </c>
      <c r="X1684" s="819" t="str">
        <f t="shared" si="382"/>
        <v/>
      </c>
      <c r="Y1684" s="837"/>
      <c r="Z1684" s="839"/>
      <c r="AA1684" s="838"/>
      <c r="AB1684" s="839"/>
    </row>
    <row r="1685" spans="1:28" ht="14.45">
      <c r="A1685" s="816"/>
      <c r="B1685" s="819" t="s">
        <v>3797</v>
      </c>
      <c r="C1685" s="819" t="s">
        <v>3798</v>
      </c>
      <c r="D1685" s="379" t="s">
        <v>336</v>
      </c>
      <c r="E1685" s="818" t="s">
        <v>425</v>
      </c>
      <c r="F1685" s="820">
        <v>1.018044153</v>
      </c>
      <c r="G1685" s="821">
        <v>2.5067442999999998E-2</v>
      </c>
      <c r="H1685" s="822">
        <v>15218721.6173607</v>
      </c>
      <c r="I1685" s="819"/>
      <c r="J1685" s="820">
        <v>-1.9207399999999998E-5</v>
      </c>
      <c r="K1685" s="819">
        <f t="shared" si="372"/>
        <v>1157</v>
      </c>
      <c r="L1685" s="819">
        <f t="shared" si="373"/>
        <v>1056</v>
      </c>
      <c r="M1685" s="819">
        <f t="shared" si="369"/>
        <v>1157</v>
      </c>
      <c r="N1685" s="819">
        <f t="shared" si="370"/>
        <v>364</v>
      </c>
      <c r="O1685" s="819">
        <f t="shared" si="371"/>
        <v>848</v>
      </c>
      <c r="P1685" s="819">
        <f t="shared" si="374"/>
        <v>241</v>
      </c>
      <c r="Q1685" s="819">
        <f t="shared" si="375"/>
        <v>633</v>
      </c>
      <c r="R1685" s="819">
        <f t="shared" si="376"/>
        <v>1075</v>
      </c>
      <c r="S1685" s="819">
        <f t="shared" si="377"/>
        <v>338</v>
      </c>
      <c r="T1685" s="819">
        <f t="shared" si="378"/>
        <v>826</v>
      </c>
      <c r="U1685" s="819">
        <f t="shared" si="379"/>
        <v>3113</v>
      </c>
      <c r="V1685" s="819">
        <f t="shared" si="380"/>
        <v>1083</v>
      </c>
      <c r="W1685" s="379">
        <f t="shared" si="381"/>
        <v>1083</v>
      </c>
      <c r="X1685" s="819" t="str">
        <f t="shared" si="382"/>
        <v/>
      </c>
      <c r="Y1685" s="837"/>
      <c r="Z1685" s="839"/>
      <c r="AA1685" s="838"/>
      <c r="AB1685" s="839"/>
    </row>
    <row r="1686" spans="1:28" ht="13.15">
      <c r="B1686" s="819" t="s">
        <v>3799</v>
      </c>
      <c r="C1686" s="819" t="s">
        <v>3800</v>
      </c>
      <c r="D1686" s="379" t="s">
        <v>336</v>
      </c>
      <c r="E1686" s="818" t="s">
        <v>625</v>
      </c>
      <c r="F1686" s="820">
        <v>0.90324672900000003</v>
      </c>
      <c r="G1686" s="821">
        <v>1.2280866180000001</v>
      </c>
      <c r="H1686" s="822">
        <v>11143201.4833127</v>
      </c>
      <c r="I1686" s="819"/>
      <c r="J1686" s="820">
        <v>-2.06143E-5</v>
      </c>
      <c r="K1686" s="819">
        <f t="shared" si="372"/>
        <v>1229</v>
      </c>
      <c r="L1686" s="819">
        <f t="shared" si="373"/>
        <v>776</v>
      </c>
      <c r="M1686" s="819">
        <f t="shared" si="369"/>
        <v>1229</v>
      </c>
      <c r="N1686" s="819">
        <f t="shared" si="370"/>
        <v>364</v>
      </c>
      <c r="O1686" s="819">
        <f t="shared" si="371"/>
        <v>853</v>
      </c>
      <c r="P1686" s="819">
        <f t="shared" si="374"/>
        <v>169</v>
      </c>
      <c r="Q1686" s="819">
        <f t="shared" si="375"/>
        <v>353</v>
      </c>
      <c r="R1686" s="819">
        <f t="shared" si="376"/>
        <v>1147</v>
      </c>
      <c r="S1686" s="819">
        <f t="shared" si="377"/>
        <v>338</v>
      </c>
      <c r="T1686" s="819">
        <f t="shared" si="378"/>
        <v>831</v>
      </c>
      <c r="U1686" s="819">
        <f t="shared" si="379"/>
        <v>2838</v>
      </c>
      <c r="V1686" s="819">
        <f t="shared" si="380"/>
        <v>697</v>
      </c>
      <c r="W1686" s="379">
        <f t="shared" si="381"/>
        <v>697</v>
      </c>
      <c r="X1686" s="819" t="str">
        <f t="shared" si="382"/>
        <v/>
      </c>
      <c r="Y1686" s="837"/>
      <c r="Z1686" s="839"/>
      <c r="AA1686" s="838"/>
      <c r="AB1686" s="839"/>
    </row>
    <row r="1687" spans="1:28" ht="14.45">
      <c r="A1687" s="816"/>
      <c r="B1687" s="819" t="s">
        <v>3801</v>
      </c>
      <c r="C1687" s="819" t="s">
        <v>3802</v>
      </c>
      <c r="D1687" s="379" t="s">
        <v>336</v>
      </c>
      <c r="E1687" s="818" t="s">
        <v>676</v>
      </c>
      <c r="F1687" s="820">
        <v>1.3083057419999999</v>
      </c>
      <c r="G1687" s="821">
        <v>0</v>
      </c>
      <c r="H1687" s="822">
        <v>44637523.7578061</v>
      </c>
      <c r="I1687" s="819">
        <v>0.01</v>
      </c>
      <c r="J1687" s="820">
        <v>-1.418681E-3</v>
      </c>
      <c r="K1687" s="819">
        <f t="shared" si="372"/>
        <v>905</v>
      </c>
      <c r="L1687" s="819">
        <f t="shared" si="373"/>
        <v>1084</v>
      </c>
      <c r="M1687" s="819">
        <f t="shared" si="369"/>
        <v>905</v>
      </c>
      <c r="N1687" s="819">
        <f t="shared" si="370"/>
        <v>344</v>
      </c>
      <c r="O1687" s="819">
        <f t="shared" si="371"/>
        <v>1451</v>
      </c>
      <c r="P1687" s="819">
        <f t="shared" si="374"/>
        <v>493</v>
      </c>
      <c r="Q1687" s="819">
        <f t="shared" si="375"/>
        <v>661</v>
      </c>
      <c r="R1687" s="819">
        <f t="shared" si="376"/>
        <v>823</v>
      </c>
      <c r="S1687" s="819">
        <f t="shared" si="377"/>
        <v>318</v>
      </c>
      <c r="T1687" s="819">
        <f t="shared" si="378"/>
        <v>1429</v>
      </c>
      <c r="U1687" s="819">
        <f t="shared" si="379"/>
        <v>3724</v>
      </c>
      <c r="V1687" s="819">
        <f t="shared" si="380"/>
        <v>1687</v>
      </c>
      <c r="W1687" s="379">
        <f t="shared" si="381"/>
        <v>1687</v>
      </c>
      <c r="X1687" s="819" t="str">
        <f t="shared" si="382"/>
        <v/>
      </c>
      <c r="Y1687" s="837"/>
      <c r="Z1687" s="839"/>
      <c r="AA1687" s="838"/>
      <c r="AB1687" s="839"/>
    </row>
    <row r="1688" spans="1:28" ht="13.15">
      <c r="B1688" s="819" t="s">
        <v>3803</v>
      </c>
      <c r="C1688" s="819" t="s">
        <v>3804</v>
      </c>
      <c r="D1688" s="379" t="s">
        <v>336</v>
      </c>
      <c r="E1688" s="818" t="s">
        <v>625</v>
      </c>
      <c r="F1688" s="820">
        <v>2.0493876360000001</v>
      </c>
      <c r="G1688" s="821">
        <v>355.70666610000001</v>
      </c>
      <c r="H1688" s="822">
        <v>2402963331.27318</v>
      </c>
      <c r="I1688" s="819"/>
      <c r="J1688" s="820">
        <v>-4.9189099999999997E-7</v>
      </c>
      <c r="K1688" s="819">
        <f t="shared" si="372"/>
        <v>129</v>
      </c>
      <c r="L1688" s="819">
        <f t="shared" si="373"/>
        <v>4</v>
      </c>
      <c r="M1688" s="819">
        <f t="shared" si="369"/>
        <v>129</v>
      </c>
      <c r="N1688" s="819">
        <f t="shared" si="370"/>
        <v>364</v>
      </c>
      <c r="O1688" s="819">
        <f t="shared" si="371"/>
        <v>749</v>
      </c>
      <c r="P1688" s="819">
        <f t="shared" si="374"/>
        <v>1269</v>
      </c>
      <c r="Q1688" s="819">
        <f t="shared" si="375"/>
        <v>419</v>
      </c>
      <c r="R1688" s="819">
        <f t="shared" si="376"/>
        <v>47</v>
      </c>
      <c r="S1688" s="819">
        <f t="shared" si="377"/>
        <v>338</v>
      </c>
      <c r="T1688" s="819">
        <f t="shared" si="378"/>
        <v>727</v>
      </c>
      <c r="U1688" s="819">
        <f t="shared" si="379"/>
        <v>2800</v>
      </c>
      <c r="V1688" s="819">
        <f t="shared" si="380"/>
        <v>628</v>
      </c>
      <c r="W1688" s="379">
        <f t="shared" si="381"/>
        <v>628</v>
      </c>
      <c r="X1688" s="819" t="str">
        <f t="shared" si="382"/>
        <v/>
      </c>
      <c r="Y1688" s="837"/>
      <c r="Z1688" s="839"/>
      <c r="AA1688" s="838"/>
      <c r="AB1688" s="839"/>
    </row>
    <row r="1689" spans="1:28" ht="14.45">
      <c r="A1689" s="816"/>
      <c r="B1689" s="819" t="s">
        <v>3805</v>
      </c>
      <c r="C1689" s="819" t="s">
        <v>3806</v>
      </c>
      <c r="D1689" s="379" t="s">
        <v>336</v>
      </c>
      <c r="E1689" s="818" t="s">
        <v>625</v>
      </c>
      <c r="F1689" s="820">
        <v>-2.6340131520000001</v>
      </c>
      <c r="G1689" s="821">
        <v>-0.17931723999999999</v>
      </c>
      <c r="H1689" s="822">
        <v>6384331.2731767604</v>
      </c>
      <c r="I1689" s="819"/>
      <c r="J1689" s="820">
        <v>4.6347899999999997E-5</v>
      </c>
      <c r="K1689" s="819">
        <f t="shared" si="372"/>
        <v>1332</v>
      </c>
      <c r="L1689" s="819">
        <f t="shared" si="373"/>
        <v>1236</v>
      </c>
      <c r="M1689" s="819">
        <f t="shared" si="369"/>
        <v>1332</v>
      </c>
      <c r="N1689" s="819">
        <f t="shared" si="370"/>
        <v>364</v>
      </c>
      <c r="O1689" s="819">
        <f t="shared" si="371"/>
        <v>351</v>
      </c>
      <c r="P1689" s="819">
        <f t="shared" si="374"/>
        <v>66</v>
      </c>
      <c r="Q1689" s="819">
        <f t="shared" si="375"/>
        <v>813</v>
      </c>
      <c r="R1689" s="819">
        <f t="shared" si="376"/>
        <v>1250</v>
      </c>
      <c r="S1689" s="819">
        <f t="shared" si="377"/>
        <v>338</v>
      </c>
      <c r="T1689" s="819">
        <f t="shared" si="378"/>
        <v>329</v>
      </c>
      <c r="U1689" s="819">
        <f t="shared" si="379"/>
        <v>2796</v>
      </c>
      <c r="V1689" s="819">
        <f t="shared" si="380"/>
        <v>620</v>
      </c>
      <c r="W1689" s="379">
        <f t="shared" si="381"/>
        <v>620</v>
      </c>
      <c r="X1689" s="819" t="str">
        <f t="shared" si="382"/>
        <v/>
      </c>
      <c r="Y1689" s="837"/>
      <c r="Z1689" s="839"/>
      <c r="AA1689" s="838"/>
      <c r="AB1689" s="839"/>
    </row>
    <row r="1690" spans="1:28" ht="13.15">
      <c r="B1690" s="819" t="s">
        <v>3807</v>
      </c>
      <c r="C1690" s="819" t="s">
        <v>3808</v>
      </c>
      <c r="D1690" s="379" t="s">
        <v>336</v>
      </c>
      <c r="E1690" s="818" t="s">
        <v>600</v>
      </c>
      <c r="F1690" s="820">
        <v>0.12481094</v>
      </c>
      <c r="G1690" s="821">
        <v>1.3847672280000001</v>
      </c>
      <c r="H1690" s="822">
        <v>444088.58757358801</v>
      </c>
      <c r="I1690" s="819"/>
      <c r="J1690" s="820">
        <v>-5.4022300000000001E-6</v>
      </c>
      <c r="K1690" s="819">
        <f t="shared" si="372"/>
        <v>1605</v>
      </c>
      <c r="L1690" s="819">
        <f t="shared" si="373"/>
        <v>758</v>
      </c>
      <c r="M1690" s="819">
        <f t="shared" si="369"/>
        <v>1605</v>
      </c>
      <c r="N1690" s="819">
        <f t="shared" si="370"/>
        <v>364</v>
      </c>
      <c r="O1690" s="819">
        <f t="shared" si="371"/>
        <v>783</v>
      </c>
      <c r="P1690" s="819">
        <f t="shared" si="374"/>
        <v>207</v>
      </c>
      <c r="Q1690" s="819">
        <f t="shared" si="375"/>
        <v>335</v>
      </c>
      <c r="R1690" s="819">
        <f t="shared" si="376"/>
        <v>1523</v>
      </c>
      <c r="S1690" s="819">
        <f t="shared" si="377"/>
        <v>338</v>
      </c>
      <c r="T1690" s="819">
        <f t="shared" si="378"/>
        <v>761</v>
      </c>
      <c r="U1690" s="819">
        <f t="shared" si="379"/>
        <v>3164</v>
      </c>
      <c r="V1690" s="819">
        <f t="shared" si="380"/>
        <v>1146</v>
      </c>
      <c r="W1690" s="379">
        <f t="shared" si="381"/>
        <v>1146</v>
      </c>
      <c r="X1690" s="819" t="str">
        <f t="shared" si="382"/>
        <v/>
      </c>
      <c r="Y1690" s="837"/>
      <c r="Z1690" s="839"/>
      <c r="AA1690" s="838"/>
      <c r="AB1690" s="839"/>
    </row>
    <row r="1691" spans="1:28" ht="14.45">
      <c r="A1691" s="816"/>
      <c r="B1691" s="819" t="s">
        <v>3809</v>
      </c>
      <c r="C1691" s="819" t="s">
        <v>3810</v>
      </c>
      <c r="D1691" s="379" t="s">
        <v>336</v>
      </c>
      <c r="E1691" s="818" t="s">
        <v>625</v>
      </c>
      <c r="F1691" s="820">
        <v>0</v>
      </c>
      <c r="G1691" s="821">
        <v>0</v>
      </c>
      <c r="H1691" s="822">
        <v>2558714.4622991299</v>
      </c>
      <c r="I1691" s="819"/>
      <c r="J1691" s="820">
        <v>4.3356200000000002E-6</v>
      </c>
      <c r="K1691" s="819">
        <f t="shared" si="372"/>
        <v>1466</v>
      </c>
      <c r="L1691" s="819">
        <f t="shared" si="373"/>
        <v>1084</v>
      </c>
      <c r="M1691" s="819">
        <f t="shared" si="369"/>
        <v>1466</v>
      </c>
      <c r="N1691" s="819">
        <f t="shared" si="370"/>
        <v>364</v>
      </c>
      <c r="O1691" s="819">
        <f t="shared" si="371"/>
        <v>451</v>
      </c>
      <c r="P1691" s="819">
        <f t="shared" si="374"/>
        <v>68</v>
      </c>
      <c r="Q1691" s="819">
        <f t="shared" si="375"/>
        <v>661</v>
      </c>
      <c r="R1691" s="819">
        <f t="shared" si="376"/>
        <v>1384</v>
      </c>
      <c r="S1691" s="819">
        <f t="shared" si="377"/>
        <v>338</v>
      </c>
      <c r="T1691" s="819">
        <f t="shared" si="378"/>
        <v>429</v>
      </c>
      <c r="U1691" s="819">
        <f t="shared" si="379"/>
        <v>2880</v>
      </c>
      <c r="V1691" s="819">
        <f t="shared" si="380"/>
        <v>774</v>
      </c>
      <c r="W1691" s="379">
        <f t="shared" si="381"/>
        <v>774</v>
      </c>
      <c r="X1691" s="819" t="str">
        <f t="shared" si="382"/>
        <v/>
      </c>
      <c r="Y1691" s="837"/>
      <c r="Z1691" s="839"/>
      <c r="AA1691" s="838"/>
      <c r="AB1691" s="839"/>
    </row>
    <row r="1692" spans="1:28" ht="13.15">
      <c r="B1692" s="819" t="s">
        <v>3811</v>
      </c>
      <c r="C1692" s="819" t="s">
        <v>3812</v>
      </c>
      <c r="D1692" s="379" t="s">
        <v>336</v>
      </c>
      <c r="E1692" s="818" t="s">
        <v>191</v>
      </c>
      <c r="F1692" s="820">
        <v>2.5520475629999999</v>
      </c>
      <c r="G1692" s="821">
        <v>0.49839092099999999</v>
      </c>
      <c r="H1692" s="822">
        <v>2007580.43383316</v>
      </c>
      <c r="I1692" s="819">
        <v>0.08</v>
      </c>
      <c r="J1692" s="820">
        <v>-5.9346500000000005E-4</v>
      </c>
      <c r="K1692" s="819">
        <f t="shared" si="372"/>
        <v>1498</v>
      </c>
      <c r="L1692" s="819">
        <f t="shared" si="373"/>
        <v>925</v>
      </c>
      <c r="M1692" s="819">
        <f t="shared" si="369"/>
        <v>1498</v>
      </c>
      <c r="N1692" s="819">
        <f t="shared" si="370"/>
        <v>283</v>
      </c>
      <c r="O1692" s="819">
        <f t="shared" si="371"/>
        <v>1310</v>
      </c>
      <c r="P1692" s="819">
        <f t="shared" si="374"/>
        <v>100</v>
      </c>
      <c r="Q1692" s="819">
        <f t="shared" si="375"/>
        <v>502</v>
      </c>
      <c r="R1692" s="819">
        <f t="shared" si="376"/>
        <v>1416</v>
      </c>
      <c r="S1692" s="819">
        <f t="shared" si="377"/>
        <v>257</v>
      </c>
      <c r="T1692" s="819">
        <f t="shared" si="378"/>
        <v>1288</v>
      </c>
      <c r="U1692" s="819">
        <f t="shared" si="379"/>
        <v>3563</v>
      </c>
      <c r="V1692" s="819">
        <f t="shared" si="380"/>
        <v>1605</v>
      </c>
      <c r="W1692" s="379">
        <f t="shared" si="381"/>
        <v>1605</v>
      </c>
      <c r="X1692" s="819" t="str">
        <f t="shared" si="382"/>
        <v/>
      </c>
      <c r="Y1692" s="837"/>
      <c r="Z1692" s="839"/>
      <c r="AA1692" s="838"/>
      <c r="AB1692" s="839"/>
    </row>
    <row r="1693" spans="1:28" ht="14.45">
      <c r="A1693" s="816"/>
      <c r="B1693" s="819" t="s">
        <v>3813</v>
      </c>
      <c r="C1693" s="819" t="s">
        <v>3814</v>
      </c>
      <c r="D1693" s="379" t="s">
        <v>336</v>
      </c>
      <c r="E1693" s="818" t="s">
        <v>441</v>
      </c>
      <c r="F1693" s="820">
        <v>0</v>
      </c>
      <c r="G1693" s="821">
        <v>0</v>
      </c>
      <c r="H1693" s="822">
        <v>512409282.32237202</v>
      </c>
      <c r="I1693" s="819"/>
      <c r="J1693" s="820">
        <v>7.5018500000000004E-7</v>
      </c>
      <c r="K1693" s="819">
        <f t="shared" si="372"/>
        <v>343</v>
      </c>
      <c r="L1693" s="819">
        <f t="shared" si="373"/>
        <v>1084</v>
      </c>
      <c r="M1693" s="819">
        <f t="shared" si="369"/>
        <v>343</v>
      </c>
      <c r="N1693" s="819">
        <f t="shared" si="370"/>
        <v>364</v>
      </c>
      <c r="O1693" s="819">
        <f t="shared" si="371"/>
        <v>482</v>
      </c>
      <c r="P1693" s="819">
        <f t="shared" si="374"/>
        <v>1055</v>
      </c>
      <c r="Q1693" s="819">
        <f t="shared" si="375"/>
        <v>661</v>
      </c>
      <c r="R1693" s="819">
        <f t="shared" si="376"/>
        <v>261</v>
      </c>
      <c r="S1693" s="819">
        <f t="shared" si="377"/>
        <v>338</v>
      </c>
      <c r="T1693" s="819">
        <f t="shared" si="378"/>
        <v>460</v>
      </c>
      <c r="U1693" s="819">
        <f t="shared" si="379"/>
        <v>2775</v>
      </c>
      <c r="V1693" s="819">
        <f t="shared" si="380"/>
        <v>453</v>
      </c>
      <c r="W1693" s="379">
        <f t="shared" si="381"/>
        <v>453</v>
      </c>
      <c r="X1693" s="819" t="str">
        <f t="shared" si="382"/>
        <v/>
      </c>
      <c r="Y1693" s="837"/>
      <c r="Z1693" s="839"/>
      <c r="AA1693" s="838"/>
      <c r="AB1693" s="839"/>
    </row>
    <row r="1694" spans="1:28" ht="13.15">
      <c r="B1694" s="819" t="s">
        <v>3815</v>
      </c>
      <c r="C1694" s="819" t="s">
        <v>3816</v>
      </c>
      <c r="D1694" s="379" t="s">
        <v>336</v>
      </c>
      <c r="E1694" s="818" t="s">
        <v>191</v>
      </c>
      <c r="F1694" s="820">
        <v>1.1805503719999999</v>
      </c>
      <c r="G1694" s="821">
        <v>4.8226471E-2</v>
      </c>
      <c r="H1694" s="822">
        <v>11102178.308341799</v>
      </c>
      <c r="I1694" s="819">
        <v>0.18</v>
      </c>
      <c r="J1694" s="820">
        <v>-1.127437E-3</v>
      </c>
      <c r="K1694" s="819">
        <f t="shared" si="372"/>
        <v>1230</v>
      </c>
      <c r="L1694" s="819">
        <f t="shared" si="373"/>
        <v>1044</v>
      </c>
      <c r="M1694" s="819">
        <f t="shared" si="369"/>
        <v>1230</v>
      </c>
      <c r="N1694" s="819">
        <f t="shared" si="370"/>
        <v>219</v>
      </c>
      <c r="O1694" s="819">
        <f t="shared" si="371"/>
        <v>1414</v>
      </c>
      <c r="P1694" s="819">
        <f t="shared" si="374"/>
        <v>168</v>
      </c>
      <c r="Q1694" s="819">
        <f t="shared" si="375"/>
        <v>621</v>
      </c>
      <c r="R1694" s="819">
        <f t="shared" si="376"/>
        <v>1148</v>
      </c>
      <c r="S1694" s="819">
        <f t="shared" si="377"/>
        <v>193</v>
      </c>
      <c r="T1694" s="819">
        <f t="shared" si="378"/>
        <v>1392</v>
      </c>
      <c r="U1694" s="819">
        <f t="shared" si="379"/>
        <v>3522</v>
      </c>
      <c r="V1694" s="819">
        <f t="shared" si="380"/>
        <v>1576</v>
      </c>
      <c r="W1694" s="379">
        <f t="shared" si="381"/>
        <v>1576</v>
      </c>
      <c r="X1694" s="819" t="str">
        <f t="shared" si="382"/>
        <v/>
      </c>
      <c r="Y1694" s="837"/>
      <c r="Z1694" s="839"/>
      <c r="AA1694" s="838"/>
      <c r="AB1694" s="839"/>
    </row>
    <row r="1695" spans="1:28" ht="14.45">
      <c r="A1695" s="816"/>
      <c r="B1695" s="819" t="s">
        <v>3817</v>
      </c>
      <c r="C1695" s="819" t="s">
        <v>3818</v>
      </c>
      <c r="D1695" s="379" t="s">
        <v>336</v>
      </c>
      <c r="E1695" s="818" t="s">
        <v>441</v>
      </c>
      <c r="F1695" s="820">
        <v>1.1633502840000001</v>
      </c>
      <c r="G1695" s="821"/>
      <c r="H1695" s="822">
        <v>2976077062.4187598</v>
      </c>
      <c r="I1695" s="819"/>
      <c r="J1695" s="820">
        <v>0</v>
      </c>
      <c r="K1695" s="819">
        <f t="shared" si="372"/>
        <v>107</v>
      </c>
      <c r="L1695" s="819">
        <f t="shared" si="373"/>
        <v>1084</v>
      </c>
      <c r="M1695" s="819">
        <f t="shared" si="369"/>
        <v>107</v>
      </c>
      <c r="N1695" s="819">
        <f t="shared" si="370"/>
        <v>364</v>
      </c>
      <c r="O1695" s="819">
        <f t="shared" si="371"/>
        <v>492</v>
      </c>
      <c r="P1695" s="819">
        <f t="shared" si="374"/>
        <v>1291</v>
      </c>
      <c r="Q1695" s="819">
        <f t="shared" si="375"/>
        <v>661</v>
      </c>
      <c r="R1695" s="819">
        <f t="shared" si="376"/>
        <v>25</v>
      </c>
      <c r="S1695" s="819">
        <f t="shared" si="377"/>
        <v>338</v>
      </c>
      <c r="T1695" s="819">
        <f t="shared" si="378"/>
        <v>470</v>
      </c>
      <c r="U1695" s="819">
        <f t="shared" si="379"/>
        <v>2785</v>
      </c>
      <c r="V1695" s="819">
        <f t="shared" si="380"/>
        <v>463</v>
      </c>
      <c r="W1695" s="379">
        <f t="shared" si="381"/>
        <v>463</v>
      </c>
      <c r="X1695" s="819" t="str">
        <f t="shared" si="382"/>
        <v/>
      </c>
      <c r="Y1695" s="837"/>
      <c r="Z1695" s="839"/>
      <c r="AA1695" s="838"/>
      <c r="AB1695" s="839"/>
    </row>
    <row r="1696" spans="1:28" ht="13.15">
      <c r="B1696" s="819" t="s">
        <v>3819</v>
      </c>
      <c r="C1696" s="819" t="s">
        <v>3820</v>
      </c>
      <c r="D1696" s="379" t="s">
        <v>336</v>
      </c>
      <c r="E1696" s="818" t="s">
        <v>645</v>
      </c>
      <c r="F1696" s="820"/>
      <c r="G1696" s="821"/>
      <c r="H1696" s="822">
        <v>11442824.3398393</v>
      </c>
      <c r="I1696" s="819"/>
      <c r="J1696" s="820">
        <v>0</v>
      </c>
      <c r="K1696" s="819">
        <f t="shared" si="372"/>
        <v>1222</v>
      </c>
      <c r="L1696" s="819">
        <f t="shared" si="373"/>
        <v>1084</v>
      </c>
      <c r="M1696" s="819">
        <f t="shared" si="369"/>
        <v>1222</v>
      </c>
      <c r="N1696" s="819">
        <f t="shared" si="370"/>
        <v>364</v>
      </c>
      <c r="O1696" s="819">
        <f t="shared" si="371"/>
        <v>492</v>
      </c>
      <c r="P1696" s="819">
        <f t="shared" si="374"/>
        <v>176</v>
      </c>
      <c r="Q1696" s="819">
        <f t="shared" si="375"/>
        <v>661</v>
      </c>
      <c r="R1696" s="819">
        <f t="shared" si="376"/>
        <v>1140</v>
      </c>
      <c r="S1696" s="819">
        <f t="shared" si="377"/>
        <v>338</v>
      </c>
      <c r="T1696" s="819">
        <f t="shared" si="378"/>
        <v>470</v>
      </c>
      <c r="U1696" s="819">
        <f t="shared" si="379"/>
        <v>2785</v>
      </c>
      <c r="V1696" s="819">
        <f t="shared" si="380"/>
        <v>463</v>
      </c>
      <c r="W1696" s="379">
        <f t="shared" si="381"/>
        <v>463</v>
      </c>
      <c r="X1696" s="819" t="str">
        <f t="shared" si="382"/>
        <v/>
      </c>
      <c r="Y1696" s="837"/>
      <c r="Z1696" s="839"/>
      <c r="AA1696" s="838"/>
      <c r="AB1696" s="839"/>
    </row>
    <row r="1697" spans="1:28" ht="14.45">
      <c r="A1697" s="816"/>
      <c r="B1697" s="819" t="s">
        <v>3821</v>
      </c>
      <c r="C1697" s="819" t="s">
        <v>3822</v>
      </c>
      <c r="D1697" s="379" t="s">
        <v>336</v>
      </c>
      <c r="E1697" s="818" t="s">
        <v>2377</v>
      </c>
      <c r="F1697" s="820">
        <v>2.783509885</v>
      </c>
      <c r="G1697" s="821">
        <v>3.1586855310000002</v>
      </c>
      <c r="H1697" s="822">
        <v>25454794.5205479</v>
      </c>
      <c r="I1697" s="819"/>
      <c r="J1697" s="820">
        <v>-3.5589850000000002E-3</v>
      </c>
      <c r="K1697" s="819">
        <f t="shared" si="372"/>
        <v>1040</v>
      </c>
      <c r="L1697" s="819">
        <f t="shared" si="373"/>
        <v>533</v>
      </c>
      <c r="M1697" s="819">
        <f t="shared" si="369"/>
        <v>1040</v>
      </c>
      <c r="N1697" s="819">
        <f t="shared" si="370"/>
        <v>364</v>
      </c>
      <c r="O1697" s="819">
        <f t="shared" si="371"/>
        <v>1568</v>
      </c>
      <c r="P1697" s="819">
        <f t="shared" si="374"/>
        <v>358</v>
      </c>
      <c r="Q1697" s="819">
        <f t="shared" si="375"/>
        <v>110</v>
      </c>
      <c r="R1697" s="819">
        <f t="shared" si="376"/>
        <v>958</v>
      </c>
      <c r="S1697" s="819">
        <f t="shared" si="377"/>
        <v>338</v>
      </c>
      <c r="T1697" s="819">
        <f t="shared" si="378"/>
        <v>1546</v>
      </c>
      <c r="U1697" s="819">
        <f t="shared" si="379"/>
        <v>3310</v>
      </c>
      <c r="V1697" s="819">
        <f t="shared" si="380"/>
        <v>1358</v>
      </c>
      <c r="W1697" s="379">
        <f t="shared" si="381"/>
        <v>1358</v>
      </c>
      <c r="X1697" s="819" t="str">
        <f t="shared" si="382"/>
        <v/>
      </c>
      <c r="Y1697" s="837"/>
      <c r="Z1697" s="839"/>
      <c r="AA1697" s="838"/>
      <c r="AB1697" s="839"/>
    </row>
    <row r="1698" spans="1:28" ht="13.15">
      <c r="B1698" s="819" t="s">
        <v>3823</v>
      </c>
      <c r="C1698" s="819" t="s">
        <v>3824</v>
      </c>
      <c r="D1698" s="379" t="s">
        <v>336</v>
      </c>
      <c r="E1698" s="818" t="s">
        <v>711</v>
      </c>
      <c r="F1698" s="820">
        <v>0.13844888899999999</v>
      </c>
      <c r="G1698" s="821">
        <v>-1.6470390000000001E-3</v>
      </c>
      <c r="H1698" s="822">
        <v>4923110151.1878996</v>
      </c>
      <c r="I1698" s="819"/>
      <c r="J1698" s="820">
        <v>7.3770399999999994E-5</v>
      </c>
      <c r="K1698" s="819">
        <f t="shared" si="372"/>
        <v>77</v>
      </c>
      <c r="L1698" s="819">
        <f t="shared" si="373"/>
        <v>1192</v>
      </c>
      <c r="M1698" s="819">
        <f t="shared" si="369"/>
        <v>77</v>
      </c>
      <c r="N1698" s="819">
        <f t="shared" si="370"/>
        <v>364</v>
      </c>
      <c r="O1698" s="819">
        <f t="shared" si="371"/>
        <v>314</v>
      </c>
      <c r="P1698" s="819">
        <f t="shared" si="374"/>
        <v>1321</v>
      </c>
      <c r="Q1698" s="819">
        <f t="shared" si="375"/>
        <v>769</v>
      </c>
      <c r="R1698" s="819">
        <f t="shared" si="376"/>
        <v>5</v>
      </c>
      <c r="S1698" s="819">
        <f t="shared" si="377"/>
        <v>338</v>
      </c>
      <c r="T1698" s="819">
        <f t="shared" si="378"/>
        <v>292</v>
      </c>
      <c r="U1698" s="819">
        <f t="shared" si="379"/>
        <v>2725</v>
      </c>
      <c r="V1698" s="819">
        <f t="shared" si="380"/>
        <v>393</v>
      </c>
      <c r="W1698" s="379">
        <f t="shared" si="381"/>
        <v>393</v>
      </c>
      <c r="X1698" s="819" t="str">
        <f t="shared" si="382"/>
        <v/>
      </c>
      <c r="Y1698" s="837"/>
      <c r="Z1698" s="839"/>
      <c r="AA1698" s="838"/>
      <c r="AB1698" s="839"/>
    </row>
    <row r="1699" spans="1:28" ht="14.45">
      <c r="A1699" s="816"/>
      <c r="B1699" s="819" t="s">
        <v>3825</v>
      </c>
      <c r="C1699" s="819" t="s">
        <v>3826</v>
      </c>
      <c r="D1699" s="379" t="s">
        <v>336</v>
      </c>
      <c r="E1699" s="818" t="s">
        <v>191</v>
      </c>
      <c r="F1699" s="820">
        <v>0</v>
      </c>
      <c r="G1699" s="821">
        <v>0</v>
      </c>
      <c r="H1699" s="822">
        <v>347856.68947445002</v>
      </c>
      <c r="I1699" s="819"/>
      <c r="J1699" s="820">
        <v>6.4040000000000003E-5</v>
      </c>
      <c r="K1699" s="819">
        <f t="shared" si="372"/>
        <v>1617</v>
      </c>
      <c r="L1699" s="819">
        <f t="shared" si="373"/>
        <v>1084</v>
      </c>
      <c r="M1699" s="819">
        <f t="shared" si="369"/>
        <v>1617</v>
      </c>
      <c r="N1699" s="819">
        <f t="shared" si="370"/>
        <v>364</v>
      </c>
      <c r="O1699" s="819">
        <f t="shared" si="371"/>
        <v>327</v>
      </c>
      <c r="P1699" s="819">
        <f t="shared" si="374"/>
        <v>219</v>
      </c>
      <c r="Q1699" s="819">
        <f t="shared" si="375"/>
        <v>661</v>
      </c>
      <c r="R1699" s="819">
        <f t="shared" si="376"/>
        <v>1535</v>
      </c>
      <c r="S1699" s="819">
        <f t="shared" si="377"/>
        <v>338</v>
      </c>
      <c r="T1699" s="819">
        <f t="shared" si="378"/>
        <v>305</v>
      </c>
      <c r="U1699" s="819">
        <f t="shared" si="379"/>
        <v>3058</v>
      </c>
      <c r="V1699" s="819">
        <f t="shared" si="380"/>
        <v>1002</v>
      </c>
      <c r="W1699" s="379">
        <f t="shared" si="381"/>
        <v>1002</v>
      </c>
      <c r="X1699" s="819" t="str">
        <f t="shared" si="382"/>
        <v/>
      </c>
      <c r="Y1699" s="837"/>
      <c r="Z1699" s="839"/>
      <c r="AA1699" s="838"/>
      <c r="AB1699" s="839"/>
    </row>
    <row r="1700" spans="1:28" ht="13.15">
      <c r="B1700" s="819" t="s">
        <v>3827</v>
      </c>
      <c r="C1700" s="819" t="s">
        <v>3828</v>
      </c>
      <c r="D1700" s="379" t="s">
        <v>336</v>
      </c>
      <c r="E1700" s="818" t="s">
        <v>191</v>
      </c>
      <c r="F1700" s="820">
        <v>8.1868952190000002</v>
      </c>
      <c r="G1700" s="821">
        <v>0.60298918099999999</v>
      </c>
      <c r="H1700" s="822">
        <v>4116016.0503712301</v>
      </c>
      <c r="I1700" s="819"/>
      <c r="J1700" s="820">
        <v>-7.76358E-5</v>
      </c>
      <c r="K1700" s="819">
        <f t="shared" si="372"/>
        <v>1399</v>
      </c>
      <c r="L1700" s="819">
        <f t="shared" si="373"/>
        <v>901</v>
      </c>
      <c r="M1700" s="819">
        <f t="shared" si="369"/>
        <v>1399</v>
      </c>
      <c r="N1700" s="819">
        <f t="shared" si="370"/>
        <v>364</v>
      </c>
      <c r="O1700" s="819">
        <f t="shared" si="371"/>
        <v>968</v>
      </c>
      <c r="P1700" s="819">
        <f t="shared" si="374"/>
        <v>1</v>
      </c>
      <c r="Q1700" s="819">
        <f t="shared" si="375"/>
        <v>478</v>
      </c>
      <c r="R1700" s="819">
        <f t="shared" si="376"/>
        <v>1317</v>
      </c>
      <c r="S1700" s="819">
        <f t="shared" si="377"/>
        <v>338</v>
      </c>
      <c r="T1700" s="819">
        <f t="shared" si="378"/>
        <v>946</v>
      </c>
      <c r="U1700" s="819">
        <f t="shared" si="379"/>
        <v>3080</v>
      </c>
      <c r="V1700" s="819">
        <f t="shared" si="380"/>
        <v>1029</v>
      </c>
      <c r="W1700" s="379">
        <f t="shared" si="381"/>
        <v>1029</v>
      </c>
      <c r="X1700" s="819" t="str">
        <f t="shared" si="382"/>
        <v/>
      </c>
      <c r="Y1700" s="837"/>
      <c r="Z1700" s="839"/>
      <c r="AA1700" s="838"/>
      <c r="AB1700" s="839"/>
    </row>
    <row r="1701" spans="1:28" ht="14.45">
      <c r="A1701" s="816"/>
      <c r="B1701" s="819" t="s">
        <v>3829</v>
      </c>
      <c r="C1701" s="819" t="s">
        <v>3830</v>
      </c>
      <c r="D1701" s="379" t="s">
        <v>336</v>
      </c>
      <c r="E1701" s="818" t="s">
        <v>460</v>
      </c>
      <c r="F1701" s="820">
        <v>1.078379601</v>
      </c>
      <c r="G1701" s="821">
        <v>-1.6576604639999999</v>
      </c>
      <c r="H1701" s="822">
        <v>39609946.689039402</v>
      </c>
      <c r="I1701" s="819"/>
      <c r="J1701" s="820">
        <v>2.45361E-5</v>
      </c>
      <c r="K1701" s="819">
        <f t="shared" si="372"/>
        <v>930</v>
      </c>
      <c r="L1701" s="819">
        <f t="shared" si="373"/>
        <v>1330</v>
      </c>
      <c r="M1701" s="819">
        <f t="shared" si="369"/>
        <v>930</v>
      </c>
      <c r="N1701" s="819">
        <f t="shared" si="370"/>
        <v>364</v>
      </c>
      <c r="O1701" s="819">
        <f t="shared" si="371"/>
        <v>392</v>
      </c>
      <c r="P1701" s="819">
        <f t="shared" si="374"/>
        <v>468</v>
      </c>
      <c r="Q1701" s="819">
        <f t="shared" si="375"/>
        <v>907</v>
      </c>
      <c r="R1701" s="819">
        <f t="shared" si="376"/>
        <v>848</v>
      </c>
      <c r="S1701" s="819">
        <f t="shared" si="377"/>
        <v>338</v>
      </c>
      <c r="T1701" s="819">
        <f t="shared" si="378"/>
        <v>370</v>
      </c>
      <c r="U1701" s="819">
        <f t="shared" si="379"/>
        <v>2931</v>
      </c>
      <c r="V1701" s="819">
        <f t="shared" si="380"/>
        <v>846</v>
      </c>
      <c r="W1701" s="379">
        <f t="shared" si="381"/>
        <v>846</v>
      </c>
      <c r="X1701" s="819" t="str">
        <f t="shared" si="382"/>
        <v/>
      </c>
      <c r="Y1701" s="837"/>
      <c r="Z1701" s="839"/>
      <c r="AA1701" s="838"/>
      <c r="AB1701" s="839"/>
    </row>
    <row r="1702" spans="1:28" ht="13.15">
      <c r="B1702" s="819" t="s">
        <v>3831</v>
      </c>
      <c r="C1702" s="819" t="s">
        <v>3832</v>
      </c>
      <c r="D1702" s="379" t="s">
        <v>336</v>
      </c>
      <c r="E1702" s="818" t="s">
        <v>1174</v>
      </c>
      <c r="F1702" s="820">
        <v>2.9687352389999999</v>
      </c>
      <c r="G1702" s="821">
        <v>0</v>
      </c>
      <c r="H1702" s="822">
        <v>3892483996.8888502</v>
      </c>
      <c r="I1702" s="819"/>
      <c r="J1702" s="820">
        <v>-8.4150800000000001E-5</v>
      </c>
      <c r="K1702" s="819">
        <f t="shared" si="372"/>
        <v>86</v>
      </c>
      <c r="L1702" s="819">
        <f t="shared" si="373"/>
        <v>1084</v>
      </c>
      <c r="M1702" s="819">
        <f t="shared" si="369"/>
        <v>86</v>
      </c>
      <c r="N1702" s="819">
        <f t="shared" si="370"/>
        <v>364</v>
      </c>
      <c r="O1702" s="819">
        <f t="shared" si="371"/>
        <v>985</v>
      </c>
      <c r="P1702" s="819">
        <f t="shared" si="374"/>
        <v>1312</v>
      </c>
      <c r="Q1702" s="819">
        <f t="shared" si="375"/>
        <v>661</v>
      </c>
      <c r="R1702" s="819">
        <f t="shared" si="376"/>
        <v>4</v>
      </c>
      <c r="S1702" s="819">
        <f t="shared" si="377"/>
        <v>338</v>
      </c>
      <c r="T1702" s="819">
        <f t="shared" si="378"/>
        <v>963</v>
      </c>
      <c r="U1702" s="819">
        <f t="shared" si="379"/>
        <v>3278</v>
      </c>
      <c r="V1702" s="819">
        <f t="shared" si="380"/>
        <v>1309</v>
      </c>
      <c r="W1702" s="379">
        <f t="shared" si="381"/>
        <v>1309</v>
      </c>
      <c r="X1702" s="819" t="str">
        <f t="shared" si="382"/>
        <v/>
      </c>
      <c r="Y1702" s="837"/>
      <c r="Z1702" s="839"/>
      <c r="AA1702" s="838"/>
      <c r="AB1702" s="839"/>
    </row>
    <row r="1703" spans="1:28" ht="14.45">
      <c r="A1703" s="816"/>
      <c r="B1703" s="819" t="s">
        <v>3833</v>
      </c>
      <c r="C1703" s="819" t="s">
        <v>3834</v>
      </c>
      <c r="D1703" s="379" t="s">
        <v>336</v>
      </c>
      <c r="E1703" s="818" t="s">
        <v>373</v>
      </c>
      <c r="F1703" s="820">
        <v>1.447133142</v>
      </c>
      <c r="G1703" s="821">
        <v>8.4424269259999996</v>
      </c>
      <c r="H1703" s="822">
        <v>32732777.080410499</v>
      </c>
      <c r="I1703" s="819"/>
      <c r="J1703" s="820">
        <v>-3.2714900000000001E-6</v>
      </c>
      <c r="K1703" s="819">
        <f t="shared" si="372"/>
        <v>975</v>
      </c>
      <c r="L1703" s="819">
        <f t="shared" si="373"/>
        <v>244</v>
      </c>
      <c r="M1703" s="819">
        <f t="shared" si="369"/>
        <v>975</v>
      </c>
      <c r="N1703" s="819">
        <f t="shared" si="370"/>
        <v>364</v>
      </c>
      <c r="O1703" s="819">
        <f t="shared" si="371"/>
        <v>775</v>
      </c>
      <c r="P1703" s="819">
        <f t="shared" si="374"/>
        <v>423</v>
      </c>
      <c r="Q1703" s="819">
        <f t="shared" si="375"/>
        <v>179</v>
      </c>
      <c r="R1703" s="819">
        <f t="shared" si="376"/>
        <v>893</v>
      </c>
      <c r="S1703" s="819">
        <f t="shared" si="377"/>
        <v>338</v>
      </c>
      <c r="T1703" s="819">
        <f t="shared" si="378"/>
        <v>753</v>
      </c>
      <c r="U1703" s="819">
        <f t="shared" si="379"/>
        <v>2586</v>
      </c>
      <c r="V1703" s="819">
        <f t="shared" si="380"/>
        <v>277</v>
      </c>
      <c r="W1703" s="379">
        <f t="shared" si="381"/>
        <v>277</v>
      </c>
      <c r="X1703" s="819" t="str">
        <f t="shared" si="382"/>
        <v/>
      </c>
      <c r="Y1703" s="837"/>
      <c r="Z1703" s="839"/>
      <c r="AA1703" s="838"/>
      <c r="AB1703" s="839"/>
    </row>
    <row r="1704" spans="1:28" ht="13.15">
      <c r="B1704" s="819" t="s">
        <v>3835</v>
      </c>
      <c r="C1704" s="819" t="s">
        <v>3836</v>
      </c>
      <c r="D1704" s="379" t="s">
        <v>336</v>
      </c>
      <c r="E1704" s="818" t="s">
        <v>460</v>
      </c>
      <c r="F1704" s="820">
        <v>0.31844064100000002</v>
      </c>
      <c r="G1704" s="821">
        <v>-8.6399019999999997E-3</v>
      </c>
      <c r="H1704" s="822">
        <v>65935471.2261042</v>
      </c>
      <c r="I1704" s="819"/>
      <c r="J1704" s="820">
        <v>4.3197800000000002E-5</v>
      </c>
      <c r="K1704" s="819">
        <f t="shared" si="372"/>
        <v>817</v>
      </c>
      <c r="L1704" s="819">
        <f t="shared" si="373"/>
        <v>1197</v>
      </c>
      <c r="M1704" s="819">
        <f t="shared" si="369"/>
        <v>817</v>
      </c>
      <c r="N1704" s="819">
        <f t="shared" si="370"/>
        <v>364</v>
      </c>
      <c r="O1704" s="819">
        <f t="shared" si="371"/>
        <v>359</v>
      </c>
      <c r="P1704" s="819">
        <f t="shared" si="374"/>
        <v>581</v>
      </c>
      <c r="Q1704" s="819">
        <f t="shared" si="375"/>
        <v>774</v>
      </c>
      <c r="R1704" s="819">
        <f t="shared" si="376"/>
        <v>735</v>
      </c>
      <c r="S1704" s="819">
        <f t="shared" si="377"/>
        <v>338</v>
      </c>
      <c r="T1704" s="819">
        <f t="shared" si="378"/>
        <v>337</v>
      </c>
      <c r="U1704" s="819">
        <f t="shared" si="379"/>
        <v>2765</v>
      </c>
      <c r="V1704" s="819">
        <f t="shared" si="380"/>
        <v>437</v>
      </c>
      <c r="W1704" s="379">
        <f t="shared" si="381"/>
        <v>437</v>
      </c>
      <c r="X1704" s="819" t="str">
        <f t="shared" si="382"/>
        <v/>
      </c>
      <c r="Y1704" s="837"/>
      <c r="Z1704" s="839"/>
      <c r="AA1704" s="838"/>
      <c r="AB1704" s="839"/>
    </row>
    <row r="1705" spans="1:28" ht="14.45">
      <c r="A1705" s="816"/>
      <c r="B1705" s="819" t="s">
        <v>3837</v>
      </c>
      <c r="C1705" s="819" t="s">
        <v>3838</v>
      </c>
      <c r="D1705" s="379" t="s">
        <v>336</v>
      </c>
      <c r="E1705" s="818" t="s">
        <v>191</v>
      </c>
      <c r="F1705" s="820">
        <v>2.0616583070000001</v>
      </c>
      <c r="G1705" s="821">
        <v>1.017359704</v>
      </c>
      <c r="H1705" s="822">
        <v>320353.95617993898</v>
      </c>
      <c r="I1705" s="819">
        <v>0.12</v>
      </c>
      <c r="J1705" s="820">
        <v>-3.0659099999999999E-4</v>
      </c>
      <c r="K1705" s="819">
        <f t="shared" si="372"/>
        <v>1623</v>
      </c>
      <c r="L1705" s="819">
        <f t="shared" si="373"/>
        <v>806</v>
      </c>
      <c r="M1705" s="819">
        <f t="shared" si="369"/>
        <v>1623</v>
      </c>
      <c r="N1705" s="819">
        <f t="shared" si="370"/>
        <v>250</v>
      </c>
      <c r="O1705" s="819">
        <f t="shared" si="371"/>
        <v>1181</v>
      </c>
      <c r="P1705" s="819">
        <f t="shared" si="374"/>
        <v>225</v>
      </c>
      <c r="Q1705" s="819">
        <f t="shared" si="375"/>
        <v>383</v>
      </c>
      <c r="R1705" s="819">
        <f t="shared" si="376"/>
        <v>1541</v>
      </c>
      <c r="S1705" s="819">
        <f t="shared" si="377"/>
        <v>224</v>
      </c>
      <c r="T1705" s="819">
        <f t="shared" si="378"/>
        <v>1159</v>
      </c>
      <c r="U1705" s="819">
        <f t="shared" si="379"/>
        <v>3532</v>
      </c>
      <c r="V1705" s="819">
        <f t="shared" si="380"/>
        <v>1582</v>
      </c>
      <c r="W1705" s="379">
        <f t="shared" si="381"/>
        <v>1582</v>
      </c>
      <c r="X1705" s="819" t="str">
        <f t="shared" si="382"/>
        <v/>
      </c>
      <c r="Y1705" s="837"/>
      <c r="Z1705" s="839"/>
      <c r="AA1705" s="838"/>
      <c r="AB1705" s="839"/>
    </row>
    <row r="1706" spans="1:28" ht="13.15">
      <c r="B1706" s="819" t="s">
        <v>3839</v>
      </c>
      <c r="C1706" s="819" t="s">
        <v>3840</v>
      </c>
      <c r="D1706" s="379" t="s">
        <v>336</v>
      </c>
      <c r="E1706" s="818" t="s">
        <v>460</v>
      </c>
      <c r="F1706" s="820">
        <v>-5.6592765000000003E-2</v>
      </c>
      <c r="G1706" s="821">
        <v>0</v>
      </c>
      <c r="H1706" s="822">
        <v>1592290821.6935301</v>
      </c>
      <c r="I1706" s="819"/>
      <c r="J1706" s="820">
        <v>3.0759600000000003E-5</v>
      </c>
      <c r="K1706" s="819">
        <f t="shared" si="372"/>
        <v>172</v>
      </c>
      <c r="L1706" s="819">
        <f t="shared" si="373"/>
        <v>1084</v>
      </c>
      <c r="M1706" s="819">
        <f t="shared" si="369"/>
        <v>172</v>
      </c>
      <c r="N1706" s="819">
        <f t="shared" si="370"/>
        <v>364</v>
      </c>
      <c r="O1706" s="819">
        <f t="shared" si="371"/>
        <v>376</v>
      </c>
      <c r="P1706" s="819">
        <f t="shared" si="374"/>
        <v>1226</v>
      </c>
      <c r="Q1706" s="819">
        <f t="shared" si="375"/>
        <v>661</v>
      </c>
      <c r="R1706" s="819">
        <f t="shared" si="376"/>
        <v>90</v>
      </c>
      <c r="S1706" s="819">
        <f t="shared" si="377"/>
        <v>338</v>
      </c>
      <c r="T1706" s="819">
        <f t="shared" si="378"/>
        <v>354</v>
      </c>
      <c r="U1706" s="819">
        <f t="shared" si="379"/>
        <v>2669</v>
      </c>
      <c r="V1706" s="819">
        <f t="shared" si="380"/>
        <v>331</v>
      </c>
      <c r="W1706" s="379">
        <f t="shared" si="381"/>
        <v>331</v>
      </c>
      <c r="X1706" s="819" t="str">
        <f t="shared" si="382"/>
        <v/>
      </c>
      <c r="Y1706" s="837"/>
      <c r="Z1706" s="839"/>
      <c r="AA1706" s="838"/>
      <c r="AB1706" s="839"/>
    </row>
    <row r="1707" spans="1:28" ht="14.45">
      <c r="A1707" s="816"/>
      <c r="B1707" s="819" t="s">
        <v>3841</v>
      </c>
      <c r="C1707" s="819" t="s">
        <v>3842</v>
      </c>
      <c r="D1707" s="379" t="s">
        <v>336</v>
      </c>
      <c r="E1707" s="818" t="s">
        <v>752</v>
      </c>
      <c r="F1707" s="820">
        <v>6.5878321599999996</v>
      </c>
      <c r="G1707" s="821">
        <v>10.56674012</v>
      </c>
      <c r="H1707" s="822">
        <v>757720.07570243103</v>
      </c>
      <c r="I1707" s="819"/>
      <c r="J1707" s="820">
        <v>-1.7649071999999998E-2</v>
      </c>
      <c r="K1707" s="819">
        <f t="shared" si="372"/>
        <v>1580</v>
      </c>
      <c r="L1707" s="819">
        <f t="shared" si="373"/>
        <v>182</v>
      </c>
      <c r="M1707" s="819">
        <f t="shared" si="369"/>
        <v>1580</v>
      </c>
      <c r="N1707" s="819">
        <f t="shared" si="370"/>
        <v>364</v>
      </c>
      <c r="O1707" s="819">
        <f t="shared" si="371"/>
        <v>1683</v>
      </c>
      <c r="P1707" s="819">
        <f t="shared" si="374"/>
        <v>182</v>
      </c>
      <c r="Q1707" s="819">
        <f t="shared" si="375"/>
        <v>241</v>
      </c>
      <c r="R1707" s="819">
        <f t="shared" si="376"/>
        <v>1498</v>
      </c>
      <c r="S1707" s="819">
        <f t="shared" si="377"/>
        <v>338</v>
      </c>
      <c r="T1707" s="819">
        <f t="shared" si="378"/>
        <v>1661</v>
      </c>
      <c r="U1707" s="819">
        <f t="shared" si="379"/>
        <v>3920</v>
      </c>
      <c r="V1707" s="819">
        <f t="shared" si="380"/>
        <v>1738</v>
      </c>
      <c r="W1707" s="379">
        <f t="shared" si="381"/>
        <v>1738</v>
      </c>
      <c r="X1707" s="819" t="str">
        <f t="shared" si="382"/>
        <v/>
      </c>
      <c r="Y1707" s="837"/>
      <c r="Z1707" s="839"/>
      <c r="AA1707" s="838"/>
      <c r="AB1707" s="839"/>
    </row>
    <row r="1708" spans="1:28" ht="13.15">
      <c r="B1708" s="819" t="s">
        <v>3843</v>
      </c>
      <c r="C1708" s="819" t="s">
        <v>3844</v>
      </c>
      <c r="D1708" s="379" t="s">
        <v>336</v>
      </c>
      <c r="E1708" s="818" t="s">
        <v>444</v>
      </c>
      <c r="F1708" s="820">
        <v>1.630060514</v>
      </c>
      <c r="G1708" s="821">
        <v>2.1023293750000001</v>
      </c>
      <c r="H1708" s="822">
        <v>3319701296.9430699</v>
      </c>
      <c r="I1708" s="819"/>
      <c r="J1708" s="820">
        <v>-6.9586500000000005E-4</v>
      </c>
      <c r="K1708" s="819">
        <f t="shared" si="372"/>
        <v>97</v>
      </c>
      <c r="L1708" s="819">
        <f t="shared" si="373"/>
        <v>657</v>
      </c>
      <c r="M1708" s="819">
        <f t="shared" si="369"/>
        <v>97</v>
      </c>
      <c r="N1708" s="819">
        <f t="shared" si="370"/>
        <v>364</v>
      </c>
      <c r="O1708" s="819">
        <f t="shared" si="371"/>
        <v>1342</v>
      </c>
      <c r="P1708" s="819">
        <f t="shared" si="374"/>
        <v>1301</v>
      </c>
      <c r="Q1708" s="819">
        <f t="shared" si="375"/>
        <v>234</v>
      </c>
      <c r="R1708" s="819">
        <f t="shared" si="376"/>
        <v>15</v>
      </c>
      <c r="S1708" s="819">
        <f t="shared" si="377"/>
        <v>338</v>
      </c>
      <c r="T1708" s="819">
        <f t="shared" si="378"/>
        <v>1320</v>
      </c>
      <c r="U1708" s="819">
        <f t="shared" si="379"/>
        <v>3208</v>
      </c>
      <c r="V1708" s="819">
        <f t="shared" si="380"/>
        <v>1205</v>
      </c>
      <c r="W1708" s="379">
        <f t="shared" si="381"/>
        <v>1205</v>
      </c>
      <c r="X1708" s="819" t="str">
        <f t="shared" si="382"/>
        <v/>
      </c>
      <c r="Y1708" s="837"/>
      <c r="Z1708" s="839"/>
      <c r="AA1708" s="838"/>
      <c r="AB1708" s="839"/>
    </row>
    <row r="1709" spans="1:28" ht="14.45">
      <c r="A1709" s="816"/>
      <c r="B1709" s="819" t="s">
        <v>3845</v>
      </c>
      <c r="C1709" s="819" t="s">
        <v>3846</v>
      </c>
      <c r="D1709" s="379" t="s">
        <v>336</v>
      </c>
      <c r="E1709" s="818" t="s">
        <v>625</v>
      </c>
      <c r="F1709" s="820">
        <v>1.445796418</v>
      </c>
      <c r="G1709" s="821">
        <v>2.9003204500000002</v>
      </c>
      <c r="H1709" s="822">
        <v>360070370.210136</v>
      </c>
      <c r="I1709" s="819"/>
      <c r="J1709" s="820">
        <v>-3.6698400000000001E-5</v>
      </c>
      <c r="K1709" s="819">
        <f t="shared" si="372"/>
        <v>431</v>
      </c>
      <c r="L1709" s="819">
        <f t="shared" si="373"/>
        <v>560</v>
      </c>
      <c r="M1709" s="819">
        <f t="shared" si="369"/>
        <v>431</v>
      </c>
      <c r="N1709" s="819">
        <f t="shared" si="370"/>
        <v>364</v>
      </c>
      <c r="O1709" s="819">
        <f t="shared" si="371"/>
        <v>887</v>
      </c>
      <c r="P1709" s="819">
        <f t="shared" si="374"/>
        <v>967</v>
      </c>
      <c r="Q1709" s="819">
        <f t="shared" si="375"/>
        <v>137</v>
      </c>
      <c r="R1709" s="819">
        <f t="shared" si="376"/>
        <v>349</v>
      </c>
      <c r="S1709" s="819">
        <f t="shared" si="377"/>
        <v>338</v>
      </c>
      <c r="T1709" s="819">
        <f t="shared" si="378"/>
        <v>865</v>
      </c>
      <c r="U1709" s="819">
        <f t="shared" si="379"/>
        <v>2656</v>
      </c>
      <c r="V1709" s="819">
        <f t="shared" si="380"/>
        <v>323</v>
      </c>
      <c r="W1709" s="379">
        <f t="shared" si="381"/>
        <v>323</v>
      </c>
      <c r="X1709" s="819" t="str">
        <f t="shared" si="382"/>
        <v/>
      </c>
      <c r="Y1709" s="837"/>
      <c r="Z1709" s="839"/>
      <c r="AA1709" s="838"/>
      <c r="AB1709" s="839"/>
    </row>
    <row r="1710" spans="1:28" ht="13.15">
      <c r="B1710" s="819" t="s">
        <v>3847</v>
      </c>
      <c r="C1710" s="819" t="s">
        <v>3848</v>
      </c>
      <c r="D1710" s="379" t="s">
        <v>336</v>
      </c>
      <c r="E1710" s="818" t="s">
        <v>676</v>
      </c>
      <c r="F1710" s="820">
        <v>4.0172457809999997</v>
      </c>
      <c r="G1710" s="821">
        <v>2.3767447659999998</v>
      </c>
      <c r="H1710" s="822">
        <v>54303556.882975802</v>
      </c>
      <c r="I1710" s="819"/>
      <c r="J1710" s="820">
        <v>-7.0956100000000005E-4</v>
      </c>
      <c r="K1710" s="819">
        <f t="shared" si="372"/>
        <v>856</v>
      </c>
      <c r="L1710" s="819">
        <f t="shared" si="373"/>
        <v>617</v>
      </c>
      <c r="M1710" s="819">
        <f t="shared" si="369"/>
        <v>856</v>
      </c>
      <c r="N1710" s="819">
        <f t="shared" si="370"/>
        <v>364</v>
      </c>
      <c r="O1710" s="819">
        <f t="shared" si="371"/>
        <v>1346</v>
      </c>
      <c r="P1710" s="819">
        <f t="shared" si="374"/>
        <v>542</v>
      </c>
      <c r="Q1710" s="819">
        <f t="shared" si="375"/>
        <v>194</v>
      </c>
      <c r="R1710" s="819">
        <f t="shared" si="376"/>
        <v>774</v>
      </c>
      <c r="S1710" s="819">
        <f t="shared" si="377"/>
        <v>338</v>
      </c>
      <c r="T1710" s="819">
        <f t="shared" si="378"/>
        <v>1324</v>
      </c>
      <c r="U1710" s="819">
        <f t="shared" si="379"/>
        <v>3172</v>
      </c>
      <c r="V1710" s="819">
        <f t="shared" si="380"/>
        <v>1159</v>
      </c>
      <c r="W1710" s="379">
        <f t="shared" si="381"/>
        <v>1159</v>
      </c>
      <c r="X1710" s="819" t="str">
        <f t="shared" si="382"/>
        <v/>
      </c>
      <c r="Y1710" s="837"/>
      <c r="Z1710" s="839"/>
      <c r="AA1710" s="838"/>
      <c r="AB1710" s="839"/>
    </row>
    <row r="1711" spans="1:28" ht="14.45">
      <c r="A1711" s="816"/>
      <c r="B1711" s="819" t="s">
        <v>3849</v>
      </c>
      <c r="C1711" s="819" t="s">
        <v>3850</v>
      </c>
      <c r="D1711" s="379" t="s">
        <v>336</v>
      </c>
      <c r="E1711" s="818" t="s">
        <v>453</v>
      </c>
      <c r="F1711" s="820">
        <v>4.3550395210000001</v>
      </c>
      <c r="G1711" s="821">
        <v>2.397590659</v>
      </c>
      <c r="H1711" s="822">
        <v>261611695.654183</v>
      </c>
      <c r="I1711" s="819"/>
      <c r="J1711" s="820">
        <v>-1.1474759999999999E-3</v>
      </c>
      <c r="K1711" s="819">
        <f t="shared" si="372"/>
        <v>504</v>
      </c>
      <c r="L1711" s="819">
        <f t="shared" si="373"/>
        <v>616</v>
      </c>
      <c r="M1711" s="819">
        <f t="shared" si="369"/>
        <v>504</v>
      </c>
      <c r="N1711" s="819">
        <f t="shared" si="370"/>
        <v>364</v>
      </c>
      <c r="O1711" s="819">
        <f t="shared" si="371"/>
        <v>1422</v>
      </c>
      <c r="P1711" s="819">
        <f t="shared" si="374"/>
        <v>894</v>
      </c>
      <c r="Q1711" s="819">
        <f t="shared" si="375"/>
        <v>193</v>
      </c>
      <c r="R1711" s="819">
        <f t="shared" si="376"/>
        <v>422</v>
      </c>
      <c r="S1711" s="819">
        <f t="shared" si="377"/>
        <v>338</v>
      </c>
      <c r="T1711" s="819">
        <f t="shared" si="378"/>
        <v>1400</v>
      </c>
      <c r="U1711" s="819">
        <f t="shared" si="379"/>
        <v>3247</v>
      </c>
      <c r="V1711" s="819">
        <f t="shared" si="380"/>
        <v>1265</v>
      </c>
      <c r="W1711" s="379">
        <f t="shared" si="381"/>
        <v>1265</v>
      </c>
      <c r="X1711" s="819" t="str">
        <f t="shared" si="382"/>
        <v/>
      </c>
      <c r="Y1711" s="837"/>
      <c r="Z1711" s="839"/>
      <c r="AA1711" s="838"/>
      <c r="AB1711" s="839"/>
    </row>
    <row r="1712" spans="1:28" ht="13.15">
      <c r="B1712" s="819" t="s">
        <v>3851</v>
      </c>
      <c r="C1712" s="819" t="s">
        <v>3852</v>
      </c>
      <c r="D1712" s="379" t="s">
        <v>336</v>
      </c>
      <c r="E1712" s="818" t="s">
        <v>453</v>
      </c>
      <c r="F1712" s="820">
        <v>1.9608051900000001</v>
      </c>
      <c r="G1712" s="821">
        <v>2.7745240000000001E-2</v>
      </c>
      <c r="H1712" s="822">
        <v>482931049.25053501</v>
      </c>
      <c r="I1712" s="819"/>
      <c r="J1712" s="820">
        <v>-2.56609E-5</v>
      </c>
      <c r="K1712" s="819">
        <f t="shared" si="372"/>
        <v>362</v>
      </c>
      <c r="L1712" s="819">
        <f t="shared" si="373"/>
        <v>1053</v>
      </c>
      <c r="M1712" s="819">
        <f t="shared" si="369"/>
        <v>362</v>
      </c>
      <c r="N1712" s="819">
        <f t="shared" si="370"/>
        <v>364</v>
      </c>
      <c r="O1712" s="819">
        <f t="shared" si="371"/>
        <v>865</v>
      </c>
      <c r="P1712" s="819">
        <f t="shared" si="374"/>
        <v>1036</v>
      </c>
      <c r="Q1712" s="819">
        <f t="shared" si="375"/>
        <v>630</v>
      </c>
      <c r="R1712" s="819">
        <f t="shared" si="376"/>
        <v>280</v>
      </c>
      <c r="S1712" s="819">
        <f t="shared" si="377"/>
        <v>338</v>
      </c>
      <c r="T1712" s="819">
        <f t="shared" si="378"/>
        <v>843</v>
      </c>
      <c r="U1712" s="819">
        <f t="shared" si="379"/>
        <v>3127</v>
      </c>
      <c r="V1712" s="819">
        <f t="shared" si="380"/>
        <v>1095</v>
      </c>
      <c r="W1712" s="379">
        <f t="shared" si="381"/>
        <v>1095</v>
      </c>
      <c r="X1712" s="819" t="str">
        <f t="shared" si="382"/>
        <v/>
      </c>
      <c r="Y1712" s="837"/>
      <c r="Z1712" s="839"/>
      <c r="AA1712" s="838"/>
      <c r="AB1712" s="839"/>
    </row>
    <row r="1713" spans="1:28" ht="14.45">
      <c r="A1713" s="816"/>
      <c r="B1713" s="819" t="s">
        <v>3853</v>
      </c>
      <c r="C1713" s="819" t="s">
        <v>3854</v>
      </c>
      <c r="D1713" s="379" t="s">
        <v>336</v>
      </c>
      <c r="E1713" s="818" t="s">
        <v>887</v>
      </c>
      <c r="F1713" s="820">
        <v>4.3222914440000002</v>
      </c>
      <c r="G1713" s="821">
        <v>-73.075762979999993</v>
      </c>
      <c r="H1713" s="822">
        <v>32332551.194539301</v>
      </c>
      <c r="I1713" s="819">
        <v>0.03</v>
      </c>
      <c r="J1713" s="820">
        <v>1.4718700000000001E-4</v>
      </c>
      <c r="K1713" s="819">
        <f t="shared" si="372"/>
        <v>982</v>
      </c>
      <c r="L1713" s="819">
        <f t="shared" si="373"/>
        <v>1516</v>
      </c>
      <c r="M1713" s="819">
        <f t="shared" si="369"/>
        <v>982</v>
      </c>
      <c r="N1713" s="819">
        <f t="shared" si="370"/>
        <v>323</v>
      </c>
      <c r="O1713" s="819">
        <f t="shared" si="371"/>
        <v>275</v>
      </c>
      <c r="P1713" s="819">
        <f t="shared" si="374"/>
        <v>416</v>
      </c>
      <c r="Q1713" s="819">
        <f t="shared" si="375"/>
        <v>1093</v>
      </c>
      <c r="R1713" s="819">
        <f t="shared" si="376"/>
        <v>900</v>
      </c>
      <c r="S1713" s="819">
        <f t="shared" si="377"/>
        <v>297</v>
      </c>
      <c r="T1713" s="819">
        <f t="shared" si="378"/>
        <v>253</v>
      </c>
      <c r="U1713" s="819">
        <f t="shared" si="379"/>
        <v>2959</v>
      </c>
      <c r="V1713" s="819">
        <f t="shared" si="380"/>
        <v>877</v>
      </c>
      <c r="W1713" s="379">
        <f t="shared" si="381"/>
        <v>877</v>
      </c>
      <c r="X1713" s="819" t="str">
        <f t="shared" si="382"/>
        <v/>
      </c>
      <c r="Y1713" s="837"/>
      <c r="Z1713" s="839"/>
      <c r="AA1713" s="838"/>
      <c r="AB1713" s="839"/>
    </row>
    <row r="1714" spans="1:28" ht="13.15">
      <c r="B1714" s="819" t="s">
        <v>3855</v>
      </c>
      <c r="C1714" s="819" t="s">
        <v>3856</v>
      </c>
      <c r="D1714" s="379" t="s">
        <v>336</v>
      </c>
      <c r="E1714" s="818" t="s">
        <v>676</v>
      </c>
      <c r="F1714" s="820">
        <v>0.40639577199999999</v>
      </c>
      <c r="G1714" s="821">
        <v>-11.10550815</v>
      </c>
      <c r="H1714" s="822">
        <v>1234531631.8218801</v>
      </c>
      <c r="I1714" s="819"/>
      <c r="J1714" s="820">
        <v>1.4147E-6</v>
      </c>
      <c r="K1714" s="819">
        <f t="shared" si="372"/>
        <v>198</v>
      </c>
      <c r="L1714" s="819">
        <f t="shared" si="373"/>
        <v>1454</v>
      </c>
      <c r="M1714" s="819">
        <f t="shared" si="369"/>
        <v>198</v>
      </c>
      <c r="N1714" s="819">
        <f t="shared" si="370"/>
        <v>364</v>
      </c>
      <c r="O1714" s="819">
        <f t="shared" si="371"/>
        <v>474</v>
      </c>
      <c r="P1714" s="819">
        <f t="shared" si="374"/>
        <v>1200</v>
      </c>
      <c r="Q1714" s="819">
        <f t="shared" si="375"/>
        <v>1031</v>
      </c>
      <c r="R1714" s="819">
        <f t="shared" si="376"/>
        <v>116</v>
      </c>
      <c r="S1714" s="819">
        <f t="shared" si="377"/>
        <v>338</v>
      </c>
      <c r="T1714" s="819">
        <f t="shared" si="378"/>
        <v>452</v>
      </c>
      <c r="U1714" s="819">
        <f t="shared" si="379"/>
        <v>3137</v>
      </c>
      <c r="V1714" s="819">
        <f t="shared" si="380"/>
        <v>1106</v>
      </c>
      <c r="W1714" s="379">
        <f t="shared" si="381"/>
        <v>1106</v>
      </c>
      <c r="X1714" s="819" t="str">
        <f t="shared" si="382"/>
        <v/>
      </c>
      <c r="Y1714" s="837"/>
      <c r="Z1714" s="839"/>
      <c r="AA1714" s="838"/>
      <c r="AB1714" s="839"/>
    </row>
    <row r="1715" spans="1:28" ht="14.45">
      <c r="A1715" s="816"/>
      <c r="B1715" s="819" t="s">
        <v>3857</v>
      </c>
      <c r="C1715" s="819" t="s">
        <v>3858</v>
      </c>
      <c r="D1715" s="379" t="s">
        <v>336</v>
      </c>
      <c r="E1715" s="818" t="s">
        <v>460</v>
      </c>
      <c r="F1715" s="820">
        <v>2.6846965300000001</v>
      </c>
      <c r="G1715" s="821">
        <v>4.5693136699999997</v>
      </c>
      <c r="H1715" s="822">
        <v>3955451.0217534602</v>
      </c>
      <c r="I1715" s="819"/>
      <c r="J1715" s="820">
        <v>-3.2227599999999998E-4</v>
      </c>
      <c r="K1715" s="819">
        <f t="shared" si="372"/>
        <v>1408</v>
      </c>
      <c r="L1715" s="819">
        <f t="shared" si="373"/>
        <v>409</v>
      </c>
      <c r="M1715" s="819">
        <f t="shared" si="369"/>
        <v>1408</v>
      </c>
      <c r="N1715" s="819">
        <f t="shared" si="370"/>
        <v>364</v>
      </c>
      <c r="O1715" s="819">
        <f t="shared" si="371"/>
        <v>1191</v>
      </c>
      <c r="P1715" s="819">
        <f t="shared" si="374"/>
        <v>10</v>
      </c>
      <c r="Q1715" s="819">
        <f t="shared" si="375"/>
        <v>14</v>
      </c>
      <c r="R1715" s="819">
        <f t="shared" si="376"/>
        <v>1326</v>
      </c>
      <c r="S1715" s="819">
        <f t="shared" si="377"/>
        <v>338</v>
      </c>
      <c r="T1715" s="819">
        <f t="shared" si="378"/>
        <v>1169</v>
      </c>
      <c r="U1715" s="819">
        <f t="shared" si="379"/>
        <v>2857</v>
      </c>
      <c r="V1715" s="819">
        <f t="shared" si="380"/>
        <v>736</v>
      </c>
      <c r="W1715" s="379">
        <f t="shared" si="381"/>
        <v>736</v>
      </c>
      <c r="X1715" s="819" t="str">
        <f t="shared" si="382"/>
        <v/>
      </c>
      <c r="Y1715" s="837"/>
      <c r="Z1715" s="839"/>
      <c r="AA1715" s="838"/>
      <c r="AB1715" s="839"/>
    </row>
    <row r="1716" spans="1:28" ht="13.15">
      <c r="B1716" s="819" t="s">
        <v>3859</v>
      </c>
      <c r="C1716" s="819" t="s">
        <v>3860</v>
      </c>
      <c r="D1716" s="379" t="s">
        <v>336</v>
      </c>
      <c r="E1716" s="818" t="s">
        <v>460</v>
      </c>
      <c r="F1716" s="820">
        <v>3.34788357</v>
      </c>
      <c r="G1716" s="821">
        <v>-1.4485429489999999</v>
      </c>
      <c r="H1716" s="822">
        <v>105507214.406424</v>
      </c>
      <c r="I1716" s="819"/>
      <c r="J1716" s="820">
        <v>5.12813E-5</v>
      </c>
      <c r="K1716" s="819">
        <f t="shared" si="372"/>
        <v>711</v>
      </c>
      <c r="L1716" s="819">
        <f t="shared" si="373"/>
        <v>1320</v>
      </c>
      <c r="M1716" s="819">
        <f t="shared" si="369"/>
        <v>711</v>
      </c>
      <c r="N1716" s="819">
        <f t="shared" si="370"/>
        <v>364</v>
      </c>
      <c r="O1716" s="819">
        <f t="shared" si="371"/>
        <v>344</v>
      </c>
      <c r="P1716" s="819">
        <f t="shared" si="374"/>
        <v>687</v>
      </c>
      <c r="Q1716" s="819">
        <f t="shared" si="375"/>
        <v>897</v>
      </c>
      <c r="R1716" s="819">
        <f t="shared" si="376"/>
        <v>629</v>
      </c>
      <c r="S1716" s="819">
        <f t="shared" si="377"/>
        <v>338</v>
      </c>
      <c r="T1716" s="819">
        <f t="shared" si="378"/>
        <v>322</v>
      </c>
      <c r="U1716" s="819">
        <f t="shared" si="379"/>
        <v>2873</v>
      </c>
      <c r="V1716" s="819">
        <f t="shared" si="380"/>
        <v>761</v>
      </c>
      <c r="W1716" s="379">
        <f t="shared" si="381"/>
        <v>761</v>
      </c>
      <c r="X1716" s="819" t="str">
        <f t="shared" si="382"/>
        <v/>
      </c>
      <c r="Y1716" s="837"/>
      <c r="Z1716" s="839"/>
      <c r="AA1716" s="838"/>
      <c r="AB1716" s="839"/>
    </row>
    <row r="1717" spans="1:28" ht="14.45">
      <c r="A1717" s="816"/>
      <c r="B1717" s="819" t="s">
        <v>3861</v>
      </c>
      <c r="C1717" s="819" t="s">
        <v>3862</v>
      </c>
      <c r="D1717" s="379" t="s">
        <v>336</v>
      </c>
      <c r="E1717" s="818" t="s">
        <v>409</v>
      </c>
      <c r="F1717" s="820">
        <v>-2.065302285</v>
      </c>
      <c r="G1717" s="821">
        <v>0</v>
      </c>
      <c r="H1717" s="822">
        <v>14686999.4324206</v>
      </c>
      <c r="I1717" s="819"/>
      <c r="J1717" s="820">
        <v>1.7854299999999999E-5</v>
      </c>
      <c r="K1717" s="819">
        <f t="shared" si="372"/>
        <v>1171</v>
      </c>
      <c r="L1717" s="819">
        <f t="shared" si="373"/>
        <v>1084</v>
      </c>
      <c r="M1717" s="819">
        <f t="shared" si="369"/>
        <v>1171</v>
      </c>
      <c r="N1717" s="819">
        <f t="shared" si="370"/>
        <v>364</v>
      </c>
      <c r="O1717" s="819">
        <f t="shared" si="371"/>
        <v>408</v>
      </c>
      <c r="P1717" s="819">
        <f t="shared" si="374"/>
        <v>227</v>
      </c>
      <c r="Q1717" s="819">
        <f t="shared" si="375"/>
        <v>661</v>
      </c>
      <c r="R1717" s="819">
        <f t="shared" si="376"/>
        <v>1089</v>
      </c>
      <c r="S1717" s="819">
        <f t="shared" si="377"/>
        <v>338</v>
      </c>
      <c r="T1717" s="819">
        <f t="shared" si="378"/>
        <v>386</v>
      </c>
      <c r="U1717" s="819">
        <f t="shared" si="379"/>
        <v>2701</v>
      </c>
      <c r="V1717" s="819">
        <f t="shared" si="380"/>
        <v>357</v>
      </c>
      <c r="W1717" s="379">
        <f t="shared" si="381"/>
        <v>357</v>
      </c>
      <c r="X1717" s="819" t="str">
        <f t="shared" si="382"/>
        <v/>
      </c>
      <c r="Y1717" s="837"/>
      <c r="Z1717" s="839"/>
      <c r="AA1717" s="838"/>
      <c r="AB1717" s="839"/>
    </row>
    <row r="1718" spans="1:28" ht="13.15">
      <c r="B1718" s="819" t="s">
        <v>3863</v>
      </c>
      <c r="C1718" s="819" t="s">
        <v>3864</v>
      </c>
      <c r="D1718" s="379" t="s">
        <v>336</v>
      </c>
      <c r="E1718" s="818" t="s">
        <v>191</v>
      </c>
      <c r="F1718" s="820">
        <v>5.7732227199999997</v>
      </c>
      <c r="G1718" s="821">
        <v>11.98788304</v>
      </c>
      <c r="H1718" s="822">
        <v>433823.41452710098</v>
      </c>
      <c r="I1718" s="819"/>
      <c r="J1718" s="820">
        <v>-1.44337E-4</v>
      </c>
      <c r="K1718" s="819">
        <f t="shared" si="372"/>
        <v>1606</v>
      </c>
      <c r="L1718" s="819">
        <f t="shared" si="373"/>
        <v>162</v>
      </c>
      <c r="M1718" s="819">
        <f t="shared" si="369"/>
        <v>1606</v>
      </c>
      <c r="N1718" s="819">
        <f t="shared" si="370"/>
        <v>364</v>
      </c>
      <c r="O1718" s="819">
        <f t="shared" si="371"/>
        <v>1058</v>
      </c>
      <c r="P1718" s="819">
        <f t="shared" si="374"/>
        <v>208</v>
      </c>
      <c r="Q1718" s="819">
        <f t="shared" si="375"/>
        <v>261</v>
      </c>
      <c r="R1718" s="819">
        <f t="shared" si="376"/>
        <v>1524</v>
      </c>
      <c r="S1718" s="819">
        <f t="shared" si="377"/>
        <v>338</v>
      </c>
      <c r="T1718" s="819">
        <f t="shared" si="378"/>
        <v>1036</v>
      </c>
      <c r="U1718" s="819">
        <f t="shared" si="379"/>
        <v>3367</v>
      </c>
      <c r="V1718" s="819">
        <f t="shared" si="380"/>
        <v>1428</v>
      </c>
      <c r="W1718" s="379">
        <f t="shared" si="381"/>
        <v>1428</v>
      </c>
      <c r="X1718" s="819" t="str">
        <f t="shared" si="382"/>
        <v/>
      </c>
      <c r="Y1718" s="837"/>
      <c r="Z1718" s="839"/>
      <c r="AA1718" s="838"/>
      <c r="AB1718" s="839"/>
    </row>
    <row r="1719" spans="1:28" ht="14.45">
      <c r="A1719" s="816"/>
      <c r="B1719" s="819" t="s">
        <v>3865</v>
      </c>
      <c r="C1719" s="819" t="s">
        <v>3866</v>
      </c>
      <c r="D1719" s="379" t="s">
        <v>336</v>
      </c>
      <c r="E1719" s="818" t="s">
        <v>625</v>
      </c>
      <c r="F1719" s="820">
        <v>2.6801593619999999</v>
      </c>
      <c r="G1719" s="821">
        <v>0.74595404200000004</v>
      </c>
      <c r="H1719" s="822">
        <v>107051914.004944</v>
      </c>
      <c r="I1719" s="819"/>
      <c r="J1719" s="820">
        <v>-5.8919599999999997E-5</v>
      </c>
      <c r="K1719" s="819">
        <f t="shared" si="372"/>
        <v>706</v>
      </c>
      <c r="L1719" s="819">
        <f t="shared" si="373"/>
        <v>862</v>
      </c>
      <c r="M1719" s="819">
        <f t="shared" si="369"/>
        <v>706</v>
      </c>
      <c r="N1719" s="819">
        <f t="shared" si="370"/>
        <v>364</v>
      </c>
      <c r="O1719" s="819">
        <f t="shared" si="371"/>
        <v>935</v>
      </c>
      <c r="P1719" s="819">
        <f t="shared" si="374"/>
        <v>692</v>
      </c>
      <c r="Q1719" s="819">
        <f t="shared" si="375"/>
        <v>439</v>
      </c>
      <c r="R1719" s="819">
        <f t="shared" si="376"/>
        <v>624</v>
      </c>
      <c r="S1719" s="819">
        <f t="shared" si="377"/>
        <v>338</v>
      </c>
      <c r="T1719" s="819">
        <f t="shared" si="378"/>
        <v>913</v>
      </c>
      <c r="U1719" s="819">
        <f t="shared" si="379"/>
        <v>3006</v>
      </c>
      <c r="V1719" s="819">
        <f t="shared" si="380"/>
        <v>934</v>
      </c>
      <c r="W1719" s="379">
        <f t="shared" si="381"/>
        <v>934</v>
      </c>
      <c r="X1719" s="819" t="str">
        <f t="shared" si="382"/>
        <v/>
      </c>
      <c r="Y1719" s="837"/>
      <c r="Z1719" s="839"/>
      <c r="AA1719" s="838"/>
      <c r="AB1719" s="839"/>
    </row>
    <row r="1720" spans="1:28" ht="13.15">
      <c r="B1720" s="819" t="s">
        <v>3867</v>
      </c>
      <c r="C1720" s="819" t="s">
        <v>3868</v>
      </c>
      <c r="D1720" s="379" t="s">
        <v>336</v>
      </c>
      <c r="E1720" s="818" t="s">
        <v>460</v>
      </c>
      <c r="F1720" s="820">
        <v>0.67379350000000005</v>
      </c>
      <c r="G1720" s="821">
        <v>1.9287806000000001E-2</v>
      </c>
      <c r="H1720" s="822">
        <v>78215257.3859891</v>
      </c>
      <c r="I1720" s="819">
        <v>0.03</v>
      </c>
      <c r="J1720" s="820">
        <v>-1.057072E-3</v>
      </c>
      <c r="K1720" s="819">
        <f t="shared" si="372"/>
        <v>777</v>
      </c>
      <c r="L1720" s="819">
        <f t="shared" si="373"/>
        <v>1062</v>
      </c>
      <c r="M1720" s="819">
        <f t="shared" si="369"/>
        <v>777</v>
      </c>
      <c r="N1720" s="819">
        <f t="shared" si="370"/>
        <v>323</v>
      </c>
      <c r="O1720" s="819">
        <f t="shared" si="371"/>
        <v>1405</v>
      </c>
      <c r="P1720" s="819">
        <f t="shared" si="374"/>
        <v>621</v>
      </c>
      <c r="Q1720" s="819">
        <f t="shared" si="375"/>
        <v>639</v>
      </c>
      <c r="R1720" s="819">
        <f t="shared" si="376"/>
        <v>695</v>
      </c>
      <c r="S1720" s="819">
        <f t="shared" si="377"/>
        <v>297</v>
      </c>
      <c r="T1720" s="819">
        <f t="shared" si="378"/>
        <v>1383</v>
      </c>
      <c r="U1720" s="819">
        <f t="shared" si="379"/>
        <v>3635</v>
      </c>
      <c r="V1720" s="819">
        <f t="shared" si="380"/>
        <v>1644</v>
      </c>
      <c r="W1720" s="379">
        <f t="shared" si="381"/>
        <v>1644</v>
      </c>
      <c r="X1720" s="819" t="str">
        <f t="shared" si="382"/>
        <v/>
      </c>
      <c r="Y1720" s="837"/>
      <c r="Z1720" s="839"/>
      <c r="AA1720" s="838"/>
      <c r="AB1720" s="839"/>
    </row>
    <row r="1721" spans="1:28" ht="14.45">
      <c r="A1721" s="816"/>
      <c r="B1721" s="819" t="s">
        <v>3869</v>
      </c>
      <c r="C1721" s="819" t="s">
        <v>3870</v>
      </c>
      <c r="D1721" s="379" t="s">
        <v>336</v>
      </c>
      <c r="E1721" s="818" t="s">
        <v>676</v>
      </c>
      <c r="F1721" s="820">
        <v>2.3008753710000001</v>
      </c>
      <c r="G1721" s="821">
        <v>0.48428354499999998</v>
      </c>
      <c r="H1721" s="822">
        <v>1710562041.81374</v>
      </c>
      <c r="I1721" s="819"/>
      <c r="J1721" s="820">
        <v>-4.0884E-4</v>
      </c>
      <c r="K1721" s="819">
        <f t="shared" si="372"/>
        <v>167</v>
      </c>
      <c r="L1721" s="819">
        <f t="shared" si="373"/>
        <v>928</v>
      </c>
      <c r="M1721" s="819">
        <f t="shared" si="369"/>
        <v>167</v>
      </c>
      <c r="N1721" s="819">
        <f t="shared" si="370"/>
        <v>364</v>
      </c>
      <c r="O1721" s="819">
        <f t="shared" si="371"/>
        <v>1231</v>
      </c>
      <c r="P1721" s="819">
        <f t="shared" si="374"/>
        <v>1231</v>
      </c>
      <c r="Q1721" s="819">
        <f t="shared" si="375"/>
        <v>505</v>
      </c>
      <c r="R1721" s="819">
        <f t="shared" si="376"/>
        <v>85</v>
      </c>
      <c r="S1721" s="819">
        <f t="shared" si="377"/>
        <v>338</v>
      </c>
      <c r="T1721" s="819">
        <f t="shared" si="378"/>
        <v>1209</v>
      </c>
      <c r="U1721" s="819">
        <f t="shared" si="379"/>
        <v>3368</v>
      </c>
      <c r="V1721" s="819">
        <f t="shared" si="380"/>
        <v>1431</v>
      </c>
      <c r="W1721" s="379">
        <f t="shared" si="381"/>
        <v>1431</v>
      </c>
      <c r="X1721" s="819" t="str">
        <f t="shared" si="382"/>
        <v/>
      </c>
      <c r="Y1721" s="837"/>
      <c r="Z1721" s="839"/>
      <c r="AA1721" s="838"/>
      <c r="AB1721" s="839"/>
    </row>
    <row r="1722" spans="1:28" ht="13.15">
      <c r="B1722" s="819" t="s">
        <v>3871</v>
      </c>
      <c r="C1722" s="819" t="s">
        <v>3872</v>
      </c>
      <c r="D1722" s="379" t="s">
        <v>336</v>
      </c>
      <c r="E1722" s="818" t="s">
        <v>441</v>
      </c>
      <c r="F1722" s="820">
        <v>3.08155343</v>
      </c>
      <c r="G1722" s="821">
        <v>7.6133180620000003</v>
      </c>
      <c r="H1722" s="822">
        <v>495829922.06599402</v>
      </c>
      <c r="I1722" s="819"/>
      <c r="J1722" s="820">
        <v>-2.4552100000000001E-4</v>
      </c>
      <c r="K1722" s="819">
        <f t="shared" si="372"/>
        <v>351</v>
      </c>
      <c r="L1722" s="819">
        <f t="shared" si="373"/>
        <v>269</v>
      </c>
      <c r="M1722" s="819">
        <f t="shared" si="369"/>
        <v>351</v>
      </c>
      <c r="N1722" s="819">
        <f t="shared" si="370"/>
        <v>364</v>
      </c>
      <c r="O1722" s="819">
        <f t="shared" si="371"/>
        <v>1144</v>
      </c>
      <c r="P1722" s="819">
        <f t="shared" si="374"/>
        <v>1047</v>
      </c>
      <c r="Q1722" s="819">
        <f t="shared" si="375"/>
        <v>154</v>
      </c>
      <c r="R1722" s="819">
        <f t="shared" si="376"/>
        <v>269</v>
      </c>
      <c r="S1722" s="819">
        <f t="shared" si="377"/>
        <v>338</v>
      </c>
      <c r="T1722" s="819">
        <f t="shared" si="378"/>
        <v>1122</v>
      </c>
      <c r="U1722" s="819">
        <f t="shared" si="379"/>
        <v>2930</v>
      </c>
      <c r="V1722" s="819">
        <f t="shared" si="380"/>
        <v>845</v>
      </c>
      <c r="W1722" s="379">
        <f t="shared" si="381"/>
        <v>845</v>
      </c>
      <c r="X1722" s="819" t="str">
        <f t="shared" si="382"/>
        <v/>
      </c>
      <c r="Y1722" s="837"/>
      <c r="Z1722" s="839"/>
      <c r="AA1722" s="838"/>
      <c r="AB1722" s="839"/>
    </row>
    <row r="1723" spans="1:28" ht="14.45">
      <c r="A1723" s="816"/>
      <c r="B1723" s="819" t="s">
        <v>3873</v>
      </c>
      <c r="C1723" s="819" t="s">
        <v>3874</v>
      </c>
      <c r="D1723" s="379" t="s">
        <v>336</v>
      </c>
      <c r="E1723" s="818" t="s">
        <v>625</v>
      </c>
      <c r="F1723" s="820">
        <v>2.0135043439999998</v>
      </c>
      <c r="G1723" s="821">
        <v>1.342501867</v>
      </c>
      <c r="H1723" s="822">
        <v>183700503.467244</v>
      </c>
      <c r="I1723" s="819"/>
      <c r="J1723" s="820">
        <v>-1.2320500000000001E-4</v>
      </c>
      <c r="K1723" s="819">
        <f t="shared" si="372"/>
        <v>592</v>
      </c>
      <c r="L1723" s="819">
        <f t="shared" si="373"/>
        <v>764</v>
      </c>
      <c r="M1723" s="819">
        <f t="shared" si="369"/>
        <v>592</v>
      </c>
      <c r="N1723" s="819">
        <f t="shared" si="370"/>
        <v>364</v>
      </c>
      <c r="O1723" s="819">
        <f t="shared" si="371"/>
        <v>1030</v>
      </c>
      <c r="P1723" s="819">
        <f t="shared" si="374"/>
        <v>806</v>
      </c>
      <c r="Q1723" s="819">
        <f t="shared" si="375"/>
        <v>341</v>
      </c>
      <c r="R1723" s="819">
        <f t="shared" si="376"/>
        <v>510</v>
      </c>
      <c r="S1723" s="819">
        <f t="shared" si="377"/>
        <v>338</v>
      </c>
      <c r="T1723" s="819">
        <f t="shared" si="378"/>
        <v>1008</v>
      </c>
      <c r="U1723" s="819">
        <f t="shared" si="379"/>
        <v>3003</v>
      </c>
      <c r="V1723" s="819">
        <f t="shared" si="380"/>
        <v>929</v>
      </c>
      <c r="W1723" s="379">
        <f t="shared" si="381"/>
        <v>929</v>
      </c>
      <c r="X1723" s="819" t="str">
        <f t="shared" si="382"/>
        <v/>
      </c>
      <c r="Y1723" s="837"/>
      <c r="Z1723" s="839"/>
      <c r="AA1723" s="838"/>
      <c r="AB1723" s="839"/>
    </row>
    <row r="1724" spans="1:28" ht="13.15">
      <c r="B1724" s="819" t="s">
        <v>3875</v>
      </c>
      <c r="C1724" s="819" t="s">
        <v>3876</v>
      </c>
      <c r="D1724" s="379" t="s">
        <v>336</v>
      </c>
      <c r="E1724" s="818" t="s">
        <v>441</v>
      </c>
      <c r="F1724" s="820">
        <v>2.632055797</v>
      </c>
      <c r="G1724" s="821">
        <v>-11.15280716</v>
      </c>
      <c r="H1724" s="822">
        <v>57600</v>
      </c>
      <c r="I1724" s="819"/>
      <c r="J1724" s="820">
        <v>7.8170799999999995E-8</v>
      </c>
      <c r="K1724" s="819">
        <f t="shared" si="372"/>
        <v>1659</v>
      </c>
      <c r="L1724" s="819">
        <f t="shared" si="373"/>
        <v>1456</v>
      </c>
      <c r="M1724" s="819">
        <f t="shared" si="369"/>
        <v>1659</v>
      </c>
      <c r="N1724" s="819">
        <f t="shared" si="370"/>
        <v>364</v>
      </c>
      <c r="O1724" s="819">
        <f t="shared" si="371"/>
        <v>490</v>
      </c>
      <c r="P1724" s="819">
        <f t="shared" si="374"/>
        <v>261</v>
      </c>
      <c r="Q1724" s="819">
        <f t="shared" si="375"/>
        <v>1033</v>
      </c>
      <c r="R1724" s="819">
        <f t="shared" si="376"/>
        <v>1577</v>
      </c>
      <c r="S1724" s="819">
        <f t="shared" si="377"/>
        <v>338</v>
      </c>
      <c r="T1724" s="819">
        <f t="shared" si="378"/>
        <v>468</v>
      </c>
      <c r="U1724" s="819">
        <f t="shared" si="379"/>
        <v>3677</v>
      </c>
      <c r="V1724" s="819">
        <f t="shared" si="380"/>
        <v>1668</v>
      </c>
      <c r="W1724" s="379">
        <f t="shared" si="381"/>
        <v>1668</v>
      </c>
      <c r="X1724" s="819" t="str">
        <f t="shared" si="382"/>
        <v/>
      </c>
      <c r="Y1724" s="837"/>
      <c r="Z1724" s="839"/>
      <c r="AA1724" s="838"/>
      <c r="AB1724" s="839"/>
    </row>
    <row r="1725" spans="1:28" ht="14.45">
      <c r="A1725" s="816"/>
      <c r="B1725" s="819" t="s">
        <v>3877</v>
      </c>
      <c r="C1725" s="819" t="s">
        <v>3878</v>
      </c>
      <c r="D1725" s="379" t="s">
        <v>336</v>
      </c>
      <c r="E1725" s="818" t="s">
        <v>460</v>
      </c>
      <c r="F1725" s="820">
        <v>1.023918372</v>
      </c>
      <c r="G1725" s="821">
        <v>7.6663642940000001</v>
      </c>
      <c r="H1725" s="822">
        <v>7046197.6388805704</v>
      </c>
      <c r="I1725" s="819"/>
      <c r="J1725" s="820">
        <v>-2.35514E-5</v>
      </c>
      <c r="K1725" s="819">
        <f t="shared" si="372"/>
        <v>1320</v>
      </c>
      <c r="L1725" s="819">
        <f t="shared" si="373"/>
        <v>266</v>
      </c>
      <c r="M1725" s="819">
        <f t="shared" si="369"/>
        <v>1320</v>
      </c>
      <c r="N1725" s="819">
        <f t="shared" si="370"/>
        <v>364</v>
      </c>
      <c r="O1725" s="819">
        <f t="shared" si="371"/>
        <v>861</v>
      </c>
      <c r="P1725" s="819">
        <f t="shared" si="374"/>
        <v>78</v>
      </c>
      <c r="Q1725" s="819">
        <f t="shared" si="375"/>
        <v>157</v>
      </c>
      <c r="R1725" s="819">
        <f t="shared" si="376"/>
        <v>1238</v>
      </c>
      <c r="S1725" s="819">
        <f t="shared" si="377"/>
        <v>338</v>
      </c>
      <c r="T1725" s="819">
        <f t="shared" si="378"/>
        <v>839</v>
      </c>
      <c r="U1725" s="819">
        <f t="shared" si="379"/>
        <v>2650</v>
      </c>
      <c r="V1725" s="819">
        <f t="shared" si="380"/>
        <v>319</v>
      </c>
      <c r="W1725" s="379">
        <f t="shared" si="381"/>
        <v>319</v>
      </c>
      <c r="X1725" s="819" t="str">
        <f t="shared" si="382"/>
        <v/>
      </c>
      <c r="Y1725" s="837"/>
      <c r="Z1725" s="839"/>
      <c r="AA1725" s="838"/>
      <c r="AB1725" s="839"/>
    </row>
    <row r="1726" spans="1:28" ht="13.15">
      <c r="B1726" s="819" t="s">
        <v>3879</v>
      </c>
      <c r="C1726" s="819" t="s">
        <v>3880</v>
      </c>
      <c r="D1726" s="379" t="s">
        <v>336</v>
      </c>
      <c r="E1726" s="818" t="s">
        <v>941</v>
      </c>
      <c r="F1726" s="820">
        <v>1.5703548700000001</v>
      </c>
      <c r="G1726" s="821">
        <v>1.77845627</v>
      </c>
      <c r="H1726" s="822">
        <v>28378682.275471002</v>
      </c>
      <c r="I1726" s="819"/>
      <c r="J1726" s="820">
        <v>-9.0253099999999998E-5</v>
      </c>
      <c r="K1726" s="819">
        <f t="shared" si="372"/>
        <v>1016</v>
      </c>
      <c r="L1726" s="819">
        <f t="shared" si="373"/>
        <v>706</v>
      </c>
      <c r="M1726" s="819">
        <f t="shared" si="369"/>
        <v>1016</v>
      </c>
      <c r="N1726" s="819">
        <f t="shared" si="370"/>
        <v>364</v>
      </c>
      <c r="O1726" s="819">
        <f t="shared" si="371"/>
        <v>996</v>
      </c>
      <c r="P1726" s="819">
        <f t="shared" si="374"/>
        <v>382</v>
      </c>
      <c r="Q1726" s="819">
        <f t="shared" si="375"/>
        <v>283</v>
      </c>
      <c r="R1726" s="819">
        <f t="shared" si="376"/>
        <v>934</v>
      </c>
      <c r="S1726" s="819">
        <f t="shared" si="377"/>
        <v>338</v>
      </c>
      <c r="T1726" s="819">
        <f t="shared" si="378"/>
        <v>974</v>
      </c>
      <c r="U1726" s="819">
        <f t="shared" si="379"/>
        <v>2911</v>
      </c>
      <c r="V1726" s="819">
        <f t="shared" si="380"/>
        <v>821</v>
      </c>
      <c r="W1726" s="379">
        <f t="shared" si="381"/>
        <v>821</v>
      </c>
      <c r="X1726" s="819" t="str">
        <f t="shared" si="382"/>
        <v/>
      </c>
      <c r="Y1726" s="837"/>
      <c r="Z1726" s="839"/>
      <c r="AA1726" s="838"/>
      <c r="AB1726" s="839"/>
    </row>
    <row r="1727" spans="1:28" ht="14.45">
      <c r="A1727" s="816"/>
      <c r="B1727" s="819" t="s">
        <v>3881</v>
      </c>
      <c r="C1727" s="819" t="s">
        <v>3882</v>
      </c>
      <c r="D1727" s="379" t="s">
        <v>336</v>
      </c>
      <c r="E1727" s="818" t="s">
        <v>425</v>
      </c>
      <c r="F1727" s="820">
        <v>2.9966410909999999</v>
      </c>
      <c r="G1727" s="821">
        <v>6.8332897990000001</v>
      </c>
      <c r="H1727" s="822">
        <v>138596092.29033399</v>
      </c>
      <c r="I1727" s="819"/>
      <c r="J1727" s="820">
        <v>-1.27778E-5</v>
      </c>
      <c r="K1727" s="819">
        <f t="shared" si="372"/>
        <v>642</v>
      </c>
      <c r="L1727" s="819">
        <f t="shared" si="373"/>
        <v>291</v>
      </c>
      <c r="M1727" s="819">
        <f t="shared" si="369"/>
        <v>642</v>
      </c>
      <c r="N1727" s="819">
        <f t="shared" si="370"/>
        <v>364</v>
      </c>
      <c r="O1727" s="819">
        <f t="shared" si="371"/>
        <v>824</v>
      </c>
      <c r="P1727" s="819">
        <f t="shared" si="374"/>
        <v>756</v>
      </c>
      <c r="Q1727" s="819">
        <f t="shared" si="375"/>
        <v>132</v>
      </c>
      <c r="R1727" s="819">
        <f t="shared" si="376"/>
        <v>560</v>
      </c>
      <c r="S1727" s="819">
        <f t="shared" si="377"/>
        <v>338</v>
      </c>
      <c r="T1727" s="819">
        <f t="shared" si="378"/>
        <v>802</v>
      </c>
      <c r="U1727" s="819">
        <f t="shared" si="379"/>
        <v>2588</v>
      </c>
      <c r="V1727" s="819">
        <f t="shared" si="380"/>
        <v>280</v>
      </c>
      <c r="W1727" s="379">
        <f t="shared" si="381"/>
        <v>280</v>
      </c>
      <c r="X1727" s="819" t="str">
        <f t="shared" si="382"/>
        <v/>
      </c>
      <c r="Y1727" s="837"/>
      <c r="Z1727" s="839"/>
      <c r="AA1727" s="838"/>
      <c r="AB1727" s="839"/>
    </row>
    <row r="1728" spans="1:28" ht="13.15">
      <c r="B1728" s="819" t="s">
        <v>3883</v>
      </c>
      <c r="C1728" s="819" t="s">
        <v>3884</v>
      </c>
      <c r="D1728" s="379" t="s">
        <v>336</v>
      </c>
      <c r="E1728" s="818" t="s">
        <v>460</v>
      </c>
      <c r="F1728" s="820">
        <v>4.7905036189999999</v>
      </c>
      <c r="G1728" s="821">
        <v>5.5047509479999999</v>
      </c>
      <c r="H1728" s="822">
        <v>13436366.0334392</v>
      </c>
      <c r="I1728" s="819"/>
      <c r="J1728" s="820">
        <v>-4.2539299999999996E-6</v>
      </c>
      <c r="K1728" s="819">
        <f t="shared" si="372"/>
        <v>1190</v>
      </c>
      <c r="L1728" s="819">
        <f t="shared" si="373"/>
        <v>350</v>
      </c>
      <c r="M1728" s="819">
        <f t="shared" si="369"/>
        <v>1190</v>
      </c>
      <c r="N1728" s="819">
        <f t="shared" si="370"/>
        <v>364</v>
      </c>
      <c r="O1728" s="819">
        <f t="shared" si="371"/>
        <v>781</v>
      </c>
      <c r="P1728" s="819">
        <f t="shared" si="374"/>
        <v>208</v>
      </c>
      <c r="Q1728" s="819">
        <f t="shared" si="375"/>
        <v>73</v>
      </c>
      <c r="R1728" s="819">
        <f t="shared" si="376"/>
        <v>1108</v>
      </c>
      <c r="S1728" s="819">
        <f t="shared" si="377"/>
        <v>338</v>
      </c>
      <c r="T1728" s="819">
        <f t="shared" si="378"/>
        <v>759</v>
      </c>
      <c r="U1728" s="819">
        <f t="shared" si="379"/>
        <v>2486</v>
      </c>
      <c r="V1728" s="819">
        <f t="shared" si="380"/>
        <v>245</v>
      </c>
      <c r="W1728" s="379">
        <f t="shared" si="381"/>
        <v>245</v>
      </c>
      <c r="X1728" s="819" t="str">
        <f t="shared" si="382"/>
        <v/>
      </c>
      <c r="Y1728" s="837"/>
      <c r="Z1728" s="839"/>
      <c r="AA1728" s="838"/>
      <c r="AB1728" s="839"/>
    </row>
    <row r="1729" spans="1:28" ht="14.45">
      <c r="A1729" s="816"/>
      <c r="B1729" s="819" t="s">
        <v>3885</v>
      </c>
      <c r="C1729" s="819" t="s">
        <v>3886</v>
      </c>
      <c r="D1729" s="379" t="s">
        <v>336</v>
      </c>
      <c r="E1729" s="818" t="s">
        <v>460</v>
      </c>
      <c r="F1729" s="820">
        <v>1.1428484000000001</v>
      </c>
      <c r="G1729" s="821">
        <v>2.6478785569999999</v>
      </c>
      <c r="H1729" s="822">
        <v>4049259.3467969098</v>
      </c>
      <c r="I1729" s="819"/>
      <c r="J1729" s="820">
        <v>-6.5438900000000001E-5</v>
      </c>
      <c r="K1729" s="819">
        <f t="shared" si="372"/>
        <v>1402</v>
      </c>
      <c r="L1729" s="819">
        <f t="shared" si="373"/>
        <v>587</v>
      </c>
      <c r="M1729" s="819">
        <f t="shared" si="369"/>
        <v>1402</v>
      </c>
      <c r="N1729" s="819">
        <f t="shared" si="370"/>
        <v>364</v>
      </c>
      <c r="O1729" s="819">
        <f t="shared" si="371"/>
        <v>946</v>
      </c>
      <c r="P1729" s="819">
        <f t="shared" si="374"/>
        <v>4</v>
      </c>
      <c r="Q1729" s="819">
        <f t="shared" si="375"/>
        <v>164</v>
      </c>
      <c r="R1729" s="819">
        <f t="shared" si="376"/>
        <v>1320</v>
      </c>
      <c r="S1729" s="819">
        <f t="shared" si="377"/>
        <v>338</v>
      </c>
      <c r="T1729" s="819">
        <f t="shared" si="378"/>
        <v>924</v>
      </c>
      <c r="U1729" s="819">
        <f t="shared" si="379"/>
        <v>2750</v>
      </c>
      <c r="V1729" s="819">
        <f t="shared" si="380"/>
        <v>417</v>
      </c>
      <c r="W1729" s="379">
        <f t="shared" si="381"/>
        <v>417</v>
      </c>
      <c r="X1729" s="819" t="str">
        <f t="shared" si="382"/>
        <v/>
      </c>
      <c r="Y1729" s="837"/>
      <c r="Z1729" s="839"/>
      <c r="AA1729" s="838"/>
      <c r="AB1729" s="839"/>
    </row>
    <row r="1730" spans="1:28" ht="13.15">
      <c r="B1730" s="819" t="s">
        <v>3887</v>
      </c>
      <c r="C1730" s="819" t="s">
        <v>3888</v>
      </c>
      <c r="D1730" s="379" t="s">
        <v>336</v>
      </c>
      <c r="E1730" s="818" t="s">
        <v>676</v>
      </c>
      <c r="F1730" s="820">
        <v>17.655498999999999</v>
      </c>
      <c r="G1730" s="821"/>
      <c r="H1730" s="822">
        <v>56394243.822970398</v>
      </c>
      <c r="I1730" s="819"/>
      <c r="J1730" s="820">
        <v>0</v>
      </c>
      <c r="K1730" s="819">
        <f t="shared" si="372"/>
        <v>847</v>
      </c>
      <c r="L1730" s="819">
        <f t="shared" si="373"/>
        <v>1084</v>
      </c>
      <c r="M1730" s="819">
        <f t="shared" si="369"/>
        <v>847</v>
      </c>
      <c r="N1730" s="819">
        <f t="shared" si="370"/>
        <v>364</v>
      </c>
      <c r="O1730" s="819">
        <f t="shared" si="371"/>
        <v>492</v>
      </c>
      <c r="P1730" s="819">
        <f t="shared" si="374"/>
        <v>551</v>
      </c>
      <c r="Q1730" s="819">
        <f t="shared" si="375"/>
        <v>661</v>
      </c>
      <c r="R1730" s="819">
        <f t="shared" si="376"/>
        <v>765</v>
      </c>
      <c r="S1730" s="819">
        <f t="shared" si="377"/>
        <v>338</v>
      </c>
      <c r="T1730" s="819">
        <f t="shared" si="378"/>
        <v>470</v>
      </c>
      <c r="U1730" s="819">
        <f t="shared" si="379"/>
        <v>2785</v>
      </c>
      <c r="V1730" s="819">
        <f t="shared" si="380"/>
        <v>463</v>
      </c>
      <c r="W1730" s="379">
        <f t="shared" si="381"/>
        <v>463</v>
      </c>
      <c r="X1730" s="819" t="str">
        <f t="shared" si="382"/>
        <v/>
      </c>
      <c r="Y1730" s="837"/>
      <c r="Z1730" s="839"/>
      <c r="AA1730" s="838"/>
      <c r="AB1730" s="839"/>
    </row>
    <row r="1731" spans="1:28" ht="14.45">
      <c r="A1731" s="816"/>
      <c r="B1731" s="819" t="s">
        <v>3889</v>
      </c>
      <c r="C1731" s="819" t="s">
        <v>3890</v>
      </c>
      <c r="D1731" s="379" t="s">
        <v>336</v>
      </c>
      <c r="E1731" s="818" t="s">
        <v>418</v>
      </c>
      <c r="F1731" s="820">
        <v>11.435343570000001</v>
      </c>
      <c r="G1731" s="821">
        <v>9.5826231160000006</v>
      </c>
      <c r="H1731" s="822">
        <v>121353725.64252</v>
      </c>
      <c r="I1731" s="819"/>
      <c r="J1731" s="820">
        <v>-3.0098899999999999E-4</v>
      </c>
      <c r="K1731" s="819">
        <f t="shared" si="372"/>
        <v>668</v>
      </c>
      <c r="L1731" s="819">
        <f t="shared" si="373"/>
        <v>206</v>
      </c>
      <c r="M1731" s="819">
        <f t="shared" si="369"/>
        <v>668</v>
      </c>
      <c r="N1731" s="819">
        <f t="shared" si="370"/>
        <v>364</v>
      </c>
      <c r="O1731" s="819">
        <f t="shared" si="371"/>
        <v>1179</v>
      </c>
      <c r="P1731" s="819">
        <f t="shared" si="374"/>
        <v>730</v>
      </c>
      <c r="Q1731" s="819">
        <f t="shared" si="375"/>
        <v>217</v>
      </c>
      <c r="R1731" s="819">
        <f t="shared" si="376"/>
        <v>586</v>
      </c>
      <c r="S1731" s="819">
        <f t="shared" si="377"/>
        <v>338</v>
      </c>
      <c r="T1731" s="819">
        <f t="shared" si="378"/>
        <v>1157</v>
      </c>
      <c r="U1731" s="819">
        <f t="shared" si="379"/>
        <v>3028</v>
      </c>
      <c r="V1731" s="819">
        <f t="shared" si="380"/>
        <v>961</v>
      </c>
      <c r="W1731" s="379">
        <f t="shared" si="381"/>
        <v>961</v>
      </c>
      <c r="X1731" s="819" t="str">
        <f t="shared" si="382"/>
        <v/>
      </c>
      <c r="Y1731" s="837"/>
      <c r="Z1731" s="839"/>
      <c r="AA1731" s="838"/>
      <c r="AB1731" s="839"/>
    </row>
    <row r="1732" spans="1:28" ht="13.15">
      <c r="B1732" s="819" t="s">
        <v>3891</v>
      </c>
      <c r="C1732" s="819" t="s">
        <v>3892</v>
      </c>
      <c r="D1732" s="379" t="s">
        <v>336</v>
      </c>
      <c r="E1732" s="818" t="s">
        <v>625</v>
      </c>
      <c r="F1732" s="820">
        <v>2.2617554860000002</v>
      </c>
      <c r="G1732" s="821"/>
      <c r="H1732" s="822">
        <v>232733312.73176801</v>
      </c>
      <c r="I1732" s="819"/>
      <c r="J1732" s="820">
        <v>0</v>
      </c>
      <c r="K1732" s="819">
        <f t="shared" si="372"/>
        <v>530</v>
      </c>
      <c r="L1732" s="819">
        <f t="shared" si="373"/>
        <v>1084</v>
      </c>
      <c r="M1732" s="819">
        <f t="shared" ref="M1732:M1787" si="383">IFERROR(_xlfn.RANK.EQ(H1732,H$3:H$1787),"N/A")</f>
        <v>530</v>
      </c>
      <c r="N1732" s="819">
        <f t="shared" ref="N1732:N1787" si="384">IFERROR(_xlfn.RANK.EQ(I1732,I$3:I$1787),"N/A")</f>
        <v>364</v>
      </c>
      <c r="O1732" s="819">
        <f t="shared" ref="O1732:O1787" si="385">IFERROR(_xlfn.RANK.EQ(J1732,J$3:J$1787),"N/A")</f>
        <v>492</v>
      </c>
      <c r="P1732" s="819">
        <f t="shared" si="374"/>
        <v>868</v>
      </c>
      <c r="Q1732" s="819">
        <f t="shared" si="375"/>
        <v>661</v>
      </c>
      <c r="R1732" s="819">
        <f t="shared" si="376"/>
        <v>448</v>
      </c>
      <c r="S1732" s="819">
        <f t="shared" si="377"/>
        <v>338</v>
      </c>
      <c r="T1732" s="819">
        <f t="shared" si="378"/>
        <v>470</v>
      </c>
      <c r="U1732" s="819">
        <f t="shared" si="379"/>
        <v>2785</v>
      </c>
      <c r="V1732" s="819">
        <f t="shared" si="380"/>
        <v>463</v>
      </c>
      <c r="W1732" s="379">
        <f t="shared" si="381"/>
        <v>463</v>
      </c>
      <c r="X1732" s="819" t="str">
        <f t="shared" si="382"/>
        <v/>
      </c>
      <c r="Y1732" s="837"/>
      <c r="Z1732" s="839"/>
      <c r="AA1732" s="838"/>
      <c r="AB1732" s="839"/>
    </row>
    <row r="1733" spans="1:28" ht="14.45">
      <c r="A1733" s="816"/>
      <c r="B1733" s="819" t="s">
        <v>3893</v>
      </c>
      <c r="C1733" s="819" t="s">
        <v>3894</v>
      </c>
      <c r="D1733" s="379" t="s">
        <v>336</v>
      </c>
      <c r="E1733" s="818" t="s">
        <v>887</v>
      </c>
      <c r="F1733" s="820">
        <v>2.8969790629999999</v>
      </c>
      <c r="G1733" s="821">
        <v>0.67805997399999995</v>
      </c>
      <c r="H1733" s="822">
        <v>39889078.498293497</v>
      </c>
      <c r="I1733" s="819"/>
      <c r="J1733" s="820">
        <v>-1.6914400000000001E-4</v>
      </c>
      <c r="K1733" s="819">
        <f t="shared" ref="K1733:K1787" si="386">IFERROR(_xlfn.RANK.EQ(H1733,H$3:H$1787),"N/A")</f>
        <v>927</v>
      </c>
      <c r="L1733" s="819">
        <f t="shared" ref="L1733:L1787" si="387">IFERROR(_xlfn.RANK.EQ(G1733,G$3:G$1787),"N/A")</f>
        <v>881</v>
      </c>
      <c r="M1733" s="819">
        <f t="shared" si="383"/>
        <v>927</v>
      </c>
      <c r="N1733" s="819">
        <f t="shared" si="384"/>
        <v>364</v>
      </c>
      <c r="O1733" s="819">
        <f t="shared" si="385"/>
        <v>1079</v>
      </c>
      <c r="P1733" s="819">
        <f t="shared" ref="P1733:P1787" si="388">IFERROR(ABS(K$3-K1733),"N/A")</f>
        <v>471</v>
      </c>
      <c r="Q1733" s="819">
        <f t="shared" ref="Q1733:Q1787" si="389">IFERROR(ABS(L$3-L1733),"N/A")</f>
        <v>458</v>
      </c>
      <c r="R1733" s="819">
        <f t="shared" ref="R1733:R1787" si="390">IFERROR(ABS(M$3-M1733),"N/A")</f>
        <v>845</v>
      </c>
      <c r="S1733" s="819">
        <f t="shared" ref="S1733:S1787" si="391">IFERROR(ABS(N$3-N1733),"N/A")</f>
        <v>338</v>
      </c>
      <c r="T1733" s="819">
        <f t="shared" ref="T1733:T1787" si="392">IFERROR(ABS(O$3-O1733),"N/A")</f>
        <v>1057</v>
      </c>
      <c r="U1733" s="819">
        <f t="shared" ref="U1733:U1787" si="393">SUM(P1733:T1733)</f>
        <v>3169</v>
      </c>
      <c r="V1733" s="819">
        <f t="shared" ref="V1733:V1787" si="394">_xlfn.RANK.EQ(U1733,$U$4:$U$1787,1)</f>
        <v>1155</v>
      </c>
      <c r="W1733" s="379">
        <f t="shared" ref="W1733:W1787" si="395">IF(Y1733="Not suitable","-",V1733)</f>
        <v>1155</v>
      </c>
      <c r="X1733" s="819" t="str">
        <f t="shared" si="382"/>
        <v/>
      </c>
      <c r="Y1733" s="837"/>
      <c r="Z1733" s="839"/>
      <c r="AA1733" s="838"/>
      <c r="AB1733" s="839"/>
    </row>
    <row r="1734" spans="1:28" ht="13.15">
      <c r="B1734" s="819" t="s">
        <v>3895</v>
      </c>
      <c r="C1734" s="819" t="s">
        <v>3896</v>
      </c>
      <c r="D1734" s="379" t="s">
        <v>336</v>
      </c>
      <c r="E1734" s="818" t="s">
        <v>887</v>
      </c>
      <c r="F1734" s="820">
        <v>1.9150543019999999</v>
      </c>
      <c r="G1734" s="821">
        <v>23.345518089999999</v>
      </c>
      <c r="H1734" s="822">
        <v>249061433.447099</v>
      </c>
      <c r="I1734" s="819"/>
      <c r="J1734" s="820">
        <v>-3.5461599999999999E-5</v>
      </c>
      <c r="K1734" s="819">
        <f t="shared" si="386"/>
        <v>515</v>
      </c>
      <c r="L1734" s="819">
        <f t="shared" si="387"/>
        <v>83</v>
      </c>
      <c r="M1734" s="819">
        <f t="shared" si="383"/>
        <v>515</v>
      </c>
      <c r="N1734" s="819">
        <f t="shared" si="384"/>
        <v>364</v>
      </c>
      <c r="O1734" s="819">
        <f t="shared" si="385"/>
        <v>886</v>
      </c>
      <c r="P1734" s="819">
        <f t="shared" si="388"/>
        <v>883</v>
      </c>
      <c r="Q1734" s="819">
        <f t="shared" si="389"/>
        <v>340</v>
      </c>
      <c r="R1734" s="819">
        <f t="shared" si="390"/>
        <v>433</v>
      </c>
      <c r="S1734" s="819">
        <f t="shared" si="391"/>
        <v>338</v>
      </c>
      <c r="T1734" s="819">
        <f t="shared" si="392"/>
        <v>864</v>
      </c>
      <c r="U1734" s="819">
        <f t="shared" si="393"/>
        <v>2858</v>
      </c>
      <c r="V1734" s="819">
        <f t="shared" si="394"/>
        <v>739</v>
      </c>
      <c r="W1734" s="379">
        <f t="shared" si="395"/>
        <v>739</v>
      </c>
      <c r="X1734" s="819" t="str">
        <f t="shared" ref="X1734:X1787" si="396">IF(L1734="N/A","Y","")</f>
        <v/>
      </c>
      <c r="Y1734" s="837"/>
      <c r="Z1734" s="839"/>
      <c r="AA1734" s="838"/>
      <c r="AB1734" s="839"/>
    </row>
    <row r="1735" spans="1:28" ht="14.45">
      <c r="A1735" s="816"/>
      <c r="B1735" s="819" t="s">
        <v>3897</v>
      </c>
      <c r="C1735" s="819" t="s">
        <v>3898</v>
      </c>
      <c r="D1735" s="379" t="s">
        <v>336</v>
      </c>
      <c r="E1735" s="818" t="s">
        <v>1832</v>
      </c>
      <c r="F1735" s="820">
        <v>1.294579591</v>
      </c>
      <c r="G1735" s="821">
        <v>1.3370481219999999</v>
      </c>
      <c r="H1735" s="822">
        <v>32380857.920441099</v>
      </c>
      <c r="I1735" s="819"/>
      <c r="J1735" s="820">
        <v>-3.76994E-5</v>
      </c>
      <c r="K1735" s="819">
        <f t="shared" si="386"/>
        <v>981</v>
      </c>
      <c r="L1735" s="819">
        <f t="shared" si="387"/>
        <v>766</v>
      </c>
      <c r="M1735" s="819">
        <f t="shared" si="383"/>
        <v>981</v>
      </c>
      <c r="N1735" s="819">
        <f t="shared" si="384"/>
        <v>364</v>
      </c>
      <c r="O1735" s="819">
        <f t="shared" si="385"/>
        <v>894</v>
      </c>
      <c r="P1735" s="819">
        <f t="shared" si="388"/>
        <v>417</v>
      </c>
      <c r="Q1735" s="819">
        <f t="shared" si="389"/>
        <v>343</v>
      </c>
      <c r="R1735" s="819">
        <f t="shared" si="390"/>
        <v>899</v>
      </c>
      <c r="S1735" s="819">
        <f t="shared" si="391"/>
        <v>338</v>
      </c>
      <c r="T1735" s="819">
        <f t="shared" si="392"/>
        <v>872</v>
      </c>
      <c r="U1735" s="819">
        <f t="shared" si="393"/>
        <v>2869</v>
      </c>
      <c r="V1735" s="819">
        <f t="shared" si="394"/>
        <v>753</v>
      </c>
      <c r="W1735" s="379">
        <f t="shared" si="395"/>
        <v>753</v>
      </c>
      <c r="X1735" s="819" t="str">
        <f t="shared" si="396"/>
        <v/>
      </c>
      <c r="Y1735" s="837"/>
      <c r="Z1735" s="839"/>
      <c r="AA1735" s="838"/>
      <c r="AB1735" s="839"/>
    </row>
    <row r="1736" spans="1:28" ht="13.15">
      <c r="B1736" s="819" t="s">
        <v>3899</v>
      </c>
      <c r="C1736" s="819" t="s">
        <v>3900</v>
      </c>
      <c r="D1736" s="379" t="s">
        <v>336</v>
      </c>
      <c r="E1736" s="818" t="s">
        <v>887</v>
      </c>
      <c r="F1736" s="820">
        <v>0.99914387000000005</v>
      </c>
      <c r="G1736" s="821">
        <v>1.2194801980000001</v>
      </c>
      <c r="H1736" s="822">
        <v>32476535.836177502</v>
      </c>
      <c r="I1736" s="819"/>
      <c r="J1736" s="820">
        <v>-3.9530799999999998E-5</v>
      </c>
      <c r="K1736" s="819">
        <f t="shared" si="386"/>
        <v>978</v>
      </c>
      <c r="L1736" s="819">
        <f t="shared" si="387"/>
        <v>779</v>
      </c>
      <c r="M1736" s="819">
        <f t="shared" si="383"/>
        <v>978</v>
      </c>
      <c r="N1736" s="819">
        <f t="shared" si="384"/>
        <v>364</v>
      </c>
      <c r="O1736" s="819">
        <f t="shared" si="385"/>
        <v>897</v>
      </c>
      <c r="P1736" s="819">
        <f t="shared" si="388"/>
        <v>420</v>
      </c>
      <c r="Q1736" s="819">
        <f t="shared" si="389"/>
        <v>356</v>
      </c>
      <c r="R1736" s="819">
        <f t="shared" si="390"/>
        <v>896</v>
      </c>
      <c r="S1736" s="819">
        <f t="shared" si="391"/>
        <v>338</v>
      </c>
      <c r="T1736" s="819">
        <f t="shared" si="392"/>
        <v>875</v>
      </c>
      <c r="U1736" s="819">
        <f t="shared" si="393"/>
        <v>2885</v>
      </c>
      <c r="V1736" s="819">
        <f t="shared" si="394"/>
        <v>783</v>
      </c>
      <c r="W1736" s="379">
        <f t="shared" si="395"/>
        <v>783</v>
      </c>
      <c r="X1736" s="819" t="str">
        <f t="shared" si="396"/>
        <v/>
      </c>
      <c r="Y1736" s="837"/>
      <c r="Z1736" s="839"/>
      <c r="AA1736" s="838"/>
      <c r="AB1736" s="839"/>
    </row>
    <row r="1737" spans="1:28" ht="14.45">
      <c r="A1737" s="816"/>
      <c r="B1737" s="819" t="s">
        <v>3901</v>
      </c>
      <c r="C1737" s="819" t="s">
        <v>3902</v>
      </c>
      <c r="D1737" s="379" t="s">
        <v>336</v>
      </c>
      <c r="E1737" s="818" t="s">
        <v>676</v>
      </c>
      <c r="F1737" s="820">
        <v>4.230217262</v>
      </c>
      <c r="G1737" s="821">
        <v>1.24103512</v>
      </c>
      <c r="H1737" s="822">
        <v>38555525.3869128</v>
      </c>
      <c r="I1737" s="819"/>
      <c r="J1737" s="820">
        <v>-1.6979899999999999E-4</v>
      </c>
      <c r="K1737" s="819">
        <f t="shared" si="386"/>
        <v>934</v>
      </c>
      <c r="L1737" s="819">
        <f t="shared" si="387"/>
        <v>774</v>
      </c>
      <c r="M1737" s="819">
        <f t="shared" si="383"/>
        <v>934</v>
      </c>
      <c r="N1737" s="819">
        <f t="shared" si="384"/>
        <v>364</v>
      </c>
      <c r="O1737" s="819">
        <f t="shared" si="385"/>
        <v>1082</v>
      </c>
      <c r="P1737" s="819">
        <f t="shared" si="388"/>
        <v>464</v>
      </c>
      <c r="Q1737" s="819">
        <f t="shared" si="389"/>
        <v>351</v>
      </c>
      <c r="R1737" s="819">
        <f t="shared" si="390"/>
        <v>852</v>
      </c>
      <c r="S1737" s="819">
        <f t="shared" si="391"/>
        <v>338</v>
      </c>
      <c r="T1737" s="819">
        <f t="shared" si="392"/>
        <v>1060</v>
      </c>
      <c r="U1737" s="819">
        <f t="shared" si="393"/>
        <v>3065</v>
      </c>
      <c r="V1737" s="819">
        <f t="shared" si="394"/>
        <v>1008</v>
      </c>
      <c r="W1737" s="379">
        <f t="shared" si="395"/>
        <v>1008</v>
      </c>
      <c r="X1737" s="819" t="str">
        <f t="shared" si="396"/>
        <v/>
      </c>
      <c r="Y1737" s="837"/>
      <c r="Z1737" s="839"/>
      <c r="AA1737" s="838"/>
      <c r="AB1737" s="839"/>
    </row>
    <row r="1738" spans="1:28" ht="13.15">
      <c r="B1738" s="819" t="s">
        <v>3903</v>
      </c>
      <c r="C1738" s="819" t="s">
        <v>3904</v>
      </c>
      <c r="D1738" s="379" t="s">
        <v>336</v>
      </c>
      <c r="E1738" s="818" t="s">
        <v>418</v>
      </c>
      <c r="F1738" s="820">
        <v>6.376885272</v>
      </c>
      <c r="G1738" s="821">
        <v>2.3089602390000001</v>
      </c>
      <c r="H1738" s="822">
        <v>123929790.897909</v>
      </c>
      <c r="I1738" s="819"/>
      <c r="J1738" s="820">
        <v>-7.7193400000000005E-4</v>
      </c>
      <c r="K1738" s="819">
        <f t="shared" si="386"/>
        <v>663</v>
      </c>
      <c r="L1738" s="819">
        <f t="shared" si="387"/>
        <v>627</v>
      </c>
      <c r="M1738" s="819">
        <f t="shared" si="383"/>
        <v>663</v>
      </c>
      <c r="N1738" s="819">
        <f t="shared" si="384"/>
        <v>364</v>
      </c>
      <c r="O1738" s="819">
        <f t="shared" si="385"/>
        <v>1358</v>
      </c>
      <c r="P1738" s="819">
        <f t="shared" si="388"/>
        <v>735</v>
      </c>
      <c r="Q1738" s="819">
        <f t="shared" si="389"/>
        <v>204</v>
      </c>
      <c r="R1738" s="819">
        <f t="shared" si="390"/>
        <v>581</v>
      </c>
      <c r="S1738" s="819">
        <f t="shared" si="391"/>
        <v>338</v>
      </c>
      <c r="T1738" s="819">
        <f t="shared" si="392"/>
        <v>1336</v>
      </c>
      <c r="U1738" s="819">
        <f t="shared" si="393"/>
        <v>3194</v>
      </c>
      <c r="V1738" s="819">
        <f t="shared" si="394"/>
        <v>1187</v>
      </c>
      <c r="W1738" s="379">
        <f t="shared" si="395"/>
        <v>1187</v>
      </c>
      <c r="X1738" s="819" t="str">
        <f t="shared" si="396"/>
        <v/>
      </c>
      <c r="Y1738" s="837"/>
      <c r="Z1738" s="839"/>
      <c r="AA1738" s="838"/>
      <c r="AB1738" s="839"/>
    </row>
    <row r="1739" spans="1:28" ht="14.45">
      <c r="A1739" s="816"/>
      <c r="B1739" s="819" t="s">
        <v>3905</v>
      </c>
      <c r="C1739" s="819" t="s">
        <v>3906</v>
      </c>
      <c r="D1739" s="379" t="s">
        <v>336</v>
      </c>
      <c r="E1739" s="818" t="s">
        <v>740</v>
      </c>
      <c r="F1739" s="820">
        <v>0.85876565999999999</v>
      </c>
      <c r="G1739" s="821">
        <v>1.5776115930000001</v>
      </c>
      <c r="H1739" s="822">
        <v>101917478.40000001</v>
      </c>
      <c r="I1739" s="819">
        <v>0.11</v>
      </c>
      <c r="J1739" s="820">
        <v>-1.39152E-4</v>
      </c>
      <c r="K1739" s="819">
        <f t="shared" si="386"/>
        <v>719</v>
      </c>
      <c r="L1739" s="819">
        <f t="shared" si="387"/>
        <v>732</v>
      </c>
      <c r="M1739" s="819">
        <f t="shared" si="383"/>
        <v>719</v>
      </c>
      <c r="N1739" s="819">
        <f t="shared" si="384"/>
        <v>258</v>
      </c>
      <c r="O1739" s="819">
        <f t="shared" si="385"/>
        <v>1053</v>
      </c>
      <c r="P1739" s="819">
        <f t="shared" si="388"/>
        <v>679</v>
      </c>
      <c r="Q1739" s="819">
        <f t="shared" si="389"/>
        <v>309</v>
      </c>
      <c r="R1739" s="819">
        <f t="shared" si="390"/>
        <v>637</v>
      </c>
      <c r="S1739" s="819">
        <f t="shared" si="391"/>
        <v>232</v>
      </c>
      <c r="T1739" s="819">
        <f t="shared" si="392"/>
        <v>1031</v>
      </c>
      <c r="U1739" s="819">
        <f t="shared" si="393"/>
        <v>2888</v>
      </c>
      <c r="V1739" s="819">
        <f t="shared" si="394"/>
        <v>789</v>
      </c>
      <c r="W1739" s="379">
        <f t="shared" si="395"/>
        <v>789</v>
      </c>
      <c r="X1739" s="819" t="str">
        <f t="shared" si="396"/>
        <v/>
      </c>
      <c r="Y1739" s="837"/>
      <c r="Z1739" s="839"/>
      <c r="AA1739" s="838"/>
      <c r="AB1739" s="839"/>
    </row>
    <row r="1740" spans="1:28" ht="13.15">
      <c r="B1740" s="819" t="s">
        <v>3907</v>
      </c>
      <c r="C1740" s="819" t="s">
        <v>3908</v>
      </c>
      <c r="D1740" s="379" t="s">
        <v>336</v>
      </c>
      <c r="E1740" s="818" t="s">
        <v>441</v>
      </c>
      <c r="F1740" s="820">
        <v>1.018947898</v>
      </c>
      <c r="G1740" s="821">
        <v>0.22967727299999999</v>
      </c>
      <c r="H1740" s="822"/>
      <c r="I1740" s="819"/>
      <c r="J1740" s="820">
        <v>-1.6572599999999999E-4</v>
      </c>
      <c r="K1740" s="819" t="str">
        <f t="shared" si="386"/>
        <v>N/A</v>
      </c>
      <c r="L1740" s="819">
        <f t="shared" si="387"/>
        <v>977</v>
      </c>
      <c r="M1740" s="819" t="str">
        <f t="shared" si="383"/>
        <v>N/A</v>
      </c>
      <c r="N1740" s="819">
        <f t="shared" si="384"/>
        <v>364</v>
      </c>
      <c r="O1740" s="819">
        <f t="shared" si="385"/>
        <v>1076</v>
      </c>
      <c r="P1740" s="819" t="str">
        <f t="shared" si="388"/>
        <v>N/A</v>
      </c>
      <c r="Q1740" s="819">
        <f t="shared" si="389"/>
        <v>554</v>
      </c>
      <c r="R1740" s="819" t="str">
        <f t="shared" si="390"/>
        <v>N/A</v>
      </c>
      <c r="S1740" s="819">
        <f t="shared" si="391"/>
        <v>338</v>
      </c>
      <c r="T1740" s="819">
        <f t="shared" si="392"/>
        <v>1054</v>
      </c>
      <c r="U1740" s="819">
        <f t="shared" si="393"/>
        <v>1946</v>
      </c>
      <c r="V1740" s="819">
        <f t="shared" si="394"/>
        <v>156</v>
      </c>
      <c r="W1740" s="379">
        <f t="shared" si="395"/>
        <v>156</v>
      </c>
      <c r="X1740" s="819" t="str">
        <f t="shared" si="396"/>
        <v/>
      </c>
      <c r="Y1740" s="837"/>
      <c r="Z1740" s="839"/>
      <c r="AA1740" s="838"/>
      <c r="AB1740" s="839"/>
    </row>
    <row r="1741" spans="1:28" ht="14.45">
      <c r="A1741" s="816"/>
      <c r="B1741" s="819" t="s">
        <v>3909</v>
      </c>
      <c r="C1741" s="819" t="s">
        <v>3910</v>
      </c>
      <c r="D1741" s="379" t="s">
        <v>336</v>
      </c>
      <c r="E1741" s="818" t="s">
        <v>441</v>
      </c>
      <c r="F1741" s="820">
        <v>2.6567222369999999</v>
      </c>
      <c r="G1741" s="821">
        <v>4.1760898519999996</v>
      </c>
      <c r="H1741" s="822">
        <v>20889065.2399299</v>
      </c>
      <c r="I1741" s="819">
        <v>0.02</v>
      </c>
      <c r="J1741" s="820">
        <v>-2.00416E-4</v>
      </c>
      <c r="K1741" s="819">
        <f t="shared" si="386"/>
        <v>1093</v>
      </c>
      <c r="L1741" s="819">
        <f t="shared" si="387"/>
        <v>435</v>
      </c>
      <c r="M1741" s="819">
        <f t="shared" si="383"/>
        <v>1093</v>
      </c>
      <c r="N1741" s="819">
        <f t="shared" si="384"/>
        <v>337</v>
      </c>
      <c r="O1741" s="819">
        <f t="shared" si="385"/>
        <v>1105</v>
      </c>
      <c r="P1741" s="819">
        <f t="shared" si="388"/>
        <v>305</v>
      </c>
      <c r="Q1741" s="819">
        <f t="shared" si="389"/>
        <v>12</v>
      </c>
      <c r="R1741" s="819">
        <f t="shared" si="390"/>
        <v>1011</v>
      </c>
      <c r="S1741" s="819">
        <f t="shared" si="391"/>
        <v>311</v>
      </c>
      <c r="T1741" s="819">
        <f t="shared" si="392"/>
        <v>1083</v>
      </c>
      <c r="U1741" s="819">
        <f t="shared" si="393"/>
        <v>2722</v>
      </c>
      <c r="V1741" s="819">
        <f t="shared" si="394"/>
        <v>383</v>
      </c>
      <c r="W1741" s="379">
        <f t="shared" si="395"/>
        <v>383</v>
      </c>
      <c r="X1741" s="819" t="str">
        <f t="shared" si="396"/>
        <v/>
      </c>
      <c r="Y1741" s="837"/>
      <c r="Z1741" s="839"/>
      <c r="AA1741" s="838"/>
      <c r="AB1741" s="839"/>
    </row>
    <row r="1742" spans="1:28" ht="13.15">
      <c r="B1742" s="819" t="s">
        <v>3911</v>
      </c>
      <c r="C1742" s="819" t="s">
        <v>3912</v>
      </c>
      <c r="D1742" s="379" t="s">
        <v>336</v>
      </c>
      <c r="E1742" s="818" t="s">
        <v>676</v>
      </c>
      <c r="F1742" s="820">
        <v>3.221620895</v>
      </c>
      <c r="G1742" s="821">
        <v>1.0520988929999999</v>
      </c>
      <c r="H1742" s="822">
        <v>150936736.356231</v>
      </c>
      <c r="I1742" s="819"/>
      <c r="J1742" s="820">
        <v>-2.0876299999999999E-4</v>
      </c>
      <c r="K1742" s="819">
        <f t="shared" si="386"/>
        <v>622</v>
      </c>
      <c r="L1742" s="819">
        <f t="shared" si="387"/>
        <v>802</v>
      </c>
      <c r="M1742" s="819">
        <f t="shared" si="383"/>
        <v>622</v>
      </c>
      <c r="N1742" s="819">
        <f t="shared" si="384"/>
        <v>364</v>
      </c>
      <c r="O1742" s="819">
        <f t="shared" si="385"/>
        <v>1112</v>
      </c>
      <c r="P1742" s="819">
        <f t="shared" si="388"/>
        <v>776</v>
      </c>
      <c r="Q1742" s="819">
        <f t="shared" si="389"/>
        <v>379</v>
      </c>
      <c r="R1742" s="819">
        <f t="shared" si="390"/>
        <v>540</v>
      </c>
      <c r="S1742" s="819">
        <f t="shared" si="391"/>
        <v>338</v>
      </c>
      <c r="T1742" s="819">
        <f t="shared" si="392"/>
        <v>1090</v>
      </c>
      <c r="U1742" s="819">
        <f t="shared" si="393"/>
        <v>3123</v>
      </c>
      <c r="V1742" s="819">
        <f t="shared" si="394"/>
        <v>1093</v>
      </c>
      <c r="W1742" s="379">
        <f t="shared" si="395"/>
        <v>1093</v>
      </c>
      <c r="X1742" s="819" t="str">
        <f t="shared" si="396"/>
        <v/>
      </c>
      <c r="Y1742" s="837"/>
      <c r="Z1742" s="839"/>
      <c r="AA1742" s="838"/>
      <c r="AB1742" s="839"/>
    </row>
    <row r="1743" spans="1:28" ht="14.45">
      <c r="A1743" s="816"/>
      <c r="B1743" s="819" t="s">
        <v>3913</v>
      </c>
      <c r="C1743" s="819" t="s">
        <v>3914</v>
      </c>
      <c r="D1743" s="379" t="s">
        <v>336</v>
      </c>
      <c r="E1743" s="818" t="s">
        <v>1174</v>
      </c>
      <c r="F1743" s="820">
        <v>6.0065481360000001</v>
      </c>
      <c r="G1743" s="821">
        <v>3.7547187709999998</v>
      </c>
      <c r="H1743" s="822">
        <v>124363832.727272</v>
      </c>
      <c r="I1743" s="819"/>
      <c r="J1743" s="820">
        <v>-3.7851399999999998E-6</v>
      </c>
      <c r="K1743" s="819">
        <f t="shared" si="386"/>
        <v>662</v>
      </c>
      <c r="L1743" s="819">
        <f t="shared" si="387"/>
        <v>472</v>
      </c>
      <c r="M1743" s="819">
        <f t="shared" si="383"/>
        <v>662</v>
      </c>
      <c r="N1743" s="819">
        <f t="shared" si="384"/>
        <v>364</v>
      </c>
      <c r="O1743" s="819">
        <f t="shared" si="385"/>
        <v>779</v>
      </c>
      <c r="P1743" s="819">
        <f t="shared" si="388"/>
        <v>736</v>
      </c>
      <c r="Q1743" s="819">
        <f t="shared" si="389"/>
        <v>49</v>
      </c>
      <c r="R1743" s="819">
        <f t="shared" si="390"/>
        <v>580</v>
      </c>
      <c r="S1743" s="819">
        <f t="shared" si="391"/>
        <v>338</v>
      </c>
      <c r="T1743" s="819">
        <f t="shared" si="392"/>
        <v>757</v>
      </c>
      <c r="U1743" s="819">
        <f t="shared" si="393"/>
        <v>2460</v>
      </c>
      <c r="V1743" s="819">
        <f t="shared" si="394"/>
        <v>236</v>
      </c>
      <c r="W1743" s="379">
        <f t="shared" si="395"/>
        <v>236</v>
      </c>
      <c r="X1743" s="819" t="str">
        <f t="shared" si="396"/>
        <v/>
      </c>
      <c r="Y1743" s="837"/>
      <c r="Z1743" s="839"/>
      <c r="AA1743" s="838"/>
      <c r="AB1743" s="839"/>
    </row>
    <row r="1744" spans="1:28" ht="13.15">
      <c r="B1744" s="819" t="s">
        <v>3915</v>
      </c>
      <c r="C1744" s="819" t="s">
        <v>3916</v>
      </c>
      <c r="D1744" s="379" t="s">
        <v>336</v>
      </c>
      <c r="E1744" s="818" t="s">
        <v>460</v>
      </c>
      <c r="F1744" s="820">
        <v>2.5978957299999998</v>
      </c>
      <c r="G1744" s="821">
        <v>0.56673252799999996</v>
      </c>
      <c r="H1744" s="822">
        <v>26006087.850422502</v>
      </c>
      <c r="I1744" s="819"/>
      <c r="J1744" s="820">
        <v>-1.08594E-4</v>
      </c>
      <c r="K1744" s="819">
        <f t="shared" si="386"/>
        <v>1034</v>
      </c>
      <c r="L1744" s="819">
        <f t="shared" si="387"/>
        <v>907</v>
      </c>
      <c r="M1744" s="819">
        <f t="shared" si="383"/>
        <v>1034</v>
      </c>
      <c r="N1744" s="819">
        <f t="shared" si="384"/>
        <v>364</v>
      </c>
      <c r="O1744" s="819">
        <f t="shared" si="385"/>
        <v>1015</v>
      </c>
      <c r="P1744" s="819">
        <f t="shared" si="388"/>
        <v>364</v>
      </c>
      <c r="Q1744" s="819">
        <f t="shared" si="389"/>
        <v>484</v>
      </c>
      <c r="R1744" s="819">
        <f t="shared" si="390"/>
        <v>952</v>
      </c>
      <c r="S1744" s="819">
        <f t="shared" si="391"/>
        <v>338</v>
      </c>
      <c r="T1744" s="819">
        <f t="shared" si="392"/>
        <v>993</v>
      </c>
      <c r="U1744" s="819">
        <f t="shared" si="393"/>
        <v>3131</v>
      </c>
      <c r="V1744" s="819">
        <f t="shared" si="394"/>
        <v>1100</v>
      </c>
      <c r="W1744" s="379">
        <f t="shared" si="395"/>
        <v>1100</v>
      </c>
      <c r="X1744" s="819" t="str">
        <f t="shared" si="396"/>
        <v/>
      </c>
      <c r="Y1744" s="837"/>
      <c r="Z1744" s="839"/>
      <c r="AA1744" s="838"/>
      <c r="AB1744" s="839"/>
    </row>
    <row r="1745" spans="1:28" ht="14.45">
      <c r="A1745" s="816"/>
      <c r="B1745" s="819" t="s">
        <v>3917</v>
      </c>
      <c r="C1745" s="819" t="s">
        <v>3918</v>
      </c>
      <c r="D1745" s="379" t="s">
        <v>336</v>
      </c>
      <c r="E1745" s="818" t="s">
        <v>685</v>
      </c>
      <c r="F1745" s="820">
        <v>0.68239976499999999</v>
      </c>
      <c r="G1745" s="821">
        <v>0.307001676</v>
      </c>
      <c r="H1745" s="822">
        <v>13135735.9380263</v>
      </c>
      <c r="I1745" s="819"/>
      <c r="J1745" s="820">
        <v>-1.40093E-6</v>
      </c>
      <c r="K1745" s="819">
        <f t="shared" si="386"/>
        <v>1198</v>
      </c>
      <c r="L1745" s="819">
        <f t="shared" si="387"/>
        <v>956</v>
      </c>
      <c r="M1745" s="819">
        <f t="shared" si="383"/>
        <v>1198</v>
      </c>
      <c r="N1745" s="819">
        <f t="shared" si="384"/>
        <v>364</v>
      </c>
      <c r="O1745" s="819">
        <f t="shared" si="385"/>
        <v>757</v>
      </c>
      <c r="P1745" s="819">
        <f t="shared" si="388"/>
        <v>200</v>
      </c>
      <c r="Q1745" s="819">
        <f t="shared" si="389"/>
        <v>533</v>
      </c>
      <c r="R1745" s="819">
        <f t="shared" si="390"/>
        <v>1116</v>
      </c>
      <c r="S1745" s="819">
        <f t="shared" si="391"/>
        <v>338</v>
      </c>
      <c r="T1745" s="819">
        <f t="shared" si="392"/>
        <v>735</v>
      </c>
      <c r="U1745" s="819">
        <f t="shared" si="393"/>
        <v>2922</v>
      </c>
      <c r="V1745" s="819">
        <f t="shared" si="394"/>
        <v>836</v>
      </c>
      <c r="W1745" s="379">
        <f t="shared" si="395"/>
        <v>836</v>
      </c>
      <c r="X1745" s="819" t="str">
        <f t="shared" si="396"/>
        <v/>
      </c>
      <c r="Y1745" s="837"/>
      <c r="Z1745" s="839"/>
      <c r="AA1745" s="838"/>
      <c r="AB1745" s="839"/>
    </row>
    <row r="1746" spans="1:28" ht="13.15">
      <c r="B1746" s="819" t="s">
        <v>3919</v>
      </c>
      <c r="C1746" s="819" t="s">
        <v>3920</v>
      </c>
      <c r="D1746" s="379" t="s">
        <v>336</v>
      </c>
      <c r="E1746" s="818" t="s">
        <v>625</v>
      </c>
      <c r="F1746" s="820">
        <v>0</v>
      </c>
      <c r="G1746" s="821">
        <v>0</v>
      </c>
      <c r="H1746" s="822">
        <v>3309656.2924598302</v>
      </c>
      <c r="I1746" s="819"/>
      <c r="J1746" s="820">
        <v>2.9478299999999999E-6</v>
      </c>
      <c r="K1746" s="819">
        <f t="shared" si="386"/>
        <v>1437</v>
      </c>
      <c r="L1746" s="819">
        <f t="shared" si="387"/>
        <v>1084</v>
      </c>
      <c r="M1746" s="819">
        <f t="shared" si="383"/>
        <v>1437</v>
      </c>
      <c r="N1746" s="819">
        <f t="shared" si="384"/>
        <v>364</v>
      </c>
      <c r="O1746" s="819">
        <f t="shared" si="385"/>
        <v>459</v>
      </c>
      <c r="P1746" s="819">
        <f t="shared" si="388"/>
        <v>39</v>
      </c>
      <c r="Q1746" s="819">
        <f t="shared" si="389"/>
        <v>661</v>
      </c>
      <c r="R1746" s="819">
        <f t="shared" si="390"/>
        <v>1355</v>
      </c>
      <c r="S1746" s="819">
        <f t="shared" si="391"/>
        <v>338</v>
      </c>
      <c r="T1746" s="819">
        <f t="shared" si="392"/>
        <v>437</v>
      </c>
      <c r="U1746" s="819">
        <f t="shared" si="393"/>
        <v>2830</v>
      </c>
      <c r="V1746" s="819">
        <f t="shared" si="394"/>
        <v>685</v>
      </c>
      <c r="W1746" s="379">
        <f t="shared" si="395"/>
        <v>685</v>
      </c>
      <c r="X1746" s="819" t="str">
        <f t="shared" si="396"/>
        <v/>
      </c>
      <c r="Y1746" s="837"/>
      <c r="Z1746" s="839"/>
      <c r="AA1746" s="838"/>
      <c r="AB1746" s="839"/>
    </row>
    <row r="1747" spans="1:28" ht="14.45">
      <c r="A1747" s="816"/>
      <c r="B1747" s="819" t="s">
        <v>3921</v>
      </c>
      <c r="C1747" s="819" t="s">
        <v>3922</v>
      </c>
      <c r="D1747" s="379" t="s">
        <v>336</v>
      </c>
      <c r="E1747" s="818" t="s">
        <v>191</v>
      </c>
      <c r="F1747" s="820">
        <v>2.9700914209999998</v>
      </c>
      <c r="G1747" s="821">
        <v>0.55456314699999998</v>
      </c>
      <c r="H1747" s="822">
        <v>417760.61653807003</v>
      </c>
      <c r="I1747" s="819"/>
      <c r="J1747" s="820">
        <v>-2.0937899999999999E-4</v>
      </c>
      <c r="K1747" s="819">
        <f t="shared" si="386"/>
        <v>1608</v>
      </c>
      <c r="L1747" s="819">
        <f t="shared" si="387"/>
        <v>910</v>
      </c>
      <c r="M1747" s="819">
        <f t="shared" si="383"/>
        <v>1608</v>
      </c>
      <c r="N1747" s="819">
        <f t="shared" si="384"/>
        <v>364</v>
      </c>
      <c r="O1747" s="819">
        <f t="shared" si="385"/>
        <v>1113</v>
      </c>
      <c r="P1747" s="819">
        <f t="shared" si="388"/>
        <v>210</v>
      </c>
      <c r="Q1747" s="819">
        <f t="shared" si="389"/>
        <v>487</v>
      </c>
      <c r="R1747" s="819">
        <f t="shared" si="390"/>
        <v>1526</v>
      </c>
      <c r="S1747" s="819">
        <f t="shared" si="391"/>
        <v>338</v>
      </c>
      <c r="T1747" s="819">
        <f t="shared" si="392"/>
        <v>1091</v>
      </c>
      <c r="U1747" s="819">
        <f t="shared" si="393"/>
        <v>3652</v>
      </c>
      <c r="V1747" s="819">
        <f t="shared" si="394"/>
        <v>1652</v>
      </c>
      <c r="W1747" s="379">
        <f t="shared" si="395"/>
        <v>1652</v>
      </c>
      <c r="X1747" s="819" t="str">
        <f t="shared" si="396"/>
        <v/>
      </c>
      <c r="Y1747" s="837"/>
      <c r="Z1747" s="839"/>
      <c r="AA1747" s="838"/>
      <c r="AB1747" s="839"/>
    </row>
    <row r="1748" spans="1:28" ht="13.15">
      <c r="B1748" s="819" t="s">
        <v>3923</v>
      </c>
      <c r="C1748" s="819" t="s">
        <v>3924</v>
      </c>
      <c r="D1748" s="379" t="s">
        <v>336</v>
      </c>
      <c r="E1748" s="818" t="s">
        <v>453</v>
      </c>
      <c r="F1748" s="820">
        <v>0.136121673</v>
      </c>
      <c r="G1748" s="821">
        <v>0</v>
      </c>
      <c r="H1748" s="822">
        <v>205655415.71025801</v>
      </c>
      <c r="I1748" s="819"/>
      <c r="J1748" s="820">
        <v>3.0202400000000002E-6</v>
      </c>
      <c r="K1748" s="819">
        <f t="shared" si="386"/>
        <v>560</v>
      </c>
      <c r="L1748" s="819">
        <f t="shared" si="387"/>
        <v>1084</v>
      </c>
      <c r="M1748" s="819">
        <f t="shared" si="383"/>
        <v>560</v>
      </c>
      <c r="N1748" s="819">
        <f t="shared" si="384"/>
        <v>364</v>
      </c>
      <c r="O1748" s="819">
        <f t="shared" si="385"/>
        <v>457</v>
      </c>
      <c r="P1748" s="819">
        <f t="shared" si="388"/>
        <v>838</v>
      </c>
      <c r="Q1748" s="819">
        <f t="shared" si="389"/>
        <v>661</v>
      </c>
      <c r="R1748" s="819">
        <f t="shared" si="390"/>
        <v>478</v>
      </c>
      <c r="S1748" s="819">
        <f t="shared" si="391"/>
        <v>338</v>
      </c>
      <c r="T1748" s="819">
        <f t="shared" si="392"/>
        <v>435</v>
      </c>
      <c r="U1748" s="819">
        <f t="shared" si="393"/>
        <v>2750</v>
      </c>
      <c r="V1748" s="819">
        <f t="shared" si="394"/>
        <v>417</v>
      </c>
      <c r="W1748" s="379">
        <f t="shared" si="395"/>
        <v>417</v>
      </c>
      <c r="X1748" s="819" t="str">
        <f t="shared" si="396"/>
        <v/>
      </c>
      <c r="Y1748" s="837"/>
      <c r="Z1748" s="839"/>
      <c r="AA1748" s="838"/>
      <c r="AB1748" s="839"/>
    </row>
    <row r="1749" spans="1:28" ht="14.45">
      <c r="A1749" s="816"/>
      <c r="B1749" s="819" t="s">
        <v>3925</v>
      </c>
      <c r="C1749" s="819" t="s">
        <v>3926</v>
      </c>
      <c r="D1749" s="379" t="s">
        <v>336</v>
      </c>
      <c r="E1749" s="818" t="s">
        <v>1861</v>
      </c>
      <c r="F1749" s="820">
        <v>2.728181287</v>
      </c>
      <c r="G1749" s="821">
        <v>2.0499527130000001</v>
      </c>
      <c r="H1749" s="822"/>
      <c r="I1749" s="819"/>
      <c r="J1749" s="820">
        <v>-2.0798500000000001E-6</v>
      </c>
      <c r="K1749" s="819" t="str">
        <f t="shared" si="386"/>
        <v>N/A</v>
      </c>
      <c r="L1749" s="819">
        <f t="shared" si="387"/>
        <v>664</v>
      </c>
      <c r="M1749" s="819" t="str">
        <f t="shared" si="383"/>
        <v>N/A</v>
      </c>
      <c r="N1749" s="819">
        <f t="shared" si="384"/>
        <v>364</v>
      </c>
      <c r="O1749" s="819">
        <f t="shared" si="385"/>
        <v>763</v>
      </c>
      <c r="P1749" s="819" t="str">
        <f t="shared" si="388"/>
        <v>N/A</v>
      </c>
      <c r="Q1749" s="819">
        <f t="shared" si="389"/>
        <v>241</v>
      </c>
      <c r="R1749" s="819" t="str">
        <f t="shared" si="390"/>
        <v>N/A</v>
      </c>
      <c r="S1749" s="819">
        <f t="shared" si="391"/>
        <v>338</v>
      </c>
      <c r="T1749" s="819">
        <f t="shared" si="392"/>
        <v>741</v>
      </c>
      <c r="U1749" s="819">
        <f t="shared" si="393"/>
        <v>1320</v>
      </c>
      <c r="V1749" s="819">
        <f t="shared" si="394"/>
        <v>1</v>
      </c>
      <c r="W1749" s="379">
        <f t="shared" si="395"/>
        <v>1</v>
      </c>
      <c r="X1749" s="819" t="str">
        <f t="shared" si="396"/>
        <v/>
      </c>
      <c r="Y1749" s="837"/>
      <c r="Z1749" s="839"/>
      <c r="AA1749" s="838"/>
      <c r="AB1749" s="839"/>
    </row>
    <row r="1750" spans="1:28" ht="13.15">
      <c r="B1750" s="819" t="s">
        <v>3927</v>
      </c>
      <c r="C1750" s="819" t="s">
        <v>3928</v>
      </c>
      <c r="D1750" s="379" t="s">
        <v>336</v>
      </c>
      <c r="E1750" s="818" t="s">
        <v>460</v>
      </c>
      <c r="F1750" s="820">
        <v>2.7598000310000002</v>
      </c>
      <c r="G1750" s="821">
        <v>1.2125730299999999</v>
      </c>
      <c r="H1750" s="822">
        <v>4460017.9841793003</v>
      </c>
      <c r="I1750" s="819"/>
      <c r="J1750" s="820">
        <v>-8.8146899999999996E-4</v>
      </c>
      <c r="K1750" s="819">
        <f t="shared" si="386"/>
        <v>1380</v>
      </c>
      <c r="L1750" s="819">
        <f t="shared" si="387"/>
        <v>781</v>
      </c>
      <c r="M1750" s="819">
        <f t="shared" si="383"/>
        <v>1380</v>
      </c>
      <c r="N1750" s="819">
        <f t="shared" si="384"/>
        <v>364</v>
      </c>
      <c r="O1750" s="819">
        <f t="shared" si="385"/>
        <v>1376</v>
      </c>
      <c r="P1750" s="819">
        <f t="shared" si="388"/>
        <v>18</v>
      </c>
      <c r="Q1750" s="819">
        <f t="shared" si="389"/>
        <v>358</v>
      </c>
      <c r="R1750" s="819">
        <f t="shared" si="390"/>
        <v>1298</v>
      </c>
      <c r="S1750" s="819">
        <f t="shared" si="391"/>
        <v>338</v>
      </c>
      <c r="T1750" s="819">
        <f t="shared" si="392"/>
        <v>1354</v>
      </c>
      <c r="U1750" s="819">
        <f t="shared" si="393"/>
        <v>3366</v>
      </c>
      <c r="V1750" s="819">
        <f t="shared" si="394"/>
        <v>1426</v>
      </c>
      <c r="W1750" s="379">
        <f t="shared" si="395"/>
        <v>1426</v>
      </c>
      <c r="X1750" s="819" t="str">
        <f t="shared" si="396"/>
        <v/>
      </c>
      <c r="Y1750" s="837"/>
      <c r="Z1750" s="839"/>
      <c r="AA1750" s="838"/>
      <c r="AB1750" s="839"/>
    </row>
    <row r="1751" spans="1:28" ht="14.45">
      <c r="A1751" s="816"/>
      <c r="B1751" s="819" t="s">
        <v>3929</v>
      </c>
      <c r="C1751" s="819" t="s">
        <v>3930</v>
      </c>
      <c r="D1751" s="379" t="s">
        <v>336</v>
      </c>
      <c r="E1751" s="818" t="s">
        <v>1174</v>
      </c>
      <c r="F1751" s="820">
        <v>0.52295116399999997</v>
      </c>
      <c r="G1751" s="821">
        <v>3.6730353039999999</v>
      </c>
      <c r="H1751" s="822">
        <v>531060636.531362</v>
      </c>
      <c r="I1751" s="819"/>
      <c r="J1751" s="820">
        <v>-2.1683299999999999E-4</v>
      </c>
      <c r="K1751" s="819">
        <f t="shared" si="386"/>
        <v>336</v>
      </c>
      <c r="L1751" s="819">
        <f t="shared" si="387"/>
        <v>478</v>
      </c>
      <c r="M1751" s="819">
        <f t="shared" si="383"/>
        <v>336</v>
      </c>
      <c r="N1751" s="819">
        <f t="shared" si="384"/>
        <v>364</v>
      </c>
      <c r="O1751" s="819">
        <f t="shared" si="385"/>
        <v>1120</v>
      </c>
      <c r="P1751" s="819">
        <f t="shared" si="388"/>
        <v>1062</v>
      </c>
      <c r="Q1751" s="819">
        <f t="shared" si="389"/>
        <v>55</v>
      </c>
      <c r="R1751" s="819">
        <f t="shared" si="390"/>
        <v>254</v>
      </c>
      <c r="S1751" s="819">
        <f t="shared" si="391"/>
        <v>338</v>
      </c>
      <c r="T1751" s="819">
        <f t="shared" si="392"/>
        <v>1098</v>
      </c>
      <c r="U1751" s="819">
        <f t="shared" si="393"/>
        <v>2807</v>
      </c>
      <c r="V1751" s="819">
        <f t="shared" si="394"/>
        <v>641</v>
      </c>
      <c r="W1751" s="379">
        <f t="shared" si="395"/>
        <v>641</v>
      </c>
      <c r="X1751" s="819" t="str">
        <f t="shared" si="396"/>
        <v/>
      </c>
      <c r="Y1751" s="837"/>
      <c r="Z1751" s="839"/>
      <c r="AA1751" s="838"/>
      <c r="AB1751" s="839"/>
    </row>
    <row r="1752" spans="1:28" ht="13.15">
      <c r="B1752" s="819" t="s">
        <v>3931</v>
      </c>
      <c r="C1752" s="819" t="s">
        <v>3932</v>
      </c>
      <c r="D1752" s="379" t="s">
        <v>336</v>
      </c>
      <c r="E1752" s="818" t="s">
        <v>441</v>
      </c>
      <c r="F1752" s="820">
        <v>0.97270506400000001</v>
      </c>
      <c r="G1752" s="821">
        <v>19.020946469999998</v>
      </c>
      <c r="H1752" s="822">
        <v>156330077.95000401</v>
      </c>
      <c r="I1752" s="819"/>
      <c r="J1752" s="820">
        <v>-1.2320899999999999E-5</v>
      </c>
      <c r="K1752" s="819">
        <f t="shared" si="386"/>
        <v>619</v>
      </c>
      <c r="L1752" s="819">
        <f t="shared" si="387"/>
        <v>97</v>
      </c>
      <c r="M1752" s="819">
        <f t="shared" si="383"/>
        <v>619</v>
      </c>
      <c r="N1752" s="819">
        <f t="shared" si="384"/>
        <v>364</v>
      </c>
      <c r="O1752" s="819">
        <f t="shared" si="385"/>
        <v>820</v>
      </c>
      <c r="P1752" s="819">
        <f t="shared" si="388"/>
        <v>779</v>
      </c>
      <c r="Q1752" s="819">
        <f t="shared" si="389"/>
        <v>326</v>
      </c>
      <c r="R1752" s="819">
        <f t="shared" si="390"/>
        <v>537</v>
      </c>
      <c r="S1752" s="819">
        <f t="shared" si="391"/>
        <v>338</v>
      </c>
      <c r="T1752" s="819">
        <f t="shared" si="392"/>
        <v>798</v>
      </c>
      <c r="U1752" s="819">
        <f t="shared" si="393"/>
        <v>2778</v>
      </c>
      <c r="V1752" s="819">
        <f t="shared" si="394"/>
        <v>458</v>
      </c>
      <c r="W1752" s="379">
        <f t="shared" si="395"/>
        <v>458</v>
      </c>
      <c r="X1752" s="819" t="str">
        <f t="shared" si="396"/>
        <v/>
      </c>
      <c r="Y1752" s="837"/>
      <c r="Z1752" s="839"/>
      <c r="AA1752" s="838"/>
      <c r="AB1752" s="839"/>
    </row>
    <row r="1753" spans="1:28" ht="14.45">
      <c r="A1753" s="816"/>
      <c r="B1753" s="819" t="s">
        <v>3933</v>
      </c>
      <c r="C1753" s="819" t="s">
        <v>3934</v>
      </c>
      <c r="D1753" s="379" t="s">
        <v>336</v>
      </c>
      <c r="E1753" s="818" t="s">
        <v>425</v>
      </c>
      <c r="F1753" s="820">
        <v>12.86644852</v>
      </c>
      <c r="G1753" s="821">
        <v>2.3178627280000001</v>
      </c>
      <c r="H1753" s="822">
        <v>31215329.685616199</v>
      </c>
      <c r="I1753" s="819"/>
      <c r="J1753" s="820">
        <v>-3.68892E-4</v>
      </c>
      <c r="K1753" s="819">
        <f t="shared" si="386"/>
        <v>993</v>
      </c>
      <c r="L1753" s="819">
        <f t="shared" si="387"/>
        <v>624</v>
      </c>
      <c r="M1753" s="819">
        <f t="shared" si="383"/>
        <v>993</v>
      </c>
      <c r="N1753" s="819">
        <f t="shared" si="384"/>
        <v>364</v>
      </c>
      <c r="O1753" s="819">
        <f t="shared" si="385"/>
        <v>1204</v>
      </c>
      <c r="P1753" s="819">
        <f t="shared" si="388"/>
        <v>405</v>
      </c>
      <c r="Q1753" s="819">
        <f t="shared" si="389"/>
        <v>201</v>
      </c>
      <c r="R1753" s="819">
        <f t="shared" si="390"/>
        <v>911</v>
      </c>
      <c r="S1753" s="819">
        <f t="shared" si="391"/>
        <v>338</v>
      </c>
      <c r="T1753" s="819">
        <f t="shared" si="392"/>
        <v>1182</v>
      </c>
      <c r="U1753" s="819">
        <f t="shared" si="393"/>
        <v>3037</v>
      </c>
      <c r="V1753" s="819">
        <f t="shared" si="394"/>
        <v>977</v>
      </c>
      <c r="W1753" s="379">
        <f t="shared" si="395"/>
        <v>977</v>
      </c>
      <c r="X1753" s="819" t="str">
        <f t="shared" si="396"/>
        <v/>
      </c>
      <c r="Y1753" s="837"/>
      <c r="Z1753" s="839"/>
      <c r="AA1753" s="838"/>
      <c r="AB1753" s="839"/>
    </row>
    <row r="1754" spans="1:28" ht="13.15">
      <c r="B1754" s="819" t="s">
        <v>3935</v>
      </c>
      <c r="C1754" s="819" t="s">
        <v>3936</v>
      </c>
      <c r="D1754" s="379" t="s">
        <v>336</v>
      </c>
      <c r="E1754" s="818" t="s">
        <v>453</v>
      </c>
      <c r="F1754" s="820">
        <v>5.6008120310000002</v>
      </c>
      <c r="G1754" s="821">
        <v>2.6728341869999999</v>
      </c>
      <c r="H1754" s="822">
        <v>132423397.47046</v>
      </c>
      <c r="I1754" s="819"/>
      <c r="J1754" s="820">
        <v>-1.0638449999999999E-3</v>
      </c>
      <c r="K1754" s="819">
        <f t="shared" si="386"/>
        <v>649</v>
      </c>
      <c r="L1754" s="819">
        <f t="shared" si="387"/>
        <v>584</v>
      </c>
      <c r="M1754" s="819">
        <f t="shared" si="383"/>
        <v>649</v>
      </c>
      <c r="N1754" s="819">
        <f t="shared" si="384"/>
        <v>364</v>
      </c>
      <c r="O1754" s="819">
        <f t="shared" si="385"/>
        <v>1407</v>
      </c>
      <c r="P1754" s="819">
        <f t="shared" si="388"/>
        <v>749</v>
      </c>
      <c r="Q1754" s="819">
        <f t="shared" si="389"/>
        <v>161</v>
      </c>
      <c r="R1754" s="819">
        <f t="shared" si="390"/>
        <v>567</v>
      </c>
      <c r="S1754" s="819">
        <f t="shared" si="391"/>
        <v>338</v>
      </c>
      <c r="T1754" s="819">
        <f t="shared" si="392"/>
        <v>1385</v>
      </c>
      <c r="U1754" s="819">
        <f t="shared" si="393"/>
        <v>3200</v>
      </c>
      <c r="V1754" s="819">
        <f t="shared" si="394"/>
        <v>1194</v>
      </c>
      <c r="W1754" s="379">
        <f t="shared" si="395"/>
        <v>1194</v>
      </c>
      <c r="X1754" s="819" t="str">
        <f t="shared" si="396"/>
        <v/>
      </c>
      <c r="Y1754" s="837"/>
      <c r="Z1754" s="839"/>
      <c r="AA1754" s="838"/>
      <c r="AB1754" s="839"/>
    </row>
    <row r="1755" spans="1:28" ht="14.45">
      <c r="A1755" s="816"/>
      <c r="B1755" s="819" t="s">
        <v>3937</v>
      </c>
      <c r="C1755" s="819" t="s">
        <v>3938</v>
      </c>
      <c r="D1755" s="379" t="s">
        <v>336</v>
      </c>
      <c r="E1755" s="818" t="s">
        <v>341</v>
      </c>
      <c r="F1755" s="820"/>
      <c r="G1755" s="821"/>
      <c r="H1755" s="822">
        <v>432365454.39871699</v>
      </c>
      <c r="I1755" s="819"/>
      <c r="J1755" s="820">
        <v>0</v>
      </c>
      <c r="K1755" s="819">
        <f t="shared" si="386"/>
        <v>388</v>
      </c>
      <c r="L1755" s="819">
        <f t="shared" si="387"/>
        <v>1084</v>
      </c>
      <c r="M1755" s="819">
        <f t="shared" si="383"/>
        <v>388</v>
      </c>
      <c r="N1755" s="819">
        <f t="shared" si="384"/>
        <v>364</v>
      </c>
      <c r="O1755" s="819">
        <f t="shared" si="385"/>
        <v>492</v>
      </c>
      <c r="P1755" s="819">
        <f t="shared" si="388"/>
        <v>1010</v>
      </c>
      <c r="Q1755" s="819">
        <f t="shared" si="389"/>
        <v>661</v>
      </c>
      <c r="R1755" s="819">
        <f t="shared" si="390"/>
        <v>306</v>
      </c>
      <c r="S1755" s="819">
        <f t="shared" si="391"/>
        <v>338</v>
      </c>
      <c r="T1755" s="819">
        <f t="shared" si="392"/>
        <v>470</v>
      </c>
      <c r="U1755" s="819">
        <f t="shared" si="393"/>
        <v>2785</v>
      </c>
      <c r="V1755" s="819">
        <f t="shared" si="394"/>
        <v>463</v>
      </c>
      <c r="W1755" s="379">
        <f t="shared" si="395"/>
        <v>463</v>
      </c>
      <c r="X1755" s="819" t="str">
        <f t="shared" si="396"/>
        <v/>
      </c>
      <c r="Y1755" s="837"/>
      <c r="Z1755" s="839"/>
      <c r="AA1755" s="838"/>
      <c r="AB1755" s="839"/>
    </row>
    <row r="1756" spans="1:28" ht="13.15">
      <c r="B1756" s="819" t="s">
        <v>3939</v>
      </c>
      <c r="C1756" s="819" t="s">
        <v>3940</v>
      </c>
      <c r="D1756" s="379" t="s">
        <v>336</v>
      </c>
      <c r="E1756" s="818" t="s">
        <v>2987</v>
      </c>
      <c r="F1756" s="820">
        <v>1.2783920230000001</v>
      </c>
      <c r="G1756" s="821">
        <v>-0.10463001299999999</v>
      </c>
      <c r="H1756" s="822">
        <v>17107759.797841199</v>
      </c>
      <c r="I1756" s="819"/>
      <c r="J1756" s="820">
        <v>5.1223400000000002E-5</v>
      </c>
      <c r="K1756" s="819">
        <f t="shared" si="386"/>
        <v>1135</v>
      </c>
      <c r="L1756" s="819">
        <f t="shared" si="387"/>
        <v>1222</v>
      </c>
      <c r="M1756" s="819">
        <f t="shared" si="383"/>
        <v>1135</v>
      </c>
      <c r="N1756" s="819">
        <f t="shared" si="384"/>
        <v>364</v>
      </c>
      <c r="O1756" s="819">
        <f t="shared" si="385"/>
        <v>345</v>
      </c>
      <c r="P1756" s="819">
        <f t="shared" si="388"/>
        <v>263</v>
      </c>
      <c r="Q1756" s="819">
        <f t="shared" si="389"/>
        <v>799</v>
      </c>
      <c r="R1756" s="819">
        <f t="shared" si="390"/>
        <v>1053</v>
      </c>
      <c r="S1756" s="819">
        <f t="shared" si="391"/>
        <v>338</v>
      </c>
      <c r="T1756" s="819">
        <f t="shared" si="392"/>
        <v>323</v>
      </c>
      <c r="U1756" s="819">
        <f t="shared" si="393"/>
        <v>2776</v>
      </c>
      <c r="V1756" s="819">
        <f t="shared" si="394"/>
        <v>454</v>
      </c>
      <c r="W1756" s="379">
        <f t="shared" si="395"/>
        <v>454</v>
      </c>
      <c r="X1756" s="819" t="str">
        <f t="shared" si="396"/>
        <v/>
      </c>
      <c r="Y1756" s="837"/>
      <c r="Z1756" s="839"/>
      <c r="AA1756" s="838"/>
      <c r="AB1756" s="839"/>
    </row>
    <row r="1757" spans="1:28" ht="14.45">
      <c r="A1757" s="816"/>
      <c r="B1757" s="819" t="s">
        <v>3941</v>
      </c>
      <c r="C1757" s="819" t="s">
        <v>3942</v>
      </c>
      <c r="D1757" s="379" t="s">
        <v>336</v>
      </c>
      <c r="E1757" s="818" t="s">
        <v>337</v>
      </c>
      <c r="F1757" s="820">
        <v>1.080844401</v>
      </c>
      <c r="G1757" s="821">
        <v>4.9603665719999999</v>
      </c>
      <c r="H1757" s="822">
        <v>9018681.9600000009</v>
      </c>
      <c r="I1757" s="819"/>
      <c r="J1757" s="820">
        <v>-1.1185940000000001E-3</v>
      </c>
      <c r="K1757" s="819">
        <f t="shared" si="386"/>
        <v>1268</v>
      </c>
      <c r="L1757" s="819">
        <f t="shared" si="387"/>
        <v>379</v>
      </c>
      <c r="M1757" s="819">
        <f t="shared" si="383"/>
        <v>1268</v>
      </c>
      <c r="N1757" s="819">
        <f t="shared" si="384"/>
        <v>364</v>
      </c>
      <c r="O1757" s="819">
        <f t="shared" si="385"/>
        <v>1411</v>
      </c>
      <c r="P1757" s="819">
        <f t="shared" si="388"/>
        <v>130</v>
      </c>
      <c r="Q1757" s="819">
        <f t="shared" si="389"/>
        <v>44</v>
      </c>
      <c r="R1757" s="819">
        <f t="shared" si="390"/>
        <v>1186</v>
      </c>
      <c r="S1757" s="819">
        <f t="shared" si="391"/>
        <v>338</v>
      </c>
      <c r="T1757" s="819">
        <f t="shared" si="392"/>
        <v>1389</v>
      </c>
      <c r="U1757" s="819">
        <f t="shared" si="393"/>
        <v>3087</v>
      </c>
      <c r="V1757" s="819">
        <f t="shared" si="394"/>
        <v>1048</v>
      </c>
      <c r="W1757" s="379">
        <f t="shared" si="395"/>
        <v>1048</v>
      </c>
      <c r="X1757" s="819" t="str">
        <f t="shared" si="396"/>
        <v/>
      </c>
      <c r="Y1757" s="837"/>
      <c r="Z1757" s="839"/>
      <c r="AA1757" s="838"/>
      <c r="AB1757" s="839"/>
    </row>
    <row r="1758" spans="1:28" ht="13.15">
      <c r="B1758" s="819" t="s">
        <v>3943</v>
      </c>
      <c r="C1758" s="819" t="s">
        <v>3944</v>
      </c>
      <c r="D1758" s="379" t="s">
        <v>336</v>
      </c>
      <c r="E1758" s="818" t="s">
        <v>887</v>
      </c>
      <c r="F1758" s="820"/>
      <c r="G1758" s="821"/>
      <c r="H1758" s="822">
        <v>1235668195.3924899</v>
      </c>
      <c r="I1758" s="819"/>
      <c r="J1758" s="820">
        <v>0</v>
      </c>
      <c r="K1758" s="819">
        <f t="shared" si="386"/>
        <v>197</v>
      </c>
      <c r="L1758" s="819">
        <f t="shared" si="387"/>
        <v>1084</v>
      </c>
      <c r="M1758" s="819">
        <f t="shared" si="383"/>
        <v>197</v>
      </c>
      <c r="N1758" s="819">
        <f t="shared" si="384"/>
        <v>364</v>
      </c>
      <c r="O1758" s="819">
        <f t="shared" si="385"/>
        <v>492</v>
      </c>
      <c r="P1758" s="819">
        <f t="shared" si="388"/>
        <v>1201</v>
      </c>
      <c r="Q1758" s="819">
        <f t="shared" si="389"/>
        <v>661</v>
      </c>
      <c r="R1758" s="819">
        <f t="shared" si="390"/>
        <v>115</v>
      </c>
      <c r="S1758" s="819">
        <f t="shared" si="391"/>
        <v>338</v>
      </c>
      <c r="T1758" s="819">
        <f t="shared" si="392"/>
        <v>470</v>
      </c>
      <c r="U1758" s="819">
        <f t="shared" si="393"/>
        <v>2785</v>
      </c>
      <c r="V1758" s="819">
        <f t="shared" si="394"/>
        <v>463</v>
      </c>
      <c r="W1758" s="379">
        <f t="shared" si="395"/>
        <v>463</v>
      </c>
      <c r="X1758" s="819" t="str">
        <f t="shared" si="396"/>
        <v/>
      </c>
      <c r="Y1758" s="837"/>
      <c r="Z1758" s="839"/>
      <c r="AA1758" s="838"/>
      <c r="AB1758" s="839"/>
    </row>
    <row r="1759" spans="1:28" ht="14.45">
      <c r="A1759" s="816"/>
      <c r="B1759" s="819" t="s">
        <v>3945</v>
      </c>
      <c r="C1759" s="819" t="s">
        <v>3946</v>
      </c>
      <c r="D1759" s="379" t="s">
        <v>336</v>
      </c>
      <c r="E1759" s="818" t="s">
        <v>1870</v>
      </c>
      <c r="F1759" s="820">
        <v>0.98087667099999998</v>
      </c>
      <c r="G1759" s="821">
        <v>15.54133584</v>
      </c>
      <c r="H1759" s="822">
        <v>27855748.451712601</v>
      </c>
      <c r="I1759" s="819"/>
      <c r="J1759" s="820">
        <v>-2.2619700000000001E-6</v>
      </c>
      <c r="K1759" s="819">
        <f t="shared" si="386"/>
        <v>1025</v>
      </c>
      <c r="L1759" s="819">
        <f t="shared" si="387"/>
        <v>117</v>
      </c>
      <c r="M1759" s="819">
        <f t="shared" si="383"/>
        <v>1025</v>
      </c>
      <c r="N1759" s="819">
        <f t="shared" si="384"/>
        <v>364</v>
      </c>
      <c r="O1759" s="819">
        <f t="shared" si="385"/>
        <v>766</v>
      </c>
      <c r="P1759" s="819">
        <f t="shared" si="388"/>
        <v>373</v>
      </c>
      <c r="Q1759" s="819">
        <f t="shared" si="389"/>
        <v>306</v>
      </c>
      <c r="R1759" s="819">
        <f t="shared" si="390"/>
        <v>943</v>
      </c>
      <c r="S1759" s="819">
        <f t="shared" si="391"/>
        <v>338</v>
      </c>
      <c r="T1759" s="819">
        <f t="shared" si="392"/>
        <v>744</v>
      </c>
      <c r="U1759" s="819">
        <f t="shared" si="393"/>
        <v>2704</v>
      </c>
      <c r="V1759" s="819">
        <f t="shared" si="394"/>
        <v>363</v>
      </c>
      <c r="W1759" s="379">
        <f t="shared" si="395"/>
        <v>363</v>
      </c>
      <c r="X1759" s="819" t="str">
        <f t="shared" si="396"/>
        <v/>
      </c>
      <c r="Y1759" s="837"/>
      <c r="Z1759" s="839"/>
      <c r="AA1759" s="838"/>
      <c r="AB1759" s="839"/>
    </row>
    <row r="1760" spans="1:28" ht="13.15">
      <c r="B1760" s="819" t="s">
        <v>3947</v>
      </c>
      <c r="C1760" s="819" t="s">
        <v>3948</v>
      </c>
      <c r="D1760" s="379" t="s">
        <v>336</v>
      </c>
      <c r="E1760" s="818" t="s">
        <v>625</v>
      </c>
      <c r="F1760" s="820">
        <v>2.4045885820000001</v>
      </c>
      <c r="G1760" s="821">
        <v>20.620596639999999</v>
      </c>
      <c r="H1760" s="822">
        <v>29697308.507416598</v>
      </c>
      <c r="I1760" s="819"/>
      <c r="J1760" s="820">
        <v>-8.8142100000000001E-6</v>
      </c>
      <c r="K1760" s="819">
        <f t="shared" si="386"/>
        <v>1005</v>
      </c>
      <c r="L1760" s="819">
        <f t="shared" si="387"/>
        <v>93</v>
      </c>
      <c r="M1760" s="819">
        <f t="shared" si="383"/>
        <v>1005</v>
      </c>
      <c r="N1760" s="819">
        <f t="shared" si="384"/>
        <v>364</v>
      </c>
      <c r="O1760" s="819">
        <f t="shared" si="385"/>
        <v>797</v>
      </c>
      <c r="P1760" s="819">
        <f t="shared" si="388"/>
        <v>393</v>
      </c>
      <c r="Q1760" s="819">
        <f t="shared" si="389"/>
        <v>330</v>
      </c>
      <c r="R1760" s="819">
        <f t="shared" si="390"/>
        <v>923</v>
      </c>
      <c r="S1760" s="819">
        <f t="shared" si="391"/>
        <v>338</v>
      </c>
      <c r="T1760" s="819">
        <f t="shared" si="392"/>
        <v>775</v>
      </c>
      <c r="U1760" s="819">
        <f t="shared" si="393"/>
        <v>2759</v>
      </c>
      <c r="V1760" s="819">
        <f t="shared" si="394"/>
        <v>429</v>
      </c>
      <c r="W1760" s="379">
        <f t="shared" si="395"/>
        <v>429</v>
      </c>
      <c r="X1760" s="819" t="str">
        <f t="shared" si="396"/>
        <v/>
      </c>
      <c r="Y1760" s="837"/>
      <c r="Z1760" s="839"/>
      <c r="AA1760" s="838"/>
      <c r="AB1760" s="839"/>
    </row>
    <row r="1761" spans="1:28" ht="14.45">
      <c r="A1761" s="816"/>
      <c r="B1761" s="819" t="s">
        <v>3949</v>
      </c>
      <c r="C1761" s="819" t="s">
        <v>3950</v>
      </c>
      <c r="D1761" s="379" t="s">
        <v>336</v>
      </c>
      <c r="E1761" s="818" t="s">
        <v>425</v>
      </c>
      <c r="F1761" s="820"/>
      <c r="G1761" s="821"/>
      <c r="H1761" s="822">
        <v>24070012.983399801</v>
      </c>
      <c r="I1761" s="819"/>
      <c r="J1761" s="820">
        <v>0</v>
      </c>
      <c r="K1761" s="819">
        <f t="shared" si="386"/>
        <v>1057</v>
      </c>
      <c r="L1761" s="819">
        <f t="shared" si="387"/>
        <v>1084</v>
      </c>
      <c r="M1761" s="819">
        <f t="shared" si="383"/>
        <v>1057</v>
      </c>
      <c r="N1761" s="819">
        <f t="shared" si="384"/>
        <v>364</v>
      </c>
      <c r="O1761" s="819">
        <f t="shared" si="385"/>
        <v>492</v>
      </c>
      <c r="P1761" s="819">
        <f t="shared" si="388"/>
        <v>341</v>
      </c>
      <c r="Q1761" s="819">
        <f t="shared" si="389"/>
        <v>661</v>
      </c>
      <c r="R1761" s="819">
        <f t="shared" si="390"/>
        <v>975</v>
      </c>
      <c r="S1761" s="819">
        <f t="shared" si="391"/>
        <v>338</v>
      </c>
      <c r="T1761" s="819">
        <f t="shared" si="392"/>
        <v>470</v>
      </c>
      <c r="U1761" s="819">
        <f t="shared" si="393"/>
        <v>2785</v>
      </c>
      <c r="V1761" s="819">
        <f t="shared" si="394"/>
        <v>463</v>
      </c>
      <c r="W1761" s="379">
        <f t="shared" si="395"/>
        <v>463</v>
      </c>
      <c r="X1761" s="819" t="str">
        <f t="shared" si="396"/>
        <v/>
      </c>
      <c r="Y1761" s="837"/>
      <c r="Z1761" s="839"/>
      <c r="AA1761" s="838"/>
      <c r="AB1761" s="839"/>
    </row>
    <row r="1762" spans="1:28" ht="13.15">
      <c r="B1762" s="819" t="s">
        <v>3951</v>
      </c>
      <c r="C1762" s="819" t="s">
        <v>3952</v>
      </c>
      <c r="D1762" s="379" t="s">
        <v>336</v>
      </c>
      <c r="E1762" s="818" t="s">
        <v>373</v>
      </c>
      <c r="F1762" s="820">
        <v>0.83079872300000002</v>
      </c>
      <c r="G1762" s="821">
        <v>1.11082232</v>
      </c>
      <c r="H1762" s="822">
        <v>129241268.308081</v>
      </c>
      <c r="I1762" s="819">
        <v>0.32</v>
      </c>
      <c r="J1762" s="820">
        <v>-2.8183E-4</v>
      </c>
      <c r="K1762" s="819">
        <f t="shared" si="386"/>
        <v>653</v>
      </c>
      <c r="L1762" s="819">
        <f t="shared" si="387"/>
        <v>795</v>
      </c>
      <c r="M1762" s="819">
        <f t="shared" si="383"/>
        <v>653</v>
      </c>
      <c r="N1762" s="819">
        <f t="shared" si="384"/>
        <v>185</v>
      </c>
      <c r="O1762" s="819">
        <f t="shared" si="385"/>
        <v>1169</v>
      </c>
      <c r="P1762" s="819">
        <f t="shared" si="388"/>
        <v>745</v>
      </c>
      <c r="Q1762" s="819">
        <f t="shared" si="389"/>
        <v>372</v>
      </c>
      <c r="R1762" s="819">
        <f t="shared" si="390"/>
        <v>571</v>
      </c>
      <c r="S1762" s="819">
        <f t="shared" si="391"/>
        <v>159</v>
      </c>
      <c r="T1762" s="819">
        <f t="shared" si="392"/>
        <v>1147</v>
      </c>
      <c r="U1762" s="819">
        <f t="shared" si="393"/>
        <v>2994</v>
      </c>
      <c r="V1762" s="819">
        <f t="shared" si="394"/>
        <v>920</v>
      </c>
      <c r="W1762" s="379">
        <f t="shared" si="395"/>
        <v>920</v>
      </c>
      <c r="X1762" s="819" t="str">
        <f t="shared" si="396"/>
        <v/>
      </c>
      <c r="Y1762" s="837"/>
      <c r="Z1762" s="839"/>
      <c r="AA1762" s="838"/>
      <c r="AB1762" s="839"/>
    </row>
    <row r="1763" spans="1:28" ht="14.45">
      <c r="A1763" s="816"/>
      <c r="B1763" s="819" t="s">
        <v>3953</v>
      </c>
      <c r="C1763" s="819" t="s">
        <v>3954</v>
      </c>
      <c r="D1763" s="379" t="s">
        <v>336</v>
      </c>
      <c r="E1763" s="818" t="s">
        <v>676</v>
      </c>
      <c r="F1763" s="820">
        <v>18.126042569999999</v>
      </c>
      <c r="G1763" s="821">
        <v>4.4006307900000001</v>
      </c>
      <c r="H1763" s="822">
        <v>18463209.340211801</v>
      </c>
      <c r="I1763" s="819"/>
      <c r="J1763" s="820">
        <v>-1.79257E-5</v>
      </c>
      <c r="K1763" s="819">
        <f t="shared" si="386"/>
        <v>1117</v>
      </c>
      <c r="L1763" s="819">
        <f t="shared" si="387"/>
        <v>420</v>
      </c>
      <c r="M1763" s="819">
        <f t="shared" si="383"/>
        <v>1117</v>
      </c>
      <c r="N1763" s="819">
        <f t="shared" si="384"/>
        <v>364</v>
      </c>
      <c r="O1763" s="819">
        <f t="shared" si="385"/>
        <v>842</v>
      </c>
      <c r="P1763" s="819">
        <f t="shared" si="388"/>
        <v>281</v>
      </c>
      <c r="Q1763" s="819">
        <f t="shared" si="389"/>
        <v>3</v>
      </c>
      <c r="R1763" s="819">
        <f t="shared" si="390"/>
        <v>1035</v>
      </c>
      <c r="S1763" s="819">
        <f t="shared" si="391"/>
        <v>338</v>
      </c>
      <c r="T1763" s="819">
        <f t="shared" si="392"/>
        <v>820</v>
      </c>
      <c r="U1763" s="819">
        <f t="shared" si="393"/>
        <v>2477</v>
      </c>
      <c r="V1763" s="819">
        <f t="shared" si="394"/>
        <v>243</v>
      </c>
      <c r="W1763" s="379">
        <f t="shared" si="395"/>
        <v>243</v>
      </c>
      <c r="X1763" s="819" t="str">
        <f t="shared" si="396"/>
        <v/>
      </c>
      <c r="Y1763" s="837"/>
      <c r="Z1763" s="839"/>
      <c r="AA1763" s="838"/>
      <c r="AB1763" s="839"/>
    </row>
    <row r="1764" spans="1:28" ht="13.15">
      <c r="B1764" s="819" t="s">
        <v>3955</v>
      </c>
      <c r="C1764" s="819" t="s">
        <v>3956</v>
      </c>
      <c r="D1764" s="379" t="s">
        <v>336</v>
      </c>
      <c r="E1764" s="818" t="s">
        <v>453</v>
      </c>
      <c r="F1764" s="820">
        <v>3.9353970239999998</v>
      </c>
      <c r="G1764" s="821">
        <v>2.47774538</v>
      </c>
      <c r="H1764" s="822">
        <v>200948839.215565</v>
      </c>
      <c r="I1764" s="819"/>
      <c r="J1764" s="820">
        <v>-9.1724299999999992E-6</v>
      </c>
      <c r="K1764" s="819">
        <f t="shared" si="386"/>
        <v>566</v>
      </c>
      <c r="L1764" s="819">
        <f t="shared" si="387"/>
        <v>606</v>
      </c>
      <c r="M1764" s="819">
        <f t="shared" si="383"/>
        <v>566</v>
      </c>
      <c r="N1764" s="819">
        <f t="shared" si="384"/>
        <v>364</v>
      </c>
      <c r="O1764" s="819">
        <f t="shared" si="385"/>
        <v>799</v>
      </c>
      <c r="P1764" s="819">
        <f t="shared" si="388"/>
        <v>832</v>
      </c>
      <c r="Q1764" s="819">
        <f t="shared" si="389"/>
        <v>183</v>
      </c>
      <c r="R1764" s="819">
        <f t="shared" si="390"/>
        <v>484</v>
      </c>
      <c r="S1764" s="819">
        <f t="shared" si="391"/>
        <v>338</v>
      </c>
      <c r="T1764" s="819">
        <f t="shared" si="392"/>
        <v>777</v>
      </c>
      <c r="U1764" s="819">
        <f t="shared" si="393"/>
        <v>2614</v>
      </c>
      <c r="V1764" s="819">
        <f t="shared" si="394"/>
        <v>290</v>
      </c>
      <c r="W1764" s="379">
        <f t="shared" si="395"/>
        <v>290</v>
      </c>
      <c r="X1764" s="819" t="str">
        <f t="shared" si="396"/>
        <v/>
      </c>
      <c r="Y1764" s="837"/>
      <c r="Z1764" s="839"/>
      <c r="AA1764" s="838"/>
      <c r="AB1764" s="839"/>
    </row>
    <row r="1765" spans="1:28" ht="14.45">
      <c r="A1765" s="816"/>
      <c r="B1765" s="819" t="s">
        <v>3957</v>
      </c>
      <c r="C1765" s="819" t="s">
        <v>3958</v>
      </c>
      <c r="D1765" s="379" t="s">
        <v>336</v>
      </c>
      <c r="E1765" s="818" t="s">
        <v>460</v>
      </c>
      <c r="F1765" s="820">
        <v>-1.3461643889999999</v>
      </c>
      <c r="G1765" s="821">
        <v>-2.2483507989999998</v>
      </c>
      <c r="H1765" s="822">
        <v>12655179.0711332</v>
      </c>
      <c r="I1765" s="819"/>
      <c r="J1765" s="820">
        <v>1.8800699999999999E-4</v>
      </c>
      <c r="K1765" s="819">
        <f t="shared" si="386"/>
        <v>1207</v>
      </c>
      <c r="L1765" s="819">
        <f t="shared" si="387"/>
        <v>1350</v>
      </c>
      <c r="M1765" s="819">
        <f t="shared" si="383"/>
        <v>1207</v>
      </c>
      <c r="N1765" s="819">
        <f t="shared" si="384"/>
        <v>364</v>
      </c>
      <c r="O1765" s="819">
        <f t="shared" si="385"/>
        <v>258</v>
      </c>
      <c r="P1765" s="819">
        <f t="shared" si="388"/>
        <v>191</v>
      </c>
      <c r="Q1765" s="819">
        <f t="shared" si="389"/>
        <v>927</v>
      </c>
      <c r="R1765" s="819">
        <f t="shared" si="390"/>
        <v>1125</v>
      </c>
      <c r="S1765" s="819">
        <f t="shared" si="391"/>
        <v>338</v>
      </c>
      <c r="T1765" s="819">
        <f t="shared" si="392"/>
        <v>236</v>
      </c>
      <c r="U1765" s="819">
        <f t="shared" si="393"/>
        <v>2817</v>
      </c>
      <c r="V1765" s="819">
        <f t="shared" si="394"/>
        <v>657</v>
      </c>
      <c r="W1765" s="379">
        <f t="shared" si="395"/>
        <v>657</v>
      </c>
      <c r="X1765" s="819" t="str">
        <f t="shared" si="396"/>
        <v/>
      </c>
      <c r="Y1765" s="837"/>
      <c r="Z1765" s="839"/>
      <c r="AA1765" s="838"/>
      <c r="AB1765" s="839"/>
    </row>
    <row r="1766" spans="1:28" ht="13.15">
      <c r="B1766" s="819" t="s">
        <v>3959</v>
      </c>
      <c r="C1766" s="819" t="s">
        <v>3960</v>
      </c>
      <c r="D1766" s="379" t="s">
        <v>336</v>
      </c>
      <c r="E1766" s="818" t="s">
        <v>460</v>
      </c>
      <c r="F1766" s="820">
        <v>2.9031902089999999</v>
      </c>
      <c r="G1766" s="821">
        <v>4.8917155899999996</v>
      </c>
      <c r="H1766" s="822">
        <v>27280582.489363</v>
      </c>
      <c r="I1766" s="819"/>
      <c r="J1766" s="820">
        <v>-3.0875899999999998E-4</v>
      </c>
      <c r="K1766" s="819">
        <f t="shared" si="386"/>
        <v>1029</v>
      </c>
      <c r="L1766" s="819">
        <f t="shared" si="387"/>
        <v>382</v>
      </c>
      <c r="M1766" s="819">
        <f t="shared" si="383"/>
        <v>1029</v>
      </c>
      <c r="N1766" s="819">
        <f t="shared" si="384"/>
        <v>364</v>
      </c>
      <c r="O1766" s="819">
        <f t="shared" si="385"/>
        <v>1182</v>
      </c>
      <c r="P1766" s="819">
        <f t="shared" si="388"/>
        <v>369</v>
      </c>
      <c r="Q1766" s="819">
        <f t="shared" si="389"/>
        <v>41</v>
      </c>
      <c r="R1766" s="819">
        <f t="shared" si="390"/>
        <v>947</v>
      </c>
      <c r="S1766" s="819">
        <f t="shared" si="391"/>
        <v>338</v>
      </c>
      <c r="T1766" s="819">
        <f t="shared" si="392"/>
        <v>1160</v>
      </c>
      <c r="U1766" s="819">
        <f t="shared" si="393"/>
        <v>2855</v>
      </c>
      <c r="V1766" s="819">
        <f t="shared" si="394"/>
        <v>729</v>
      </c>
      <c r="W1766" s="379">
        <f t="shared" si="395"/>
        <v>729</v>
      </c>
      <c r="X1766" s="819" t="str">
        <f t="shared" si="396"/>
        <v/>
      </c>
      <c r="Y1766" s="837"/>
      <c r="Z1766" s="839"/>
      <c r="AA1766" s="838"/>
      <c r="AB1766" s="839"/>
    </row>
    <row r="1767" spans="1:28" ht="14.45">
      <c r="A1767" s="816"/>
      <c r="B1767" s="819" t="s">
        <v>3961</v>
      </c>
      <c r="C1767" s="819" t="s">
        <v>3962</v>
      </c>
      <c r="D1767" s="379" t="s">
        <v>336</v>
      </c>
      <c r="E1767" s="818" t="s">
        <v>441</v>
      </c>
      <c r="F1767" s="820">
        <v>1.4384547409999999</v>
      </c>
      <c r="G1767" s="821">
        <v>7.2415643000000003</v>
      </c>
      <c r="H1767" s="822">
        <v>14874636.301200001</v>
      </c>
      <c r="I1767" s="819"/>
      <c r="J1767" s="820">
        <v>-2.9485500000000001E-4</v>
      </c>
      <c r="K1767" s="819">
        <f t="shared" si="386"/>
        <v>1166</v>
      </c>
      <c r="L1767" s="819">
        <f t="shared" si="387"/>
        <v>280</v>
      </c>
      <c r="M1767" s="819">
        <f t="shared" si="383"/>
        <v>1166</v>
      </c>
      <c r="N1767" s="819">
        <f t="shared" si="384"/>
        <v>364</v>
      </c>
      <c r="O1767" s="819">
        <f t="shared" si="385"/>
        <v>1177</v>
      </c>
      <c r="P1767" s="819">
        <f t="shared" si="388"/>
        <v>232</v>
      </c>
      <c r="Q1767" s="819">
        <f t="shared" si="389"/>
        <v>143</v>
      </c>
      <c r="R1767" s="819">
        <f t="shared" si="390"/>
        <v>1084</v>
      </c>
      <c r="S1767" s="819">
        <f t="shared" si="391"/>
        <v>338</v>
      </c>
      <c r="T1767" s="819">
        <f t="shared" si="392"/>
        <v>1155</v>
      </c>
      <c r="U1767" s="819">
        <f t="shared" si="393"/>
        <v>2952</v>
      </c>
      <c r="V1767" s="819">
        <f t="shared" si="394"/>
        <v>867</v>
      </c>
      <c r="W1767" s="379">
        <f t="shared" si="395"/>
        <v>867</v>
      </c>
      <c r="X1767" s="819" t="str">
        <f t="shared" si="396"/>
        <v/>
      </c>
      <c r="Y1767" s="837"/>
      <c r="Z1767" s="839"/>
      <c r="AA1767" s="838"/>
      <c r="AB1767" s="839"/>
    </row>
    <row r="1768" spans="1:28" ht="13.15">
      <c r="B1768" s="819" t="s">
        <v>3963</v>
      </c>
      <c r="C1768" s="819" t="s">
        <v>3964</v>
      </c>
      <c r="D1768" s="379" t="s">
        <v>336</v>
      </c>
      <c r="E1768" s="818" t="s">
        <v>418</v>
      </c>
      <c r="F1768" s="820">
        <v>11.574560999999999</v>
      </c>
      <c r="G1768" s="821">
        <v>3.9269950649999998</v>
      </c>
      <c r="H1768" s="822">
        <v>147204912.79860201</v>
      </c>
      <c r="I1768" s="819"/>
      <c r="J1768" s="820">
        <v>-1.8972599999999999E-5</v>
      </c>
      <c r="K1768" s="819">
        <f t="shared" si="386"/>
        <v>626</v>
      </c>
      <c r="L1768" s="819">
        <f t="shared" si="387"/>
        <v>455</v>
      </c>
      <c r="M1768" s="819">
        <f t="shared" si="383"/>
        <v>626</v>
      </c>
      <c r="N1768" s="819">
        <f t="shared" si="384"/>
        <v>364</v>
      </c>
      <c r="O1768" s="819">
        <f t="shared" si="385"/>
        <v>846</v>
      </c>
      <c r="P1768" s="819">
        <f t="shared" si="388"/>
        <v>772</v>
      </c>
      <c r="Q1768" s="819">
        <f t="shared" si="389"/>
        <v>32</v>
      </c>
      <c r="R1768" s="819">
        <f t="shared" si="390"/>
        <v>544</v>
      </c>
      <c r="S1768" s="819">
        <f t="shared" si="391"/>
        <v>338</v>
      </c>
      <c r="T1768" s="819">
        <f t="shared" si="392"/>
        <v>824</v>
      </c>
      <c r="U1768" s="819">
        <f t="shared" si="393"/>
        <v>2510</v>
      </c>
      <c r="V1768" s="819">
        <f t="shared" si="394"/>
        <v>251</v>
      </c>
      <c r="W1768" s="379">
        <f t="shared" si="395"/>
        <v>251</v>
      </c>
      <c r="X1768" s="819" t="str">
        <f t="shared" si="396"/>
        <v/>
      </c>
      <c r="Y1768" s="837"/>
      <c r="Z1768" s="839"/>
      <c r="AA1768" s="838"/>
      <c r="AB1768" s="839"/>
    </row>
    <row r="1769" spans="1:28" ht="14.45">
      <c r="A1769" s="816"/>
      <c r="B1769" s="819" t="s">
        <v>3965</v>
      </c>
      <c r="C1769" s="819" t="s">
        <v>3966</v>
      </c>
      <c r="D1769" s="379" t="s">
        <v>336</v>
      </c>
      <c r="E1769" s="818" t="s">
        <v>441</v>
      </c>
      <c r="F1769" s="820">
        <v>7.5816709800000002</v>
      </c>
      <c r="G1769" s="821">
        <v>3.4974143190000002</v>
      </c>
      <c r="H1769" s="822">
        <v>2802762114.8898602</v>
      </c>
      <c r="I1769" s="819"/>
      <c r="J1769" s="820">
        <v>-1.6490400000000001E-5</v>
      </c>
      <c r="K1769" s="819">
        <f t="shared" si="386"/>
        <v>117</v>
      </c>
      <c r="L1769" s="819">
        <f t="shared" si="387"/>
        <v>503</v>
      </c>
      <c r="M1769" s="819">
        <f t="shared" si="383"/>
        <v>117</v>
      </c>
      <c r="N1769" s="819">
        <f t="shared" si="384"/>
        <v>364</v>
      </c>
      <c r="O1769" s="819">
        <f t="shared" si="385"/>
        <v>839</v>
      </c>
      <c r="P1769" s="819">
        <f t="shared" si="388"/>
        <v>1281</v>
      </c>
      <c r="Q1769" s="819">
        <f t="shared" si="389"/>
        <v>80</v>
      </c>
      <c r="R1769" s="819">
        <f t="shared" si="390"/>
        <v>35</v>
      </c>
      <c r="S1769" s="819">
        <f t="shared" si="391"/>
        <v>338</v>
      </c>
      <c r="T1769" s="819">
        <f t="shared" si="392"/>
        <v>817</v>
      </c>
      <c r="U1769" s="819">
        <f t="shared" si="393"/>
        <v>2551</v>
      </c>
      <c r="V1769" s="819">
        <f t="shared" si="394"/>
        <v>266</v>
      </c>
      <c r="W1769" s="379">
        <f t="shared" si="395"/>
        <v>266</v>
      </c>
      <c r="X1769" s="819" t="str">
        <f t="shared" si="396"/>
        <v/>
      </c>
      <c r="Y1769" s="837"/>
      <c r="Z1769" s="839"/>
      <c r="AA1769" s="838"/>
      <c r="AB1769" s="839"/>
    </row>
    <row r="1770" spans="1:28" ht="13.15">
      <c r="B1770" s="819" t="s">
        <v>3967</v>
      </c>
      <c r="C1770" s="819" t="s">
        <v>3968</v>
      </c>
      <c r="D1770" s="379" t="s">
        <v>336</v>
      </c>
      <c r="E1770" s="818" t="s">
        <v>460</v>
      </c>
      <c r="F1770" s="820">
        <v>9.2100000000000009</v>
      </c>
      <c r="G1770" s="821">
        <v>5.4239130429999998</v>
      </c>
      <c r="H1770" s="822">
        <v>20516929.346197601</v>
      </c>
      <c r="I1770" s="819">
        <v>1.49</v>
      </c>
      <c r="J1770" s="820">
        <v>-1.333713E-3</v>
      </c>
      <c r="K1770" s="819">
        <f t="shared" si="386"/>
        <v>1100</v>
      </c>
      <c r="L1770" s="819">
        <f t="shared" si="387"/>
        <v>357</v>
      </c>
      <c r="M1770" s="819">
        <f t="shared" si="383"/>
        <v>1100</v>
      </c>
      <c r="N1770" s="819">
        <f t="shared" si="384"/>
        <v>96</v>
      </c>
      <c r="O1770" s="819">
        <f t="shared" si="385"/>
        <v>1438</v>
      </c>
      <c r="P1770" s="819">
        <f t="shared" si="388"/>
        <v>298</v>
      </c>
      <c r="Q1770" s="819">
        <f t="shared" si="389"/>
        <v>66</v>
      </c>
      <c r="R1770" s="819">
        <f t="shared" si="390"/>
        <v>1018</v>
      </c>
      <c r="S1770" s="819">
        <f t="shared" si="391"/>
        <v>70</v>
      </c>
      <c r="T1770" s="819">
        <f t="shared" si="392"/>
        <v>1416</v>
      </c>
      <c r="U1770" s="819">
        <f t="shared" si="393"/>
        <v>2868</v>
      </c>
      <c r="V1770" s="819">
        <f t="shared" si="394"/>
        <v>750</v>
      </c>
      <c r="W1770" s="379">
        <f t="shared" si="395"/>
        <v>750</v>
      </c>
      <c r="X1770" s="819" t="str">
        <f t="shared" si="396"/>
        <v/>
      </c>
      <c r="Y1770" s="837"/>
      <c r="Z1770" s="839"/>
      <c r="AA1770" s="838"/>
      <c r="AB1770" s="839"/>
    </row>
    <row r="1771" spans="1:28" ht="14.45">
      <c r="A1771" s="816"/>
      <c r="B1771" s="819" t="s">
        <v>3969</v>
      </c>
      <c r="C1771" s="819" t="s">
        <v>3970</v>
      </c>
      <c r="D1771" s="379" t="s">
        <v>336</v>
      </c>
      <c r="E1771" s="818" t="s">
        <v>460</v>
      </c>
      <c r="F1771" s="820"/>
      <c r="G1771" s="821"/>
      <c r="H1771" s="822">
        <v>11055813.141966799</v>
      </c>
      <c r="I1771" s="819">
        <f t="shared" ref="I1771:I1787" si="397">IFERROR(_xlfn.RANK.EQ(F1771,F$3:F$1787),"N/A")</f>
        <v>1398</v>
      </c>
      <c r="J1771" s="820">
        <v>0</v>
      </c>
      <c r="K1771" s="819">
        <f t="shared" si="386"/>
        <v>1231</v>
      </c>
      <c r="L1771" s="819">
        <f t="shared" si="387"/>
        <v>1084</v>
      </c>
      <c r="M1771" s="819">
        <f t="shared" si="383"/>
        <v>1231</v>
      </c>
      <c r="N1771" s="819">
        <f t="shared" si="384"/>
        <v>2</v>
      </c>
      <c r="O1771" s="819">
        <f t="shared" si="385"/>
        <v>492</v>
      </c>
      <c r="P1771" s="819">
        <f t="shared" si="388"/>
        <v>167</v>
      </c>
      <c r="Q1771" s="819">
        <f t="shared" si="389"/>
        <v>661</v>
      </c>
      <c r="R1771" s="819">
        <f t="shared" si="390"/>
        <v>1149</v>
      </c>
      <c r="S1771" s="819">
        <f t="shared" si="391"/>
        <v>24</v>
      </c>
      <c r="T1771" s="819">
        <f t="shared" si="392"/>
        <v>470</v>
      </c>
      <c r="U1771" s="819">
        <f t="shared" si="393"/>
        <v>2471</v>
      </c>
      <c r="V1771" s="819">
        <f t="shared" si="394"/>
        <v>238</v>
      </c>
      <c r="W1771" s="379">
        <f t="shared" si="395"/>
        <v>238</v>
      </c>
      <c r="X1771" s="819" t="str">
        <f t="shared" si="396"/>
        <v/>
      </c>
      <c r="Y1771" s="837"/>
      <c r="Z1771" s="839"/>
      <c r="AA1771" s="838"/>
      <c r="AB1771" s="839"/>
    </row>
    <row r="1772" spans="1:28" ht="13.15">
      <c r="B1772" s="819" t="s">
        <v>3971</v>
      </c>
      <c r="C1772" s="819" t="s">
        <v>3972</v>
      </c>
      <c r="D1772" s="379" t="s">
        <v>336</v>
      </c>
      <c r="E1772" s="818" t="s">
        <v>337</v>
      </c>
      <c r="F1772" s="820">
        <v>1.4346214639999999</v>
      </c>
      <c r="G1772" s="821">
        <v>3.9137647969999998</v>
      </c>
      <c r="H1772" s="822">
        <v>2039883900.3699999</v>
      </c>
      <c r="I1772" s="819">
        <f t="shared" si="397"/>
        <v>876</v>
      </c>
      <c r="J1772" s="820">
        <v>-3.27962E-6</v>
      </c>
      <c r="K1772" s="819">
        <f t="shared" si="386"/>
        <v>145</v>
      </c>
      <c r="L1772" s="819">
        <f t="shared" si="387"/>
        <v>459</v>
      </c>
      <c r="M1772" s="819">
        <f t="shared" si="383"/>
        <v>145</v>
      </c>
      <c r="N1772" s="819">
        <f t="shared" si="384"/>
        <v>10</v>
      </c>
      <c r="O1772" s="819">
        <f t="shared" si="385"/>
        <v>776</v>
      </c>
      <c r="P1772" s="819">
        <f t="shared" si="388"/>
        <v>1253</v>
      </c>
      <c r="Q1772" s="819">
        <f t="shared" si="389"/>
        <v>36</v>
      </c>
      <c r="R1772" s="819">
        <f t="shared" si="390"/>
        <v>63</v>
      </c>
      <c r="S1772" s="819">
        <f t="shared" si="391"/>
        <v>16</v>
      </c>
      <c r="T1772" s="819">
        <f t="shared" si="392"/>
        <v>754</v>
      </c>
      <c r="U1772" s="819">
        <f t="shared" si="393"/>
        <v>2122</v>
      </c>
      <c r="V1772" s="819">
        <f t="shared" si="394"/>
        <v>191</v>
      </c>
      <c r="W1772" s="379">
        <f t="shared" si="395"/>
        <v>191</v>
      </c>
      <c r="X1772" s="819" t="str">
        <f t="shared" si="396"/>
        <v/>
      </c>
      <c r="Y1772" s="837"/>
      <c r="Z1772" s="839"/>
      <c r="AA1772" s="838"/>
      <c r="AB1772" s="839"/>
    </row>
    <row r="1773" spans="1:28" ht="14.45">
      <c r="A1773" s="816"/>
      <c r="B1773" s="819" t="s">
        <v>3973</v>
      </c>
      <c r="C1773" s="819" t="s">
        <v>3974</v>
      </c>
      <c r="D1773" s="379" t="s">
        <v>336</v>
      </c>
      <c r="E1773" s="818" t="s">
        <v>868</v>
      </c>
      <c r="F1773" s="820">
        <v>64.955251160000003</v>
      </c>
      <c r="G1773" s="821">
        <v>8.5711812690000002</v>
      </c>
      <c r="H1773" s="822">
        <v>14911168.464001499</v>
      </c>
      <c r="I1773" s="819">
        <f t="shared" si="397"/>
        <v>4</v>
      </c>
      <c r="J1773" s="820">
        <v>-8.1387099999999995E-6</v>
      </c>
      <c r="K1773" s="819">
        <f t="shared" si="386"/>
        <v>1165</v>
      </c>
      <c r="L1773" s="819">
        <f t="shared" si="387"/>
        <v>240</v>
      </c>
      <c r="M1773" s="819">
        <f t="shared" si="383"/>
        <v>1165</v>
      </c>
      <c r="N1773" s="819">
        <f t="shared" si="384"/>
        <v>52</v>
      </c>
      <c r="O1773" s="819">
        <f t="shared" si="385"/>
        <v>794</v>
      </c>
      <c r="P1773" s="819">
        <f t="shared" si="388"/>
        <v>233</v>
      </c>
      <c r="Q1773" s="819">
        <f t="shared" si="389"/>
        <v>183</v>
      </c>
      <c r="R1773" s="819">
        <f t="shared" si="390"/>
        <v>1083</v>
      </c>
      <c r="S1773" s="819">
        <f t="shared" si="391"/>
        <v>26</v>
      </c>
      <c r="T1773" s="819">
        <f t="shared" si="392"/>
        <v>772</v>
      </c>
      <c r="U1773" s="819">
        <f t="shared" si="393"/>
        <v>2297</v>
      </c>
      <c r="V1773" s="819">
        <f t="shared" si="394"/>
        <v>216</v>
      </c>
      <c r="W1773" s="379">
        <f t="shared" si="395"/>
        <v>216</v>
      </c>
      <c r="X1773" s="819" t="str">
        <f t="shared" si="396"/>
        <v/>
      </c>
      <c r="Y1773" s="837"/>
      <c r="Z1773" s="839"/>
      <c r="AA1773" s="838"/>
      <c r="AB1773" s="839"/>
    </row>
    <row r="1774" spans="1:28" ht="13.15">
      <c r="B1774" s="819" t="s">
        <v>3975</v>
      </c>
      <c r="C1774" s="819" t="s">
        <v>3976</v>
      </c>
      <c r="D1774" s="379" t="s">
        <v>336</v>
      </c>
      <c r="E1774" s="818" t="s">
        <v>453</v>
      </c>
      <c r="F1774" s="820">
        <v>5.862516694</v>
      </c>
      <c r="G1774" s="821">
        <v>3.3728707020000002</v>
      </c>
      <c r="H1774" s="822">
        <v>90376319.073221102</v>
      </c>
      <c r="I1774" s="819">
        <f t="shared" si="397"/>
        <v>123</v>
      </c>
      <c r="J1774" s="820">
        <v>-9.0303200000000003E-6</v>
      </c>
      <c r="K1774" s="819">
        <f t="shared" si="386"/>
        <v>745</v>
      </c>
      <c r="L1774" s="819">
        <f t="shared" si="387"/>
        <v>517</v>
      </c>
      <c r="M1774" s="819">
        <f t="shared" si="383"/>
        <v>745</v>
      </c>
      <c r="N1774" s="819">
        <f t="shared" si="384"/>
        <v>15</v>
      </c>
      <c r="O1774" s="819">
        <f t="shared" si="385"/>
        <v>798</v>
      </c>
      <c r="P1774" s="819">
        <f t="shared" si="388"/>
        <v>653</v>
      </c>
      <c r="Q1774" s="819">
        <f t="shared" si="389"/>
        <v>94</v>
      </c>
      <c r="R1774" s="819">
        <f t="shared" si="390"/>
        <v>663</v>
      </c>
      <c r="S1774" s="819">
        <f t="shared" si="391"/>
        <v>11</v>
      </c>
      <c r="T1774" s="819">
        <f t="shared" si="392"/>
        <v>776</v>
      </c>
      <c r="U1774" s="819">
        <f t="shared" si="393"/>
        <v>2197</v>
      </c>
      <c r="V1774" s="819">
        <f t="shared" si="394"/>
        <v>204</v>
      </c>
      <c r="W1774" s="379">
        <f t="shared" si="395"/>
        <v>204</v>
      </c>
      <c r="X1774" s="819" t="str">
        <f t="shared" si="396"/>
        <v/>
      </c>
      <c r="Y1774" s="837"/>
      <c r="Z1774" s="839"/>
      <c r="AA1774" s="838"/>
      <c r="AB1774" s="839"/>
    </row>
    <row r="1775" spans="1:28" ht="14.45">
      <c r="A1775" s="816"/>
      <c r="B1775" s="819" t="s">
        <v>3977</v>
      </c>
      <c r="C1775" s="819" t="s">
        <v>3978</v>
      </c>
      <c r="D1775" s="379" t="s">
        <v>336</v>
      </c>
      <c r="E1775" s="818" t="s">
        <v>460</v>
      </c>
      <c r="F1775" s="820">
        <v>5.3894819600000003</v>
      </c>
      <c r="G1775" s="821">
        <v>1.942771802</v>
      </c>
      <c r="H1775" s="822">
        <v>8543177.3236651309</v>
      </c>
      <c r="I1775" s="819">
        <f t="shared" si="397"/>
        <v>148</v>
      </c>
      <c r="J1775" s="820">
        <v>-9.5985600000000005E-6</v>
      </c>
      <c r="K1775" s="819">
        <f t="shared" si="386"/>
        <v>1284</v>
      </c>
      <c r="L1775" s="819">
        <f t="shared" si="387"/>
        <v>684</v>
      </c>
      <c r="M1775" s="819">
        <f t="shared" si="383"/>
        <v>1284</v>
      </c>
      <c r="N1775" s="819">
        <f t="shared" si="384"/>
        <v>14</v>
      </c>
      <c r="O1775" s="819">
        <f t="shared" si="385"/>
        <v>802</v>
      </c>
      <c r="P1775" s="819">
        <f t="shared" si="388"/>
        <v>114</v>
      </c>
      <c r="Q1775" s="819">
        <f t="shared" si="389"/>
        <v>261</v>
      </c>
      <c r="R1775" s="819">
        <f t="shared" si="390"/>
        <v>1202</v>
      </c>
      <c r="S1775" s="819">
        <f t="shared" si="391"/>
        <v>12</v>
      </c>
      <c r="T1775" s="819">
        <f t="shared" si="392"/>
        <v>780</v>
      </c>
      <c r="U1775" s="819">
        <f t="shared" si="393"/>
        <v>2369</v>
      </c>
      <c r="V1775" s="819">
        <f t="shared" si="394"/>
        <v>227</v>
      </c>
      <c r="W1775" s="379">
        <f t="shared" si="395"/>
        <v>227</v>
      </c>
      <c r="X1775" s="819" t="str">
        <f t="shared" si="396"/>
        <v/>
      </c>
      <c r="Y1775" s="837"/>
      <c r="Z1775" s="839"/>
      <c r="AA1775" s="838"/>
      <c r="AB1775" s="839"/>
    </row>
    <row r="1776" spans="1:28" ht="13.15">
      <c r="B1776" s="819" t="s">
        <v>3979</v>
      </c>
      <c r="C1776" s="819" t="s">
        <v>3980</v>
      </c>
      <c r="D1776" s="379" t="s">
        <v>336</v>
      </c>
      <c r="E1776" s="818" t="s">
        <v>460</v>
      </c>
      <c r="F1776" s="820">
        <v>3.9547060969999999</v>
      </c>
      <c r="G1776" s="821">
        <v>4.035690303</v>
      </c>
      <c r="H1776" s="822">
        <v>6207696.3210882703</v>
      </c>
      <c r="I1776" s="819">
        <f t="shared" si="397"/>
        <v>224</v>
      </c>
      <c r="J1776" s="820">
        <v>-7.2241600000000003E-4</v>
      </c>
      <c r="K1776" s="819">
        <f t="shared" si="386"/>
        <v>1335</v>
      </c>
      <c r="L1776" s="819">
        <f t="shared" si="387"/>
        <v>447</v>
      </c>
      <c r="M1776" s="819">
        <f t="shared" si="383"/>
        <v>1335</v>
      </c>
      <c r="N1776" s="819">
        <f t="shared" si="384"/>
        <v>12</v>
      </c>
      <c r="O1776" s="819">
        <f t="shared" si="385"/>
        <v>1349</v>
      </c>
      <c r="P1776" s="819">
        <f t="shared" si="388"/>
        <v>63</v>
      </c>
      <c r="Q1776" s="819">
        <f t="shared" si="389"/>
        <v>24</v>
      </c>
      <c r="R1776" s="819">
        <f t="shared" si="390"/>
        <v>1253</v>
      </c>
      <c r="S1776" s="819">
        <f t="shared" si="391"/>
        <v>14</v>
      </c>
      <c r="T1776" s="819">
        <f t="shared" si="392"/>
        <v>1327</v>
      </c>
      <c r="U1776" s="819">
        <f t="shared" si="393"/>
        <v>2681</v>
      </c>
      <c r="V1776" s="819">
        <f t="shared" si="394"/>
        <v>339</v>
      </c>
      <c r="W1776" s="379">
        <f t="shared" si="395"/>
        <v>339</v>
      </c>
      <c r="X1776" s="819" t="str">
        <f t="shared" si="396"/>
        <v/>
      </c>
      <c r="Y1776" s="837"/>
      <c r="Z1776" s="839"/>
      <c r="AA1776" s="838"/>
      <c r="AB1776" s="839"/>
    </row>
    <row r="1777" spans="1:28" ht="14.45">
      <c r="A1777" s="816"/>
      <c r="B1777" s="819" t="s">
        <v>3981</v>
      </c>
      <c r="C1777" s="819" t="s">
        <v>3982</v>
      </c>
      <c r="D1777" s="379" t="s">
        <v>336</v>
      </c>
      <c r="E1777" s="818" t="s">
        <v>460</v>
      </c>
      <c r="F1777" s="820">
        <v>7.1503523680000001</v>
      </c>
      <c r="G1777" s="821">
        <v>0.228639964</v>
      </c>
      <c r="H1777" s="822">
        <v>28837312.986756202</v>
      </c>
      <c r="I1777" s="819">
        <f t="shared" si="397"/>
        <v>89</v>
      </c>
      <c r="J1777" s="820">
        <v>-1.9407099999999999E-5</v>
      </c>
      <c r="K1777" s="819">
        <f t="shared" si="386"/>
        <v>1011</v>
      </c>
      <c r="L1777" s="819">
        <f t="shared" si="387"/>
        <v>978</v>
      </c>
      <c r="M1777" s="819">
        <f t="shared" si="383"/>
        <v>1011</v>
      </c>
      <c r="N1777" s="819">
        <f t="shared" si="384"/>
        <v>17</v>
      </c>
      <c r="O1777" s="819">
        <f t="shared" si="385"/>
        <v>849</v>
      </c>
      <c r="P1777" s="819">
        <f t="shared" si="388"/>
        <v>387</v>
      </c>
      <c r="Q1777" s="819">
        <f t="shared" si="389"/>
        <v>555</v>
      </c>
      <c r="R1777" s="819">
        <f t="shared" si="390"/>
        <v>929</v>
      </c>
      <c r="S1777" s="819">
        <f t="shared" si="391"/>
        <v>9</v>
      </c>
      <c r="T1777" s="819">
        <f t="shared" si="392"/>
        <v>827</v>
      </c>
      <c r="U1777" s="819">
        <f t="shared" si="393"/>
        <v>2707</v>
      </c>
      <c r="V1777" s="819">
        <f t="shared" si="394"/>
        <v>366</v>
      </c>
      <c r="W1777" s="379">
        <f t="shared" si="395"/>
        <v>366</v>
      </c>
      <c r="X1777" s="819" t="str">
        <f t="shared" si="396"/>
        <v/>
      </c>
      <c r="Y1777" s="837"/>
      <c r="Z1777" s="839"/>
      <c r="AA1777" s="838"/>
      <c r="AB1777" s="839"/>
    </row>
    <row r="1778" spans="1:28" ht="13.15">
      <c r="B1778" s="819" t="s">
        <v>3983</v>
      </c>
      <c r="C1778" s="819" t="s">
        <v>3984</v>
      </c>
      <c r="D1778" s="379" t="s">
        <v>336</v>
      </c>
      <c r="E1778" s="818" t="s">
        <v>337</v>
      </c>
      <c r="F1778" s="820">
        <v>0.35010911700000003</v>
      </c>
      <c r="G1778" s="821">
        <v>2.4903893620000002</v>
      </c>
      <c r="H1778" s="822">
        <v>123501232.712185</v>
      </c>
      <c r="I1778" s="819">
        <f t="shared" si="397"/>
        <v>1306</v>
      </c>
      <c r="J1778" s="820">
        <v>-8.2571399999999996E-4</v>
      </c>
      <c r="K1778" s="819">
        <f t="shared" si="386"/>
        <v>664</v>
      </c>
      <c r="L1778" s="819">
        <f t="shared" si="387"/>
        <v>602</v>
      </c>
      <c r="M1778" s="819">
        <f t="shared" si="383"/>
        <v>664</v>
      </c>
      <c r="N1778" s="819">
        <f t="shared" si="384"/>
        <v>8</v>
      </c>
      <c r="O1778" s="819">
        <f t="shared" si="385"/>
        <v>1369</v>
      </c>
      <c r="P1778" s="819">
        <f t="shared" si="388"/>
        <v>734</v>
      </c>
      <c r="Q1778" s="819">
        <f t="shared" si="389"/>
        <v>179</v>
      </c>
      <c r="R1778" s="819">
        <f t="shared" si="390"/>
        <v>582</v>
      </c>
      <c r="S1778" s="819">
        <f t="shared" si="391"/>
        <v>18</v>
      </c>
      <c r="T1778" s="819">
        <f t="shared" si="392"/>
        <v>1347</v>
      </c>
      <c r="U1778" s="819">
        <f t="shared" si="393"/>
        <v>2860</v>
      </c>
      <c r="V1778" s="819">
        <f t="shared" si="394"/>
        <v>741</v>
      </c>
      <c r="W1778" s="379">
        <f t="shared" si="395"/>
        <v>741</v>
      </c>
      <c r="X1778" s="819" t="str">
        <f t="shared" si="396"/>
        <v/>
      </c>
      <c r="Y1778" s="837"/>
      <c r="Z1778" s="839"/>
      <c r="AA1778" s="838"/>
      <c r="AB1778" s="839"/>
    </row>
    <row r="1779" spans="1:28" ht="14.45">
      <c r="A1779" s="816"/>
      <c r="B1779" s="819" t="s">
        <v>3985</v>
      </c>
      <c r="C1779" s="819" t="s">
        <v>3986</v>
      </c>
      <c r="D1779" s="379" t="s">
        <v>336</v>
      </c>
      <c r="E1779" s="818" t="s">
        <v>460</v>
      </c>
      <c r="F1779" s="820">
        <v>0.82359566100000003</v>
      </c>
      <c r="G1779" s="821">
        <v>6.194823747</v>
      </c>
      <c r="H1779" s="822">
        <v>26967697.0096482</v>
      </c>
      <c r="I1779" s="819">
        <f t="shared" si="397"/>
        <v>1155</v>
      </c>
      <c r="J1779" s="820">
        <v>-4.78511E-5</v>
      </c>
      <c r="K1779" s="819">
        <f t="shared" si="386"/>
        <v>1031</v>
      </c>
      <c r="L1779" s="819">
        <f t="shared" si="387"/>
        <v>313</v>
      </c>
      <c r="M1779" s="819">
        <f t="shared" si="383"/>
        <v>1031</v>
      </c>
      <c r="N1779" s="819">
        <f t="shared" si="384"/>
        <v>9</v>
      </c>
      <c r="O1779" s="819">
        <f t="shared" si="385"/>
        <v>921</v>
      </c>
      <c r="P1779" s="819">
        <f t="shared" si="388"/>
        <v>367</v>
      </c>
      <c r="Q1779" s="819">
        <f t="shared" si="389"/>
        <v>110</v>
      </c>
      <c r="R1779" s="819">
        <f t="shared" si="390"/>
        <v>949</v>
      </c>
      <c r="S1779" s="819">
        <f t="shared" si="391"/>
        <v>17</v>
      </c>
      <c r="T1779" s="819">
        <f t="shared" si="392"/>
        <v>899</v>
      </c>
      <c r="U1779" s="819">
        <f t="shared" si="393"/>
        <v>2342</v>
      </c>
      <c r="V1779" s="819">
        <f t="shared" si="394"/>
        <v>225</v>
      </c>
      <c r="W1779" s="379">
        <f t="shared" si="395"/>
        <v>225</v>
      </c>
      <c r="X1779" s="819" t="str">
        <f t="shared" si="396"/>
        <v/>
      </c>
      <c r="Y1779" s="837"/>
      <c r="Z1779" s="839"/>
      <c r="AA1779" s="838"/>
      <c r="AB1779" s="839"/>
    </row>
    <row r="1780" spans="1:28" ht="13.15">
      <c r="B1780" s="819" t="s">
        <v>3987</v>
      </c>
      <c r="C1780" s="819" t="s">
        <v>3988</v>
      </c>
      <c r="D1780" s="379" t="s">
        <v>336</v>
      </c>
      <c r="E1780" s="818" t="s">
        <v>1671</v>
      </c>
      <c r="F1780" s="820">
        <v>6.9730576299999996</v>
      </c>
      <c r="G1780" s="821">
        <v>6.6901212919999997</v>
      </c>
      <c r="H1780" s="822">
        <v>894863080.74402595</v>
      </c>
      <c r="I1780" s="819">
        <f t="shared" si="397"/>
        <v>96</v>
      </c>
      <c r="J1780" s="820">
        <v>-2.3996900000000001E-5</v>
      </c>
      <c r="K1780" s="819">
        <f t="shared" si="386"/>
        <v>243</v>
      </c>
      <c r="L1780" s="819">
        <f t="shared" si="387"/>
        <v>296</v>
      </c>
      <c r="M1780" s="819">
        <f t="shared" si="383"/>
        <v>243</v>
      </c>
      <c r="N1780" s="819">
        <f t="shared" si="384"/>
        <v>16</v>
      </c>
      <c r="O1780" s="819">
        <f t="shared" si="385"/>
        <v>862</v>
      </c>
      <c r="P1780" s="819">
        <f t="shared" si="388"/>
        <v>1155</v>
      </c>
      <c r="Q1780" s="819">
        <f t="shared" si="389"/>
        <v>127</v>
      </c>
      <c r="R1780" s="819">
        <f t="shared" si="390"/>
        <v>161</v>
      </c>
      <c r="S1780" s="819">
        <f t="shared" si="391"/>
        <v>10</v>
      </c>
      <c r="T1780" s="819">
        <f t="shared" si="392"/>
        <v>840</v>
      </c>
      <c r="U1780" s="819">
        <f t="shared" si="393"/>
        <v>2293</v>
      </c>
      <c r="V1780" s="819">
        <f t="shared" si="394"/>
        <v>214</v>
      </c>
      <c r="W1780" s="379">
        <f t="shared" si="395"/>
        <v>214</v>
      </c>
      <c r="X1780" s="819" t="str">
        <f t="shared" si="396"/>
        <v/>
      </c>
      <c r="Y1780" s="837"/>
      <c r="Z1780" s="839"/>
      <c r="AA1780" s="838"/>
      <c r="AB1780" s="839"/>
    </row>
    <row r="1781" spans="1:28" ht="14.45">
      <c r="A1781" s="816"/>
      <c r="B1781" s="819" t="s">
        <v>3989</v>
      </c>
      <c r="C1781" s="819" t="s">
        <v>3990</v>
      </c>
      <c r="D1781" s="379" t="s">
        <v>336</v>
      </c>
      <c r="E1781" s="818" t="s">
        <v>425</v>
      </c>
      <c r="F1781" s="820"/>
      <c r="G1781" s="821"/>
      <c r="H1781" s="822">
        <v>67468546.168351397</v>
      </c>
      <c r="I1781" s="819">
        <f t="shared" si="397"/>
        <v>1398</v>
      </c>
      <c r="J1781" s="820">
        <v>0</v>
      </c>
      <c r="K1781" s="819">
        <f t="shared" si="386"/>
        <v>811</v>
      </c>
      <c r="L1781" s="819">
        <f t="shared" si="387"/>
        <v>1084</v>
      </c>
      <c r="M1781" s="819">
        <f t="shared" si="383"/>
        <v>811</v>
      </c>
      <c r="N1781" s="819">
        <f t="shared" si="384"/>
        <v>2</v>
      </c>
      <c r="O1781" s="819">
        <f t="shared" si="385"/>
        <v>492</v>
      </c>
      <c r="P1781" s="819">
        <f t="shared" si="388"/>
        <v>587</v>
      </c>
      <c r="Q1781" s="819">
        <f t="shared" si="389"/>
        <v>661</v>
      </c>
      <c r="R1781" s="819">
        <f t="shared" si="390"/>
        <v>729</v>
      </c>
      <c r="S1781" s="819">
        <f t="shared" si="391"/>
        <v>24</v>
      </c>
      <c r="T1781" s="819">
        <f t="shared" si="392"/>
        <v>470</v>
      </c>
      <c r="U1781" s="819">
        <f t="shared" si="393"/>
        <v>2471</v>
      </c>
      <c r="V1781" s="819">
        <f t="shared" si="394"/>
        <v>238</v>
      </c>
      <c r="W1781" s="379">
        <f t="shared" si="395"/>
        <v>238</v>
      </c>
      <c r="X1781" s="819" t="str">
        <f t="shared" si="396"/>
        <v/>
      </c>
      <c r="Y1781" s="837"/>
      <c r="Z1781" s="839"/>
      <c r="AA1781" s="838"/>
      <c r="AB1781" s="839"/>
    </row>
    <row r="1782" spans="1:28" ht="13.15">
      <c r="B1782" s="819" t="s">
        <v>3991</v>
      </c>
      <c r="C1782" s="819" t="s">
        <v>3992</v>
      </c>
      <c r="D1782" s="379" t="s">
        <v>336</v>
      </c>
      <c r="E1782" s="818" t="s">
        <v>460</v>
      </c>
      <c r="F1782" s="820">
        <v>0</v>
      </c>
      <c r="G1782" s="821">
        <v>0</v>
      </c>
      <c r="H1782" s="822">
        <v>30044970.995385598</v>
      </c>
      <c r="I1782" s="819">
        <f t="shared" si="397"/>
        <v>1398</v>
      </c>
      <c r="J1782" s="820">
        <v>6.7133400000000002E-7</v>
      </c>
      <c r="K1782" s="819">
        <f t="shared" si="386"/>
        <v>1002</v>
      </c>
      <c r="L1782" s="819">
        <f t="shared" si="387"/>
        <v>1084</v>
      </c>
      <c r="M1782" s="819">
        <f t="shared" si="383"/>
        <v>1002</v>
      </c>
      <c r="N1782" s="819">
        <f t="shared" si="384"/>
        <v>2</v>
      </c>
      <c r="O1782" s="819">
        <f t="shared" si="385"/>
        <v>483</v>
      </c>
      <c r="P1782" s="819">
        <f t="shared" si="388"/>
        <v>396</v>
      </c>
      <c r="Q1782" s="819">
        <f t="shared" si="389"/>
        <v>661</v>
      </c>
      <c r="R1782" s="819">
        <f t="shared" si="390"/>
        <v>920</v>
      </c>
      <c r="S1782" s="819">
        <f t="shared" si="391"/>
        <v>24</v>
      </c>
      <c r="T1782" s="819">
        <f t="shared" si="392"/>
        <v>461</v>
      </c>
      <c r="U1782" s="819">
        <f t="shared" si="393"/>
        <v>2462</v>
      </c>
      <c r="V1782" s="819">
        <f t="shared" si="394"/>
        <v>237</v>
      </c>
      <c r="W1782" s="379">
        <f t="shared" si="395"/>
        <v>237</v>
      </c>
      <c r="X1782" s="819" t="str">
        <f t="shared" si="396"/>
        <v/>
      </c>
      <c r="Y1782" s="837"/>
      <c r="Z1782" s="839"/>
      <c r="AA1782" s="838"/>
      <c r="AB1782" s="839"/>
    </row>
    <row r="1783" spans="1:28" ht="14.45">
      <c r="A1783" s="816"/>
      <c r="B1783" s="819" t="s">
        <v>3993</v>
      </c>
      <c r="C1783" s="819" t="s">
        <v>3994</v>
      </c>
      <c r="D1783" s="379" t="s">
        <v>336</v>
      </c>
      <c r="E1783" s="818" t="s">
        <v>460</v>
      </c>
      <c r="F1783" s="820"/>
      <c r="G1783" s="821"/>
      <c r="H1783" s="822">
        <v>8939216.1562893298</v>
      </c>
      <c r="I1783" s="819">
        <f t="shared" si="397"/>
        <v>1398</v>
      </c>
      <c r="J1783" s="820">
        <v>0</v>
      </c>
      <c r="K1783" s="819">
        <f t="shared" si="386"/>
        <v>1270</v>
      </c>
      <c r="L1783" s="819">
        <f t="shared" si="387"/>
        <v>1084</v>
      </c>
      <c r="M1783" s="819">
        <f t="shared" si="383"/>
        <v>1270</v>
      </c>
      <c r="N1783" s="819">
        <f t="shared" si="384"/>
        <v>2</v>
      </c>
      <c r="O1783" s="819">
        <f t="shared" si="385"/>
        <v>492</v>
      </c>
      <c r="P1783" s="819">
        <f t="shared" si="388"/>
        <v>128</v>
      </c>
      <c r="Q1783" s="819">
        <f t="shared" si="389"/>
        <v>661</v>
      </c>
      <c r="R1783" s="819">
        <f t="shared" si="390"/>
        <v>1188</v>
      </c>
      <c r="S1783" s="819">
        <f t="shared" si="391"/>
        <v>24</v>
      </c>
      <c r="T1783" s="819">
        <f t="shared" si="392"/>
        <v>470</v>
      </c>
      <c r="U1783" s="819">
        <f t="shared" si="393"/>
        <v>2471</v>
      </c>
      <c r="V1783" s="819">
        <f t="shared" si="394"/>
        <v>238</v>
      </c>
      <c r="W1783" s="379">
        <f t="shared" si="395"/>
        <v>238</v>
      </c>
      <c r="X1783" s="819" t="str">
        <f t="shared" si="396"/>
        <v/>
      </c>
      <c r="Y1783" s="837"/>
      <c r="Z1783" s="839"/>
      <c r="AA1783" s="838"/>
      <c r="AB1783" s="839"/>
    </row>
    <row r="1784" spans="1:28" ht="13.15">
      <c r="B1784" s="819" t="s">
        <v>3995</v>
      </c>
      <c r="C1784" s="819" t="s">
        <v>3996</v>
      </c>
      <c r="D1784" s="379" t="s">
        <v>336</v>
      </c>
      <c r="E1784" s="818" t="s">
        <v>460</v>
      </c>
      <c r="F1784" s="820">
        <v>3.7901062849999998</v>
      </c>
      <c r="G1784" s="821">
        <v>3.1188025499999998</v>
      </c>
      <c r="H1784" s="822">
        <v>6132985.5576197002</v>
      </c>
      <c r="I1784" s="819">
        <f t="shared" si="397"/>
        <v>241</v>
      </c>
      <c r="J1784" s="820">
        <v>-9.7170500000000001E-4</v>
      </c>
      <c r="K1784" s="819">
        <f t="shared" si="386"/>
        <v>1340</v>
      </c>
      <c r="L1784" s="819">
        <f t="shared" si="387"/>
        <v>537</v>
      </c>
      <c r="M1784" s="819">
        <f t="shared" si="383"/>
        <v>1340</v>
      </c>
      <c r="N1784" s="819">
        <f t="shared" si="384"/>
        <v>11</v>
      </c>
      <c r="O1784" s="819">
        <f t="shared" si="385"/>
        <v>1390</v>
      </c>
      <c r="P1784" s="819">
        <f t="shared" si="388"/>
        <v>58</v>
      </c>
      <c r="Q1784" s="819">
        <f t="shared" si="389"/>
        <v>114</v>
      </c>
      <c r="R1784" s="819">
        <f t="shared" si="390"/>
        <v>1258</v>
      </c>
      <c r="S1784" s="819">
        <f t="shared" si="391"/>
        <v>15</v>
      </c>
      <c r="T1784" s="819">
        <f t="shared" si="392"/>
        <v>1368</v>
      </c>
      <c r="U1784" s="819">
        <f t="shared" si="393"/>
        <v>2813</v>
      </c>
      <c r="V1784" s="819">
        <f t="shared" si="394"/>
        <v>653</v>
      </c>
      <c r="W1784" s="379">
        <f t="shared" si="395"/>
        <v>653</v>
      </c>
      <c r="X1784" s="819" t="str">
        <f t="shared" si="396"/>
        <v/>
      </c>
      <c r="Y1784" s="837"/>
      <c r="Z1784" s="839"/>
      <c r="AA1784" s="838"/>
      <c r="AB1784" s="839"/>
    </row>
    <row r="1785" spans="1:28" ht="14.45">
      <c r="A1785" s="816"/>
      <c r="B1785" s="819" t="s">
        <v>3997</v>
      </c>
      <c r="C1785" s="819" t="s">
        <v>3998</v>
      </c>
      <c r="D1785" s="379" t="s">
        <v>336</v>
      </c>
      <c r="E1785" s="818" t="s">
        <v>373</v>
      </c>
      <c r="F1785" s="820"/>
      <c r="G1785" s="821"/>
      <c r="H1785" s="822">
        <v>47651515.151515201</v>
      </c>
      <c r="I1785" s="819">
        <f t="shared" si="397"/>
        <v>1398</v>
      </c>
      <c r="J1785" s="820">
        <v>0</v>
      </c>
      <c r="K1785" s="819">
        <f t="shared" si="386"/>
        <v>889</v>
      </c>
      <c r="L1785" s="819">
        <f t="shared" si="387"/>
        <v>1084</v>
      </c>
      <c r="M1785" s="819">
        <f t="shared" si="383"/>
        <v>889</v>
      </c>
      <c r="N1785" s="819">
        <f t="shared" si="384"/>
        <v>2</v>
      </c>
      <c r="O1785" s="819">
        <f t="shared" si="385"/>
        <v>492</v>
      </c>
      <c r="P1785" s="819">
        <f t="shared" si="388"/>
        <v>509</v>
      </c>
      <c r="Q1785" s="819">
        <f t="shared" si="389"/>
        <v>661</v>
      </c>
      <c r="R1785" s="819">
        <f t="shared" si="390"/>
        <v>807</v>
      </c>
      <c r="S1785" s="819">
        <f t="shared" si="391"/>
        <v>24</v>
      </c>
      <c r="T1785" s="819">
        <f t="shared" si="392"/>
        <v>470</v>
      </c>
      <c r="U1785" s="819">
        <f t="shared" si="393"/>
        <v>2471</v>
      </c>
      <c r="V1785" s="819">
        <f t="shared" si="394"/>
        <v>238</v>
      </c>
      <c r="W1785" s="379">
        <f t="shared" si="395"/>
        <v>238</v>
      </c>
      <c r="X1785" s="819" t="str">
        <f t="shared" si="396"/>
        <v/>
      </c>
      <c r="Y1785" s="837"/>
      <c r="Z1785" s="839"/>
      <c r="AA1785" s="838"/>
      <c r="AB1785" s="839"/>
    </row>
    <row r="1786" spans="1:28" ht="13.15">
      <c r="B1786" s="819" t="s">
        <v>3999</v>
      </c>
      <c r="C1786" s="819" t="s">
        <v>4000</v>
      </c>
      <c r="D1786" s="379" t="s">
        <v>336</v>
      </c>
      <c r="E1786" s="818" t="s">
        <v>189</v>
      </c>
      <c r="F1786" s="820"/>
      <c r="G1786" s="821"/>
      <c r="H1786" s="822">
        <v>38432088.351703398</v>
      </c>
      <c r="I1786" s="819">
        <f t="shared" si="397"/>
        <v>1398</v>
      </c>
      <c r="J1786" s="820">
        <v>0</v>
      </c>
      <c r="K1786" s="819">
        <f t="shared" si="386"/>
        <v>936</v>
      </c>
      <c r="L1786" s="819">
        <f t="shared" si="387"/>
        <v>1084</v>
      </c>
      <c r="M1786" s="819">
        <f t="shared" si="383"/>
        <v>936</v>
      </c>
      <c r="N1786" s="819">
        <f t="shared" si="384"/>
        <v>2</v>
      </c>
      <c r="O1786" s="819">
        <f t="shared" si="385"/>
        <v>492</v>
      </c>
      <c r="P1786" s="819">
        <f t="shared" si="388"/>
        <v>462</v>
      </c>
      <c r="Q1786" s="819">
        <f t="shared" si="389"/>
        <v>661</v>
      </c>
      <c r="R1786" s="819">
        <f t="shared" si="390"/>
        <v>854</v>
      </c>
      <c r="S1786" s="819">
        <f t="shared" si="391"/>
        <v>24</v>
      </c>
      <c r="T1786" s="819">
        <f t="shared" si="392"/>
        <v>470</v>
      </c>
      <c r="U1786" s="819">
        <f t="shared" si="393"/>
        <v>2471</v>
      </c>
      <c r="V1786" s="819">
        <f t="shared" si="394"/>
        <v>238</v>
      </c>
      <c r="W1786" s="379">
        <f t="shared" si="395"/>
        <v>238</v>
      </c>
      <c r="X1786" s="819" t="str">
        <f t="shared" si="396"/>
        <v/>
      </c>
      <c r="Y1786" s="837"/>
      <c r="Z1786" s="839"/>
      <c r="AA1786" s="838"/>
      <c r="AB1786" s="839"/>
    </row>
    <row r="1787" spans="1:28" ht="14.45">
      <c r="A1787" s="816"/>
      <c r="B1787" s="819" t="s">
        <v>4001</v>
      </c>
      <c r="C1787" s="819" t="s">
        <v>4002</v>
      </c>
      <c r="D1787" s="379" t="s">
        <v>336</v>
      </c>
      <c r="E1787" s="818" t="s">
        <v>453</v>
      </c>
      <c r="F1787" s="820">
        <v>7.9641279269999998</v>
      </c>
      <c r="G1787" s="821">
        <v>2.9570200899999999</v>
      </c>
      <c r="H1787" s="822">
        <v>254371235.34577101</v>
      </c>
      <c r="I1787" s="819">
        <f t="shared" si="397"/>
        <v>75</v>
      </c>
      <c r="J1787" s="820">
        <v>-1.5458900000000001E-4</v>
      </c>
      <c r="K1787" s="819">
        <f t="shared" si="386"/>
        <v>510</v>
      </c>
      <c r="L1787" s="819">
        <f t="shared" si="387"/>
        <v>554</v>
      </c>
      <c r="M1787" s="819">
        <f t="shared" si="383"/>
        <v>510</v>
      </c>
      <c r="N1787" s="835">
        <f t="shared" si="384"/>
        <v>18</v>
      </c>
      <c r="O1787" s="835">
        <f t="shared" si="385"/>
        <v>1064</v>
      </c>
      <c r="P1787" s="835">
        <f t="shared" si="388"/>
        <v>888</v>
      </c>
      <c r="Q1787" s="835">
        <f t="shared" si="389"/>
        <v>131</v>
      </c>
      <c r="R1787" s="835">
        <f t="shared" si="390"/>
        <v>428</v>
      </c>
      <c r="S1787" s="835">
        <f t="shared" si="391"/>
        <v>8</v>
      </c>
      <c r="T1787" s="835">
        <f t="shared" si="392"/>
        <v>1042</v>
      </c>
      <c r="U1787" s="835">
        <f t="shared" si="393"/>
        <v>2497</v>
      </c>
      <c r="V1787" s="835">
        <f t="shared" si="394"/>
        <v>247</v>
      </c>
      <c r="W1787" s="823">
        <f t="shared" si="395"/>
        <v>247</v>
      </c>
      <c r="X1787" s="819" t="str">
        <f t="shared" si="396"/>
        <v/>
      </c>
      <c r="Y1787" s="844"/>
      <c r="Z1787" s="845"/>
      <c r="AA1787" s="846"/>
      <c r="AB1787" s="845"/>
    </row>
  </sheetData>
  <mergeCells count="20">
    <mergeCell ref="AD2:AD9"/>
    <mergeCell ref="F1:J1"/>
    <mergeCell ref="K1:O1"/>
    <mergeCell ref="P1:T1"/>
    <mergeCell ref="U1:W1"/>
    <mergeCell ref="Y1:AB1"/>
    <mergeCell ref="AJ1:AL1"/>
    <mergeCell ref="AM1:AN1"/>
    <mergeCell ref="AE10:AI10"/>
    <mergeCell ref="AJ10:AN10"/>
    <mergeCell ref="AE14:AI14"/>
    <mergeCell ref="AJ14:AL14"/>
    <mergeCell ref="AM14:AN14"/>
    <mergeCell ref="AE13:AI13"/>
    <mergeCell ref="AJ13:AL13"/>
    <mergeCell ref="AM13:AN13"/>
    <mergeCell ref="AH11:AI11"/>
    <mergeCell ref="AH12:AI12"/>
    <mergeCell ref="AE1:AI1"/>
    <mergeCell ref="AE9:AI9"/>
  </mergeCells>
  <conditionalFormatting sqref="AJ14:AN14">
    <cfRule type="cellIs" dxfId="37" priority="1" operator="lessThan">
      <formula>0</formula>
    </cfRule>
    <cfRule type="cellIs" dxfId="36" priority="2" operator="greaterThan">
      <formula>0</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topLeftCell="A7" zoomScale="30" zoomScaleNormal="30" workbookViewId="0">
      <selection activeCell="X16" sqref="X16"/>
    </sheetView>
  </sheetViews>
  <sheetFormatPr defaultColWidth="11.42578125" defaultRowHeight="13.15"/>
  <cols>
    <col min="1" max="1" width="1.140625" style="73" customWidth="1"/>
    <col min="2" max="2" width="59.42578125" style="73" customWidth="1"/>
    <col min="3" max="4" width="12.85546875" style="73" customWidth="1"/>
    <col min="5" max="5" width="11.42578125" style="73" bestFit="1" customWidth="1"/>
    <col min="6" max="6" width="11" style="73" customWidth="1"/>
    <col min="7" max="7" width="10.42578125" style="73" customWidth="1"/>
    <col min="8" max="8" width="20.28515625" style="505" customWidth="1"/>
    <col min="9" max="9" width="22.42578125" style="505" customWidth="1"/>
    <col min="10" max="10" width="64.140625" style="73" customWidth="1"/>
    <col min="11" max="11" width="34.7109375" style="73" bestFit="1" customWidth="1"/>
    <col min="12" max="12" width="21.28515625" style="73" customWidth="1"/>
    <col min="13" max="13" width="19.85546875" style="73" customWidth="1"/>
    <col min="14" max="14" width="20.85546875" style="73" bestFit="1" customWidth="1"/>
    <col min="15" max="15" width="19.85546875" style="73" bestFit="1" customWidth="1"/>
    <col min="16" max="16" width="19.85546875" style="73" customWidth="1"/>
    <col min="17" max="17" width="22.28515625" style="73" bestFit="1" customWidth="1"/>
    <col min="18" max="18" width="11.42578125" style="73" customWidth="1"/>
    <col min="19" max="19" width="10.42578125" style="73" customWidth="1"/>
    <col min="20" max="20" width="12.28515625" style="73" bestFit="1" customWidth="1"/>
    <col min="21" max="21" width="15.42578125" style="73" customWidth="1"/>
    <col min="22" max="22" width="18.140625" style="73" bestFit="1" customWidth="1"/>
    <col min="23" max="23" width="18.28515625" style="73" bestFit="1" customWidth="1"/>
    <col min="24" max="24" width="17.28515625" style="73" bestFit="1" customWidth="1"/>
    <col min="25" max="30" width="11.42578125" style="73"/>
    <col min="31" max="31" width="13" style="73" bestFit="1" customWidth="1"/>
    <col min="32" max="16384" width="11.42578125" style="73"/>
  </cols>
  <sheetData>
    <row r="1" spans="1:24">
      <c r="B1" s="217" t="s">
        <v>4003</v>
      </c>
      <c r="C1" s="77"/>
      <c r="D1" s="77"/>
      <c r="E1" s="77"/>
      <c r="F1" s="77"/>
      <c r="G1" s="77"/>
      <c r="H1" s="500"/>
      <c r="I1" s="500"/>
      <c r="J1" s="77"/>
      <c r="T1" s="87" t="s">
        <v>13</v>
      </c>
    </row>
    <row r="2" spans="1:24" ht="13.9" thickBot="1">
      <c r="B2" s="83" t="s">
        <v>4004</v>
      </c>
      <c r="C2" s="218" t="s">
        <v>4005</v>
      </c>
      <c r="D2" s="77"/>
      <c r="E2" s="77"/>
      <c r="F2" s="77"/>
      <c r="G2" s="77"/>
      <c r="H2" s="500"/>
      <c r="I2" s="500"/>
      <c r="J2" s="77"/>
      <c r="T2" s="87" t="s">
        <v>16</v>
      </c>
    </row>
    <row r="3" spans="1:24" ht="21.6" thickBot="1">
      <c r="B3" s="1202" t="s">
        <v>4006</v>
      </c>
      <c r="C3" s="1202"/>
      <c r="D3" s="1202"/>
      <c r="E3" s="1202"/>
      <c r="F3" s="1202"/>
      <c r="G3" s="1202"/>
      <c r="H3" s="1202"/>
      <c r="I3" s="1202"/>
      <c r="J3" s="1202"/>
      <c r="K3" s="1203" t="s">
        <v>4007</v>
      </c>
      <c r="L3" s="1203"/>
      <c r="M3" s="1203"/>
      <c r="N3" s="1203"/>
      <c r="O3" s="1203"/>
      <c r="P3" s="1203"/>
      <c r="Q3" s="1203"/>
    </row>
    <row r="4" spans="1:24" ht="31.9" thickBot="1">
      <c r="B4" s="209" t="s">
        <v>4008</v>
      </c>
      <c r="C4" s="238" t="s">
        <v>4009</v>
      </c>
      <c r="D4" s="238" t="s">
        <v>4010</v>
      </c>
      <c r="E4" s="238" t="s">
        <v>4011</v>
      </c>
      <c r="F4" s="238" t="s">
        <v>4012</v>
      </c>
      <c r="G4" s="238" t="s">
        <v>4013</v>
      </c>
      <c r="H4" s="210" t="s">
        <v>4014</v>
      </c>
      <c r="I4" s="210" t="s">
        <v>4015</v>
      </c>
      <c r="J4" s="211" t="s">
        <v>4016</v>
      </c>
      <c r="K4" s="209" t="s">
        <v>4008</v>
      </c>
      <c r="L4" s="241" t="e" vm="1">
        <f>Peers!C8</f>
        <v>#VALUE!</v>
      </c>
      <c r="M4" s="241" t="e" vm="4">
        <f>Peers!D8</f>
        <v>#VALUE!</v>
      </c>
      <c r="N4" s="241" t="e" vm="5">
        <f>Peers!E8</f>
        <v>#VALUE!</v>
      </c>
      <c r="O4" s="241" t="e" vm="6">
        <f>Peers!F8</f>
        <v>#VALUE!</v>
      </c>
      <c r="P4" s="241" t="e" vm="7">
        <f>Peers!G8</f>
        <v>#VALUE!</v>
      </c>
      <c r="Q4" s="241" t="e" vm="8">
        <f>Peers!H8</f>
        <v>#VALUE!</v>
      </c>
      <c r="R4" s="665" t="s">
        <v>241</v>
      </c>
    </row>
    <row r="5" spans="1:24" ht="14.45" thickBot="1">
      <c r="B5" s="219" t="s">
        <v>4017</v>
      </c>
      <c r="C5" s="220"/>
      <c r="D5" s="221"/>
      <c r="E5" s="221"/>
      <c r="F5" s="221"/>
      <c r="G5" s="221"/>
      <c r="H5" s="501"/>
      <c r="I5" s="501"/>
      <c r="J5" s="222"/>
      <c r="K5" s="219" t="s">
        <v>4018</v>
      </c>
      <c r="L5" s="221"/>
      <c r="M5" s="221"/>
      <c r="N5" s="221"/>
      <c r="O5" s="221"/>
      <c r="P5" s="222"/>
      <c r="Q5" s="222"/>
      <c r="R5" s="222"/>
    </row>
    <row r="6" spans="1:24" ht="79.150000000000006">
      <c r="A6" s="73">
        <v>1</v>
      </c>
      <c r="B6" s="213" t="s">
        <v>4019</v>
      </c>
      <c r="C6" s="212" t="str">
        <f>VLOOKUP($B$2,'Sector Impact'!$K$4:$AA$16,A6+1,FALSE)</f>
        <v>High</v>
      </c>
      <c r="D6" s="212" t="s">
        <v>13</v>
      </c>
      <c r="E6" s="212" t="s">
        <v>4020</v>
      </c>
      <c r="F6" s="223" t="s">
        <v>13</v>
      </c>
      <c r="G6" s="305"/>
      <c r="H6" s="778" t="s">
        <v>4021</v>
      </c>
      <c r="I6" s="778" t="s">
        <v>4022</v>
      </c>
      <c r="J6" s="778" t="s">
        <v>4023</v>
      </c>
      <c r="K6" s="213" t="s">
        <v>4024</v>
      </c>
      <c r="L6" s="478">
        <f>L12/L$11</f>
        <v>18.835810810810809</v>
      </c>
      <c r="M6" s="478">
        <f t="shared" ref="M6:O6" si="0">M12/M$11</f>
        <v>18.404760199004976</v>
      </c>
      <c r="N6" s="478">
        <f t="shared" si="0"/>
        <v>17.693355127630991</v>
      </c>
      <c r="O6" s="478">
        <f t="shared" si="0"/>
        <v>51.532258202415306</v>
      </c>
      <c r="P6" s="478">
        <f t="shared" ref="P6:Q9" si="1">P12/P$11</f>
        <v>35.238675572208194</v>
      </c>
      <c r="Q6" s="478">
        <f t="shared" si="1"/>
        <v>845.11121408711767</v>
      </c>
      <c r="R6" s="561">
        <f t="shared" ref="R6:R9" si="2">IFERROR(AVERAGE(L6:Q6),"")</f>
        <v>164.46934566653132</v>
      </c>
    </row>
    <row r="7" spans="1:24" s="77" customFormat="1" ht="92.45">
      <c r="A7" s="77">
        <v>2</v>
      </c>
      <c r="B7" s="213" t="s">
        <v>4025</v>
      </c>
      <c r="C7" s="212" t="str">
        <f>VLOOKUP($B$2,'Sector Impact'!$K$4:$AA$16,A7+1,FALSE)</f>
        <v>Very High</v>
      </c>
      <c r="D7" s="212" t="s">
        <v>13</v>
      </c>
      <c r="E7" s="212" t="s">
        <v>4026</v>
      </c>
      <c r="F7" s="223" t="s">
        <v>13</v>
      </c>
      <c r="G7" s="300"/>
      <c r="H7" s="778" t="s">
        <v>4027</v>
      </c>
      <c r="I7" s="778" t="s">
        <v>4028</v>
      </c>
      <c r="J7" s="778" t="s">
        <v>4029</v>
      </c>
      <c r="K7" s="213" t="s">
        <v>4030</v>
      </c>
      <c r="L7" s="478">
        <f t="shared" ref="L7:O9" si="3">L13/L$11</f>
        <v>1224.0240240240241</v>
      </c>
      <c r="M7" s="478">
        <f t="shared" si="3"/>
        <v>452.13930348258708</v>
      </c>
      <c r="N7" s="478">
        <f t="shared" si="3"/>
        <v>79.265562024182714</v>
      </c>
      <c r="O7" s="478">
        <f t="shared" si="3"/>
        <v>330.27508816928503</v>
      </c>
      <c r="P7" s="478">
        <f t="shared" si="1"/>
        <v>234.25918383970026</v>
      </c>
      <c r="Q7" s="478">
        <f t="shared" si="1"/>
        <v>455.66882916280508</v>
      </c>
      <c r="R7" s="562">
        <f t="shared" si="2"/>
        <v>462.60533178376409</v>
      </c>
    </row>
    <row r="8" spans="1:24" ht="92.45">
      <c r="A8" s="73">
        <v>3</v>
      </c>
      <c r="B8" s="213" t="s">
        <v>4031</v>
      </c>
      <c r="C8" s="212" t="str">
        <f>VLOOKUP($B$2,'Sector Impact'!$K$4:$AA$16,A8+1,FALSE)</f>
        <v>High</v>
      </c>
      <c r="D8" s="212" t="s">
        <v>13</v>
      </c>
      <c r="E8" s="212" t="s">
        <v>4020</v>
      </c>
      <c r="F8" s="223" t="s">
        <v>13</v>
      </c>
      <c r="G8" s="300"/>
      <c r="H8" s="778" t="s">
        <v>4032</v>
      </c>
      <c r="I8" s="779" t="s">
        <v>4033</v>
      </c>
      <c r="J8" s="778" t="s">
        <v>4034</v>
      </c>
      <c r="K8" s="213" t="s">
        <v>4035</v>
      </c>
      <c r="L8" s="478">
        <f t="shared" si="3"/>
        <v>567.85918918918924</v>
      </c>
      <c r="M8" s="478">
        <f t="shared" si="3"/>
        <v>131.6915422885572</v>
      </c>
      <c r="N8" s="478">
        <f t="shared" si="3"/>
        <v>509.01325570980742</v>
      </c>
      <c r="O8" s="478">
        <f t="shared" si="3"/>
        <v>1077.9618510206262</v>
      </c>
      <c r="P8" s="478">
        <f t="shared" si="1"/>
        <v>812.00317667182537</v>
      </c>
      <c r="Q8" s="478">
        <f t="shared" si="1"/>
        <v>741.66196516836578</v>
      </c>
      <c r="R8" s="562">
        <f>IFERROR(AVERAGE(L8:Q8),"")</f>
        <v>640.03183000806189</v>
      </c>
    </row>
    <row r="9" spans="1:24" ht="66">
      <c r="A9" s="73">
        <v>4</v>
      </c>
      <c r="B9" s="213" t="s">
        <v>4036</v>
      </c>
      <c r="C9" s="212" t="str">
        <f>VLOOKUP($B$2,'Sector Impact'!$K$4:$AA$16,A9+1,FALSE)</f>
        <v>High</v>
      </c>
      <c r="D9" s="212" t="s">
        <v>13</v>
      </c>
      <c r="E9" s="212" t="s">
        <v>4037</v>
      </c>
      <c r="F9" s="223" t="s">
        <v>13</v>
      </c>
      <c r="G9" s="305"/>
      <c r="H9" s="778" t="s">
        <v>4038</v>
      </c>
      <c r="I9" s="778" t="s">
        <v>4039</v>
      </c>
      <c r="J9" s="784" t="s">
        <v>4040</v>
      </c>
      <c r="K9" s="213" t="s">
        <v>4041</v>
      </c>
      <c r="L9" s="478">
        <f t="shared" si="3"/>
        <v>3.6948945195195195</v>
      </c>
      <c r="M9" s="478">
        <f t="shared" si="3"/>
        <v>21.759954228855722</v>
      </c>
      <c r="N9" s="478">
        <f t="shared" si="3"/>
        <v>13.486800716524854</v>
      </c>
      <c r="O9" s="478">
        <f t="shared" si="3"/>
        <v>25.13557229881372</v>
      </c>
      <c r="P9" s="478">
        <f t="shared" si="1"/>
        <v>0</v>
      </c>
      <c r="Q9" s="478">
        <f t="shared" si="1"/>
        <v>15.10667670682731</v>
      </c>
      <c r="R9" s="562">
        <f t="shared" si="2"/>
        <v>13.197316411756857</v>
      </c>
    </row>
    <row r="10" spans="1:24" ht="145.15">
      <c r="A10" s="73">
        <v>5</v>
      </c>
      <c r="B10" s="213" t="s">
        <v>4042</v>
      </c>
      <c r="C10" s="212" t="str">
        <f>VLOOKUP($B$2,'Sector Impact'!$K$4:$AA$16,A10+1,FALSE)</f>
        <v>High</v>
      </c>
      <c r="D10" s="212" t="s">
        <v>13</v>
      </c>
      <c r="E10" s="212" t="s">
        <v>4020</v>
      </c>
      <c r="F10" s="223" t="s">
        <v>13</v>
      </c>
      <c r="G10" s="305"/>
      <c r="H10" s="778" t="s">
        <v>4043</v>
      </c>
      <c r="I10" s="778" t="s">
        <v>4044</v>
      </c>
      <c r="J10" s="784" t="s">
        <v>4045</v>
      </c>
      <c r="K10" s="219" t="s">
        <v>4046</v>
      </c>
      <c r="L10" s="221"/>
      <c r="M10" s="221"/>
      <c r="N10" s="221"/>
      <c r="O10" s="221"/>
      <c r="P10" s="221"/>
      <c r="Q10" s="222"/>
      <c r="S10"/>
      <c r="V10" s="77"/>
      <c r="W10" s="77"/>
      <c r="X10" s="77"/>
    </row>
    <row r="11" spans="1:24" ht="22.5" customHeight="1">
      <c r="B11" s="219" t="s">
        <v>4047</v>
      </c>
      <c r="C11" s="216"/>
      <c r="D11" s="216"/>
      <c r="E11" s="225"/>
      <c r="F11" s="225"/>
      <c r="G11" s="226"/>
      <c r="H11" s="502"/>
      <c r="I11" s="502"/>
      <c r="J11" s="227"/>
      <c r="K11" s="213" t="s">
        <v>4048</v>
      </c>
      <c r="L11" s="479">
        <v>26640</v>
      </c>
      <c r="M11" s="479">
        <v>20100</v>
      </c>
      <c r="N11" s="479">
        <v>11165</v>
      </c>
      <c r="O11" s="479">
        <v>9357</v>
      </c>
      <c r="P11" s="479">
        <v>12277</v>
      </c>
      <c r="Q11" s="479">
        <v>103584</v>
      </c>
      <c r="S11"/>
    </row>
    <row r="12" spans="1:24" ht="16.5" customHeight="1">
      <c r="A12" s="73">
        <v>6</v>
      </c>
      <c r="B12" s="213" t="s">
        <v>4049</v>
      </c>
      <c r="C12" s="212" t="str">
        <f>VLOOKUP($B$2,'Sector Impact'!$K$4:$AA$16,A12+1,FALSE)</f>
        <v>Medium</v>
      </c>
      <c r="D12" s="212" t="s">
        <v>16</v>
      </c>
      <c r="E12" s="212"/>
      <c r="F12" s="223" t="s">
        <v>16</v>
      </c>
      <c r="G12" s="304"/>
      <c r="H12" s="785" t="s">
        <v>4050</v>
      </c>
      <c r="I12" s="785" t="s">
        <v>4051</v>
      </c>
      <c r="J12" s="787" t="s">
        <v>4052</v>
      </c>
      <c r="K12" s="213" t="s">
        <v>4053</v>
      </c>
      <c r="L12" s="776">
        <v>501786</v>
      </c>
      <c r="M12" s="777">
        <v>369935.68</v>
      </c>
      <c r="N12" s="777">
        <v>197546.31</v>
      </c>
      <c r="O12" s="777">
        <v>482187.34</v>
      </c>
      <c r="P12" s="777">
        <v>432625.22</v>
      </c>
      <c r="Q12" s="794">
        <v>87540000</v>
      </c>
      <c r="S12"/>
    </row>
    <row r="13" spans="1:24" ht="54.75" customHeight="1">
      <c r="A13" s="73">
        <v>7</v>
      </c>
      <c r="B13" s="213" t="s">
        <v>4054</v>
      </c>
      <c r="C13" s="212" t="str">
        <f>VLOOKUP($B$2,'Sector Impact'!$K$4:$AA$16,A13+1,FALSE)</f>
        <v>High</v>
      </c>
      <c r="D13" s="212" t="s">
        <v>13</v>
      </c>
      <c r="E13" s="212" t="s">
        <v>4026</v>
      </c>
      <c r="F13" s="228" t="s">
        <v>16</v>
      </c>
      <c r="G13" s="304"/>
      <c r="H13" s="785" t="s">
        <v>4051</v>
      </c>
      <c r="I13" s="785" t="s">
        <v>4051</v>
      </c>
      <c r="J13" s="780" t="s">
        <v>4055</v>
      </c>
      <c r="K13" s="213" t="s">
        <v>4056</v>
      </c>
      <c r="L13" s="776">
        <v>32608000</v>
      </c>
      <c r="M13" s="776">
        <v>9088000</v>
      </c>
      <c r="N13" s="776">
        <v>885000</v>
      </c>
      <c r="O13" s="776">
        <v>3090384</v>
      </c>
      <c r="P13" s="776">
        <v>2876000</v>
      </c>
      <c r="Q13" s="776">
        <v>47200000</v>
      </c>
      <c r="S13"/>
    </row>
    <row r="14" spans="1:24" ht="39.6">
      <c r="A14" s="73">
        <v>8</v>
      </c>
      <c r="B14" s="230" t="s">
        <v>4057</v>
      </c>
      <c r="C14" s="212" t="str">
        <f>VLOOKUP($B$2,'Sector Impact'!$K$4:$AA$16,A14+1,FALSE)</f>
        <v>High</v>
      </c>
      <c r="D14" s="212" t="s">
        <v>13</v>
      </c>
      <c r="E14" s="212" t="s">
        <v>4026</v>
      </c>
      <c r="F14" s="223" t="s">
        <v>16</v>
      </c>
      <c r="G14" s="520"/>
      <c r="H14" s="785" t="s">
        <v>4051</v>
      </c>
      <c r="I14" s="785" t="s">
        <v>4051</v>
      </c>
      <c r="J14" s="780" t="s">
        <v>4058</v>
      </c>
      <c r="K14" s="213" t="s">
        <v>4059</v>
      </c>
      <c r="L14" s="777">
        <v>15127768.800000001</v>
      </c>
      <c r="M14" s="776">
        <v>2647000</v>
      </c>
      <c r="N14" s="776">
        <v>5683133</v>
      </c>
      <c r="O14" s="777">
        <v>10086489.039999999</v>
      </c>
      <c r="P14" s="776">
        <v>9968963</v>
      </c>
      <c r="Q14" s="776">
        <v>76824313</v>
      </c>
      <c r="S14"/>
    </row>
    <row r="15" spans="1:24">
      <c r="A15" s="73">
        <v>9</v>
      </c>
      <c r="B15" s="230" t="s">
        <v>4060</v>
      </c>
      <c r="C15" s="212" t="str">
        <f>VLOOKUP($B$2,'Sector Impact'!$K$4:$AA$16,A15+1,FALSE)</f>
        <v>Low</v>
      </c>
      <c r="D15" s="212"/>
      <c r="E15" s="212"/>
      <c r="F15" s="223" t="s">
        <v>13</v>
      </c>
      <c r="G15" s="224"/>
      <c r="H15" s="503"/>
      <c r="I15" s="503"/>
      <c r="J15" s="229"/>
      <c r="K15" s="213" t="s">
        <v>4061</v>
      </c>
      <c r="L15" s="777">
        <v>98431.99</v>
      </c>
      <c r="M15" s="776">
        <v>437375.08</v>
      </c>
      <c r="N15" s="793">
        <v>150580.13</v>
      </c>
      <c r="O15" s="777">
        <v>235193.55</v>
      </c>
      <c r="P15" s="240"/>
      <c r="Q15" s="776">
        <v>1564810</v>
      </c>
      <c r="S15"/>
    </row>
    <row r="16" spans="1:24" ht="42" customHeight="1">
      <c r="A16" s="73">
        <v>10</v>
      </c>
      <c r="B16" s="213" t="s">
        <v>4062</v>
      </c>
      <c r="C16" s="212" t="str">
        <f>VLOOKUP($B$2,'Sector Impact'!$K$4:$AA$16,A16+1,FALSE)</f>
        <v>Medium</v>
      </c>
      <c r="D16" s="212" t="s">
        <v>13</v>
      </c>
      <c r="E16" s="212" t="s">
        <v>4020</v>
      </c>
      <c r="F16" s="223" t="s">
        <v>16</v>
      </c>
      <c r="G16" s="305"/>
      <c r="H16" s="785" t="s">
        <v>4050</v>
      </c>
      <c r="I16" s="786" t="s">
        <v>4051</v>
      </c>
      <c r="J16" s="780" t="s">
        <v>4063</v>
      </c>
      <c r="K16" s="219" t="s">
        <v>4064</v>
      </c>
      <c r="L16" s="221"/>
      <c r="M16" s="221"/>
      <c r="N16" s="221"/>
      <c r="O16" s="221"/>
      <c r="P16" s="222"/>
      <c r="Q16" s="222"/>
      <c r="S16"/>
    </row>
    <row r="17" spans="1:19" ht="26.45">
      <c r="A17" s="73">
        <v>11</v>
      </c>
      <c r="B17" s="213" t="s">
        <v>4065</v>
      </c>
      <c r="C17" s="212" t="str">
        <f>VLOOKUP($B$2,'Sector Impact'!$K$4:$AA$16,A17+1,FALSE)</f>
        <v>Medium</v>
      </c>
      <c r="D17" s="231" t="s">
        <v>13</v>
      </c>
      <c r="E17" s="231" t="s">
        <v>4020</v>
      </c>
      <c r="F17" s="231" t="s">
        <v>16</v>
      </c>
      <c r="G17" s="520"/>
      <c r="H17" s="785" t="s">
        <v>4051</v>
      </c>
      <c r="I17" s="786" t="s">
        <v>4051</v>
      </c>
      <c r="J17" s="780" t="s">
        <v>4066</v>
      </c>
      <c r="K17" s="213" t="s">
        <v>4067</v>
      </c>
      <c r="L17" s="781">
        <v>73</v>
      </c>
      <c r="M17" s="239">
        <v>78</v>
      </c>
      <c r="N17" s="790">
        <v>85</v>
      </c>
      <c r="O17" s="239">
        <v>72</v>
      </c>
      <c r="P17" s="239">
        <v>71</v>
      </c>
      <c r="Q17" s="239">
        <v>84</v>
      </c>
      <c r="S17"/>
    </row>
    <row r="18" spans="1:19">
      <c r="A18" s="73">
        <v>12</v>
      </c>
      <c r="B18" s="213" t="s">
        <v>4068</v>
      </c>
      <c r="C18" s="212" t="str">
        <f>VLOOKUP($B$2,'Sector Impact'!$K$4:$AA$16,A18+1,FALSE)</f>
        <v>Low</v>
      </c>
      <c r="D18" s="212"/>
      <c r="E18" s="212"/>
      <c r="F18" s="223"/>
      <c r="G18" s="224"/>
      <c r="H18" s="503"/>
      <c r="I18" s="503"/>
      <c r="J18" s="232"/>
      <c r="K18" s="213" t="s">
        <v>4069</v>
      </c>
      <c r="L18" s="782" t="s">
        <v>4070</v>
      </c>
      <c r="M18" s="781" t="s">
        <v>4071</v>
      </c>
      <c r="N18" s="781" t="s">
        <v>4072</v>
      </c>
      <c r="O18" s="792" t="s">
        <v>4073</v>
      </c>
      <c r="P18" s="781" t="s">
        <v>4074</v>
      </c>
      <c r="Q18" s="781" t="s">
        <v>4075</v>
      </c>
    </row>
    <row r="19" spans="1:19" ht="39.6">
      <c r="A19" s="73">
        <v>13</v>
      </c>
      <c r="B19" s="213" t="s">
        <v>4076</v>
      </c>
      <c r="C19" s="212" t="str">
        <f>VLOOKUP($B$2,'Sector Impact'!$K$4:$AA$16,A19+1,FALSE)</f>
        <v>High</v>
      </c>
      <c r="D19" s="212" t="s">
        <v>13</v>
      </c>
      <c r="E19" s="212" t="s">
        <v>4020</v>
      </c>
      <c r="F19" s="223" t="s">
        <v>13</v>
      </c>
      <c r="G19" s="303"/>
      <c r="H19" s="785" t="s">
        <v>4050</v>
      </c>
      <c r="I19" s="786" t="s">
        <v>4051</v>
      </c>
      <c r="J19" s="780" t="s">
        <v>4077</v>
      </c>
      <c r="K19" s="213" t="s">
        <v>4078</v>
      </c>
      <c r="L19" s="783" t="s">
        <v>4079</v>
      </c>
      <c r="M19" s="783" t="s">
        <v>4080</v>
      </c>
      <c r="N19" s="783" t="s">
        <v>4081</v>
      </c>
      <c r="O19" s="783" t="s">
        <v>4080</v>
      </c>
      <c r="P19" s="783" t="s">
        <v>4081</v>
      </c>
      <c r="Q19" s="783" t="s">
        <v>4079</v>
      </c>
    </row>
    <row r="20" spans="1:19" ht="26.45">
      <c r="A20" s="73">
        <v>14</v>
      </c>
      <c r="B20" s="213" t="s">
        <v>4082</v>
      </c>
      <c r="C20" s="212" t="str">
        <f>VLOOKUP($B$2,'Sector Impact'!$K$4:$AA$16,A20+1,FALSE)</f>
        <v>Low</v>
      </c>
      <c r="D20" s="212"/>
      <c r="E20" s="212"/>
      <c r="F20" s="223"/>
      <c r="G20" s="224"/>
      <c r="H20" s="503"/>
      <c r="I20" s="503"/>
      <c r="J20" s="229"/>
      <c r="K20" s="213" t="s">
        <v>4083</v>
      </c>
      <c r="L20" s="781" t="s">
        <v>4084</v>
      </c>
      <c r="M20" s="781" t="s">
        <v>4085</v>
      </c>
      <c r="N20" s="781" t="s">
        <v>4086</v>
      </c>
      <c r="O20" s="781" t="s">
        <v>4087</v>
      </c>
      <c r="P20" s="791" t="s">
        <v>4088</v>
      </c>
      <c r="Q20" s="781" t="s">
        <v>4085</v>
      </c>
    </row>
    <row r="21" spans="1:19" ht="39.6">
      <c r="A21" s="73">
        <v>15</v>
      </c>
      <c r="B21" s="213" t="s">
        <v>4089</v>
      </c>
      <c r="C21" s="212" t="str">
        <f>VLOOKUP($B$2,'Sector Impact'!$K$4:$AA$16,A21+1,FALSE)</f>
        <v>Very High</v>
      </c>
      <c r="D21" s="212" t="s">
        <v>16</v>
      </c>
      <c r="E21" s="212" t="s">
        <v>4020</v>
      </c>
      <c r="F21" s="223" t="s">
        <v>16</v>
      </c>
      <c r="G21" s="303"/>
      <c r="H21" s="785" t="s">
        <v>4050</v>
      </c>
      <c r="I21" s="786" t="s">
        <v>4051</v>
      </c>
      <c r="J21" s="780" t="s">
        <v>4090</v>
      </c>
    </row>
    <row r="22" spans="1:19" ht="13.9" thickBot="1">
      <c r="A22" s="73">
        <v>16</v>
      </c>
      <c r="B22" s="213" t="s">
        <v>4091</v>
      </c>
      <c r="C22" s="215" t="str">
        <f>VLOOKUP($B$2,'Sector Impact'!$K$4:$AA$16,A22+1,FALSE)</f>
        <v>Low</v>
      </c>
      <c r="D22" s="212" t="s">
        <v>13</v>
      </c>
      <c r="E22" s="212"/>
      <c r="F22" s="223"/>
      <c r="G22" s="224"/>
      <c r="H22" s="503"/>
      <c r="I22" s="503"/>
      <c r="J22" s="214"/>
    </row>
    <row r="23" spans="1:19" ht="14.45" thickBot="1">
      <c r="B23" s="219" t="s">
        <v>4092</v>
      </c>
      <c r="C23" s="233"/>
      <c r="D23" s="216"/>
      <c r="E23" s="225"/>
      <c r="F23" s="225"/>
      <c r="G23" s="226"/>
      <c r="H23" s="502"/>
      <c r="I23" s="502"/>
      <c r="J23" s="227"/>
      <c r="K23" s="1205" t="s">
        <v>4093</v>
      </c>
      <c r="L23" s="1206"/>
      <c r="M23" s="1207"/>
    </row>
    <row r="24" spans="1:19">
      <c r="A24" s="73">
        <v>17</v>
      </c>
      <c r="B24" s="213" t="s">
        <v>4094</v>
      </c>
      <c r="C24" s="234"/>
      <c r="D24" s="235"/>
      <c r="E24" s="228" t="s">
        <v>4020</v>
      </c>
      <c r="F24" s="228" t="s">
        <v>16</v>
      </c>
      <c r="G24" s="303"/>
      <c r="H24" s="785" t="s">
        <v>4051</v>
      </c>
      <c r="I24" s="786" t="s">
        <v>4051</v>
      </c>
      <c r="J24" s="788" t="s">
        <v>4095</v>
      </c>
      <c r="K24" s="261" t="s">
        <v>4096</v>
      </c>
      <c r="L24" s="74" t="s">
        <v>4097</v>
      </c>
      <c r="M24" s="75" t="s">
        <v>4098</v>
      </c>
      <c r="O24" s="632" t="s">
        <v>244</v>
      </c>
    </row>
    <row r="25" spans="1:19" ht="15.75" customHeight="1">
      <c r="A25" s="73">
        <v>18</v>
      </c>
      <c r="B25" s="213" t="s">
        <v>4099</v>
      </c>
      <c r="C25" s="234"/>
      <c r="D25" s="235"/>
      <c r="E25" s="228" t="s">
        <v>4037</v>
      </c>
      <c r="F25" s="228" t="s">
        <v>16</v>
      </c>
      <c r="G25" s="303"/>
      <c r="H25" s="785" t="s">
        <v>4050</v>
      </c>
      <c r="I25" s="786" t="s">
        <v>4051</v>
      </c>
      <c r="J25" s="780" t="s">
        <v>4100</v>
      </c>
      <c r="K25" s="203" t="s">
        <v>4101</v>
      </c>
      <c r="L25" s="204" t="s">
        <v>4037</v>
      </c>
      <c r="M25" s="1208" t="s">
        <v>4102</v>
      </c>
      <c r="O25" s="633"/>
    </row>
    <row r="26" spans="1:19" ht="30" customHeight="1">
      <c r="A26" s="73">
        <v>19</v>
      </c>
      <c r="B26" s="213" t="s">
        <v>4103</v>
      </c>
      <c r="C26" s="234"/>
      <c r="D26" s="235"/>
      <c r="E26" s="228" t="s">
        <v>4026</v>
      </c>
      <c r="F26" s="228" t="s">
        <v>16</v>
      </c>
      <c r="G26" s="300"/>
      <c r="H26" s="785" t="s">
        <v>4050</v>
      </c>
      <c r="I26" s="786" t="s">
        <v>4051</v>
      </c>
      <c r="J26" s="788" t="s">
        <v>4104</v>
      </c>
      <c r="K26" s="203" t="s">
        <v>4026</v>
      </c>
      <c r="L26" s="204" t="s">
        <v>4020</v>
      </c>
      <c r="M26" s="1209"/>
      <c r="O26" s="634"/>
    </row>
    <row r="27" spans="1:19" ht="24" customHeight="1">
      <c r="A27" s="73">
        <v>20</v>
      </c>
      <c r="B27" s="213" t="s">
        <v>4105</v>
      </c>
      <c r="C27" s="234"/>
      <c r="D27" s="235"/>
      <c r="E27" s="228" t="s">
        <v>4026</v>
      </c>
      <c r="F27" s="228" t="s">
        <v>16</v>
      </c>
      <c r="G27" s="300"/>
      <c r="H27" s="785" t="s">
        <v>4050</v>
      </c>
      <c r="I27" s="231" t="s">
        <v>4051</v>
      </c>
      <c r="J27" s="788" t="s">
        <v>4106</v>
      </c>
      <c r="K27" s="205" t="s">
        <v>4107</v>
      </c>
      <c r="L27" s="206" t="s">
        <v>4026</v>
      </c>
      <c r="M27" s="1209"/>
      <c r="O27" s="635"/>
    </row>
    <row r="28" spans="1:19" ht="39.6">
      <c r="A28" s="73">
        <v>21</v>
      </c>
      <c r="B28" s="213" t="s">
        <v>4108</v>
      </c>
      <c r="C28" s="234"/>
      <c r="D28" s="235"/>
      <c r="E28" s="228" t="s">
        <v>4020</v>
      </c>
      <c r="F28" s="228" t="s">
        <v>16</v>
      </c>
      <c r="G28" s="303"/>
      <c r="H28" s="785" t="s">
        <v>4050</v>
      </c>
      <c r="I28" s="231" t="s">
        <v>4051</v>
      </c>
      <c r="J28" s="780" t="s">
        <v>4109</v>
      </c>
      <c r="K28" s="207" t="s">
        <v>4110</v>
      </c>
      <c r="L28" s="208" t="s">
        <v>4111</v>
      </c>
      <c r="M28" s="1210"/>
    </row>
    <row r="29" spans="1:19" ht="26.45">
      <c r="A29" s="73">
        <v>22</v>
      </c>
      <c r="B29" s="213" t="s">
        <v>4112</v>
      </c>
      <c r="C29" s="234"/>
      <c r="D29" s="235"/>
      <c r="E29" s="228" t="s">
        <v>4026</v>
      </c>
      <c r="F29" s="228" t="s">
        <v>16</v>
      </c>
      <c r="G29" s="303"/>
      <c r="H29" s="785" t="s">
        <v>4050</v>
      </c>
      <c r="I29" s="231" t="s">
        <v>4051</v>
      </c>
      <c r="J29" s="780" t="s">
        <v>4113</v>
      </c>
    </row>
    <row r="30" spans="1:19" ht="26.1" customHeight="1">
      <c r="A30" s="73">
        <v>23</v>
      </c>
      <c r="B30" s="213" t="s">
        <v>4114</v>
      </c>
      <c r="C30" s="234"/>
      <c r="D30" s="235"/>
      <c r="E30" s="228" t="s">
        <v>4026</v>
      </c>
      <c r="F30" s="228" t="s">
        <v>16</v>
      </c>
      <c r="G30" s="303"/>
      <c r="H30" s="785" t="s">
        <v>4050</v>
      </c>
      <c r="I30" s="231" t="s">
        <v>4051</v>
      </c>
      <c r="J30" s="788" t="s">
        <v>4115</v>
      </c>
    </row>
    <row r="31" spans="1:19" ht="26.25" customHeight="1">
      <c r="A31" s="73">
        <v>24</v>
      </c>
      <c r="B31" s="236" t="s">
        <v>4116</v>
      </c>
      <c r="C31" s="234"/>
      <c r="D31" s="235"/>
      <c r="E31" s="228" t="s">
        <v>4020</v>
      </c>
      <c r="F31" s="228" t="s">
        <v>16</v>
      </c>
      <c r="G31" s="303"/>
      <c r="H31" s="785" t="s">
        <v>4050</v>
      </c>
      <c r="I31" s="231" t="s">
        <v>4051</v>
      </c>
      <c r="J31" s="787" t="s">
        <v>4117</v>
      </c>
      <c r="L31" s="597"/>
    </row>
    <row r="32" spans="1:19" ht="52.5" customHeight="1">
      <c r="A32" s="73">
        <v>25</v>
      </c>
      <c r="B32" s="213" t="s">
        <v>4118</v>
      </c>
      <c r="C32" s="234"/>
      <c r="D32" s="228" t="s">
        <v>13</v>
      </c>
      <c r="E32" s="228" t="s">
        <v>4026</v>
      </c>
      <c r="F32" s="228" t="s">
        <v>16</v>
      </c>
      <c r="G32" s="520"/>
      <c r="H32" s="785" t="s">
        <v>4050</v>
      </c>
      <c r="I32" s="231" t="s">
        <v>4051</v>
      </c>
      <c r="J32" s="780" t="s">
        <v>4119</v>
      </c>
      <c r="L32" s="598"/>
    </row>
    <row r="33" spans="1:27" ht="52.5" customHeight="1">
      <c r="A33" s="73">
        <v>26</v>
      </c>
      <c r="B33" s="213" t="s">
        <v>4120</v>
      </c>
      <c r="C33" s="234"/>
      <c r="D33" s="228" t="s">
        <v>13</v>
      </c>
      <c r="E33" s="228" t="s">
        <v>4020</v>
      </c>
      <c r="F33" s="228" t="s">
        <v>16</v>
      </c>
      <c r="G33" s="303"/>
      <c r="H33" s="785" t="s">
        <v>4050</v>
      </c>
      <c r="I33" s="231" t="s">
        <v>4051</v>
      </c>
      <c r="J33" s="780" t="s">
        <v>4121</v>
      </c>
      <c r="L33" s="301"/>
      <c r="N33" s="301"/>
    </row>
    <row r="34" spans="1:27" ht="40.5" customHeight="1">
      <c r="A34" s="73">
        <v>27</v>
      </c>
      <c r="B34" s="213" t="s">
        <v>4122</v>
      </c>
      <c r="C34" s="234"/>
      <c r="D34" s="237" t="s">
        <v>13</v>
      </c>
      <c r="E34" s="228" t="s">
        <v>4026</v>
      </c>
      <c r="F34" s="228" t="s">
        <v>16</v>
      </c>
      <c r="G34" s="300"/>
      <c r="H34" s="785" t="s">
        <v>4050</v>
      </c>
      <c r="I34" s="231" t="s">
        <v>4051</v>
      </c>
      <c r="J34" s="780" t="s">
        <v>4123</v>
      </c>
      <c r="L34" s="302"/>
      <c r="N34" s="302"/>
    </row>
    <row r="35" spans="1:27">
      <c r="C35" s="80"/>
      <c r="D35" s="80"/>
      <c r="E35" s="80"/>
      <c r="F35" s="80"/>
      <c r="G35" s="80"/>
      <c r="H35" s="504"/>
      <c r="I35" s="504"/>
      <c r="J35" s="80"/>
      <c r="T35" s="81"/>
    </row>
    <row r="36" spans="1:27" ht="17.45">
      <c r="B36" s="82"/>
      <c r="T36" s="81"/>
    </row>
    <row r="37" spans="1:27">
      <c r="K37"/>
      <c r="T37" s="81"/>
    </row>
    <row r="38" spans="1:27">
      <c r="C38"/>
      <c r="D38"/>
      <c r="E38"/>
      <c r="F38"/>
      <c r="G38"/>
      <c r="H38" s="506"/>
      <c r="I38" s="506"/>
      <c r="J38"/>
      <c r="K38"/>
      <c r="L38"/>
      <c r="M38"/>
      <c r="N38"/>
      <c r="O38"/>
      <c r="P38"/>
      <c r="Q38"/>
      <c r="R38"/>
      <c r="S38"/>
      <c r="T38"/>
      <c r="U38"/>
      <c r="V38"/>
      <c r="W38"/>
      <c r="X38"/>
      <c r="Y38"/>
      <c r="Z38"/>
      <c r="AA38"/>
    </row>
    <row r="39" spans="1:27">
      <c r="C39"/>
      <c r="D39"/>
      <c r="E39"/>
      <c r="F39"/>
      <c r="G39"/>
      <c r="H39" s="506"/>
      <c r="I39" s="506"/>
      <c r="J39"/>
      <c r="M39"/>
      <c r="N39"/>
      <c r="O39"/>
      <c r="P39"/>
      <c r="Q39"/>
      <c r="R39"/>
      <c r="S39"/>
      <c r="T39"/>
      <c r="U39"/>
      <c r="V39"/>
      <c r="W39"/>
      <c r="X39"/>
      <c r="Y39"/>
      <c r="Z39"/>
      <c r="AA39"/>
    </row>
    <row r="54" spans="14:19">
      <c r="N54" s="1204"/>
      <c r="O54" s="1204"/>
      <c r="P54" s="1204"/>
      <c r="Q54" s="1204"/>
      <c r="R54" s="1204"/>
      <c r="S54" s="1204"/>
    </row>
    <row r="55" spans="14:19">
      <c r="O55" s="508"/>
      <c r="P55" s="508"/>
      <c r="Q55" s="508"/>
      <c r="R55" s="508"/>
      <c r="S55" s="508"/>
    </row>
    <row r="56" spans="14:19">
      <c r="N56" s="509"/>
      <c r="O56" s="509"/>
      <c r="P56" s="509"/>
      <c r="Q56" s="509"/>
      <c r="R56" s="509"/>
      <c r="S56" s="509"/>
    </row>
    <row r="57" spans="14:19">
      <c r="N57" s="509"/>
      <c r="O57" s="509"/>
      <c r="P57" s="509"/>
      <c r="Q57" s="509"/>
      <c r="R57" s="509"/>
      <c r="S57" s="509"/>
    </row>
    <row r="58" spans="14:19">
      <c r="N58" s="509"/>
      <c r="O58" s="509"/>
      <c r="P58" s="509"/>
      <c r="Q58" s="509"/>
      <c r="R58" s="509"/>
      <c r="S58" s="509"/>
    </row>
    <row r="59" spans="14:19">
      <c r="N59" s="509"/>
      <c r="O59" s="509"/>
      <c r="P59" s="509"/>
      <c r="Q59" s="509"/>
      <c r="R59" s="509"/>
      <c r="S59" s="509"/>
    </row>
    <row r="60" spans="14:19">
      <c r="N60" s="509"/>
      <c r="O60" s="509"/>
      <c r="P60" s="509"/>
      <c r="Q60" s="509"/>
      <c r="R60" s="509"/>
      <c r="S60" s="509"/>
    </row>
    <row r="61" spans="14:19">
      <c r="N61" s="509"/>
      <c r="O61" s="509"/>
      <c r="P61" s="509"/>
      <c r="Q61" s="509"/>
      <c r="R61" s="509"/>
      <c r="S61" s="509"/>
    </row>
    <row r="62" spans="14:19">
      <c r="N62" s="509"/>
      <c r="O62" s="509"/>
      <c r="P62" s="509"/>
      <c r="Q62" s="509"/>
      <c r="R62" s="509"/>
      <c r="S62" s="509"/>
    </row>
    <row r="63" spans="14:19">
      <c r="N63" s="509"/>
      <c r="O63" s="509"/>
      <c r="P63" s="509"/>
      <c r="Q63" s="509"/>
      <c r="R63" s="509"/>
      <c r="S63" s="509"/>
    </row>
    <row r="64" spans="14:19">
      <c r="N64" s="509"/>
      <c r="O64" s="509"/>
      <c r="P64" s="509"/>
      <c r="Q64" s="509"/>
      <c r="R64" s="509"/>
      <c r="S64" s="509"/>
    </row>
    <row r="65" spans="14:19">
      <c r="N65" s="509"/>
      <c r="O65" s="509"/>
      <c r="P65" s="509"/>
      <c r="Q65" s="509"/>
      <c r="R65" s="509"/>
      <c r="S65" s="509"/>
    </row>
    <row r="66" spans="14:19">
      <c r="N66" s="1201"/>
      <c r="O66" s="1201"/>
      <c r="P66" s="1201"/>
      <c r="Q66" s="1201"/>
      <c r="R66" s="1201"/>
      <c r="S66" s="1201"/>
    </row>
    <row r="67" spans="14:19">
      <c r="N67" s="509"/>
      <c r="O67" s="509"/>
      <c r="P67" s="509"/>
      <c r="Q67" s="509"/>
      <c r="R67" s="509"/>
      <c r="S67" s="509"/>
    </row>
    <row r="68" spans="14:19">
      <c r="N68" s="509"/>
      <c r="O68" s="509"/>
      <c r="P68" s="509"/>
      <c r="Q68" s="509"/>
      <c r="R68" s="509"/>
      <c r="S68" s="509"/>
    </row>
    <row r="69" spans="14:19">
      <c r="N69" s="509"/>
      <c r="O69" s="509"/>
      <c r="P69" s="509"/>
      <c r="Q69" s="509"/>
      <c r="R69" s="509"/>
      <c r="S69" s="509"/>
    </row>
    <row r="70" spans="14:19">
      <c r="N70" s="509"/>
      <c r="O70" s="509"/>
      <c r="P70" s="509"/>
      <c r="Q70" s="509"/>
      <c r="R70" s="509"/>
      <c r="S70" s="509"/>
    </row>
    <row r="71" spans="14:19">
      <c r="N71" s="509"/>
      <c r="O71" s="509"/>
      <c r="P71" s="509"/>
      <c r="Q71" s="509"/>
      <c r="R71" s="509"/>
      <c r="S71" s="509"/>
    </row>
    <row r="72" spans="14:19">
      <c r="N72" s="509"/>
      <c r="O72" s="509"/>
      <c r="P72" s="509"/>
      <c r="Q72" s="509"/>
      <c r="R72" s="509"/>
      <c r="S72" s="509"/>
    </row>
    <row r="73" spans="14:19">
      <c r="N73" s="509"/>
      <c r="O73" s="509"/>
      <c r="P73" s="509"/>
      <c r="Q73" s="509"/>
      <c r="R73" s="509"/>
      <c r="S73" s="509"/>
    </row>
    <row r="74" spans="14:19">
      <c r="N74" s="510"/>
      <c r="O74" s="509"/>
      <c r="P74" s="509"/>
      <c r="Q74" s="509"/>
      <c r="R74" s="509"/>
      <c r="S74" s="509"/>
    </row>
    <row r="75" spans="14:19">
      <c r="N75" s="510"/>
      <c r="O75" s="509"/>
      <c r="P75" s="509"/>
      <c r="Q75" s="509"/>
      <c r="R75" s="509"/>
      <c r="S75" s="509"/>
    </row>
    <row r="76" spans="14:19">
      <c r="N76" s="510"/>
      <c r="O76" s="509"/>
      <c r="P76" s="509"/>
      <c r="Q76" s="509"/>
      <c r="R76" s="509"/>
      <c r="S76" s="509"/>
    </row>
    <row r="77" spans="14:19">
      <c r="N77" s="509"/>
      <c r="O77" s="509"/>
      <c r="P77" s="509"/>
      <c r="Q77" s="509"/>
      <c r="R77" s="509"/>
      <c r="S77" s="509"/>
    </row>
    <row r="78" spans="14:19">
      <c r="N78" s="1201"/>
      <c r="O78" s="1201"/>
      <c r="P78" s="1201"/>
      <c r="Q78" s="1201"/>
      <c r="R78" s="1201"/>
      <c r="S78" s="1201"/>
    </row>
    <row r="79" spans="14:19">
      <c r="N79" s="509"/>
      <c r="O79" s="509"/>
      <c r="P79" s="509"/>
      <c r="Q79" s="509"/>
      <c r="R79" s="509"/>
      <c r="S79" s="509"/>
    </row>
    <row r="80" spans="14:19">
      <c r="N80" s="509"/>
      <c r="O80" s="509"/>
      <c r="P80" s="509"/>
      <c r="Q80" s="509"/>
      <c r="R80" s="509"/>
      <c r="S80" s="509"/>
    </row>
    <row r="81" spans="14:19">
      <c r="N81" s="509"/>
      <c r="O81" s="509"/>
      <c r="P81" s="509"/>
      <c r="Q81" s="509"/>
      <c r="R81" s="509"/>
      <c r="S81" s="509"/>
    </row>
    <row r="82" spans="14:19">
      <c r="N82" s="509"/>
      <c r="O82" s="509"/>
      <c r="P82" s="509"/>
      <c r="Q82" s="509"/>
      <c r="R82" s="509"/>
      <c r="S82" s="509"/>
    </row>
    <row r="83" spans="14:19">
      <c r="N83" s="509"/>
      <c r="O83" s="509"/>
      <c r="P83" s="509"/>
      <c r="Q83" s="509"/>
      <c r="R83" s="509"/>
      <c r="S83" s="509"/>
    </row>
    <row r="84" spans="14:19">
      <c r="N84" s="509"/>
      <c r="O84" s="509"/>
      <c r="P84" s="509"/>
      <c r="Q84" s="509"/>
      <c r="R84" s="509"/>
      <c r="S84" s="509"/>
    </row>
    <row r="85" spans="14:19">
      <c r="N85" s="509"/>
      <c r="O85" s="509"/>
      <c r="P85" s="509"/>
      <c r="Q85" s="509"/>
      <c r="R85" s="509"/>
      <c r="S85" s="509"/>
    </row>
    <row r="86" spans="14:19">
      <c r="N86" s="510"/>
      <c r="O86" s="509"/>
      <c r="P86" s="509"/>
      <c r="Q86" s="509"/>
      <c r="R86" s="509"/>
      <c r="S86" s="509"/>
    </row>
    <row r="87" spans="14:19">
      <c r="N87" s="510"/>
      <c r="O87" s="509"/>
      <c r="P87" s="509"/>
      <c r="Q87" s="509"/>
      <c r="R87" s="509"/>
      <c r="S87" s="509"/>
    </row>
    <row r="88" spans="14:19">
      <c r="N88" s="510"/>
      <c r="O88" s="509"/>
      <c r="P88" s="509"/>
      <c r="Q88" s="509"/>
      <c r="R88" s="509"/>
      <c r="S88" s="509"/>
    </row>
    <row r="89" spans="14:19">
      <c r="N89" s="509"/>
      <c r="O89" s="509"/>
      <c r="P89" s="509"/>
      <c r="Q89" s="509"/>
      <c r="R89" s="509"/>
      <c r="S89" s="509"/>
    </row>
    <row r="90" spans="14:19">
      <c r="N90" s="1201"/>
      <c r="O90" s="1201"/>
      <c r="P90" s="1201"/>
      <c r="Q90" s="1201"/>
      <c r="R90" s="1201"/>
      <c r="S90" s="1201"/>
    </row>
    <row r="91" spans="14:19">
      <c r="N91" s="509"/>
      <c r="O91" s="509"/>
      <c r="P91" s="509"/>
      <c r="Q91" s="509"/>
      <c r="R91" s="509"/>
      <c r="S91" s="509"/>
    </row>
    <row r="92" spans="14:19">
      <c r="N92" s="510"/>
      <c r="O92" s="509"/>
      <c r="P92" s="509"/>
      <c r="Q92" s="509"/>
      <c r="R92" s="509"/>
      <c r="S92" s="509"/>
    </row>
    <row r="93" spans="14:19">
      <c r="N93" s="510"/>
      <c r="O93" s="509"/>
      <c r="P93" s="509"/>
      <c r="Q93" s="509"/>
      <c r="R93" s="509"/>
      <c r="S93" s="509"/>
    </row>
    <row r="94" spans="14:19">
      <c r="N94" s="510"/>
      <c r="O94" s="509"/>
      <c r="P94" s="509"/>
      <c r="Q94" s="509"/>
      <c r="R94" s="509"/>
      <c r="S94" s="509"/>
    </row>
    <row r="95" spans="14:19">
      <c r="N95" s="510"/>
      <c r="O95" s="509"/>
      <c r="P95" s="509"/>
      <c r="Q95" s="509"/>
      <c r="R95" s="509"/>
      <c r="S95" s="509"/>
    </row>
    <row r="96" spans="14:19">
      <c r="N96" s="510"/>
      <c r="O96" s="509"/>
      <c r="P96" s="509"/>
      <c r="Q96" s="509"/>
      <c r="R96" s="509"/>
      <c r="S96" s="509"/>
    </row>
    <row r="97" spans="14:19">
      <c r="N97" s="510"/>
      <c r="O97" s="509"/>
      <c r="P97" s="509"/>
      <c r="Q97" s="509"/>
      <c r="R97" s="509"/>
      <c r="S97" s="509"/>
    </row>
    <row r="98" spans="14:19">
      <c r="N98" s="510"/>
      <c r="O98" s="509"/>
      <c r="P98" s="509"/>
      <c r="Q98" s="509"/>
      <c r="R98" s="509"/>
      <c r="S98" s="509"/>
    </row>
    <row r="99" spans="14:19">
      <c r="N99" s="510"/>
      <c r="O99" s="509"/>
      <c r="P99" s="509"/>
      <c r="Q99" s="509"/>
      <c r="R99" s="509"/>
      <c r="S99" s="509"/>
    </row>
    <row r="100" spans="14:19">
      <c r="N100" s="510"/>
      <c r="O100" s="509"/>
      <c r="P100" s="509"/>
      <c r="Q100" s="509"/>
      <c r="R100" s="509"/>
      <c r="S100" s="509"/>
    </row>
  </sheetData>
  <mergeCells count="8">
    <mergeCell ref="N90:S90"/>
    <mergeCell ref="B3:J3"/>
    <mergeCell ref="K3:Q3"/>
    <mergeCell ref="N54:S54"/>
    <mergeCell ref="N66:S66"/>
    <mergeCell ref="N78:S78"/>
    <mergeCell ref="K23:M23"/>
    <mergeCell ref="M25:M28"/>
  </mergeCells>
  <conditionalFormatting sqref="C10:F10">
    <cfRule type="expression" dxfId="35" priority="27">
      <formula>$C$10="Low"</formula>
    </cfRule>
  </conditionalFormatting>
  <conditionalFormatting sqref="D6:F6 H6:J6">
    <cfRule type="expression" dxfId="34" priority="44">
      <formula>$C$6="Low"</formula>
    </cfRule>
  </conditionalFormatting>
  <conditionalFormatting sqref="D7:F7 J7">
    <cfRule type="expression" dxfId="33" priority="43">
      <formula>$C$7="Low"</formula>
    </cfRule>
  </conditionalFormatting>
  <conditionalFormatting sqref="D8:F8 J8">
    <cfRule type="expression" dxfId="32" priority="42">
      <formula>$C$8="Low"</formula>
    </cfRule>
  </conditionalFormatting>
  <conditionalFormatting sqref="D9:F9 J9:J10">
    <cfRule type="expression" dxfId="31" priority="41">
      <formula>$C$9="Low"</formula>
    </cfRule>
  </conditionalFormatting>
  <conditionalFormatting sqref="D13:F13 J13">
    <cfRule type="expression" dxfId="30" priority="38">
      <formula>$C$13="Low"</formula>
    </cfRule>
  </conditionalFormatting>
  <conditionalFormatting sqref="D16:F16 I16:J16">
    <cfRule type="expression" dxfId="29" priority="35">
      <formula>$C$16="Low"</formula>
    </cfRule>
  </conditionalFormatting>
  <conditionalFormatting sqref="D17:F17 J17">
    <cfRule type="expression" dxfId="28" priority="34">
      <formula>$C$17="Low"</formula>
    </cfRule>
  </conditionalFormatting>
  <conditionalFormatting sqref="D21:F21 J21">
    <cfRule type="expression" dxfId="27" priority="30">
      <formula>$C$21="Low"</formula>
    </cfRule>
  </conditionalFormatting>
  <conditionalFormatting sqref="D12:G12 J12">
    <cfRule type="expression" dxfId="26" priority="39">
      <formula>$C$12="Low"</formula>
    </cfRule>
  </conditionalFormatting>
  <conditionalFormatting sqref="D14:G14 J14">
    <cfRule type="expression" dxfId="25" priority="37">
      <formula>$C$14="Low"</formula>
    </cfRule>
  </conditionalFormatting>
  <conditionalFormatting sqref="D19:G19 J20">
    <cfRule type="expression" dxfId="24" priority="32">
      <formula>$C$19="Low"</formula>
    </cfRule>
  </conditionalFormatting>
  <conditionalFormatting sqref="D15:J15">
    <cfRule type="expression" dxfId="23" priority="36">
      <formula>$C$15="Low"</formula>
    </cfRule>
  </conditionalFormatting>
  <conditionalFormatting sqref="D18:J18">
    <cfRule type="expression" dxfId="22" priority="33">
      <formula>$C$18="Low"</formula>
    </cfRule>
  </conditionalFormatting>
  <conditionalFormatting sqref="D20:J20">
    <cfRule type="expression" dxfId="21" priority="31">
      <formula>$C$20="Low"</formula>
    </cfRule>
  </conditionalFormatting>
  <conditionalFormatting sqref="D22:J22">
    <cfRule type="expression" dxfId="20" priority="29">
      <formula>$C$22="Low"</formula>
    </cfRule>
  </conditionalFormatting>
  <conditionalFormatting sqref="G6">
    <cfRule type="expression" dxfId="19" priority="8">
      <formula>$C$13="Low"</formula>
    </cfRule>
  </conditionalFormatting>
  <conditionalFormatting sqref="G7:G8">
    <cfRule type="expression" dxfId="18" priority="1">
      <formula>$C$9="Low"</formula>
    </cfRule>
  </conditionalFormatting>
  <conditionalFormatting sqref="G9:G10">
    <cfRule type="expression" dxfId="17" priority="6">
      <formula>$C$13="Low"</formula>
    </cfRule>
  </conditionalFormatting>
  <conditionalFormatting sqref="G13">
    <cfRule type="expression" dxfId="16" priority="5">
      <formula>$C$12="Low"</formula>
    </cfRule>
  </conditionalFormatting>
  <conditionalFormatting sqref="G16">
    <cfRule type="expression" dxfId="15" priority="4">
      <formula>$C$13="Low"</formula>
    </cfRule>
  </conditionalFormatting>
  <conditionalFormatting sqref="G17">
    <cfRule type="expression" dxfId="14" priority="3">
      <formula>$C$14="Low"</formula>
    </cfRule>
  </conditionalFormatting>
  <conditionalFormatting sqref="G32">
    <cfRule type="expression" dxfId="13" priority="2">
      <formula>$C$14="Low"</formula>
    </cfRule>
  </conditionalFormatting>
  <conditionalFormatting sqref="H16:H17">
    <cfRule type="expression" dxfId="12" priority="14">
      <formula>$C$6="Low"</formula>
    </cfRule>
  </conditionalFormatting>
  <conditionalFormatting sqref="H19">
    <cfRule type="expression" dxfId="11" priority="13">
      <formula>$C$6="Low"</formula>
    </cfRule>
  </conditionalFormatting>
  <conditionalFormatting sqref="H21">
    <cfRule type="expression" dxfId="10" priority="12">
      <formula>$C$6="Low"</formula>
    </cfRule>
  </conditionalFormatting>
  <conditionalFormatting sqref="H24:H34">
    <cfRule type="expression" dxfId="9" priority="11">
      <formula>$C$6="Low"</formula>
    </cfRule>
  </conditionalFormatting>
  <conditionalFormatting sqref="H7:I7 H8 H9:I10">
    <cfRule type="expression" dxfId="8" priority="22">
      <formula>$C$6="Low"</formula>
    </cfRule>
  </conditionalFormatting>
  <conditionalFormatting sqref="H12:I14">
    <cfRule type="expression" dxfId="7" priority="15">
      <formula>$C$6="Low"</formula>
    </cfRule>
  </conditionalFormatting>
  <conditionalFormatting sqref="I17">
    <cfRule type="expression" dxfId="6" priority="19">
      <formula>$C$16="Low"</formula>
    </cfRule>
  </conditionalFormatting>
  <conditionalFormatting sqref="I19">
    <cfRule type="expression" dxfId="5" priority="18">
      <formula>$C$16="Low"</formula>
    </cfRule>
  </conditionalFormatting>
  <conditionalFormatting sqref="I21">
    <cfRule type="expression" dxfId="4" priority="17">
      <formula>$C$16="Low"</formula>
    </cfRule>
  </conditionalFormatting>
  <conditionalFormatting sqref="I24:I34">
    <cfRule type="expression" dxfId="3" priority="16">
      <formula>$C$16="Low"</formula>
    </cfRule>
  </conditionalFormatting>
  <conditionalFormatting sqref="J19">
    <cfRule type="expression" dxfId="2" priority="10">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zoomScale="51" zoomScaleNormal="85" workbookViewId="0">
      <selection activeCell="H58" sqref="H58"/>
    </sheetView>
  </sheetViews>
  <sheetFormatPr defaultColWidth="11.42578125" defaultRowHeight="13.1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32" width="11.140625" style="2" customWidth="1"/>
    <col min="33" max="33" width="14.42578125" customWidth="1"/>
  </cols>
  <sheetData>
    <row r="1" spans="1:40" ht="21" customHeight="1">
      <c r="A1" s="1217" t="s">
        <v>4124</v>
      </c>
      <c r="B1" s="1217"/>
      <c r="C1" s="1217"/>
      <c r="D1" s="1217"/>
      <c r="E1" s="1217"/>
      <c r="F1" s="1217"/>
      <c r="G1" s="1217"/>
      <c r="H1" s="1217"/>
      <c r="I1" s="1217"/>
      <c r="J1" s="1217"/>
      <c r="K1" s="1217"/>
      <c r="L1" s="1217"/>
      <c r="M1" s="1217"/>
      <c r="N1" s="1217"/>
      <c r="O1" s="1217"/>
      <c r="P1" s="1217"/>
      <c r="Q1" s="1217"/>
      <c r="R1" s="1217"/>
      <c r="S1" s="1217"/>
      <c r="T1" s="1217"/>
      <c r="U1" s="1217"/>
      <c r="V1" s="1217"/>
      <c r="W1" s="1217"/>
      <c r="X1" s="1217"/>
      <c r="Y1" s="1217"/>
      <c r="Z1" s="1217"/>
      <c r="AA1" s="1217"/>
      <c r="AB1" s="1217"/>
      <c r="AC1" s="1217"/>
      <c r="AD1" s="1217"/>
      <c r="AE1" s="1217"/>
      <c r="AF1" s="1217"/>
      <c r="AG1" s="11"/>
      <c r="AH1" s="11"/>
      <c r="AI1" s="11"/>
      <c r="AJ1" s="11"/>
      <c r="AK1" s="11"/>
      <c r="AL1" s="11"/>
      <c r="AM1" s="11"/>
      <c r="AN1" s="11"/>
    </row>
    <row r="2" spans="1:40" ht="3.75" customHeight="1" thickBot="1">
      <c r="A2" s="1218"/>
      <c r="B2" s="1218"/>
      <c r="C2" s="1218"/>
      <c r="D2" s="1218"/>
      <c r="E2" s="1218"/>
      <c r="F2" s="1218"/>
      <c r="G2" s="1218"/>
      <c r="H2" s="1218"/>
      <c r="I2" s="1218"/>
      <c r="J2" s="1218"/>
      <c r="K2" s="1218"/>
      <c r="L2" s="1218"/>
      <c r="M2" s="1218"/>
      <c r="N2" s="1218"/>
      <c r="O2" s="1218"/>
      <c r="P2" s="1218"/>
      <c r="Q2" s="1218"/>
      <c r="R2" s="1218"/>
      <c r="S2" s="1218"/>
      <c r="T2" s="1218"/>
      <c r="U2" s="1218"/>
      <c r="V2" s="1218"/>
      <c r="W2" s="1218"/>
      <c r="X2" s="1218"/>
      <c r="Y2" s="1218"/>
      <c r="Z2" s="1218"/>
      <c r="AA2" s="1218"/>
      <c r="AB2" s="1218"/>
      <c r="AC2" s="1218"/>
      <c r="AD2" s="1218"/>
      <c r="AE2" s="1218"/>
      <c r="AF2" s="1218"/>
      <c r="AG2" s="511"/>
      <c r="AH2" s="11"/>
      <c r="AI2" s="11"/>
      <c r="AJ2" s="11"/>
      <c r="AK2" s="11"/>
      <c r="AL2" s="11"/>
      <c r="AM2" s="11"/>
      <c r="AN2" s="11"/>
    </row>
    <row r="3" spans="1:40" ht="18">
      <c r="A3" s="242"/>
      <c r="B3" s="242"/>
      <c r="C3" s="242"/>
      <c r="D3" s="242"/>
      <c r="E3" s="242"/>
      <c r="F3" s="242"/>
      <c r="G3" s="1224" t="s">
        <v>4125</v>
      </c>
      <c r="H3" s="1225"/>
      <c r="I3" s="1225"/>
      <c r="J3" s="1225"/>
      <c r="K3" s="1226" t="s">
        <v>4126</v>
      </c>
      <c r="L3" s="1227"/>
      <c r="M3" s="1227"/>
      <c r="N3" s="1227"/>
      <c r="O3" s="1227"/>
      <c r="P3" s="1227"/>
      <c r="Q3" s="1227"/>
      <c r="R3" s="1227"/>
      <c r="S3" s="1227"/>
      <c r="T3" s="1227"/>
      <c r="U3" s="1227"/>
      <c r="V3" s="1227"/>
      <c r="W3" s="1227"/>
      <c r="X3" s="1227"/>
      <c r="Y3" s="1227"/>
      <c r="Z3" s="1227"/>
      <c r="AA3" s="1227"/>
      <c r="AB3" s="1227"/>
      <c r="AC3" s="1227"/>
      <c r="AD3" s="1227"/>
      <c r="AE3" s="1227"/>
      <c r="AF3" s="1228"/>
      <c r="AG3" s="511"/>
      <c r="AH3" s="11"/>
      <c r="AI3" s="11"/>
      <c r="AJ3" s="11"/>
      <c r="AK3" s="11"/>
      <c r="AL3" s="11"/>
      <c r="AM3" s="11"/>
      <c r="AN3" s="11"/>
    </row>
    <row r="4" spans="1:40" ht="14.45">
      <c r="A4" s="265" t="s">
        <v>4127</v>
      </c>
      <c r="B4" s="773" t="s">
        <v>4128</v>
      </c>
      <c r="C4" s="774" t="s">
        <v>4129</v>
      </c>
      <c r="D4" s="272" t="s">
        <v>4130</v>
      </c>
      <c r="E4" s="272" t="s">
        <v>4131</v>
      </c>
      <c r="F4" s="273" t="s">
        <v>4132</v>
      </c>
      <c r="G4" s="272">
        <v>2024</v>
      </c>
      <c r="H4" s="272">
        <f>G4+1</f>
        <v>2025</v>
      </c>
      <c r="I4" s="272">
        <f t="shared" ref="I4:AF4" si="0">H4+1</f>
        <v>2026</v>
      </c>
      <c r="J4" s="273">
        <f t="shared" si="0"/>
        <v>2027</v>
      </c>
      <c r="K4" s="274">
        <f t="shared" si="0"/>
        <v>2028</v>
      </c>
      <c r="L4" s="274">
        <f t="shared" si="0"/>
        <v>2029</v>
      </c>
      <c r="M4" s="274">
        <f t="shared" si="0"/>
        <v>2030</v>
      </c>
      <c r="N4" s="274">
        <f t="shared" si="0"/>
        <v>2031</v>
      </c>
      <c r="O4" s="274">
        <f t="shared" si="0"/>
        <v>2032</v>
      </c>
      <c r="P4" s="274">
        <f t="shared" si="0"/>
        <v>2033</v>
      </c>
      <c r="Q4" s="274">
        <f t="shared" si="0"/>
        <v>2034</v>
      </c>
      <c r="R4" s="274">
        <f t="shared" si="0"/>
        <v>2035</v>
      </c>
      <c r="S4" s="274">
        <f t="shared" si="0"/>
        <v>2036</v>
      </c>
      <c r="T4" s="274">
        <f t="shared" si="0"/>
        <v>2037</v>
      </c>
      <c r="U4" s="274">
        <f t="shared" si="0"/>
        <v>2038</v>
      </c>
      <c r="V4" s="274">
        <f t="shared" si="0"/>
        <v>2039</v>
      </c>
      <c r="W4" s="274">
        <f t="shared" si="0"/>
        <v>2040</v>
      </c>
      <c r="X4" s="274">
        <f t="shared" si="0"/>
        <v>2041</v>
      </c>
      <c r="Y4" s="274">
        <f t="shared" si="0"/>
        <v>2042</v>
      </c>
      <c r="Z4" s="274">
        <f t="shared" si="0"/>
        <v>2043</v>
      </c>
      <c r="AA4" s="274">
        <f t="shared" si="0"/>
        <v>2044</v>
      </c>
      <c r="AB4" s="274">
        <f t="shared" si="0"/>
        <v>2045</v>
      </c>
      <c r="AC4" s="274">
        <f t="shared" si="0"/>
        <v>2046</v>
      </c>
      <c r="AD4" s="274">
        <f t="shared" si="0"/>
        <v>2047</v>
      </c>
      <c r="AE4" s="274">
        <f t="shared" si="0"/>
        <v>2048</v>
      </c>
      <c r="AF4" s="275">
        <f t="shared" si="0"/>
        <v>2049</v>
      </c>
      <c r="AG4" s="511"/>
      <c r="AH4" s="11"/>
      <c r="AI4" s="11"/>
      <c r="AJ4" s="11"/>
      <c r="AK4" s="11"/>
      <c r="AL4" s="11"/>
      <c r="AM4" s="11"/>
      <c r="AN4" s="11"/>
    </row>
    <row r="5" spans="1:40">
      <c r="A5" s="920" t="s">
        <v>4133</v>
      </c>
      <c r="B5" s="757">
        <v>1</v>
      </c>
      <c r="C5" s="775" t="s">
        <v>4134</v>
      </c>
      <c r="D5" s="763">
        <f>'Fin. Data'!D6</f>
        <v>-5.4611418751193685E-3</v>
      </c>
      <c r="E5" s="283">
        <f t="shared" ref="E5:AF5" si="1">+E6/D6-1</f>
        <v>1.7010982259427099E-2</v>
      </c>
      <c r="F5" s="320">
        <f t="shared" si="1"/>
        <v>5.8523692656220483E-3</v>
      </c>
      <c r="G5" s="335">
        <f>+G6/F6-1</f>
        <v>2.8200000000000003E-2</v>
      </c>
      <c r="H5" s="336">
        <f>+H6/G6-1</f>
        <v>2.8480840303442889E-2</v>
      </c>
      <c r="I5" s="336">
        <f>+I6/H6-1</f>
        <v>2.8757390182735598E-2</v>
      </c>
      <c r="J5" s="337">
        <f>+J6/I6-1</f>
        <v>2.9029581618982059E-2</v>
      </c>
      <c r="K5" s="335">
        <f t="shared" si="1"/>
        <v>2.4999999999999911E-2</v>
      </c>
      <c r="L5" s="336">
        <f t="shared" si="1"/>
        <v>2.4999999999999911E-2</v>
      </c>
      <c r="M5" s="336">
        <f t="shared" si="1"/>
        <v>2.4999999999999911E-2</v>
      </c>
      <c r="N5" s="336">
        <f t="shared" si="1"/>
        <v>2.4999999999999911E-2</v>
      </c>
      <c r="O5" s="336">
        <f t="shared" si="1"/>
        <v>2.4999999999999911E-2</v>
      </c>
      <c r="P5" s="336">
        <f t="shared" si="1"/>
        <v>2.4999999999999911E-2</v>
      </c>
      <c r="Q5" s="336">
        <f t="shared" si="1"/>
        <v>2.4999999999999911E-2</v>
      </c>
      <c r="R5" s="336">
        <f t="shared" si="1"/>
        <v>2.4999999999999911E-2</v>
      </c>
      <c r="S5" s="336">
        <f t="shared" si="1"/>
        <v>2.4999999999999911E-2</v>
      </c>
      <c r="T5" s="336">
        <f t="shared" si="1"/>
        <v>2.4999999999999911E-2</v>
      </c>
      <c r="U5" s="336">
        <f t="shared" si="1"/>
        <v>2.4999999999999911E-2</v>
      </c>
      <c r="V5" s="336">
        <f t="shared" si="1"/>
        <v>2.0000000000000018E-2</v>
      </c>
      <c r="W5" s="336">
        <f t="shared" si="1"/>
        <v>2.0000000000000018E-2</v>
      </c>
      <c r="X5" s="336">
        <f t="shared" si="1"/>
        <v>2.0000000000000018E-2</v>
      </c>
      <c r="Y5" s="336">
        <f t="shared" si="1"/>
        <v>2.0000000000000018E-2</v>
      </c>
      <c r="Z5" s="336">
        <f t="shared" si="1"/>
        <v>2.0000000000000018E-2</v>
      </c>
      <c r="AA5" s="336">
        <f t="shared" si="1"/>
        <v>2.0000000000000018E-2</v>
      </c>
      <c r="AB5" s="336">
        <f t="shared" si="1"/>
        <v>2.0000000000000018E-2</v>
      </c>
      <c r="AC5" s="336">
        <f t="shared" si="1"/>
        <v>2.0000000000000018E-2</v>
      </c>
      <c r="AD5" s="336">
        <f t="shared" si="1"/>
        <v>2.0000000000000018E-2</v>
      </c>
      <c r="AE5" s="336">
        <f t="shared" si="1"/>
        <v>2.0000000000000018E-2</v>
      </c>
      <c r="AF5" s="337">
        <f t="shared" si="1"/>
        <v>2.0000000000000018E-2</v>
      </c>
      <c r="AG5" s="406"/>
      <c r="AH5" s="11"/>
      <c r="AI5" s="11"/>
      <c r="AJ5" s="11"/>
      <c r="AK5" s="11"/>
      <c r="AL5" s="11"/>
      <c r="AM5" s="11"/>
      <c r="AN5" s="11"/>
    </row>
    <row r="6" spans="1:40" ht="14.45">
      <c r="A6" s="920"/>
      <c r="B6" s="757">
        <v>2</v>
      </c>
      <c r="C6" s="758" t="s">
        <v>4135</v>
      </c>
      <c r="D6" s="764">
        <f>Inputs!D6</f>
        <v>26042</v>
      </c>
      <c r="E6" s="695">
        <f>Inputs!C6</f>
        <v>26485</v>
      </c>
      <c r="F6" s="321">
        <f>Inputs!B6</f>
        <v>26640</v>
      </c>
      <c r="G6" s="329">
        <v>27391.248</v>
      </c>
      <c r="H6" s="327">
        <v>28171.373759999999</v>
      </c>
      <c r="I6" s="327">
        <v>28981.5089472</v>
      </c>
      <c r="J6" s="330">
        <v>29822.830026624004</v>
      </c>
      <c r="K6" s="329">
        <v>30568.4007772896</v>
      </c>
      <c r="L6" s="327">
        <v>31332.610796721838</v>
      </c>
      <c r="M6" s="327">
        <v>32115.92606663988</v>
      </c>
      <c r="N6" s="327">
        <v>32918.824218305876</v>
      </c>
      <c r="O6" s="327">
        <v>33741.794823763521</v>
      </c>
      <c r="P6" s="327">
        <v>34585.339694357608</v>
      </c>
      <c r="Q6" s="327">
        <v>35449.973186716546</v>
      </c>
      <c r="R6" s="327">
        <v>36336.222516384456</v>
      </c>
      <c r="S6" s="327">
        <v>37244.628079294067</v>
      </c>
      <c r="T6" s="327">
        <v>38175.743781276418</v>
      </c>
      <c r="U6" s="327">
        <v>39130.137375808328</v>
      </c>
      <c r="V6" s="327">
        <v>39912.740123324496</v>
      </c>
      <c r="W6" s="327">
        <v>40710.99492579099</v>
      </c>
      <c r="X6" s="327">
        <v>41525.214824306808</v>
      </c>
      <c r="Y6" s="327">
        <v>42355.719120792943</v>
      </c>
      <c r="Z6" s="327">
        <v>43202.8335032088</v>
      </c>
      <c r="AA6" s="327">
        <v>44066.890173272979</v>
      </c>
      <c r="AB6" s="327">
        <v>44948.227976738439</v>
      </c>
      <c r="AC6" s="327">
        <v>45847.192536273207</v>
      </c>
      <c r="AD6" s="327">
        <v>46764.136386998674</v>
      </c>
      <c r="AE6" s="327">
        <v>47699.419114738652</v>
      </c>
      <c r="AF6" s="330">
        <v>48653.407497033426</v>
      </c>
      <c r="AG6" s="512"/>
      <c r="AH6" s="11"/>
      <c r="AI6" s="11"/>
      <c r="AJ6" s="11"/>
      <c r="AK6" s="11"/>
      <c r="AL6" s="11"/>
      <c r="AM6" s="11"/>
      <c r="AN6" s="11"/>
    </row>
    <row r="7" spans="1:40">
      <c r="A7" s="920"/>
      <c r="B7" s="757">
        <v>3</v>
      </c>
      <c r="C7" s="759" t="s">
        <v>4136</v>
      </c>
      <c r="D7" s="765">
        <f>D8/D6</f>
        <v>0.13451347822747869</v>
      </c>
      <c r="E7" s="317">
        <f t="shared" ref="E7:F7" si="2">E8/E6</f>
        <v>0.13815367188974892</v>
      </c>
      <c r="F7" s="322">
        <f t="shared" si="2"/>
        <v>0.17177177177177178</v>
      </c>
      <c r="G7" s="338">
        <v>0.17290778426744191</v>
      </c>
      <c r="H7" s="339">
        <v>0.17400378276760331</v>
      </c>
      <c r="I7" s="339">
        <v>0.1750596563223519</v>
      </c>
      <c r="J7" s="340">
        <v>0.17607535053421047</v>
      </c>
      <c r="K7" s="338">
        <v>0.18039980193090552</v>
      </c>
      <c r="L7" s="339">
        <v>0.18472425332760056</v>
      </c>
      <c r="M7" s="339">
        <v>0.18904870472429561</v>
      </c>
      <c r="N7" s="339">
        <v>0.19337315612099065</v>
      </c>
      <c r="O7" s="339">
        <v>0.1976976075176857</v>
      </c>
      <c r="P7" s="339">
        <v>0.20202205891438074</v>
      </c>
      <c r="Q7" s="339">
        <v>0.20634651031107579</v>
      </c>
      <c r="R7" s="339">
        <v>0.21067096170777083</v>
      </c>
      <c r="S7" s="339">
        <v>0.21499541310446588</v>
      </c>
      <c r="T7" s="339">
        <v>0.21931986450116092</v>
      </c>
      <c r="U7" s="339">
        <v>0.22364431589785605</v>
      </c>
      <c r="V7" s="339">
        <v>0.22416444819380205</v>
      </c>
      <c r="W7" s="339">
        <v>0.22468458048974804</v>
      </c>
      <c r="X7" s="339">
        <v>0.22520471278569404</v>
      </c>
      <c r="Y7" s="339">
        <v>0.22572484508164004</v>
      </c>
      <c r="Z7" s="339">
        <v>0.22624497737758603</v>
      </c>
      <c r="AA7" s="339">
        <v>0.22676510967353203</v>
      </c>
      <c r="AB7" s="339">
        <v>0.22728524196947802</v>
      </c>
      <c r="AC7" s="339">
        <v>0.22780537426542402</v>
      </c>
      <c r="AD7" s="339">
        <v>0.22832550656137002</v>
      </c>
      <c r="AE7" s="339">
        <v>0.22884563885731601</v>
      </c>
      <c r="AF7" s="340">
        <v>0.2293657711532619</v>
      </c>
      <c r="AG7" s="406"/>
      <c r="AH7" s="11"/>
      <c r="AI7" s="11"/>
      <c r="AJ7" s="11"/>
      <c r="AK7" s="11"/>
      <c r="AL7" s="11"/>
      <c r="AM7" s="11"/>
      <c r="AN7" s="11"/>
    </row>
    <row r="8" spans="1:40" ht="14.45">
      <c r="A8" s="920"/>
      <c r="B8" s="757">
        <v>4</v>
      </c>
      <c r="C8" s="760" t="s">
        <v>65</v>
      </c>
      <c r="D8" s="766">
        <f>'Fin. Data'!D11</f>
        <v>3503</v>
      </c>
      <c r="E8" s="318">
        <f>'Fin. Data'!C11</f>
        <v>3659</v>
      </c>
      <c r="F8" s="323">
        <f>'Fin. Data'!B11</f>
        <v>4576</v>
      </c>
      <c r="G8" s="329">
        <f>G7*G6</f>
        <v>4736.16</v>
      </c>
      <c r="H8" s="327">
        <f t="shared" ref="H8:AF8" si="3">H7*H6</f>
        <v>4901.9255999999996</v>
      </c>
      <c r="I8" s="327">
        <f t="shared" si="3"/>
        <v>5073.492995999999</v>
      </c>
      <c r="J8" s="330">
        <f t="shared" si="3"/>
        <v>5251.0652508599987</v>
      </c>
      <c r="K8" s="329">
        <f t="shared" si="3"/>
        <v>5514.533445567582</v>
      </c>
      <c r="L8" s="327">
        <f t="shared" si="3"/>
        <v>5787.8931342287569</v>
      </c>
      <c r="M8" s="327">
        <f t="shared" si="3"/>
        <v>6071.4742239195111</v>
      </c>
      <c r="N8" s="327">
        <f t="shared" si="3"/>
        <v>6365.6169348859103</v>
      </c>
      <c r="O8" s="327">
        <f t="shared" si="3"/>
        <v>6670.6721100106797</v>
      </c>
      <c r="P8" s="327">
        <f t="shared" si="3"/>
        <v>6987.0015333073834</v>
      </c>
      <c r="Q8" s="327">
        <f t="shared" si="3"/>
        <v>7314.9782577001661</v>
      </c>
      <c r="R8" s="327">
        <f t="shared" si="3"/>
        <v>7654.9869423542705</v>
      </c>
      <c r="S8" s="327">
        <f t="shared" si="3"/>
        <v>8007.4241998300176</v>
      </c>
      <c r="T8" s="327">
        <f t="shared" si="3"/>
        <v>8372.6989533405813</v>
      </c>
      <c r="U8" s="327">
        <f t="shared" si="3"/>
        <v>8751.2328044017813</v>
      </c>
      <c r="V8" s="327">
        <f t="shared" si="3"/>
        <v>8947.0173656476582</v>
      </c>
      <c r="W8" s="327">
        <f t="shared" si="3"/>
        <v>9147.1328162216105</v>
      </c>
      <c r="X8" s="327">
        <f t="shared" si="3"/>
        <v>9351.6740778722597</v>
      </c>
      <c r="Y8" s="327">
        <f t="shared" si="3"/>
        <v>9560.7381368624465</v>
      </c>
      <c r="Z8" s="327">
        <f t="shared" si="3"/>
        <v>9774.4240885810905</v>
      </c>
      <c r="AA8" s="327">
        <f t="shared" si="3"/>
        <v>9992.8331831137384</v>
      </c>
      <c r="AB8" s="327">
        <f t="shared" si="3"/>
        <v>10216.068871792259</v>
      </c>
      <c r="AC8" s="327">
        <f t="shared" si="3"/>
        <v>10444.236854744673</v>
      </c>
      <c r="AD8" s="327">
        <f t="shared" si="3"/>
        <v>10677.445129466469</v>
      </c>
      <c r="AE8" s="327">
        <f t="shared" si="3"/>
        <v>10915.804040435238</v>
      </c>
      <c r="AF8" s="330">
        <f t="shared" si="3"/>
        <v>11159.426329790966</v>
      </c>
      <c r="AG8" s="497"/>
      <c r="AH8" s="7"/>
      <c r="AI8" s="7"/>
      <c r="AJ8" s="7"/>
      <c r="AK8" s="11"/>
      <c r="AL8" s="11"/>
      <c r="AM8" s="11"/>
      <c r="AN8" s="11"/>
    </row>
    <row r="9" spans="1:40" ht="14.45">
      <c r="A9" s="920"/>
      <c r="B9" s="757" t="s">
        <v>4137</v>
      </c>
      <c r="C9" s="758" t="s">
        <v>4138</v>
      </c>
      <c r="D9" s="767">
        <v>-671</v>
      </c>
      <c r="E9" s="485">
        <v>-672</v>
      </c>
      <c r="F9" s="486">
        <v>-710</v>
      </c>
      <c r="G9" s="487">
        <f>$D$53*DCF!F40</f>
        <v>-808.2461124947007</v>
      </c>
      <c r="H9" s="488">
        <f>$D$53*DCF!G40</f>
        <v>-874.43217429647746</v>
      </c>
      <c r="I9" s="488">
        <f>$D$53*DCF!H40</f>
        <v>-942.50327075474434</v>
      </c>
      <c r="J9" s="489">
        <f>$D$53*DCF!I40</f>
        <v>-1012.5319142940283</v>
      </c>
      <c r="K9" s="490">
        <f>$E$53*DCF!J40</f>
        <v>-960.13653350616903</v>
      </c>
      <c r="L9" s="491">
        <f>$E$53*DCF!K40</f>
        <v>-1024.3301751384772</v>
      </c>
      <c r="M9" s="491">
        <f>$E$53*DCF!L40</f>
        <v>-1090.1286578115933</v>
      </c>
      <c r="N9" s="491">
        <f>$E$53*DCF!M40</f>
        <v>-1157.572102551537</v>
      </c>
      <c r="O9" s="491">
        <f>$E$53*DCF!N40</f>
        <v>-1226.7016334099792</v>
      </c>
      <c r="P9" s="491">
        <f>$E$53*DCF!O40</f>
        <v>-1297.5594025398825</v>
      </c>
      <c r="Q9" s="491">
        <f>$E$53*DCF!P40</f>
        <v>-1370.1886158980335</v>
      </c>
      <c r="R9" s="491">
        <f>$E$53*DCF!Q40</f>
        <v>-1444.6335595901382</v>
      </c>
      <c r="S9" s="491">
        <f>$E$53*DCF!R40</f>
        <v>-1520.9396268745456</v>
      </c>
      <c r="T9" s="491">
        <f>$E$53*DCF!S40</f>
        <v>-1599.1533458410631</v>
      </c>
      <c r="U9" s="491">
        <f>$E$53*DCF!T40</f>
        <v>-1679.3224077817438</v>
      </c>
      <c r="V9" s="491">
        <f>$E$53*DCF!U40</f>
        <v>-1761.4956962709412</v>
      </c>
      <c r="W9" s="491">
        <f>$E$53*DCF!V40</f>
        <v>-1845.3124505299227</v>
      </c>
      <c r="X9" s="491">
        <f>$E$53*DCF!W40</f>
        <v>-1930.8055398740837</v>
      </c>
      <c r="Y9" s="491">
        <f>$E$53*DCF!X40</f>
        <v>-2018.008491005128</v>
      </c>
      <c r="Z9" s="491">
        <f>$E$53*DCF!Y40</f>
        <v>-2106.9555011587936</v>
      </c>
      <c r="AA9" s="491">
        <f>$E$53*DCF!Z40</f>
        <v>-2197.681451515532</v>
      </c>
      <c r="AB9" s="491">
        <f>$E$53*DCF!AA40</f>
        <v>-2290.2219208794054</v>
      </c>
      <c r="AC9" s="491">
        <f>$E$53*DCF!AB40</f>
        <v>-2384.6131996305558</v>
      </c>
      <c r="AD9" s="491">
        <f>$E$53*DCF!AC40</f>
        <v>-2480.8923039567298</v>
      </c>
      <c r="AE9" s="491">
        <f>$E$53*DCF!AD40</f>
        <v>-2579.0969903694272</v>
      </c>
      <c r="AF9" s="492">
        <f>$E$53*DCF!AE40</f>
        <v>-2679.2657705103784</v>
      </c>
      <c r="AG9" s="498">
        <f>SUM(D9:AF9)</f>
        <v>-44335.72884848401</v>
      </c>
      <c r="AH9" s="7"/>
      <c r="AI9" s="7"/>
      <c r="AJ9" s="7"/>
      <c r="AK9" s="11"/>
      <c r="AL9" s="11"/>
      <c r="AM9" s="11"/>
      <c r="AN9" s="11"/>
    </row>
    <row r="10" spans="1:40" ht="14.45">
      <c r="A10" s="920"/>
      <c r="B10" s="757" t="s">
        <v>4139</v>
      </c>
      <c r="C10" s="758" t="s">
        <v>4140</v>
      </c>
      <c r="D10" s="852">
        <f>(Inputs!D61+D9)*-1</f>
        <v>-239</v>
      </c>
      <c r="E10" s="851">
        <f>(Inputs!C61+E9)*-1</f>
        <v>-261</v>
      </c>
      <c r="F10" s="850">
        <f>(Inputs!B61+F9)*-1</f>
        <v>-251</v>
      </c>
      <c r="G10" s="487">
        <f t="shared" ref="G10:J10" si="4">F38*$D$54</f>
        <v>-241.16222576640601</v>
      </c>
      <c r="H10" s="493">
        <f t="shared" si="4"/>
        <v>-241.93772338143359</v>
      </c>
      <c r="I10" s="493">
        <f t="shared" si="4"/>
        <v>-242.71571473920631</v>
      </c>
      <c r="J10" s="494">
        <f t="shared" si="4"/>
        <v>-243.49620785877252</v>
      </c>
      <c r="K10" s="490">
        <f t="shared" ref="K10:AF10" si="5">J38*$E$54</f>
        <v>-244.27921078496726</v>
      </c>
      <c r="L10" s="491">
        <f t="shared" si="5"/>
        <v>-245.06473158849496</v>
      </c>
      <c r="M10" s="491">
        <f t="shared" si="5"/>
        <v>-245.85277836601284</v>
      </c>
      <c r="N10" s="491">
        <f t="shared" si="5"/>
        <v>-246.64335924021415</v>
      </c>
      <c r="O10" s="491">
        <f t="shared" si="5"/>
        <v>-247.43648235991219</v>
      </c>
      <c r="P10" s="491">
        <f t="shared" si="5"/>
        <v>-248.23215590012404</v>
      </c>
      <c r="Q10" s="491">
        <f t="shared" si="5"/>
        <v>-249.03038806215491</v>
      </c>
      <c r="R10" s="491">
        <f t="shared" si="5"/>
        <v>-249.83118707368274</v>
      </c>
      <c r="S10" s="491">
        <f t="shared" si="5"/>
        <v>-250.63456118884289</v>
      </c>
      <c r="T10" s="491">
        <f t="shared" si="5"/>
        <v>-251.44051868831338</v>
      </c>
      <c r="U10" s="491">
        <f t="shared" si="5"/>
        <v>-252.2490678794</v>
      </c>
      <c r="V10" s="491">
        <f t="shared" si="5"/>
        <v>-253.06021709612219</v>
      </c>
      <c r="W10" s="491">
        <f t="shared" si="5"/>
        <v>-253.87397469929874</v>
      </c>
      <c r="X10" s="491">
        <f t="shared" si="5"/>
        <v>-254.69034907663416</v>
      </c>
      <c r="Y10" s="491">
        <f t="shared" si="5"/>
        <v>-255.50934864280492</v>
      </c>
      <c r="Z10" s="491">
        <f t="shared" si="5"/>
        <v>-256.33098183954638</v>
      </c>
      <c r="AA10" s="491">
        <f t="shared" si="5"/>
        <v>-257.1552571357397</v>
      </c>
      <c r="AB10" s="491">
        <f t="shared" si="5"/>
        <v>-257.9821830274991</v>
      </c>
      <c r="AC10" s="491">
        <f t="shared" si="5"/>
        <v>-258.81176803825957</v>
      </c>
      <c r="AD10" s="491">
        <f t="shared" si="5"/>
        <v>-259.64402071886445</v>
      </c>
      <c r="AE10" s="491">
        <f t="shared" si="5"/>
        <v>-260.47894964765402</v>
      </c>
      <c r="AF10" s="492">
        <f t="shared" si="5"/>
        <v>-261.31656343055346</v>
      </c>
      <c r="AG10" s="497"/>
      <c r="AH10" s="7"/>
      <c r="AI10" s="7"/>
      <c r="AJ10" s="7"/>
      <c r="AK10" s="11"/>
      <c r="AL10" s="11"/>
      <c r="AM10" s="11"/>
      <c r="AN10" s="11"/>
    </row>
    <row r="11" spans="1:40" ht="14.45">
      <c r="A11" s="920"/>
      <c r="B11" s="757" t="s">
        <v>4141</v>
      </c>
      <c r="C11" s="758" t="s">
        <v>4142</v>
      </c>
      <c r="D11" s="767">
        <f>D20</f>
        <v>-197</v>
      </c>
      <c r="E11" s="485">
        <f>E20</f>
        <v>-148</v>
      </c>
      <c r="F11" s="486">
        <f>F20</f>
        <v>-141</v>
      </c>
      <c r="G11" s="487">
        <f>G6*$D$55</f>
        <v>-143.77593959443738</v>
      </c>
      <c r="H11" s="493">
        <f t="shared" ref="H11:AF11" si="6">H6*$D$55</f>
        <v>-147.87079916950398</v>
      </c>
      <c r="I11" s="493">
        <f t="shared" si="6"/>
        <v>-152.12317743785437</v>
      </c>
      <c r="J11" s="494">
        <f t="shared" si="6"/>
        <v>-156.53924963342544</v>
      </c>
      <c r="K11" s="487">
        <f t="shared" si="6"/>
        <v>-160.45273087426108</v>
      </c>
      <c r="L11" s="493">
        <f t="shared" si="6"/>
        <v>-164.46404914611759</v>
      </c>
      <c r="M11" s="493">
        <f t="shared" si="6"/>
        <v>-168.5756503747705</v>
      </c>
      <c r="N11" s="493">
        <f t="shared" si="6"/>
        <v>-172.79004163413975</v>
      </c>
      <c r="O11" s="493">
        <f t="shared" si="6"/>
        <v>-177.10979267499326</v>
      </c>
      <c r="P11" s="493">
        <f t="shared" si="6"/>
        <v>-181.53753749186808</v>
      </c>
      <c r="Q11" s="493">
        <f t="shared" si="6"/>
        <v>-186.07597592916477</v>
      </c>
      <c r="R11" s="493">
        <f t="shared" si="6"/>
        <v>-190.72787532739386</v>
      </c>
      <c r="S11" s="493">
        <f t="shared" si="6"/>
        <v>-195.49607221057872</v>
      </c>
      <c r="T11" s="493">
        <f t="shared" si="6"/>
        <v>-200.38347401584318</v>
      </c>
      <c r="U11" s="493">
        <f t="shared" si="6"/>
        <v>-205.39306086623924</v>
      </c>
      <c r="V11" s="493">
        <f t="shared" si="6"/>
        <v>-209.50092208356403</v>
      </c>
      <c r="W11" s="493">
        <f t="shared" si="6"/>
        <v>-213.69094052523533</v>
      </c>
      <c r="X11" s="493">
        <f t="shared" si="6"/>
        <v>-217.96475933574004</v>
      </c>
      <c r="Y11" s="493">
        <f t="shared" si="6"/>
        <v>-222.32405452245484</v>
      </c>
      <c r="Z11" s="493">
        <f t="shared" si="6"/>
        <v>-226.77053561290393</v>
      </c>
      <c r="AA11" s="493">
        <f t="shared" si="6"/>
        <v>-231.30594632516201</v>
      </c>
      <c r="AB11" s="493">
        <f t="shared" si="6"/>
        <v>-235.93206525166525</v>
      </c>
      <c r="AC11" s="493">
        <f t="shared" si="6"/>
        <v>-240.65070655669857</v>
      </c>
      <c r="AD11" s="493">
        <f t="shared" si="6"/>
        <v>-245.46372068783256</v>
      </c>
      <c r="AE11" s="493">
        <f t="shared" si="6"/>
        <v>-250.37299510158923</v>
      </c>
      <c r="AF11" s="494">
        <f t="shared" si="6"/>
        <v>-255.38045500362102</v>
      </c>
      <c r="AG11" s="497"/>
      <c r="AH11" s="7"/>
      <c r="AI11" s="7"/>
      <c r="AJ11" s="7"/>
      <c r="AK11" s="11"/>
      <c r="AL11" s="11"/>
      <c r="AM11" s="11"/>
      <c r="AN11" s="11"/>
    </row>
    <row r="12" spans="1:40" ht="14.45">
      <c r="A12" s="920"/>
      <c r="B12" s="757">
        <v>6</v>
      </c>
      <c r="C12" s="760" t="s">
        <v>56</v>
      </c>
      <c r="D12" s="766">
        <f>D8-D9-D10</f>
        <v>4413</v>
      </c>
      <c r="E12" s="290">
        <f t="shared" ref="E12:AF12" si="7">E8-E9-E10</f>
        <v>4592</v>
      </c>
      <c r="F12" s="324">
        <f t="shared" si="7"/>
        <v>5537</v>
      </c>
      <c r="G12" s="341">
        <f>G8-G9-G10</f>
        <v>5785.568338261106</v>
      </c>
      <c r="H12" s="342">
        <f t="shared" si="7"/>
        <v>6018.295497677911</v>
      </c>
      <c r="I12" s="342">
        <f t="shared" si="7"/>
        <v>6258.7119814939497</v>
      </c>
      <c r="J12" s="343">
        <f t="shared" si="7"/>
        <v>6507.093373012799</v>
      </c>
      <c r="K12" s="341">
        <f t="shared" si="7"/>
        <v>6718.9491898587185</v>
      </c>
      <c r="L12" s="342">
        <f t="shared" si="7"/>
        <v>7057.2880409557292</v>
      </c>
      <c r="M12" s="342">
        <f t="shared" si="7"/>
        <v>7407.4556600971173</v>
      </c>
      <c r="N12" s="342">
        <f t="shared" si="7"/>
        <v>7769.8323966776616</v>
      </c>
      <c r="O12" s="342">
        <f t="shared" si="7"/>
        <v>8144.8102257805713</v>
      </c>
      <c r="P12" s="342">
        <f t="shared" si="7"/>
        <v>8532.7930917473914</v>
      </c>
      <c r="Q12" s="342">
        <f t="shared" si="7"/>
        <v>8934.1972616603543</v>
      </c>
      <c r="R12" s="342">
        <f t="shared" si="7"/>
        <v>9349.451689018093</v>
      </c>
      <c r="S12" s="342">
        <f t="shared" si="7"/>
        <v>9778.9983878934054</v>
      </c>
      <c r="T12" s="342">
        <f t="shared" si="7"/>
        <v>10223.292817869959</v>
      </c>
      <c r="U12" s="342">
        <f t="shared" si="7"/>
        <v>10682.804280062925</v>
      </c>
      <c r="V12" s="342">
        <f t="shared" si="7"/>
        <v>10961.573279014721</v>
      </c>
      <c r="W12" s="342">
        <f t="shared" si="7"/>
        <v>11246.31924145083</v>
      </c>
      <c r="X12" s="342">
        <f t="shared" si="7"/>
        <v>11537.169966822978</v>
      </c>
      <c r="Y12" s="342">
        <f t="shared" si="7"/>
        <v>11834.25597651038</v>
      </c>
      <c r="Z12" s="342">
        <f t="shared" si="7"/>
        <v>12137.710571579431</v>
      </c>
      <c r="AA12" s="342">
        <f t="shared" si="7"/>
        <v>12447.66989176501</v>
      </c>
      <c r="AB12" s="342">
        <f t="shared" si="7"/>
        <v>12764.272975699163</v>
      </c>
      <c r="AC12" s="342">
        <f t="shared" si="7"/>
        <v>13087.661822413489</v>
      </c>
      <c r="AD12" s="342">
        <f t="shared" si="7"/>
        <v>13417.981454142064</v>
      </c>
      <c r="AE12" s="342">
        <f t="shared" si="7"/>
        <v>13755.379980452319</v>
      </c>
      <c r="AF12" s="343">
        <f t="shared" si="7"/>
        <v>14100.008663731898</v>
      </c>
      <c r="AG12" s="310"/>
      <c r="AH12" s="7"/>
      <c r="AI12" s="7"/>
      <c r="AJ12" s="7"/>
      <c r="AK12" s="11"/>
      <c r="AL12" s="11"/>
      <c r="AM12" s="11"/>
      <c r="AN12" s="11"/>
    </row>
    <row r="13" spans="1:40" ht="14.45">
      <c r="A13" s="920"/>
      <c r="B13" s="757">
        <v>7</v>
      </c>
      <c r="C13" s="758" t="s">
        <v>4143</v>
      </c>
      <c r="D13" s="768">
        <f>'Fin. Data'!D14*-1</f>
        <v>-1867</v>
      </c>
      <c r="E13" s="483">
        <f>'Fin. Data'!C14*-1</f>
        <v>-951</v>
      </c>
      <c r="F13" s="484">
        <f>'Fin. Data'!B14*-1</f>
        <v>-907</v>
      </c>
      <c r="G13" s="490">
        <f t="shared" ref="G13:J13" si="8">F43*$D$58-F44*$D$57</f>
        <v>-917.66172311077025</v>
      </c>
      <c r="H13" s="491">
        <f t="shared" si="8"/>
        <v>-906.17868412734333</v>
      </c>
      <c r="I13" s="491">
        <f t="shared" si="8"/>
        <v>-910.96028585265799</v>
      </c>
      <c r="J13" s="492">
        <f t="shared" si="8"/>
        <v>-915.20817680593041</v>
      </c>
      <c r="K13" s="490">
        <f>J43*$E$58-J44*$E$57</f>
        <v>-1163.5687702861808</v>
      </c>
      <c r="L13" s="491">
        <f t="shared" ref="L13:AF13" si="9">K43*$E$58-K44*$E$57</f>
        <v>-1210.1597607125277</v>
      </c>
      <c r="M13" s="491">
        <f t="shared" si="9"/>
        <v>-1276.2246650634117</v>
      </c>
      <c r="N13" s="491">
        <f t="shared" si="9"/>
        <v>-1344.6865261541843</v>
      </c>
      <c r="O13" s="491">
        <f t="shared" si="9"/>
        <v>-1415.8833805645759</v>
      </c>
      <c r="P13" s="491">
        <f t="shared" si="9"/>
        <v>-1489.8575310578526</v>
      </c>
      <c r="Q13" s="491">
        <f t="shared" si="9"/>
        <v>-1566.675433044717</v>
      </c>
      <c r="R13" s="491">
        <f t="shared" si="9"/>
        <v>-1646.4939538821457</v>
      </c>
      <c r="S13" s="491">
        <f t="shared" si="9"/>
        <v>-1729.4081886433382</v>
      </c>
      <c r="T13" s="491">
        <f t="shared" si="9"/>
        <v>-1815.5314006587589</v>
      </c>
      <c r="U13" s="491">
        <f t="shared" si="9"/>
        <v>-1904.9929806386194</v>
      </c>
      <c r="V13" s="491">
        <f t="shared" si="9"/>
        <v>-1997.9130700097951</v>
      </c>
      <c r="W13" s="491">
        <f t="shared" si="9"/>
        <v>-2060.9977584901785</v>
      </c>
      <c r="X13" s="491">
        <f t="shared" si="9"/>
        <v>-2124.7587686439201</v>
      </c>
      <c r="Y13" s="491">
        <f t="shared" si="9"/>
        <v>-2189.220305015725</v>
      </c>
      <c r="Z13" s="491">
        <f t="shared" si="9"/>
        <v>-2254.4089358129568</v>
      </c>
      <c r="AA13" s="491">
        <f t="shared" si="9"/>
        <v>-2320.3463274556343</v>
      </c>
      <c r="AB13" s="491">
        <f t="shared" si="9"/>
        <v>-2387.057632978097</v>
      </c>
      <c r="AC13" s="491">
        <f t="shared" si="9"/>
        <v>-2454.5683413173433</v>
      </c>
      <c r="AD13" s="491">
        <f t="shared" si="9"/>
        <v>-2522.9035881572081</v>
      </c>
      <c r="AE13" s="491">
        <f t="shared" si="9"/>
        <v>-2592.0897027188366</v>
      </c>
      <c r="AF13" s="492">
        <f t="shared" si="9"/>
        <v>-2662.1534284097706</v>
      </c>
      <c r="AG13" s="497"/>
      <c r="AH13" s="7"/>
      <c r="AI13" s="7"/>
      <c r="AJ13" s="7"/>
      <c r="AK13" s="11"/>
      <c r="AL13" s="11"/>
      <c r="AM13" s="11"/>
      <c r="AN13" s="11"/>
    </row>
    <row r="14" spans="1:40" ht="14.45">
      <c r="A14" s="920"/>
      <c r="B14" s="757">
        <v>8</v>
      </c>
      <c r="C14" s="758" t="s">
        <v>4144</v>
      </c>
      <c r="D14" s="769">
        <f>'Fin. Data'!D15</f>
        <v>-295</v>
      </c>
      <c r="E14" s="319">
        <f>'Fin. Data'!C15</f>
        <v>-253</v>
      </c>
      <c r="F14" s="325">
        <f>'Fin. Data'!B15</f>
        <v>27</v>
      </c>
      <c r="G14" s="329">
        <f>AVERAGE(D14:F14)*(1+G5)</f>
        <v>-178.56406666666666</v>
      </c>
      <c r="H14" s="327">
        <f t="shared" ref="H14:AF14" si="10">AVERAGE(E14:G14)*(1+H5)</f>
        <v>-138.69546374730382</v>
      </c>
      <c r="I14" s="327">
        <f t="shared" si="10"/>
        <v>-99.535545661447557</v>
      </c>
      <c r="J14" s="330">
        <f t="shared" si="10"/>
        <v>-142.9648209182464</v>
      </c>
      <c r="K14" s="329">
        <f t="shared" si="10"/>
        <v>-130.24190869505756</v>
      </c>
      <c r="L14" s="327">
        <f t="shared" si="10"/>
        <v>-127.35361071887341</v>
      </c>
      <c r="M14" s="327">
        <f t="shared" si="10"/>
        <v>-136.85811628016063</v>
      </c>
      <c r="N14" s="327">
        <f t="shared" si="10"/>
        <v>-134.77165886214794</v>
      </c>
      <c r="O14" s="327">
        <f t="shared" si="10"/>
        <v>-136.31932350257048</v>
      </c>
      <c r="P14" s="327">
        <f t="shared" si="10"/>
        <v>-139.38260870366702</v>
      </c>
      <c r="Q14" s="327">
        <f t="shared" si="10"/>
        <v>-140.24514361503168</v>
      </c>
      <c r="R14" s="327">
        <f t="shared" si="10"/>
        <v>-142.11525090560028</v>
      </c>
      <c r="S14" s="327">
        <f t="shared" si="10"/>
        <v>-144.09552610163544</v>
      </c>
      <c r="T14" s="327">
        <f t="shared" si="10"/>
        <v>-145.70577287927466</v>
      </c>
      <c r="U14" s="327">
        <f t="shared" si="10"/>
        <v>-147.57148787789103</v>
      </c>
      <c r="V14" s="327">
        <f t="shared" si="10"/>
        <v>-148.70674753199242</v>
      </c>
      <c r="W14" s="327">
        <f t="shared" si="10"/>
        <v>-150.27456281831374</v>
      </c>
      <c r="X14" s="327">
        <f t="shared" si="10"/>
        <v>-151.82795139758704</v>
      </c>
      <c r="Y14" s="327">
        <f t="shared" si="10"/>
        <v>-153.27514899428368</v>
      </c>
      <c r="Z14" s="327">
        <f t="shared" si="10"/>
        <v>-154.82840549146269</v>
      </c>
      <c r="AA14" s="327">
        <f t="shared" si="10"/>
        <v>-156.37671200033338</v>
      </c>
      <c r="AB14" s="327">
        <f t="shared" si="10"/>
        <v>-157.92329060526711</v>
      </c>
      <c r="AC14" s="327">
        <f t="shared" si="10"/>
        <v>-159.50365875300145</v>
      </c>
      <c r="AD14" s="327">
        <f t="shared" si="10"/>
        <v>-161.09324486192469</v>
      </c>
      <c r="AE14" s="327">
        <f t="shared" si="10"/>
        <v>-162.69686603486568</v>
      </c>
      <c r="AF14" s="330">
        <f t="shared" si="10"/>
        <v>-164.3198816809292</v>
      </c>
      <c r="AG14" s="497"/>
      <c r="AH14" s="7"/>
      <c r="AI14" s="7"/>
      <c r="AJ14" s="7"/>
      <c r="AK14" s="11"/>
      <c r="AL14" s="11"/>
      <c r="AM14" s="11"/>
      <c r="AN14" s="11"/>
    </row>
    <row r="15" spans="1:40" ht="14.45">
      <c r="A15" s="920"/>
      <c r="B15" s="757">
        <v>9</v>
      </c>
      <c r="C15" s="760" t="s">
        <v>4145</v>
      </c>
      <c r="D15" s="770">
        <f t="shared" ref="D15:AF15" si="11">D8+D13+D14</f>
        <v>1341</v>
      </c>
      <c r="E15" s="290">
        <f t="shared" si="11"/>
        <v>2455</v>
      </c>
      <c r="F15" s="324">
        <f t="shared" si="11"/>
        <v>3696</v>
      </c>
      <c r="G15" s="341">
        <f t="shared" si="11"/>
        <v>3639.9342102225628</v>
      </c>
      <c r="H15" s="342">
        <f t="shared" si="11"/>
        <v>3857.0514521253526</v>
      </c>
      <c r="I15" s="342">
        <f t="shared" si="11"/>
        <v>4062.9971644858938</v>
      </c>
      <c r="J15" s="343">
        <f t="shared" si="11"/>
        <v>4192.8922531358221</v>
      </c>
      <c r="K15" s="341">
        <f t="shared" si="11"/>
        <v>4220.7227665863438</v>
      </c>
      <c r="L15" s="342">
        <f t="shared" si="11"/>
        <v>4450.3797627973554</v>
      </c>
      <c r="M15" s="342">
        <f t="shared" si="11"/>
        <v>4658.3914425759394</v>
      </c>
      <c r="N15" s="342">
        <f t="shared" si="11"/>
        <v>4886.1587498695781</v>
      </c>
      <c r="O15" s="342">
        <f t="shared" si="11"/>
        <v>5118.4694059435333</v>
      </c>
      <c r="P15" s="342">
        <f t="shared" si="11"/>
        <v>5357.7613935458639</v>
      </c>
      <c r="Q15" s="342">
        <f t="shared" si="11"/>
        <v>5608.0576810404182</v>
      </c>
      <c r="R15" s="342">
        <f t="shared" si="11"/>
        <v>5866.377737566525</v>
      </c>
      <c r="S15" s="342">
        <f t="shared" si="11"/>
        <v>6133.9204850850438</v>
      </c>
      <c r="T15" s="342">
        <f t="shared" si="11"/>
        <v>6411.4617798025483</v>
      </c>
      <c r="U15" s="342">
        <f t="shared" si="11"/>
        <v>6698.6683358852715</v>
      </c>
      <c r="V15" s="342">
        <f t="shared" si="11"/>
        <v>6800.3975481058706</v>
      </c>
      <c r="W15" s="342">
        <f t="shared" si="11"/>
        <v>6935.8604949131177</v>
      </c>
      <c r="X15" s="342">
        <f t="shared" si="11"/>
        <v>7075.0873578307528</v>
      </c>
      <c r="Y15" s="342">
        <f t="shared" si="11"/>
        <v>7218.2426828524376</v>
      </c>
      <c r="Z15" s="342">
        <f t="shared" si="11"/>
        <v>7365.1867472766708</v>
      </c>
      <c r="AA15" s="342">
        <f t="shared" si="11"/>
        <v>7516.110143657771</v>
      </c>
      <c r="AB15" s="342">
        <f t="shared" si="11"/>
        <v>7671.087948208894</v>
      </c>
      <c r="AC15" s="342">
        <f t="shared" si="11"/>
        <v>7830.164854674329</v>
      </c>
      <c r="AD15" s="342">
        <f t="shared" si="11"/>
        <v>7993.4482964473355</v>
      </c>
      <c r="AE15" s="342">
        <f t="shared" si="11"/>
        <v>8161.0174716815354</v>
      </c>
      <c r="AF15" s="343">
        <f t="shared" si="11"/>
        <v>8332.9530197002659</v>
      </c>
      <c r="AG15" s="497"/>
      <c r="AH15" s="7"/>
      <c r="AI15" s="7"/>
      <c r="AJ15" s="7"/>
      <c r="AK15" s="11"/>
      <c r="AL15" s="11"/>
      <c r="AM15" s="11"/>
      <c r="AN15" s="11"/>
    </row>
    <row r="16" spans="1:40" ht="14.45">
      <c r="A16" s="920"/>
      <c r="B16" s="757">
        <v>10</v>
      </c>
      <c r="C16" s="758" t="s">
        <v>4146</v>
      </c>
      <c r="D16" s="771">
        <f>'Fin. Data'!D21*-1</f>
        <v>-919</v>
      </c>
      <c r="E16" s="481">
        <f>'Fin. Data'!C21*-1</f>
        <v>-598</v>
      </c>
      <c r="F16" s="482">
        <f>'Fin. Data'!B21*-1</f>
        <v>-787</v>
      </c>
      <c r="G16" s="457">
        <f>-$D$56*G15</f>
        <v>-764.38618414673817</v>
      </c>
      <c r="H16" s="421">
        <f>-$D$56*H15</f>
        <v>-809.98080494632404</v>
      </c>
      <c r="I16" s="421">
        <f t="shared" ref="I16:J16" si="12">-$D$56*I15</f>
        <v>-853.22940454203763</v>
      </c>
      <c r="J16" s="421">
        <f t="shared" si="12"/>
        <v>-880.50737315852257</v>
      </c>
      <c r="K16" s="420">
        <f>-$E$56*K15</f>
        <v>-1139.5951469783129</v>
      </c>
      <c r="L16" s="421">
        <f>-$E$56*L15</f>
        <v>-1201.6025359552859</v>
      </c>
      <c r="M16" s="421">
        <f t="shared" ref="M16:AE16" si="13">-$E$56*M15</f>
        <v>-1257.7656894955037</v>
      </c>
      <c r="N16" s="421">
        <f t="shared" si="13"/>
        <v>-1319.2628624647862</v>
      </c>
      <c r="O16" s="421">
        <f t="shared" si="13"/>
        <v>-1381.9867396047541</v>
      </c>
      <c r="P16" s="421">
        <f t="shared" si="13"/>
        <v>-1446.5955762573833</v>
      </c>
      <c r="Q16" s="421">
        <f t="shared" si="13"/>
        <v>-1514.1755738809129</v>
      </c>
      <c r="R16" s="421">
        <f t="shared" si="13"/>
        <v>-1583.9219891429618</v>
      </c>
      <c r="S16" s="421">
        <f t="shared" si="13"/>
        <v>-1656.1585309729619</v>
      </c>
      <c r="T16" s="421">
        <f t="shared" si="13"/>
        <v>-1731.0946805466881</v>
      </c>
      <c r="U16" s="421">
        <f t="shared" si="13"/>
        <v>-1808.6404506890235</v>
      </c>
      <c r="V16" s="421">
        <f t="shared" si="13"/>
        <v>-1836.1073379885852</v>
      </c>
      <c r="W16" s="421">
        <f t="shared" si="13"/>
        <v>-1872.682333626542</v>
      </c>
      <c r="X16" s="421">
        <f t="shared" si="13"/>
        <v>-1910.2735866143034</v>
      </c>
      <c r="Y16" s="421">
        <f t="shared" si="13"/>
        <v>-1948.9255243701582</v>
      </c>
      <c r="Z16" s="421">
        <f t="shared" si="13"/>
        <v>-1988.6004217647012</v>
      </c>
      <c r="AA16" s="421">
        <f t="shared" si="13"/>
        <v>-2029.3497387875982</v>
      </c>
      <c r="AB16" s="421">
        <f t="shared" si="13"/>
        <v>-2071.1937460164013</v>
      </c>
      <c r="AC16" s="421">
        <f t="shared" si="13"/>
        <v>-2114.1445107620689</v>
      </c>
      <c r="AD16" s="421">
        <f t="shared" si="13"/>
        <v>-2158.2310400407805</v>
      </c>
      <c r="AE16" s="421">
        <f t="shared" si="13"/>
        <v>-2203.4747173540145</v>
      </c>
      <c r="AF16" s="422">
        <f>-$E$56*AF15</f>
        <v>-2249.8973153190718</v>
      </c>
      <c r="AG16" s="497"/>
      <c r="AH16" s="7"/>
      <c r="AI16" s="7"/>
      <c r="AJ16" s="7"/>
      <c r="AK16" s="11"/>
      <c r="AL16" s="11"/>
      <c r="AM16" s="11"/>
      <c r="AN16" s="11"/>
    </row>
    <row r="17" spans="1:40" ht="14.45">
      <c r="A17" s="920"/>
      <c r="B17" s="761">
        <v>11</v>
      </c>
      <c r="C17" s="762" t="s">
        <v>4147</v>
      </c>
      <c r="D17" s="772">
        <f>'Fin. Data'!D23</f>
        <v>1012</v>
      </c>
      <c r="E17" s="693">
        <f>'Fin. Data'!C23</f>
        <v>2363</v>
      </c>
      <c r="F17" s="326">
        <f>'Fin. Data'!B23</f>
        <v>2855</v>
      </c>
      <c r="G17" s="332">
        <f t="shared" ref="G17:AF17" si="14">G16+G15</f>
        <v>2875.5480260758245</v>
      </c>
      <c r="H17" s="333">
        <f t="shared" si="14"/>
        <v>3047.0706471790286</v>
      </c>
      <c r="I17" s="333">
        <f t="shared" si="14"/>
        <v>3209.7677599438562</v>
      </c>
      <c r="J17" s="334">
        <f t="shared" si="14"/>
        <v>3312.3848799772995</v>
      </c>
      <c r="K17" s="332">
        <f t="shared" si="14"/>
        <v>3081.1276196080307</v>
      </c>
      <c r="L17" s="333">
        <f t="shared" si="14"/>
        <v>3248.7772268420695</v>
      </c>
      <c r="M17" s="333">
        <f t="shared" si="14"/>
        <v>3400.625753080436</v>
      </c>
      <c r="N17" s="333">
        <f t="shared" si="14"/>
        <v>3566.8958874047921</v>
      </c>
      <c r="O17" s="333">
        <f t="shared" si="14"/>
        <v>3736.4826663387794</v>
      </c>
      <c r="P17" s="333">
        <f t="shared" si="14"/>
        <v>3911.1658172884809</v>
      </c>
      <c r="Q17" s="333">
        <f t="shared" si="14"/>
        <v>4093.8821071595053</v>
      </c>
      <c r="R17" s="333">
        <f t="shared" si="14"/>
        <v>4282.4557484235629</v>
      </c>
      <c r="S17" s="333">
        <f t="shared" si="14"/>
        <v>4477.7619541120821</v>
      </c>
      <c r="T17" s="333">
        <f t="shared" si="14"/>
        <v>4680.36709925586</v>
      </c>
      <c r="U17" s="333">
        <f t="shared" si="14"/>
        <v>4890.0278851962485</v>
      </c>
      <c r="V17" s="333">
        <f t="shared" si="14"/>
        <v>4964.2902101172858</v>
      </c>
      <c r="W17" s="333">
        <f t="shared" si="14"/>
        <v>5063.1781612865761</v>
      </c>
      <c r="X17" s="333">
        <f t="shared" si="14"/>
        <v>5164.8137712164498</v>
      </c>
      <c r="Y17" s="333">
        <f t="shared" si="14"/>
        <v>5269.3171584822794</v>
      </c>
      <c r="Z17" s="333">
        <f t="shared" si="14"/>
        <v>5376.5863255119693</v>
      </c>
      <c r="AA17" s="333">
        <f t="shared" si="14"/>
        <v>5486.7604048701724</v>
      </c>
      <c r="AB17" s="333">
        <f t="shared" si="14"/>
        <v>5599.8942021924922</v>
      </c>
      <c r="AC17" s="333">
        <f t="shared" si="14"/>
        <v>5716.0203439122597</v>
      </c>
      <c r="AD17" s="333">
        <f t="shared" si="14"/>
        <v>5835.217256406555</v>
      </c>
      <c r="AE17" s="333">
        <f t="shared" si="14"/>
        <v>5957.5427543275209</v>
      </c>
      <c r="AF17" s="334">
        <f t="shared" si="14"/>
        <v>6083.0557043811941</v>
      </c>
      <c r="AG17" s="497"/>
      <c r="AH17" s="7"/>
      <c r="AI17" s="7"/>
      <c r="AJ17" s="7"/>
      <c r="AK17" s="11"/>
      <c r="AL17" s="11"/>
      <c r="AM17" s="11"/>
      <c r="AN17" s="11"/>
    </row>
    <row r="18" spans="1:40" ht="14.45">
      <c r="A18" s="254"/>
      <c r="B18" s="266"/>
      <c r="C18" s="267" t="s">
        <v>4148</v>
      </c>
      <c r="D18" s="271" t="s">
        <v>4148</v>
      </c>
      <c r="E18" s="271" t="s">
        <v>4148</v>
      </c>
      <c r="F18" s="271" t="s">
        <v>4148</v>
      </c>
      <c r="G18" s="268" t="s">
        <v>4148</v>
      </c>
      <c r="H18" s="268" t="s">
        <v>4148</v>
      </c>
      <c r="I18" s="268" t="s">
        <v>4148</v>
      </c>
      <c r="J18" s="268" t="s">
        <v>4148</v>
      </c>
      <c r="K18" s="268" t="s">
        <v>4148</v>
      </c>
      <c r="L18" s="268" t="s">
        <v>4148</v>
      </c>
      <c r="M18" s="268" t="s">
        <v>4148</v>
      </c>
      <c r="N18" s="268" t="s">
        <v>4148</v>
      </c>
      <c r="O18" s="268" t="s">
        <v>4148</v>
      </c>
      <c r="P18" s="268" t="s">
        <v>4148</v>
      </c>
      <c r="Q18" s="268" t="s">
        <v>4148</v>
      </c>
      <c r="R18" s="268" t="s">
        <v>4148</v>
      </c>
      <c r="S18" s="268" t="s">
        <v>4148</v>
      </c>
      <c r="T18" s="268" t="s">
        <v>4148</v>
      </c>
      <c r="U18" s="268" t="s">
        <v>4148</v>
      </c>
      <c r="V18" s="268" t="s">
        <v>4148</v>
      </c>
      <c r="W18" s="268" t="s">
        <v>4148</v>
      </c>
      <c r="X18" s="268" t="s">
        <v>4148</v>
      </c>
      <c r="Y18" s="268" t="s">
        <v>4148</v>
      </c>
      <c r="Z18" s="268" t="s">
        <v>4148</v>
      </c>
      <c r="AA18" s="268" t="s">
        <v>4148</v>
      </c>
      <c r="AB18" s="268" t="s">
        <v>4148</v>
      </c>
      <c r="AC18" s="268" t="s">
        <v>4148</v>
      </c>
      <c r="AD18" s="268" t="s">
        <v>4148</v>
      </c>
      <c r="AE18" s="268" t="s">
        <v>4148</v>
      </c>
      <c r="AF18" s="276" t="s">
        <v>4148</v>
      </c>
      <c r="AG18" s="497"/>
      <c r="AH18" s="7"/>
      <c r="AI18" s="7"/>
      <c r="AJ18" s="7"/>
      <c r="AK18" s="11"/>
      <c r="AL18" s="11"/>
      <c r="AM18" s="11"/>
      <c r="AN18" s="11"/>
    </row>
    <row r="19" spans="1:40" ht="14.45">
      <c r="A19" s="1222" t="s">
        <v>4149</v>
      </c>
      <c r="B19" s="244">
        <v>12</v>
      </c>
      <c r="C19" s="434" t="s">
        <v>4150</v>
      </c>
      <c r="D19" s="419">
        <f>Inputs!D59-DCF!D21</f>
        <v>8195</v>
      </c>
      <c r="E19" s="854">
        <f>Inputs!C59-DCF!E21</f>
        <v>3530</v>
      </c>
      <c r="F19" s="853">
        <f>Inputs!B59-DCF!F21</f>
        <v>2953</v>
      </c>
      <c r="G19" s="729">
        <f>G17-G10-G9-G11</f>
        <v>4068.7323039313687</v>
      </c>
      <c r="H19" s="730">
        <f t="shared" ref="H19:AF19" si="15">H17-H10-H9-H11</f>
        <v>4311.3113440264433</v>
      </c>
      <c r="I19" s="730">
        <f t="shared" si="15"/>
        <v>4547.1099228756621</v>
      </c>
      <c r="J19" s="731">
        <f t="shared" si="15"/>
        <v>4724.9522517635251</v>
      </c>
      <c r="K19" s="732">
        <f t="shared" si="15"/>
        <v>4445.996094773428</v>
      </c>
      <c r="L19" s="730">
        <f t="shared" si="15"/>
        <v>4682.6361827151595</v>
      </c>
      <c r="M19" s="730">
        <f t="shared" si="15"/>
        <v>4905.1828396328128</v>
      </c>
      <c r="N19" s="730">
        <f t="shared" si="15"/>
        <v>5143.9013908306833</v>
      </c>
      <c r="O19" s="730">
        <f t="shared" si="15"/>
        <v>5387.7305747836645</v>
      </c>
      <c r="P19" s="730">
        <f t="shared" si="15"/>
        <v>5638.4949132203546</v>
      </c>
      <c r="Q19" s="730">
        <f t="shared" si="15"/>
        <v>5899.1770870488581</v>
      </c>
      <c r="R19" s="730">
        <f t="shared" si="15"/>
        <v>6167.6483704147777</v>
      </c>
      <c r="S19" s="730">
        <f t="shared" si="15"/>
        <v>6444.8322143860496</v>
      </c>
      <c r="T19" s="730">
        <f t="shared" si="15"/>
        <v>6731.3444378010799</v>
      </c>
      <c r="U19" s="730">
        <f t="shared" si="15"/>
        <v>7026.9924217236321</v>
      </c>
      <c r="V19" s="730">
        <f t="shared" si="15"/>
        <v>7188.3470455679126</v>
      </c>
      <c r="W19" s="730">
        <f t="shared" si="15"/>
        <v>7376.0555270410332</v>
      </c>
      <c r="X19" s="730">
        <f t="shared" si="15"/>
        <v>7568.2744195029081</v>
      </c>
      <c r="Y19" s="730">
        <f t="shared" si="15"/>
        <v>7765.159052652667</v>
      </c>
      <c r="Z19" s="730">
        <f t="shared" si="15"/>
        <v>7966.643344123213</v>
      </c>
      <c r="AA19" s="730">
        <f t="shared" si="15"/>
        <v>8172.9030598466061</v>
      </c>
      <c r="AB19" s="730">
        <f t="shared" si="15"/>
        <v>8384.0303713510621</v>
      </c>
      <c r="AC19" s="730">
        <f t="shared" si="15"/>
        <v>8600.0960181377741</v>
      </c>
      <c r="AD19" s="730">
        <f t="shared" si="15"/>
        <v>8821.2173017699824</v>
      </c>
      <c r="AE19" s="730">
        <f t="shared" si="15"/>
        <v>9047.4916894461912</v>
      </c>
      <c r="AF19" s="733">
        <f t="shared" si="15"/>
        <v>9279.018493325746</v>
      </c>
      <c r="AG19" s="497"/>
      <c r="AH19" s="7"/>
      <c r="AI19" s="7"/>
      <c r="AJ19" s="7"/>
      <c r="AK19" s="11"/>
      <c r="AL19" s="11"/>
      <c r="AM19" s="11"/>
      <c r="AN19" s="11"/>
    </row>
    <row r="20" spans="1:40" ht="14.45">
      <c r="A20" s="1223"/>
      <c r="B20" s="244">
        <v>13</v>
      </c>
      <c r="C20" s="264" t="s">
        <v>4151</v>
      </c>
      <c r="D20" s="284">
        <v>-197</v>
      </c>
      <c r="E20" s="285">
        <v>-148</v>
      </c>
      <c r="F20" s="751">
        <v>-141</v>
      </c>
      <c r="G20" s="734">
        <f>G11</f>
        <v>-143.77593959443738</v>
      </c>
      <c r="H20" s="495">
        <f t="shared" ref="H20:AF20" si="16">H11</f>
        <v>-147.87079916950398</v>
      </c>
      <c r="I20" s="495">
        <f t="shared" si="16"/>
        <v>-152.12317743785437</v>
      </c>
      <c r="J20" s="496">
        <f t="shared" si="16"/>
        <v>-156.53924963342544</v>
      </c>
      <c r="K20" s="477">
        <f t="shared" si="16"/>
        <v>-160.45273087426108</v>
      </c>
      <c r="L20" s="495">
        <f t="shared" si="16"/>
        <v>-164.46404914611759</v>
      </c>
      <c r="M20" s="495">
        <f t="shared" si="16"/>
        <v>-168.5756503747705</v>
      </c>
      <c r="N20" s="495">
        <f t="shared" si="16"/>
        <v>-172.79004163413975</v>
      </c>
      <c r="O20" s="495">
        <f t="shared" si="16"/>
        <v>-177.10979267499326</v>
      </c>
      <c r="P20" s="495">
        <f t="shared" si="16"/>
        <v>-181.53753749186808</v>
      </c>
      <c r="Q20" s="495">
        <f t="shared" si="16"/>
        <v>-186.07597592916477</v>
      </c>
      <c r="R20" s="495">
        <f t="shared" si="16"/>
        <v>-190.72787532739386</v>
      </c>
      <c r="S20" s="495">
        <f t="shared" si="16"/>
        <v>-195.49607221057872</v>
      </c>
      <c r="T20" s="495">
        <f t="shared" si="16"/>
        <v>-200.38347401584318</v>
      </c>
      <c r="U20" s="495">
        <f t="shared" si="16"/>
        <v>-205.39306086623924</v>
      </c>
      <c r="V20" s="495">
        <f t="shared" si="16"/>
        <v>-209.50092208356403</v>
      </c>
      <c r="W20" s="495">
        <f t="shared" si="16"/>
        <v>-213.69094052523533</v>
      </c>
      <c r="X20" s="495">
        <f t="shared" si="16"/>
        <v>-217.96475933574004</v>
      </c>
      <c r="Y20" s="495">
        <f t="shared" si="16"/>
        <v>-222.32405452245484</v>
      </c>
      <c r="Z20" s="495">
        <f t="shared" si="16"/>
        <v>-226.77053561290393</v>
      </c>
      <c r="AA20" s="495">
        <f t="shared" si="16"/>
        <v>-231.30594632516201</v>
      </c>
      <c r="AB20" s="495">
        <f t="shared" si="16"/>
        <v>-235.93206525166525</v>
      </c>
      <c r="AC20" s="495">
        <f t="shared" si="16"/>
        <v>-240.65070655669857</v>
      </c>
      <c r="AD20" s="495">
        <f t="shared" si="16"/>
        <v>-245.46372068783256</v>
      </c>
      <c r="AE20" s="495">
        <f t="shared" si="16"/>
        <v>-250.37299510158923</v>
      </c>
      <c r="AF20" s="735">
        <f t="shared" si="16"/>
        <v>-255.38045500362102</v>
      </c>
      <c r="AG20" s="497"/>
      <c r="AH20" s="7"/>
      <c r="AI20" s="7"/>
      <c r="AJ20" s="7"/>
      <c r="AK20" s="11"/>
      <c r="AL20" s="11"/>
      <c r="AM20" s="11"/>
      <c r="AN20" s="11"/>
    </row>
    <row r="21" spans="1:40" ht="14.45">
      <c r="A21" s="1223"/>
      <c r="B21" s="244">
        <v>14</v>
      </c>
      <c r="C21" s="264" t="s">
        <v>4152</v>
      </c>
      <c r="D21" s="289">
        <f>Inputs!D62</f>
        <v>-2831</v>
      </c>
      <c r="E21" s="288">
        <f>Inputs!C62</f>
        <v>-1061</v>
      </c>
      <c r="F21" s="752">
        <f>Inputs!B62</f>
        <v>1023</v>
      </c>
      <c r="G21" s="736">
        <f>$D$60*(G6-F6)</f>
        <v>1126.8719999999994</v>
      </c>
      <c r="H21" s="450">
        <f t="shared" ref="H21:J21" si="17">$D$60*(H6-G6)</f>
        <v>1170.1886399999985</v>
      </c>
      <c r="I21" s="450">
        <f t="shared" si="17"/>
        <v>1215.2027808000021</v>
      </c>
      <c r="J21" s="451">
        <f t="shared" si="17"/>
        <v>1261.981619136006</v>
      </c>
      <c r="K21" s="331">
        <f t="shared" ref="K21:AF21" si="18">$E$60*(K6-J6)</f>
        <v>1118.3561259983944</v>
      </c>
      <c r="L21" s="328">
        <f t="shared" si="18"/>
        <v>1146.3150291483562</v>
      </c>
      <c r="M21" s="328">
        <f t="shared" si="18"/>
        <v>1174.9729048770641</v>
      </c>
      <c r="N21" s="328">
        <f t="shared" si="18"/>
        <v>1204.3472274989927</v>
      </c>
      <c r="O21" s="328">
        <f t="shared" si="18"/>
        <v>1234.4559081864682</v>
      </c>
      <c r="P21" s="328">
        <f t="shared" si="18"/>
        <v>1265.3173058911307</v>
      </c>
      <c r="Q21" s="328">
        <f t="shared" si="18"/>
        <v>1296.9502385384076</v>
      </c>
      <c r="R21" s="328">
        <f t="shared" si="18"/>
        <v>1329.3739945018642</v>
      </c>
      <c r="S21" s="328">
        <f t="shared" si="18"/>
        <v>1362.6083443644166</v>
      </c>
      <c r="T21" s="328">
        <f t="shared" si="18"/>
        <v>1396.673552973527</v>
      </c>
      <c r="U21" s="328">
        <f t="shared" si="18"/>
        <v>1431.5903917978649</v>
      </c>
      <c r="V21" s="328">
        <f t="shared" si="18"/>
        <v>1173.9041212742522</v>
      </c>
      <c r="W21" s="328">
        <f t="shared" si="18"/>
        <v>1197.3822036997408</v>
      </c>
      <c r="X21" s="328">
        <f t="shared" si="18"/>
        <v>1221.3298477737262</v>
      </c>
      <c r="Y21" s="328">
        <f t="shared" si="18"/>
        <v>1245.7564447292025</v>
      </c>
      <c r="Z21" s="328">
        <f t="shared" si="18"/>
        <v>1270.6715736237857</v>
      </c>
      <c r="AA21" s="328">
        <f t="shared" si="18"/>
        <v>1296.085005096269</v>
      </c>
      <c r="AB21" s="328">
        <f t="shared" si="18"/>
        <v>1322.0067051981896</v>
      </c>
      <c r="AC21" s="328">
        <f t="shared" si="18"/>
        <v>1348.4468393021525</v>
      </c>
      <c r="AD21" s="328">
        <f t="shared" si="18"/>
        <v>1375.4157760882008</v>
      </c>
      <c r="AE21" s="328">
        <f t="shared" si="18"/>
        <v>1402.9240916099661</v>
      </c>
      <c r="AF21" s="737">
        <f t="shared" si="18"/>
        <v>1430.9825734421611</v>
      </c>
      <c r="AG21" s="497"/>
      <c r="AH21" s="7"/>
      <c r="AI21" s="7"/>
      <c r="AJ21" s="7"/>
      <c r="AK21" s="11"/>
      <c r="AL21" s="11"/>
      <c r="AM21" s="11"/>
      <c r="AN21" s="11"/>
    </row>
    <row r="22" spans="1:40" ht="14.45">
      <c r="A22" s="1223"/>
      <c r="B22" s="244">
        <v>15</v>
      </c>
      <c r="C22" s="269" t="s">
        <v>4153</v>
      </c>
      <c r="D22" s="286">
        <f t="shared" ref="D22:AF22" si="19">D19+D20+D21</f>
        <v>5167</v>
      </c>
      <c r="E22" s="287">
        <f t="shared" si="19"/>
        <v>2321</v>
      </c>
      <c r="F22" s="753">
        <f t="shared" si="19"/>
        <v>3835</v>
      </c>
      <c r="G22" s="738">
        <f>G19+G20+G21</f>
        <v>5051.8283643369305</v>
      </c>
      <c r="H22" s="448">
        <f t="shared" si="19"/>
        <v>5333.6291848569381</v>
      </c>
      <c r="I22" s="448">
        <f t="shared" si="19"/>
        <v>5610.1895262378093</v>
      </c>
      <c r="J22" s="449">
        <f t="shared" si="19"/>
        <v>5830.3946212661058</v>
      </c>
      <c r="K22" s="447">
        <f t="shared" si="19"/>
        <v>5403.8994898975616</v>
      </c>
      <c r="L22" s="448">
        <f t="shared" si="19"/>
        <v>5664.487162717398</v>
      </c>
      <c r="M22" s="448">
        <f t="shared" si="19"/>
        <v>5911.5800941351063</v>
      </c>
      <c r="N22" s="448">
        <f t="shared" si="19"/>
        <v>6175.4585766955361</v>
      </c>
      <c r="O22" s="448">
        <f t="shared" si="19"/>
        <v>6445.0766902951391</v>
      </c>
      <c r="P22" s="448">
        <f t="shared" si="19"/>
        <v>6722.2746816196177</v>
      </c>
      <c r="Q22" s="448">
        <f t="shared" si="19"/>
        <v>7010.0513496581007</v>
      </c>
      <c r="R22" s="448">
        <f t="shared" si="19"/>
        <v>7306.2944895892479</v>
      </c>
      <c r="S22" s="448">
        <f t="shared" si="19"/>
        <v>7611.9444865398873</v>
      </c>
      <c r="T22" s="448">
        <f t="shared" si="19"/>
        <v>7927.6345167587633</v>
      </c>
      <c r="U22" s="448">
        <f t="shared" si="19"/>
        <v>8253.1897526552566</v>
      </c>
      <c r="V22" s="448">
        <f t="shared" si="19"/>
        <v>8152.7502447586012</v>
      </c>
      <c r="W22" s="448">
        <f t="shared" si="19"/>
        <v>8359.7467902155386</v>
      </c>
      <c r="X22" s="448">
        <f t="shared" si="19"/>
        <v>8571.639507940894</v>
      </c>
      <c r="Y22" s="448">
        <f t="shared" si="19"/>
        <v>8788.5914428594151</v>
      </c>
      <c r="Z22" s="448">
        <f t="shared" si="19"/>
        <v>9010.5443821340959</v>
      </c>
      <c r="AA22" s="448">
        <f t="shared" si="19"/>
        <v>9237.6821186177131</v>
      </c>
      <c r="AB22" s="448">
        <f t="shared" si="19"/>
        <v>9470.1050112975863</v>
      </c>
      <c r="AC22" s="448">
        <f t="shared" si="19"/>
        <v>9707.8921508832282</v>
      </c>
      <c r="AD22" s="448">
        <f t="shared" si="19"/>
        <v>9951.1693571703508</v>
      </c>
      <c r="AE22" s="448">
        <f t="shared" si="19"/>
        <v>10200.042785954569</v>
      </c>
      <c r="AF22" s="739">
        <f t="shared" si="19"/>
        <v>10454.620611764287</v>
      </c>
      <c r="AG22" s="497"/>
      <c r="AH22" s="7"/>
      <c r="AI22" s="7"/>
      <c r="AJ22" s="7"/>
      <c r="AK22" s="11"/>
      <c r="AL22" s="11"/>
      <c r="AM22" s="11"/>
      <c r="AN22" s="11"/>
    </row>
    <row r="23" spans="1:40" ht="14.45">
      <c r="A23" s="1223"/>
      <c r="B23" s="244">
        <v>16</v>
      </c>
      <c r="C23" s="264" t="s">
        <v>4154</v>
      </c>
      <c r="D23" s="307">
        <f>'Fin. Data'!D32</f>
        <v>-905</v>
      </c>
      <c r="E23" s="306">
        <f>'Fin. Data'!C32</f>
        <v>-916</v>
      </c>
      <c r="F23" s="754">
        <f>'Fin. Data'!B32</f>
        <v>-1013</v>
      </c>
      <c r="G23" s="740">
        <f>G6*$D$62</f>
        <v>-976.52036277670607</v>
      </c>
      <c r="H23" s="328">
        <f t="shared" ref="H23:J23" si="20">H6*$D$62</f>
        <v>-1004.3324832820095</v>
      </c>
      <c r="I23" s="328">
        <f t="shared" si="20"/>
        <v>-1033.2144643769461</v>
      </c>
      <c r="J23" s="433">
        <f t="shared" si="20"/>
        <v>-1063.2082480004897</v>
      </c>
      <c r="K23" s="331">
        <f t="shared" ref="K23:AF23" si="21">K6*$E$62</f>
        <v>-1069.8940272051361</v>
      </c>
      <c r="L23" s="328">
        <f t="shared" si="21"/>
        <v>-1096.6413778852643</v>
      </c>
      <c r="M23" s="328">
        <f t="shared" si="21"/>
        <v>-1124.0574123323959</v>
      </c>
      <c r="N23" s="328">
        <f t="shared" si="21"/>
        <v>-1152.1588476407057</v>
      </c>
      <c r="O23" s="328">
        <f t="shared" si="21"/>
        <v>-1180.9628188317233</v>
      </c>
      <c r="P23" s="328">
        <f t="shared" si="21"/>
        <v>-1210.4868893025164</v>
      </c>
      <c r="Q23" s="328">
        <f t="shared" si="21"/>
        <v>-1240.7490615350791</v>
      </c>
      <c r="R23" s="328">
        <f t="shared" si="21"/>
        <v>-1271.7677880734561</v>
      </c>
      <c r="S23" s="328">
        <f t="shared" si="21"/>
        <v>-1303.5619827752926</v>
      </c>
      <c r="T23" s="328">
        <f t="shared" si="21"/>
        <v>-1336.1510323446748</v>
      </c>
      <c r="U23" s="328">
        <f t="shared" si="21"/>
        <v>-1369.5548081532916</v>
      </c>
      <c r="V23" s="328">
        <f t="shared" si="21"/>
        <v>-1396.9459043163574</v>
      </c>
      <c r="W23" s="328">
        <f t="shared" si="21"/>
        <v>-1424.8848224026849</v>
      </c>
      <c r="X23" s="328">
        <f t="shared" si="21"/>
        <v>-1453.3825188507385</v>
      </c>
      <c r="Y23" s="328">
        <f t="shared" si="21"/>
        <v>-1482.4501692277531</v>
      </c>
      <c r="Z23" s="328">
        <f t="shared" si="21"/>
        <v>-1512.0991726123082</v>
      </c>
      <c r="AA23" s="328">
        <f t="shared" si="21"/>
        <v>-1542.3411560645545</v>
      </c>
      <c r="AB23" s="328">
        <f t="shared" si="21"/>
        <v>-1573.1879791858455</v>
      </c>
      <c r="AC23" s="328">
        <f t="shared" si="21"/>
        <v>-1604.6517387695624</v>
      </c>
      <c r="AD23" s="328">
        <f t="shared" si="21"/>
        <v>-1636.7447735449537</v>
      </c>
      <c r="AE23" s="328">
        <f t="shared" si="21"/>
        <v>-1669.479669015853</v>
      </c>
      <c r="AF23" s="737">
        <f t="shared" si="21"/>
        <v>-1702.8692623961701</v>
      </c>
      <c r="AG23" s="498">
        <f>SUM(D23:AF23)</f>
        <v>-37266.298770902467</v>
      </c>
      <c r="AH23" s="7"/>
      <c r="AI23" s="7"/>
      <c r="AJ23" s="7"/>
      <c r="AK23" s="11"/>
      <c r="AL23" s="11"/>
      <c r="AM23" s="11"/>
      <c r="AN23" s="11"/>
    </row>
    <row r="24" spans="1:40" ht="14.45">
      <c r="A24" s="1223"/>
      <c r="B24" s="244">
        <v>17</v>
      </c>
      <c r="C24" s="264" t="s">
        <v>4155</v>
      </c>
      <c r="D24" s="289">
        <f>Inputs!D66</f>
        <v>-74</v>
      </c>
      <c r="E24" s="288">
        <f>'Fin. Data'!C33</f>
        <v>-481</v>
      </c>
      <c r="F24" s="752">
        <f>'Fin. Data'!B33</f>
        <v>0</v>
      </c>
      <c r="G24" s="740">
        <f>G6*$D$63</f>
        <v>136.95624000000001</v>
      </c>
      <c r="H24" s="328">
        <f t="shared" ref="H24:J24" si="22">H6*$D$63</f>
        <v>140.8568688</v>
      </c>
      <c r="I24" s="328">
        <f t="shared" si="22"/>
        <v>144.90754473600001</v>
      </c>
      <c r="J24" s="433">
        <f t="shared" si="22"/>
        <v>149.11415013312003</v>
      </c>
      <c r="K24" s="331">
        <f t="shared" ref="K24:AF24" si="23">K6*$E$63</f>
        <v>0</v>
      </c>
      <c r="L24" s="328">
        <f t="shared" si="23"/>
        <v>0</v>
      </c>
      <c r="M24" s="328">
        <f t="shared" si="23"/>
        <v>0</v>
      </c>
      <c r="N24" s="328">
        <f t="shared" si="23"/>
        <v>0</v>
      </c>
      <c r="O24" s="328">
        <f t="shared" si="23"/>
        <v>0</v>
      </c>
      <c r="P24" s="328">
        <f t="shared" si="23"/>
        <v>0</v>
      </c>
      <c r="Q24" s="328">
        <f t="shared" si="23"/>
        <v>0</v>
      </c>
      <c r="R24" s="328">
        <f t="shared" si="23"/>
        <v>0</v>
      </c>
      <c r="S24" s="328">
        <f t="shared" si="23"/>
        <v>0</v>
      </c>
      <c r="T24" s="328">
        <f t="shared" si="23"/>
        <v>0</v>
      </c>
      <c r="U24" s="328">
        <f t="shared" si="23"/>
        <v>0</v>
      </c>
      <c r="V24" s="328">
        <f t="shared" si="23"/>
        <v>0</v>
      </c>
      <c r="W24" s="328">
        <f t="shared" si="23"/>
        <v>0</v>
      </c>
      <c r="X24" s="328">
        <f t="shared" si="23"/>
        <v>0</v>
      </c>
      <c r="Y24" s="328">
        <f t="shared" si="23"/>
        <v>0</v>
      </c>
      <c r="Z24" s="328">
        <f t="shared" si="23"/>
        <v>0</v>
      </c>
      <c r="AA24" s="328">
        <f t="shared" si="23"/>
        <v>0</v>
      </c>
      <c r="AB24" s="328">
        <f t="shared" si="23"/>
        <v>0</v>
      </c>
      <c r="AC24" s="328">
        <f t="shared" si="23"/>
        <v>0</v>
      </c>
      <c r="AD24" s="328">
        <f t="shared" si="23"/>
        <v>0</v>
      </c>
      <c r="AE24" s="328">
        <f t="shared" si="23"/>
        <v>0</v>
      </c>
      <c r="AF24" s="737">
        <f t="shared" si="23"/>
        <v>0</v>
      </c>
      <c r="AG24" s="497"/>
      <c r="AH24" s="499">
        <f>AG9-AG23</f>
        <v>-7069.4300775815427</v>
      </c>
      <c r="AI24" s="7"/>
      <c r="AJ24" s="7"/>
      <c r="AK24" s="11"/>
      <c r="AL24" s="11"/>
      <c r="AM24" s="11"/>
      <c r="AN24" s="11"/>
    </row>
    <row r="25" spans="1:40" ht="14.45">
      <c r="A25" s="1223"/>
      <c r="B25" s="244">
        <v>18</v>
      </c>
      <c r="C25" s="264" t="s">
        <v>4156</v>
      </c>
      <c r="D25" s="289">
        <f>Inputs!D67</f>
        <v>5017</v>
      </c>
      <c r="E25" s="288">
        <f>Inputs!C67</f>
        <v>306</v>
      </c>
      <c r="F25" s="752">
        <f>Inputs!B67</f>
        <v>97</v>
      </c>
      <c r="G25" s="740">
        <f>(1+G5)*AVERAGE(E25:F25)</f>
        <v>207.1823</v>
      </c>
      <c r="H25" s="328">
        <f t="shared" ref="H25:AF25" si="24">(1+H5)*AVERAGE(E25:G25)</f>
        <v>209.18693488076246</v>
      </c>
      <c r="I25" s="328">
        <f t="shared" si="24"/>
        <v>176.04413142534699</v>
      </c>
      <c r="J25" s="433">
        <f t="shared" si="24"/>
        <v>203.20362615848953</v>
      </c>
      <c r="K25" s="331">
        <f t="shared" si="24"/>
        <v>201.04851992540466</v>
      </c>
      <c r="L25" s="328">
        <f t="shared" si="24"/>
        <v>198.2678948156574</v>
      </c>
      <c r="M25" s="328">
        <f t="shared" si="24"/>
        <v>205.86101397401345</v>
      </c>
      <c r="N25" s="328">
        <f t="shared" si="24"/>
        <v>206.7689548109841</v>
      </c>
      <c r="O25" s="328">
        <f t="shared" si="24"/>
        <v>208.72343673022377</v>
      </c>
      <c r="P25" s="328">
        <f t="shared" si="24"/>
        <v>212.29574688436728</v>
      </c>
      <c r="Q25" s="328">
        <f t="shared" si="24"/>
        <v>214.49428062873818</v>
      </c>
      <c r="R25" s="328">
        <f t="shared" si="24"/>
        <v>217.13376694980414</v>
      </c>
      <c r="S25" s="328">
        <f t="shared" si="24"/>
        <v>220.00729644149408</v>
      </c>
      <c r="T25" s="328">
        <f t="shared" si="24"/>
        <v>222.64207587351243</v>
      </c>
      <c r="U25" s="328">
        <f t="shared" si="24"/>
        <v>225.42590591547696</v>
      </c>
      <c r="V25" s="328">
        <f t="shared" si="24"/>
        <v>227.14559459836437</v>
      </c>
      <c r="W25" s="328">
        <f t="shared" si="24"/>
        <v>229.57261597170029</v>
      </c>
      <c r="X25" s="328">
        <f t="shared" si="24"/>
        <v>231.92899960508419</v>
      </c>
      <c r="Y25" s="328">
        <f t="shared" si="24"/>
        <v>234.14005145955062</v>
      </c>
      <c r="Z25" s="328">
        <f t="shared" si="24"/>
        <v>236.51816679235392</v>
      </c>
      <c r="AA25" s="328">
        <f t="shared" si="24"/>
        <v>238.87965407137614</v>
      </c>
      <c r="AB25" s="328">
        <f t="shared" si="24"/>
        <v>241.24287658991543</v>
      </c>
      <c r="AC25" s="328">
        <f t="shared" si="24"/>
        <v>243.65783713423949</v>
      </c>
      <c r="AD25" s="328">
        <f t="shared" si="24"/>
        <v>246.08532505048052</v>
      </c>
      <c r="AE25" s="328">
        <f t="shared" si="24"/>
        <v>248.53525318337603</v>
      </c>
      <c r="AF25" s="737">
        <f t="shared" si="24"/>
        <v>251.01466122515265</v>
      </c>
      <c r="AG25" s="310"/>
      <c r="AH25" s="7"/>
      <c r="AI25" s="7"/>
      <c r="AJ25" s="7"/>
      <c r="AK25" s="11"/>
      <c r="AL25" s="11"/>
      <c r="AM25" s="11"/>
      <c r="AN25" s="11"/>
    </row>
    <row r="26" spans="1:40" ht="14.45">
      <c r="A26" s="1223"/>
      <c r="B26" s="244">
        <v>19</v>
      </c>
      <c r="C26" s="269" t="s">
        <v>4157</v>
      </c>
      <c r="D26" s="286">
        <f t="shared" ref="D26:AF26" si="25">D23+D24+D25</f>
        <v>4038</v>
      </c>
      <c r="E26" s="287">
        <f t="shared" si="25"/>
        <v>-1091</v>
      </c>
      <c r="F26" s="753">
        <f t="shared" si="25"/>
        <v>-916</v>
      </c>
      <c r="G26" s="741">
        <f>G23+G24+G25</f>
        <v>-632.38182277670603</v>
      </c>
      <c r="H26" s="344">
        <f t="shared" si="25"/>
        <v>-654.28867960124705</v>
      </c>
      <c r="I26" s="344">
        <f t="shared" si="25"/>
        <v>-712.26278821559913</v>
      </c>
      <c r="J26" s="432">
        <f t="shared" si="25"/>
        <v>-710.89047170888011</v>
      </c>
      <c r="K26" s="345">
        <f t="shared" si="25"/>
        <v>-868.84550727973146</v>
      </c>
      <c r="L26" s="344">
        <f t="shared" si="25"/>
        <v>-898.37348306960689</v>
      </c>
      <c r="M26" s="344">
        <f t="shared" si="25"/>
        <v>-918.19639835838245</v>
      </c>
      <c r="N26" s="344">
        <f t="shared" si="25"/>
        <v>-945.3898928297217</v>
      </c>
      <c r="O26" s="344">
        <f t="shared" si="25"/>
        <v>-972.23938210149959</v>
      </c>
      <c r="P26" s="344">
        <f t="shared" si="25"/>
        <v>-998.19114241814907</v>
      </c>
      <c r="Q26" s="344">
        <f t="shared" si="25"/>
        <v>-1026.254780906341</v>
      </c>
      <c r="R26" s="344">
        <f t="shared" si="25"/>
        <v>-1054.634021123652</v>
      </c>
      <c r="S26" s="344">
        <f t="shared" si="25"/>
        <v>-1083.5546863337986</v>
      </c>
      <c r="T26" s="344">
        <f t="shared" si="25"/>
        <v>-1113.5089564711625</v>
      </c>
      <c r="U26" s="344">
        <f t="shared" si="25"/>
        <v>-1144.1289022378146</v>
      </c>
      <c r="V26" s="344">
        <f t="shared" si="25"/>
        <v>-1169.8003097179931</v>
      </c>
      <c r="W26" s="344">
        <f t="shared" si="25"/>
        <v>-1195.3122064309846</v>
      </c>
      <c r="X26" s="344">
        <f t="shared" si="25"/>
        <v>-1221.4535192456542</v>
      </c>
      <c r="Y26" s="344">
        <f t="shared" si="25"/>
        <v>-1248.3101177682024</v>
      </c>
      <c r="Z26" s="344">
        <f t="shared" si="25"/>
        <v>-1275.5810058199543</v>
      </c>
      <c r="AA26" s="344">
        <f t="shared" si="25"/>
        <v>-1303.4615019931784</v>
      </c>
      <c r="AB26" s="344">
        <f t="shared" si="25"/>
        <v>-1331.9451025959302</v>
      </c>
      <c r="AC26" s="344">
        <f t="shared" si="25"/>
        <v>-1360.9939016353228</v>
      </c>
      <c r="AD26" s="344">
        <f t="shared" si="25"/>
        <v>-1390.6594484944731</v>
      </c>
      <c r="AE26" s="344">
        <f t="shared" si="25"/>
        <v>-1420.944415832477</v>
      </c>
      <c r="AF26" s="742">
        <f t="shared" si="25"/>
        <v>-1451.8546011710175</v>
      </c>
      <c r="AG26" s="497"/>
      <c r="AH26" s="7"/>
      <c r="AI26" s="7"/>
      <c r="AJ26" s="7"/>
      <c r="AK26" s="11"/>
      <c r="AL26" s="11"/>
      <c r="AM26" s="11"/>
      <c r="AN26" s="11"/>
    </row>
    <row r="27" spans="1:40" ht="14.45">
      <c r="A27" s="1223"/>
      <c r="B27" s="244">
        <v>20</v>
      </c>
      <c r="C27" s="264" t="s">
        <v>4158</v>
      </c>
      <c r="D27" s="289">
        <f>Inputs!D71+Inputs!D72</f>
        <v>-7126</v>
      </c>
      <c r="E27" s="288">
        <f>Inputs!C71+Inputs!C72</f>
        <v>-1455</v>
      </c>
      <c r="F27" s="754">
        <f>Inputs!B71+Inputs!B72</f>
        <v>-191</v>
      </c>
      <c r="G27" s="743">
        <f>G6*$D$66</f>
        <v>0</v>
      </c>
      <c r="H27" s="291">
        <f t="shared" ref="H27:J27" si="26">H6*$D$66</f>
        <v>0</v>
      </c>
      <c r="I27" s="291">
        <f t="shared" si="26"/>
        <v>0</v>
      </c>
      <c r="J27" s="716">
        <f t="shared" si="26"/>
        <v>0</v>
      </c>
      <c r="K27" s="715">
        <f>$E$66*K6</f>
        <v>0</v>
      </c>
      <c r="L27" s="291">
        <f>$E$66*L6</f>
        <v>0</v>
      </c>
      <c r="M27" s="291">
        <f t="shared" ref="M27:AE27" si="27">$E$66*M6</f>
        <v>0</v>
      </c>
      <c r="N27" s="291">
        <f t="shared" si="27"/>
        <v>0</v>
      </c>
      <c r="O27" s="291">
        <f t="shared" si="27"/>
        <v>0</v>
      </c>
      <c r="P27" s="291">
        <f t="shared" si="27"/>
        <v>0</v>
      </c>
      <c r="Q27" s="291">
        <f t="shared" si="27"/>
        <v>0</v>
      </c>
      <c r="R27" s="291">
        <f t="shared" si="27"/>
        <v>0</v>
      </c>
      <c r="S27" s="291">
        <f t="shared" si="27"/>
        <v>0</v>
      </c>
      <c r="T27" s="291">
        <f t="shared" si="27"/>
        <v>0</v>
      </c>
      <c r="U27" s="291">
        <f t="shared" si="27"/>
        <v>0</v>
      </c>
      <c r="V27" s="291">
        <f t="shared" si="27"/>
        <v>0</v>
      </c>
      <c r="W27" s="291">
        <f t="shared" si="27"/>
        <v>0</v>
      </c>
      <c r="X27" s="291">
        <f t="shared" si="27"/>
        <v>0</v>
      </c>
      <c r="Y27" s="291">
        <f t="shared" si="27"/>
        <v>0</v>
      </c>
      <c r="Z27" s="291">
        <f t="shared" si="27"/>
        <v>0</v>
      </c>
      <c r="AA27" s="291">
        <f t="shared" si="27"/>
        <v>0</v>
      </c>
      <c r="AB27" s="291">
        <f t="shared" si="27"/>
        <v>0</v>
      </c>
      <c r="AC27" s="291">
        <f t="shared" si="27"/>
        <v>0</v>
      </c>
      <c r="AD27" s="291">
        <f t="shared" si="27"/>
        <v>0</v>
      </c>
      <c r="AE27" s="291">
        <f t="shared" si="27"/>
        <v>0</v>
      </c>
      <c r="AF27" s="744">
        <f>$E$66*AF6</f>
        <v>0</v>
      </c>
      <c r="AG27" s="497"/>
      <c r="AH27" s="7"/>
      <c r="AI27" s="7"/>
      <c r="AJ27" s="7"/>
      <c r="AK27" s="11"/>
      <c r="AL27" s="11"/>
      <c r="AM27" s="11"/>
      <c r="AN27" s="11"/>
    </row>
    <row r="28" spans="1:40" ht="14.45">
      <c r="A28" s="1223"/>
      <c r="B28" s="244">
        <v>21</v>
      </c>
      <c r="C28" s="264" t="s">
        <v>4159</v>
      </c>
      <c r="D28" s="307">
        <f>+SUM(Inputs!D69:D70)</f>
        <v>0</v>
      </c>
      <c r="E28" s="288">
        <f>+SUM(Inputs!C69:C70)</f>
        <v>-1</v>
      </c>
      <c r="F28" s="752">
        <f>+SUM(Inputs!B69:B70)</f>
        <v>0</v>
      </c>
      <c r="G28" s="740">
        <f>G44-F44</f>
        <v>217.48918391387269</v>
      </c>
      <c r="H28" s="328">
        <f t="shared" ref="H28:AF28" si="28">H44-G44</f>
        <v>814.54505795881414</v>
      </c>
      <c r="I28" s="328">
        <f t="shared" si="28"/>
        <v>841.45769335613659</v>
      </c>
      <c r="J28" s="433">
        <f t="shared" si="28"/>
        <v>869.33487031597178</v>
      </c>
      <c r="K28" s="331">
        <f t="shared" si="28"/>
        <v>741.49535896072121</v>
      </c>
      <c r="L28" s="328">
        <f t="shared" si="28"/>
        <v>1184.1859788395377</v>
      </c>
      <c r="M28" s="328">
        <f t="shared" si="28"/>
        <v>1225.5866669948555</v>
      </c>
      <c r="N28" s="328">
        <f t="shared" si="28"/>
        <v>1268.3185780319072</v>
      </c>
      <c r="O28" s="328">
        <f t="shared" si="28"/>
        <v>1312.4224018601817</v>
      </c>
      <c r="P28" s="328">
        <f t="shared" si="28"/>
        <v>1357.9400308838703</v>
      </c>
      <c r="Q28" s="328">
        <f t="shared" si="28"/>
        <v>1404.9145946953722</v>
      </c>
      <c r="R28" s="328">
        <f t="shared" si="28"/>
        <v>1453.3904957520826</v>
      </c>
      <c r="S28" s="328">
        <f t="shared" si="28"/>
        <v>1503.4134460635978</v>
      </c>
      <c r="T28" s="328">
        <f t="shared" si="28"/>
        <v>1555.0305049179369</v>
      </c>
      <c r="U28" s="328">
        <f t="shared" si="28"/>
        <v>1608.2901176753803</v>
      </c>
      <c r="V28" s="328">
        <f t="shared" si="28"/>
        <v>975.69149633128836</v>
      </c>
      <c r="W28" s="328">
        <f t="shared" si="28"/>
        <v>996.61086852637527</v>
      </c>
      <c r="X28" s="328">
        <f t="shared" si="28"/>
        <v>1017.9775388025155</v>
      </c>
      <c r="Y28" s="328">
        <f t="shared" si="28"/>
        <v>1039.801033905911</v>
      </c>
      <c r="Z28" s="328">
        <f t="shared" si="28"/>
        <v>1062.091082741681</v>
      </c>
      <c r="AA28" s="328">
        <f t="shared" si="28"/>
        <v>1084.8576206495272</v>
      </c>
      <c r="AB28" s="328">
        <f t="shared" si="28"/>
        <v>1108.1107937695342</v>
      </c>
      <c r="AC28" s="328">
        <f t="shared" si="28"/>
        <v>1131.8609635001412</v>
      </c>
      <c r="AD28" s="328">
        <f t="shared" si="28"/>
        <v>1156.1187110500105</v>
      </c>
      <c r="AE28" s="328">
        <f t="shared" si="28"/>
        <v>1180.8948420858942</v>
      </c>
      <c r="AF28" s="737">
        <f t="shared" si="28"/>
        <v>1206.2003914785237</v>
      </c>
      <c r="AG28" s="497"/>
      <c r="AH28" s="7"/>
      <c r="AI28" s="7"/>
      <c r="AJ28" s="7"/>
      <c r="AK28" s="11"/>
      <c r="AL28" s="11"/>
      <c r="AM28" s="11"/>
      <c r="AN28" s="11"/>
    </row>
    <row r="29" spans="1:40" ht="14.45">
      <c r="A29" s="1223"/>
      <c r="B29" s="244">
        <v>22</v>
      </c>
      <c r="C29" s="264" t="s">
        <v>4160</v>
      </c>
      <c r="D29" s="307">
        <f>'Fin. Data'!D28</f>
        <v>-271</v>
      </c>
      <c r="E29" s="288">
        <f>'Fin. Data'!C28</f>
        <v>-280</v>
      </c>
      <c r="F29" s="754">
        <f>'Fin. Data'!B28</f>
        <v>-455</v>
      </c>
      <c r="G29" s="740">
        <f>-1000</f>
        <v>-1000</v>
      </c>
      <c r="H29" s="740">
        <f t="shared" ref="H29:I29" si="29">-1000</f>
        <v>-1000</v>
      </c>
      <c r="I29" s="740">
        <f t="shared" si="29"/>
        <v>-1000</v>
      </c>
      <c r="J29" s="433">
        <f>-J17*$D$65</f>
        <v>-1656.1924399886498</v>
      </c>
      <c r="K29" s="331">
        <f>-K17*$G$65</f>
        <v>-2464.9020956864247</v>
      </c>
      <c r="L29" s="331">
        <f t="shared" ref="L29:U29" si="30">-L17*$G$65</f>
        <v>-2599.0217814736557</v>
      </c>
      <c r="M29" s="331">
        <f t="shared" si="30"/>
        <v>-2720.500602464349</v>
      </c>
      <c r="N29" s="331">
        <f t="shared" si="30"/>
        <v>-2853.5167099238338</v>
      </c>
      <c r="O29" s="331">
        <f t="shared" si="30"/>
        <v>-2989.1861330710235</v>
      </c>
      <c r="P29" s="331">
        <f t="shared" si="30"/>
        <v>-3128.9326538307851</v>
      </c>
      <c r="Q29" s="331">
        <f t="shared" si="30"/>
        <v>-3275.1056857276044</v>
      </c>
      <c r="R29" s="331">
        <f t="shared" si="30"/>
        <v>-3425.9645987388503</v>
      </c>
      <c r="S29" s="331">
        <f t="shared" si="30"/>
        <v>-3582.2095632896658</v>
      </c>
      <c r="T29" s="331">
        <f t="shared" si="30"/>
        <v>-3744.2936794046882</v>
      </c>
      <c r="U29" s="331">
        <f t="shared" si="30"/>
        <v>-3912.0223081569989</v>
      </c>
      <c r="V29" s="328">
        <f t="shared" ref="V29:AF29" si="31">-V17*$E$65</f>
        <v>-3475.0031470821</v>
      </c>
      <c r="W29" s="328">
        <f t="shared" si="31"/>
        <v>-3544.2247129006032</v>
      </c>
      <c r="X29" s="328">
        <f t="shared" si="31"/>
        <v>-3615.3696398515144</v>
      </c>
      <c r="Y29" s="328">
        <f t="shared" si="31"/>
        <v>-3688.5220109375955</v>
      </c>
      <c r="Z29" s="328">
        <f t="shared" si="31"/>
        <v>-3763.6104278583784</v>
      </c>
      <c r="AA29" s="328">
        <f t="shared" si="31"/>
        <v>-3840.7322834091206</v>
      </c>
      <c r="AB29" s="328">
        <f t="shared" si="31"/>
        <v>-3919.9259415347442</v>
      </c>
      <c r="AC29" s="328">
        <f t="shared" si="31"/>
        <v>-4001.2142407385813</v>
      </c>
      <c r="AD29" s="328">
        <f t="shared" si="31"/>
        <v>-4084.6520794845883</v>
      </c>
      <c r="AE29" s="328">
        <f t="shared" si="31"/>
        <v>-4170.2799280292647</v>
      </c>
      <c r="AF29" s="737">
        <f t="shared" si="31"/>
        <v>-4258.1389930668356</v>
      </c>
      <c r="AG29" s="497"/>
      <c r="AH29" s="7"/>
      <c r="AI29" s="7"/>
      <c r="AJ29" s="7"/>
      <c r="AK29" s="11"/>
      <c r="AL29" s="11"/>
      <c r="AM29" s="11"/>
      <c r="AN29" s="11"/>
    </row>
    <row r="30" spans="1:40" s="7" customFormat="1" ht="14.45">
      <c r="A30" s="1223"/>
      <c r="B30" s="244">
        <v>23</v>
      </c>
      <c r="C30" s="264" t="s">
        <v>4161</v>
      </c>
      <c r="D30" s="289">
        <f>'Fin. Data'!D27</f>
        <v>-1959</v>
      </c>
      <c r="E30" s="288">
        <f>'Fin. Data'!C27</f>
        <v>-1960</v>
      </c>
      <c r="F30" s="752">
        <f>'Fin. Data'!B27</f>
        <v>-1965</v>
      </c>
      <c r="G30" s="740">
        <f>-$D$64*G17</f>
        <v>-2300.4384208606598</v>
      </c>
      <c r="H30" s="328">
        <f t="shared" ref="H30:J30" si="32">-$D$64*H17</f>
        <v>-2437.656517743223</v>
      </c>
      <c r="I30" s="328">
        <f t="shared" si="32"/>
        <v>-2567.8142079550853</v>
      </c>
      <c r="J30" s="433">
        <f t="shared" si="32"/>
        <v>-2649.9079039818398</v>
      </c>
      <c r="K30" s="331">
        <f t="shared" ref="K30:AF30" si="33">-$E$64*K17</f>
        <v>-3081.1276196080307</v>
      </c>
      <c r="L30" s="328">
        <f t="shared" si="33"/>
        <v>-3248.7772268420695</v>
      </c>
      <c r="M30" s="328">
        <f t="shared" si="33"/>
        <v>-3400.625753080436</v>
      </c>
      <c r="N30" s="328">
        <f t="shared" si="33"/>
        <v>-3566.8958874047921</v>
      </c>
      <c r="O30" s="328">
        <f t="shared" si="33"/>
        <v>-3736.4826663387794</v>
      </c>
      <c r="P30" s="328">
        <f t="shared" si="33"/>
        <v>-3911.1658172884809</v>
      </c>
      <c r="Q30" s="328">
        <f t="shared" si="33"/>
        <v>-4093.8821071595053</v>
      </c>
      <c r="R30" s="328">
        <f t="shared" si="33"/>
        <v>-4282.4557484235629</v>
      </c>
      <c r="S30" s="328">
        <f t="shared" si="33"/>
        <v>-4477.7619541120821</v>
      </c>
      <c r="T30" s="328">
        <f t="shared" si="33"/>
        <v>-4680.36709925586</v>
      </c>
      <c r="U30" s="328">
        <f t="shared" si="33"/>
        <v>-4890.0278851962485</v>
      </c>
      <c r="V30" s="328">
        <f t="shared" si="33"/>
        <v>-4964.2902101172858</v>
      </c>
      <c r="W30" s="328">
        <f t="shared" si="33"/>
        <v>-5063.1781612865761</v>
      </c>
      <c r="X30" s="328">
        <f t="shared" si="33"/>
        <v>-5164.8137712164498</v>
      </c>
      <c r="Y30" s="328">
        <f t="shared" si="33"/>
        <v>-5269.3171584822794</v>
      </c>
      <c r="Z30" s="328">
        <f t="shared" si="33"/>
        <v>-5376.5863255119693</v>
      </c>
      <c r="AA30" s="328">
        <f t="shared" si="33"/>
        <v>-5486.7604048701724</v>
      </c>
      <c r="AB30" s="328">
        <f t="shared" si="33"/>
        <v>-5599.8942021924922</v>
      </c>
      <c r="AC30" s="328">
        <f t="shared" si="33"/>
        <v>-5716.0203439122597</v>
      </c>
      <c r="AD30" s="328">
        <f t="shared" si="33"/>
        <v>-5835.217256406555</v>
      </c>
      <c r="AE30" s="328">
        <f t="shared" si="33"/>
        <v>-5957.5427543275209</v>
      </c>
      <c r="AF30" s="737">
        <f t="shared" si="33"/>
        <v>-6083.0557043811941</v>
      </c>
      <c r="AG30" s="497"/>
      <c r="AK30" s="11"/>
      <c r="AL30" s="11"/>
      <c r="AM30" s="11"/>
      <c r="AN30" s="11"/>
    </row>
    <row r="31" spans="1:40" s="3" customFormat="1" ht="14.45">
      <c r="A31" s="1223"/>
      <c r="B31" s="244">
        <v>24</v>
      </c>
      <c r="C31" s="264" t="s">
        <v>4162</v>
      </c>
      <c r="D31" s="368">
        <f>Inputs!D75</f>
        <v>12</v>
      </c>
      <c r="E31" s="367">
        <f>Inputs!C75</f>
        <v>-18</v>
      </c>
      <c r="F31" s="755">
        <f>Inputs!B75</f>
        <v>-67</v>
      </c>
      <c r="G31" s="740">
        <f>(1+G5)*AVERAGE(D31:F31)</f>
        <v>-25.019533333333332</v>
      </c>
      <c r="H31" s="328">
        <f t="shared" ref="H31:AF31" si="34">(1+H5)*AVERAGE(E31:G31)</f>
        <v>-37.71766069748643</v>
      </c>
      <c r="I31" s="328">
        <f t="shared" si="34"/>
        <v>-44.489365713592441</v>
      </c>
      <c r="J31" s="433">
        <f t="shared" si="34"/>
        <v>-36.779767304078433</v>
      </c>
      <c r="K31" s="475">
        <f t="shared" si="34"/>
        <v>-40.653821186012074</v>
      </c>
      <c r="L31" s="476">
        <f t="shared" si="34"/>
        <v>-41.657009352925002</v>
      </c>
      <c r="M31" s="476">
        <f t="shared" si="34"/>
        <v>-40.689287596363627</v>
      </c>
      <c r="N31" s="476">
        <f t="shared" si="34"/>
        <v>-42.025040362894401</v>
      </c>
      <c r="O31" s="476">
        <f t="shared" si="34"/>
        <v>-42.493540248329197</v>
      </c>
      <c r="P31" s="476">
        <f t="shared" si="34"/>
        <v>-42.779354970925631</v>
      </c>
      <c r="Q31" s="476">
        <f t="shared" si="34"/>
        <v>-43.493461323900981</v>
      </c>
      <c r="R31" s="476">
        <f t="shared" si="34"/>
        <v>-43.995171818911558</v>
      </c>
      <c r="S31" s="476">
        <f t="shared" si="34"/>
        <v>-44.508229272193866</v>
      </c>
      <c r="T31" s="476">
        <f t="shared" si="34"/>
        <v>-45.09892799179385</v>
      </c>
      <c r="U31" s="476">
        <f t="shared" si="34"/>
        <v>-45.64746243665725</v>
      </c>
      <c r="V31" s="476">
        <f t="shared" si="34"/>
        <v>-45.986570698219296</v>
      </c>
      <c r="W31" s="476">
        <f t="shared" si="34"/>
        <v>-46.489206783067928</v>
      </c>
      <c r="X31" s="476">
        <f t="shared" si="34"/>
        <v>-46.961901572101127</v>
      </c>
      <c r="Y31" s="476">
        <f t="shared" si="34"/>
        <v>-47.408810878152046</v>
      </c>
      <c r="Z31" s="476">
        <f t="shared" si="34"/>
        <v>-47.89237253932918</v>
      </c>
      <c r="AA31" s="476">
        <f t="shared" si="34"/>
        <v>-48.369448896457996</v>
      </c>
      <c r="AB31" s="476">
        <f t="shared" si="34"/>
        <v>-48.848014986739337</v>
      </c>
      <c r="AC31" s="476">
        <f t="shared" si="34"/>
        <v>-49.337344383659016</v>
      </c>
      <c r="AD31" s="476">
        <f t="shared" si="34"/>
        <v>-49.82863481073116</v>
      </c>
      <c r="AE31" s="476">
        <f t="shared" si="34"/>
        <v>-50.324758021584032</v>
      </c>
      <c r="AF31" s="745">
        <f t="shared" si="34"/>
        <v>-50.826850653431237</v>
      </c>
      <c r="AG31" s="497"/>
      <c r="AH31" s="515"/>
      <c r="AI31" s="515"/>
      <c r="AJ31" s="515"/>
      <c r="AK31" s="513"/>
      <c r="AL31" s="513"/>
      <c r="AM31" s="513"/>
      <c r="AN31" s="513"/>
    </row>
    <row r="32" spans="1:40" s="7" customFormat="1" ht="16.5" customHeight="1">
      <c r="A32" s="1223"/>
      <c r="B32" s="245">
        <v>25</v>
      </c>
      <c r="C32" s="270" t="s">
        <v>4163</v>
      </c>
      <c r="D32" s="427">
        <f t="shared" ref="D32:AF32" si="35">D27+D28+D29+D30+D31</f>
        <v>-9344</v>
      </c>
      <c r="E32" s="428">
        <f t="shared" si="35"/>
        <v>-3714</v>
      </c>
      <c r="F32" s="429">
        <f t="shared" si="35"/>
        <v>-2678</v>
      </c>
      <c r="G32" s="746">
        <f>G27+G28+G29+G30+G31</f>
        <v>-3107.9687702801202</v>
      </c>
      <c r="H32" s="747">
        <f t="shared" si="35"/>
        <v>-2660.8291204818952</v>
      </c>
      <c r="I32" s="747">
        <f t="shared" si="35"/>
        <v>-2770.8458803125413</v>
      </c>
      <c r="J32" s="748">
        <f t="shared" si="35"/>
        <v>-3473.5452409585964</v>
      </c>
      <c r="K32" s="749">
        <f t="shared" si="35"/>
        <v>-4845.1881775197462</v>
      </c>
      <c r="L32" s="747">
        <f t="shared" si="35"/>
        <v>-4705.2700388291132</v>
      </c>
      <c r="M32" s="747">
        <f t="shared" si="35"/>
        <v>-4936.2289761462935</v>
      </c>
      <c r="N32" s="747">
        <f t="shared" si="35"/>
        <v>-5194.1190596596134</v>
      </c>
      <c r="O32" s="747">
        <f t="shared" si="35"/>
        <v>-5455.73993779795</v>
      </c>
      <c r="P32" s="747">
        <f t="shared" si="35"/>
        <v>-5724.9377952063214</v>
      </c>
      <c r="Q32" s="747">
        <f t="shared" si="35"/>
        <v>-6007.566659515639</v>
      </c>
      <c r="R32" s="747">
        <f t="shared" si="35"/>
        <v>-6299.0250232292419</v>
      </c>
      <c r="S32" s="747">
        <f t="shared" si="35"/>
        <v>-6601.0663006103432</v>
      </c>
      <c r="T32" s="747">
        <f t="shared" si="35"/>
        <v>-6914.7292017344053</v>
      </c>
      <c r="U32" s="747">
        <f t="shared" si="35"/>
        <v>-7239.407538114524</v>
      </c>
      <c r="V32" s="747">
        <f t="shared" si="35"/>
        <v>-7509.5884315663161</v>
      </c>
      <c r="W32" s="747">
        <f t="shared" si="35"/>
        <v>-7657.2812124438715</v>
      </c>
      <c r="X32" s="747">
        <f t="shared" si="35"/>
        <v>-7809.1677738375502</v>
      </c>
      <c r="Y32" s="747">
        <f t="shared" si="35"/>
        <v>-7965.446946392115</v>
      </c>
      <c r="Z32" s="747">
        <f t="shared" si="35"/>
        <v>-8125.998043167996</v>
      </c>
      <c r="AA32" s="747">
        <f t="shared" si="35"/>
        <v>-8291.0045165262236</v>
      </c>
      <c r="AB32" s="747">
        <f t="shared" si="35"/>
        <v>-8460.5573649444414</v>
      </c>
      <c r="AC32" s="747">
        <f t="shared" si="35"/>
        <v>-8634.7109655343593</v>
      </c>
      <c r="AD32" s="747">
        <f t="shared" si="35"/>
        <v>-8813.579259651864</v>
      </c>
      <c r="AE32" s="747">
        <f t="shared" si="35"/>
        <v>-8997.2525982924763</v>
      </c>
      <c r="AF32" s="750">
        <f t="shared" si="35"/>
        <v>-9185.8211566229384</v>
      </c>
      <c r="AG32" s="497"/>
      <c r="AK32" s="11"/>
      <c r="AL32" s="11"/>
      <c r="AM32" s="11"/>
      <c r="AN32" s="11"/>
    </row>
    <row r="33" spans="1:40">
      <c r="A33" s="1211"/>
      <c r="B33" s="1212"/>
      <c r="C33" s="1212"/>
      <c r="D33" s="1212"/>
      <c r="E33" s="1212"/>
      <c r="F33" s="1212"/>
      <c r="G33" s="1213"/>
      <c r="H33" s="1213"/>
      <c r="I33" s="1213"/>
      <c r="J33" s="1213"/>
      <c r="K33" s="1213"/>
      <c r="L33" s="1213"/>
      <c r="M33" s="1213"/>
      <c r="N33" s="1213"/>
      <c r="O33" s="1213"/>
      <c r="P33" s="1213"/>
      <c r="Q33" s="1213"/>
      <c r="R33" s="1213"/>
      <c r="S33" s="1213"/>
      <c r="T33" s="1213"/>
      <c r="U33" s="1213"/>
      <c r="V33" s="1213"/>
      <c r="W33" s="1213"/>
      <c r="X33" s="1213"/>
      <c r="Y33" s="1213"/>
      <c r="Z33" s="1213"/>
      <c r="AA33" s="1213"/>
      <c r="AB33" s="1213"/>
      <c r="AC33" s="1213"/>
      <c r="AD33" s="1213"/>
      <c r="AE33" s="1213"/>
      <c r="AF33" s="1214"/>
      <c r="AG33" s="7"/>
      <c r="AH33" s="7"/>
      <c r="AI33" s="7"/>
      <c r="AJ33" s="7"/>
      <c r="AK33" s="11"/>
      <c r="AL33" s="11"/>
      <c r="AM33" s="11"/>
      <c r="AN33" s="11"/>
    </row>
    <row r="34" spans="1:40" ht="14.45">
      <c r="A34" s="1235" t="s">
        <v>4164</v>
      </c>
      <c r="B34" s="244">
        <v>26</v>
      </c>
      <c r="C34" s="248" t="s">
        <v>4165</v>
      </c>
      <c r="D34" s="423">
        <f>D22+D26+D27+D28+D31</f>
        <v>2091</v>
      </c>
      <c r="E34" s="424">
        <f t="shared" ref="E34:AF34" si="36">E22+E26+E27+E28+E31</f>
        <v>-244</v>
      </c>
      <c r="F34" s="454">
        <f t="shared" si="36"/>
        <v>2661</v>
      </c>
      <c r="G34" s="582">
        <f t="shared" si="36"/>
        <v>4611.916192140764</v>
      </c>
      <c r="H34" s="425">
        <f t="shared" si="36"/>
        <v>5456.1679025170188</v>
      </c>
      <c r="I34" s="425">
        <f t="shared" si="36"/>
        <v>5694.8950656647539</v>
      </c>
      <c r="J34" s="426">
        <f t="shared" si="36"/>
        <v>5952.0592525691191</v>
      </c>
      <c r="K34" s="453">
        <f t="shared" si="36"/>
        <v>5235.8955203925389</v>
      </c>
      <c r="L34" s="425">
        <f t="shared" si="36"/>
        <v>5908.6426491344037</v>
      </c>
      <c r="M34" s="425">
        <f t="shared" si="36"/>
        <v>6178.2810751752149</v>
      </c>
      <c r="N34" s="425">
        <f t="shared" si="36"/>
        <v>6456.3622215348278</v>
      </c>
      <c r="O34" s="425">
        <f t="shared" si="36"/>
        <v>6742.7661698054926</v>
      </c>
      <c r="P34" s="425">
        <f t="shared" si="36"/>
        <v>7039.2442151144132</v>
      </c>
      <c r="Q34" s="425">
        <f t="shared" si="36"/>
        <v>7345.217702123231</v>
      </c>
      <c r="R34" s="425">
        <f t="shared" si="36"/>
        <v>7661.0557923987672</v>
      </c>
      <c r="S34" s="425">
        <f t="shared" si="36"/>
        <v>7987.2950169974929</v>
      </c>
      <c r="T34" s="425">
        <f t="shared" si="36"/>
        <v>8324.0571372137438</v>
      </c>
      <c r="U34" s="425">
        <f t="shared" si="36"/>
        <v>8671.7035056561654</v>
      </c>
      <c r="V34" s="425">
        <f t="shared" si="36"/>
        <v>7912.6548606736769</v>
      </c>
      <c r="W34" s="425">
        <f t="shared" si="36"/>
        <v>8114.5562455278614</v>
      </c>
      <c r="X34" s="425">
        <f t="shared" si="36"/>
        <v>8321.2016259256543</v>
      </c>
      <c r="Y34" s="425">
        <f t="shared" si="36"/>
        <v>8532.6735481189717</v>
      </c>
      <c r="Z34" s="425">
        <f t="shared" si="36"/>
        <v>8749.162086516495</v>
      </c>
      <c r="AA34" s="425">
        <f t="shared" si="36"/>
        <v>8970.7087883776039</v>
      </c>
      <c r="AB34" s="425">
        <f t="shared" si="36"/>
        <v>9197.4226874844517</v>
      </c>
      <c r="AC34" s="425">
        <f t="shared" si="36"/>
        <v>9429.4218683643867</v>
      </c>
      <c r="AD34" s="425">
        <f t="shared" si="36"/>
        <v>9666.7999849151583</v>
      </c>
      <c r="AE34" s="425">
        <f t="shared" si="36"/>
        <v>9909.6684541864015</v>
      </c>
      <c r="AF34" s="426">
        <f t="shared" si="36"/>
        <v>10158.139551418362</v>
      </c>
      <c r="AG34" s="497"/>
      <c r="AH34" s="7"/>
      <c r="AI34" s="7"/>
      <c r="AJ34" s="7"/>
      <c r="AK34" s="11"/>
      <c r="AL34" s="11"/>
      <c r="AM34" s="11"/>
      <c r="AN34" s="11"/>
    </row>
    <row r="35" spans="1:40" s="3" customFormat="1" ht="14.45">
      <c r="A35" s="1235"/>
      <c r="B35" s="244">
        <v>27</v>
      </c>
      <c r="C35" s="248" t="s">
        <v>4166</v>
      </c>
      <c r="D35" s="349">
        <f>-1*(D29+D30)</f>
        <v>2230</v>
      </c>
      <c r="E35" s="346">
        <f t="shared" ref="E35:AF35" si="37">-1*(E29+E30)</f>
        <v>2240</v>
      </c>
      <c r="F35" s="351">
        <f t="shared" si="37"/>
        <v>2420</v>
      </c>
      <c r="G35" s="359">
        <f t="shared" si="37"/>
        <v>3300.4384208606598</v>
      </c>
      <c r="H35" s="308">
        <f t="shared" si="37"/>
        <v>3437.656517743223</v>
      </c>
      <c r="I35" s="308">
        <f t="shared" si="37"/>
        <v>3567.8142079550853</v>
      </c>
      <c r="J35" s="360">
        <f t="shared" si="37"/>
        <v>4306.1003439704891</v>
      </c>
      <c r="K35" s="308">
        <f t="shared" si="37"/>
        <v>5546.0297152944549</v>
      </c>
      <c r="L35" s="308">
        <f t="shared" si="37"/>
        <v>5847.7990083157256</v>
      </c>
      <c r="M35" s="308">
        <f t="shared" si="37"/>
        <v>6121.1263555447849</v>
      </c>
      <c r="N35" s="308">
        <f t="shared" si="37"/>
        <v>6420.4125973286264</v>
      </c>
      <c r="O35" s="308">
        <f t="shared" si="37"/>
        <v>6725.6687994098029</v>
      </c>
      <c r="P35" s="308">
        <f t="shared" si="37"/>
        <v>7040.0984711192659</v>
      </c>
      <c r="Q35" s="308">
        <f t="shared" si="37"/>
        <v>7368.9877928871101</v>
      </c>
      <c r="R35" s="308">
        <f t="shared" si="37"/>
        <v>7708.4203471624132</v>
      </c>
      <c r="S35" s="308">
        <f t="shared" si="37"/>
        <v>8059.9715174017474</v>
      </c>
      <c r="T35" s="308">
        <f t="shared" si="37"/>
        <v>8424.6607786605491</v>
      </c>
      <c r="U35" s="308">
        <f t="shared" si="37"/>
        <v>8802.0501933532469</v>
      </c>
      <c r="V35" s="308">
        <f t="shared" si="37"/>
        <v>8439.2933571993854</v>
      </c>
      <c r="W35" s="308">
        <f t="shared" si="37"/>
        <v>8607.4028741871789</v>
      </c>
      <c r="X35" s="308">
        <f t="shared" si="37"/>
        <v>8780.1834110679647</v>
      </c>
      <c r="Y35" s="308">
        <f t="shared" si="37"/>
        <v>8957.8391694198745</v>
      </c>
      <c r="Z35" s="308">
        <f t="shared" si="37"/>
        <v>9140.1967533703482</v>
      </c>
      <c r="AA35" s="308">
        <f t="shared" si="37"/>
        <v>9327.4926882792934</v>
      </c>
      <c r="AB35" s="308">
        <f t="shared" si="37"/>
        <v>9519.8201437272364</v>
      </c>
      <c r="AC35" s="308">
        <f t="shared" si="37"/>
        <v>9717.2345846508415</v>
      </c>
      <c r="AD35" s="308">
        <f t="shared" si="37"/>
        <v>9919.8693358911441</v>
      </c>
      <c r="AE35" s="308">
        <f t="shared" si="37"/>
        <v>10127.822682356786</v>
      </c>
      <c r="AF35" s="360">
        <f t="shared" si="37"/>
        <v>10341.194697448031</v>
      </c>
      <c r="AG35" s="497"/>
      <c r="AH35" s="515"/>
      <c r="AI35" s="515"/>
      <c r="AJ35" s="515"/>
      <c r="AK35" s="513"/>
      <c r="AL35" s="513"/>
      <c r="AM35" s="513"/>
      <c r="AN35" s="513"/>
    </row>
    <row r="36" spans="1:40" s="7" customFormat="1" ht="15" thickBot="1">
      <c r="A36" s="1235"/>
      <c r="B36" s="245">
        <v>28</v>
      </c>
      <c r="C36" s="243" t="s">
        <v>4167</v>
      </c>
      <c r="D36" s="409">
        <f>D34-D35</f>
        <v>-139</v>
      </c>
      <c r="E36" s="410">
        <f>E34-E35</f>
        <v>-2484</v>
      </c>
      <c r="F36" s="352">
        <f>F34-F35</f>
        <v>241</v>
      </c>
      <c r="G36" s="361">
        <f>G34-G35</f>
        <v>1311.4777712801042</v>
      </c>
      <c r="H36" s="362">
        <f t="shared" ref="H36:AF36" si="38">H34-H35</f>
        <v>2018.5113847737957</v>
      </c>
      <c r="I36" s="362">
        <f t="shared" si="38"/>
        <v>2127.0808577096686</v>
      </c>
      <c r="J36" s="363">
        <f t="shared" si="38"/>
        <v>1645.9589085986299</v>
      </c>
      <c r="K36" s="362">
        <f t="shared" si="38"/>
        <v>-310.13419490191609</v>
      </c>
      <c r="L36" s="362">
        <f t="shared" si="38"/>
        <v>60.843640818678068</v>
      </c>
      <c r="M36" s="362">
        <f t="shared" si="38"/>
        <v>57.154719630430009</v>
      </c>
      <c r="N36" s="362">
        <f t="shared" si="38"/>
        <v>35.949624206201406</v>
      </c>
      <c r="O36" s="362">
        <f t="shared" si="38"/>
        <v>17.097370395689722</v>
      </c>
      <c r="P36" s="362">
        <f t="shared" si="38"/>
        <v>-0.8542560048526866</v>
      </c>
      <c r="Q36" s="362">
        <f t="shared" si="38"/>
        <v>-23.770090763879125</v>
      </c>
      <c r="R36" s="362">
        <f t="shared" si="38"/>
        <v>-47.364554763646083</v>
      </c>
      <c r="S36" s="362">
        <f t="shared" si="38"/>
        <v>-72.676500404254512</v>
      </c>
      <c r="T36" s="362">
        <f t="shared" si="38"/>
        <v>-100.60364144680534</v>
      </c>
      <c r="U36" s="362">
        <f t="shared" si="38"/>
        <v>-130.34668769708151</v>
      </c>
      <c r="V36" s="362">
        <f t="shared" si="38"/>
        <v>-526.63849652570843</v>
      </c>
      <c r="W36" s="362">
        <f t="shared" si="38"/>
        <v>-492.8466286593175</v>
      </c>
      <c r="X36" s="362">
        <f t="shared" si="38"/>
        <v>-458.9817851423104</v>
      </c>
      <c r="Y36" s="362">
        <f t="shared" si="38"/>
        <v>-425.16562130090279</v>
      </c>
      <c r="Z36" s="362">
        <f t="shared" si="38"/>
        <v>-391.0346668538532</v>
      </c>
      <c r="AA36" s="362">
        <f t="shared" si="38"/>
        <v>-356.78389990168944</v>
      </c>
      <c r="AB36" s="362">
        <f t="shared" si="38"/>
        <v>-322.39745624278476</v>
      </c>
      <c r="AC36" s="362">
        <f t="shared" si="38"/>
        <v>-287.81271628645482</v>
      </c>
      <c r="AD36" s="362">
        <f t="shared" si="38"/>
        <v>-253.0693509759858</v>
      </c>
      <c r="AE36" s="362">
        <f t="shared" si="38"/>
        <v>-218.15422817038416</v>
      </c>
      <c r="AF36" s="363">
        <f t="shared" si="38"/>
        <v>-183.05514602966832</v>
      </c>
      <c r="AG36" s="497"/>
      <c r="AK36" s="11"/>
      <c r="AL36" s="11"/>
      <c r="AM36" s="11"/>
      <c r="AN36" s="11"/>
    </row>
    <row r="37" spans="1:40" ht="15" thickBot="1">
      <c r="A37" s="253"/>
      <c r="B37" s="251"/>
      <c r="C37" s="252"/>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1"/>
      <c r="AG37" s="497"/>
      <c r="AH37" s="7"/>
      <c r="AI37" s="7"/>
      <c r="AJ37" s="7"/>
      <c r="AK37" s="11"/>
      <c r="AL37" s="11"/>
      <c r="AM37" s="11"/>
      <c r="AN37" s="11"/>
    </row>
    <row r="38" spans="1:40" ht="14.45">
      <c r="A38" s="1236" t="s">
        <v>4168</v>
      </c>
      <c r="B38" s="246">
        <v>29</v>
      </c>
      <c r="C38" s="248" t="s">
        <v>4169</v>
      </c>
      <c r="D38" s="347">
        <f>43542+D39+31296</f>
        <v>76440</v>
      </c>
      <c r="E38" s="348">
        <f>42649+E39+30833</f>
        <v>75311</v>
      </c>
      <c r="F38" s="350">
        <f>42448+F39+30459</f>
        <v>74996</v>
      </c>
      <c r="G38" s="354">
        <f>+F38+(-G10)</f>
        <v>75237.162225766413</v>
      </c>
      <c r="H38" s="355">
        <f t="shared" ref="H38:AF38" si="39">+G38+(-H10)</f>
        <v>75479.099949147843</v>
      </c>
      <c r="I38" s="355">
        <f t="shared" si="39"/>
        <v>75721.815663887042</v>
      </c>
      <c r="J38" s="356">
        <f t="shared" si="39"/>
        <v>75965.311871745813</v>
      </c>
      <c r="K38" s="455">
        <f t="shared" si="39"/>
        <v>76209.59108253078</v>
      </c>
      <c r="L38" s="355">
        <f t="shared" si="39"/>
        <v>76454.65581411928</v>
      </c>
      <c r="M38" s="355">
        <f t="shared" si="39"/>
        <v>76700.50859248529</v>
      </c>
      <c r="N38" s="355">
        <f t="shared" si="39"/>
        <v>76947.151951725507</v>
      </c>
      <c r="O38" s="355">
        <f t="shared" si="39"/>
        <v>77194.588434085425</v>
      </c>
      <c r="P38" s="355">
        <f t="shared" si="39"/>
        <v>77442.820589985553</v>
      </c>
      <c r="Q38" s="355">
        <f t="shared" si="39"/>
        <v>77691.850978047703</v>
      </c>
      <c r="R38" s="355">
        <f t="shared" si="39"/>
        <v>77941.682165121383</v>
      </c>
      <c r="S38" s="355">
        <f t="shared" si="39"/>
        <v>78192.316726310222</v>
      </c>
      <c r="T38" s="355">
        <f t="shared" si="39"/>
        <v>78443.757244998531</v>
      </c>
      <c r="U38" s="355">
        <f t="shared" si="39"/>
        <v>78696.006312877929</v>
      </c>
      <c r="V38" s="355">
        <f t="shared" si="39"/>
        <v>78949.06652997405</v>
      </c>
      <c r="W38" s="355">
        <f t="shared" si="39"/>
        <v>79202.940504673345</v>
      </c>
      <c r="X38" s="355">
        <f t="shared" si="39"/>
        <v>79457.630853749972</v>
      </c>
      <c r="Y38" s="355">
        <f t="shared" si="39"/>
        <v>79713.14020239278</v>
      </c>
      <c r="Z38" s="355">
        <f t="shared" si="39"/>
        <v>79969.47118423233</v>
      </c>
      <c r="AA38" s="355">
        <f t="shared" si="39"/>
        <v>80226.626441368076</v>
      </c>
      <c r="AB38" s="355">
        <f t="shared" si="39"/>
        <v>80484.60862439558</v>
      </c>
      <c r="AC38" s="355">
        <f t="shared" si="39"/>
        <v>80743.420392433836</v>
      </c>
      <c r="AD38" s="355">
        <f t="shared" si="39"/>
        <v>81003.064413152708</v>
      </c>
      <c r="AE38" s="355">
        <f t="shared" si="39"/>
        <v>81263.543362800367</v>
      </c>
      <c r="AF38" s="356">
        <f t="shared" si="39"/>
        <v>81524.859926230914</v>
      </c>
      <c r="AG38" s="498">
        <f>SUM(G38:AF38)</f>
        <v>2036856.692038239</v>
      </c>
      <c r="AH38" s="7"/>
      <c r="AI38" s="7"/>
      <c r="AJ38" s="7"/>
      <c r="AK38" s="11"/>
      <c r="AL38" s="11"/>
      <c r="AM38" s="11"/>
      <c r="AN38" s="11"/>
    </row>
    <row r="39" spans="1:40" ht="14.45">
      <c r="A39" s="1235"/>
      <c r="B39" s="246">
        <v>30</v>
      </c>
      <c r="C39" s="248" t="s">
        <v>4170</v>
      </c>
      <c r="D39" s="349">
        <v>1602</v>
      </c>
      <c r="E39" s="346">
        <v>1829</v>
      </c>
      <c r="F39" s="351">
        <v>2089</v>
      </c>
      <c r="G39" s="357">
        <f>F39-G10</f>
        <v>2330.1622257664062</v>
      </c>
      <c r="H39" s="353">
        <f t="shared" ref="H39:AF39" si="40">G39-H10</f>
        <v>2572.0999491478397</v>
      </c>
      <c r="I39" s="353">
        <f t="shared" si="40"/>
        <v>2814.815663887046</v>
      </c>
      <c r="J39" s="358">
        <f t="shared" si="40"/>
        <v>3058.3118717458183</v>
      </c>
      <c r="K39" s="456">
        <f t="shared" si="40"/>
        <v>3302.5910825307856</v>
      </c>
      <c r="L39" s="353">
        <f t="shared" si="40"/>
        <v>3547.6558141192804</v>
      </c>
      <c r="M39" s="353">
        <f t="shared" si="40"/>
        <v>3793.5085924852933</v>
      </c>
      <c r="N39" s="353">
        <f t="shared" si="40"/>
        <v>4040.1519517255074</v>
      </c>
      <c r="O39" s="353">
        <f t="shared" si="40"/>
        <v>4287.58843408542</v>
      </c>
      <c r="P39" s="353">
        <f t="shared" si="40"/>
        <v>4535.8205899855438</v>
      </c>
      <c r="Q39" s="353">
        <f t="shared" si="40"/>
        <v>4784.8509780476988</v>
      </c>
      <c r="R39" s="353">
        <f t="shared" si="40"/>
        <v>5034.6821651213813</v>
      </c>
      <c r="S39" s="353">
        <f t="shared" si="40"/>
        <v>5285.3167263102241</v>
      </c>
      <c r="T39" s="353">
        <f t="shared" si="40"/>
        <v>5536.7572449985373</v>
      </c>
      <c r="U39" s="353">
        <f t="shared" si="40"/>
        <v>5789.0063128779375</v>
      </c>
      <c r="V39" s="353">
        <f t="shared" si="40"/>
        <v>6042.0665299740594</v>
      </c>
      <c r="W39" s="353">
        <f t="shared" si="40"/>
        <v>6295.9405046733582</v>
      </c>
      <c r="X39" s="353">
        <f t="shared" si="40"/>
        <v>6550.6308537499926</v>
      </c>
      <c r="Y39" s="353">
        <f t="shared" si="40"/>
        <v>6806.1402023927976</v>
      </c>
      <c r="Z39" s="353">
        <f t="shared" si="40"/>
        <v>7062.4711842323441</v>
      </c>
      <c r="AA39" s="353">
        <f t="shared" si="40"/>
        <v>7319.6264413680838</v>
      </c>
      <c r="AB39" s="353">
        <f t="shared" si="40"/>
        <v>7577.6086243955833</v>
      </c>
      <c r="AC39" s="353">
        <f t="shared" si="40"/>
        <v>7836.4203924338426</v>
      </c>
      <c r="AD39" s="353">
        <f t="shared" si="40"/>
        <v>8096.0644131527069</v>
      </c>
      <c r="AE39" s="353">
        <f t="shared" si="40"/>
        <v>8356.5433628003611</v>
      </c>
      <c r="AF39" s="358">
        <f t="shared" si="40"/>
        <v>8617.8599262309144</v>
      </c>
      <c r="AG39" s="498">
        <f>SUM(G39:AF39)</f>
        <v>141274.69203823875</v>
      </c>
      <c r="AH39" s="7"/>
      <c r="AI39" s="7"/>
      <c r="AJ39" s="7"/>
      <c r="AK39" s="11"/>
      <c r="AL39" s="11"/>
      <c r="AM39" s="11"/>
      <c r="AN39" s="11"/>
    </row>
    <row r="40" spans="1:40" ht="14.45">
      <c r="A40" s="1235"/>
      <c r="B40" s="246">
        <v>31</v>
      </c>
      <c r="C40" s="248" t="s">
        <v>4171</v>
      </c>
      <c r="D40" s="349">
        <v>10674</v>
      </c>
      <c r="E40" s="346">
        <v>10952</v>
      </c>
      <c r="F40" s="351">
        <v>11925</v>
      </c>
      <c r="G40" s="357">
        <f>F40+(-G23)</f>
        <v>12901.520362776706</v>
      </c>
      <c r="H40" s="353">
        <f t="shared" ref="H40:AF40" si="41">G40+(-H23)</f>
        <v>13905.852846058715</v>
      </c>
      <c r="I40" s="353">
        <f t="shared" si="41"/>
        <v>14939.067310435661</v>
      </c>
      <c r="J40" s="358">
        <f t="shared" si="41"/>
        <v>16002.275558436151</v>
      </c>
      <c r="K40" s="456">
        <f t="shared" si="41"/>
        <v>17072.169585641288</v>
      </c>
      <c r="L40" s="353">
        <f t="shared" si="41"/>
        <v>18168.810963526554</v>
      </c>
      <c r="M40" s="353">
        <f t="shared" si="41"/>
        <v>19292.86837585895</v>
      </c>
      <c r="N40" s="353">
        <f t="shared" si="41"/>
        <v>20445.027223499656</v>
      </c>
      <c r="O40" s="353">
        <f t="shared" si="41"/>
        <v>21625.990042331377</v>
      </c>
      <c r="P40" s="353">
        <f t="shared" si="41"/>
        <v>22836.476931633893</v>
      </c>
      <c r="Q40" s="353">
        <f t="shared" si="41"/>
        <v>24077.225993168973</v>
      </c>
      <c r="R40" s="353">
        <f t="shared" si="41"/>
        <v>25348.993781242429</v>
      </c>
      <c r="S40" s="353">
        <f t="shared" si="41"/>
        <v>26652.555764017721</v>
      </c>
      <c r="T40" s="353">
        <f t="shared" si="41"/>
        <v>27988.706796362396</v>
      </c>
      <c r="U40" s="353">
        <f t="shared" si="41"/>
        <v>29358.261604515686</v>
      </c>
      <c r="V40" s="353">
        <f t="shared" si="41"/>
        <v>30755.207508832045</v>
      </c>
      <c r="W40" s="353">
        <f t="shared" si="41"/>
        <v>32180.092331234729</v>
      </c>
      <c r="X40" s="353">
        <f t="shared" si="41"/>
        <v>33633.474850085469</v>
      </c>
      <c r="Y40" s="353">
        <f t="shared" si="41"/>
        <v>35115.925019313225</v>
      </c>
      <c r="Z40" s="353">
        <f t="shared" si="41"/>
        <v>36628.024191925535</v>
      </c>
      <c r="AA40" s="353">
        <f t="shared" si="41"/>
        <v>38170.36534799009</v>
      </c>
      <c r="AB40" s="353">
        <f t="shared" si="41"/>
        <v>39743.553327175934</v>
      </c>
      <c r="AC40" s="353">
        <f t="shared" si="41"/>
        <v>41348.205065945498</v>
      </c>
      <c r="AD40" s="353">
        <f t="shared" si="41"/>
        <v>42984.949839490451</v>
      </c>
      <c r="AE40" s="353">
        <f t="shared" si="41"/>
        <v>44654.429508506306</v>
      </c>
      <c r="AF40" s="358">
        <f t="shared" si="41"/>
        <v>46357.298770902475</v>
      </c>
      <c r="AG40" s="498">
        <f>SUM(G40:AF40)</f>
        <v>732187.32890090789</v>
      </c>
      <c r="AH40" s="7"/>
      <c r="AI40" s="7"/>
      <c r="AJ40" s="7"/>
      <c r="AK40" s="11"/>
      <c r="AL40" s="11"/>
      <c r="AM40" s="11"/>
      <c r="AN40" s="11"/>
    </row>
    <row r="41" spans="1:40" ht="15" thickBot="1">
      <c r="A41" s="1235"/>
      <c r="B41" s="247">
        <v>32</v>
      </c>
      <c r="C41" s="243" t="s">
        <v>4172</v>
      </c>
      <c r="D41" s="583">
        <v>3868</v>
      </c>
      <c r="E41" s="584">
        <v>4212</v>
      </c>
      <c r="F41" s="585">
        <v>4803</v>
      </c>
      <c r="G41" s="586">
        <f>F41-G9</f>
        <v>5611.2461124947004</v>
      </c>
      <c r="H41" s="587">
        <f t="shared" ref="H41:AF41" si="42">G41-H9</f>
        <v>6485.6782867911779</v>
      </c>
      <c r="I41" s="587">
        <f t="shared" si="42"/>
        <v>7428.1815575459223</v>
      </c>
      <c r="J41" s="588">
        <f t="shared" si="42"/>
        <v>8440.7134718399502</v>
      </c>
      <c r="K41" s="589">
        <f t="shared" si="42"/>
        <v>9400.8500053461194</v>
      </c>
      <c r="L41" s="587">
        <f t="shared" si="42"/>
        <v>10425.180180484596</v>
      </c>
      <c r="M41" s="587">
        <f t="shared" si="42"/>
        <v>11515.308838296191</v>
      </c>
      <c r="N41" s="587">
        <f t="shared" si="42"/>
        <v>12672.880940847728</v>
      </c>
      <c r="O41" s="587">
        <f t="shared" si="42"/>
        <v>13899.582574257707</v>
      </c>
      <c r="P41" s="587">
        <f t="shared" si="42"/>
        <v>15197.141976797589</v>
      </c>
      <c r="Q41" s="587">
        <f t="shared" si="42"/>
        <v>16567.330592695624</v>
      </c>
      <c r="R41" s="587">
        <f t="shared" si="42"/>
        <v>18011.964152285764</v>
      </c>
      <c r="S41" s="587">
        <f t="shared" si="42"/>
        <v>19532.903779160308</v>
      </c>
      <c r="T41" s="587">
        <f t="shared" si="42"/>
        <v>21132.057125001371</v>
      </c>
      <c r="U41" s="587">
        <f t="shared" si="42"/>
        <v>22811.379532783114</v>
      </c>
      <c r="V41" s="587">
        <f t="shared" si="42"/>
        <v>24572.875229054054</v>
      </c>
      <c r="W41" s="587">
        <f t="shared" si="42"/>
        <v>26418.187679583978</v>
      </c>
      <c r="X41" s="587">
        <f t="shared" si="42"/>
        <v>28348.993219458062</v>
      </c>
      <c r="Y41" s="587">
        <f t="shared" si="42"/>
        <v>30367.001710463188</v>
      </c>
      <c r="Z41" s="587">
        <f t="shared" si="42"/>
        <v>32473.957211621982</v>
      </c>
      <c r="AA41" s="587">
        <f t="shared" si="42"/>
        <v>34671.638663137514</v>
      </c>
      <c r="AB41" s="587">
        <f t="shared" si="42"/>
        <v>36961.860584016918</v>
      </c>
      <c r="AC41" s="587">
        <f t="shared" si="42"/>
        <v>39346.473783647474</v>
      </c>
      <c r="AD41" s="587">
        <f t="shared" si="42"/>
        <v>41827.366087604205</v>
      </c>
      <c r="AE41" s="587">
        <f t="shared" si="42"/>
        <v>44406.463077973633</v>
      </c>
      <c r="AF41" s="588">
        <f t="shared" si="42"/>
        <v>47085.72884848401</v>
      </c>
      <c r="AG41" s="498">
        <f>SUM(G41:AF41)</f>
        <v>585612.94522167277</v>
      </c>
      <c r="AH41" s="7"/>
      <c r="AI41" s="7"/>
      <c r="AJ41" s="7"/>
      <c r="AK41" s="11"/>
      <c r="AL41" s="11"/>
      <c r="AM41" s="11"/>
      <c r="AN41" s="11"/>
    </row>
    <row r="42" spans="1:40" s="7" customFormat="1" ht="15" thickBot="1">
      <c r="A42" s="1229"/>
      <c r="B42" s="1230"/>
      <c r="C42" s="1230"/>
      <c r="D42" s="1230"/>
      <c r="E42" s="1230"/>
      <c r="F42" s="1230"/>
      <c r="G42" s="1230"/>
      <c r="H42" s="1230"/>
      <c r="I42" s="1230"/>
      <c r="J42" s="1230"/>
      <c r="K42" s="1230"/>
      <c r="L42" s="1230"/>
      <c r="M42" s="1230"/>
      <c r="N42" s="1230"/>
      <c r="O42" s="1230"/>
      <c r="P42" s="1230"/>
      <c r="Q42" s="1230"/>
      <c r="R42" s="1230"/>
      <c r="S42" s="1230"/>
      <c r="T42" s="1230"/>
      <c r="U42" s="1230"/>
      <c r="V42" s="1230"/>
      <c r="W42" s="1230"/>
      <c r="X42" s="1230"/>
      <c r="Y42" s="1230"/>
      <c r="Z42" s="1230"/>
      <c r="AA42" s="1230"/>
      <c r="AB42" s="1230"/>
      <c r="AC42" s="1230"/>
      <c r="AD42" s="1230"/>
      <c r="AE42" s="1230"/>
      <c r="AF42" s="1231"/>
      <c r="AG42" s="497"/>
      <c r="AK42" s="11"/>
      <c r="AL42" s="11"/>
      <c r="AM42" s="11"/>
      <c r="AN42" s="11"/>
    </row>
    <row r="43" spans="1:40" ht="15" customHeight="1">
      <c r="A43" s="1223" t="s">
        <v>4173</v>
      </c>
      <c r="B43" s="244">
        <v>33</v>
      </c>
      <c r="C43" s="248" t="s">
        <v>4174</v>
      </c>
      <c r="D43" s="576">
        <f>'Fin. Data'!D39</f>
        <v>3445</v>
      </c>
      <c r="E43" s="315">
        <f>E36+D43</f>
        <v>961</v>
      </c>
      <c r="F43" s="590">
        <f>F36+E43</f>
        <v>1202</v>
      </c>
      <c r="G43" s="591">
        <f>G36+F43</f>
        <v>2513.4777712801042</v>
      </c>
      <c r="H43" s="592">
        <f t="shared" ref="H43:AF43" si="43">H36+G43</f>
        <v>4531.9891560538999</v>
      </c>
      <c r="I43" s="592">
        <f t="shared" si="43"/>
        <v>6659.0700137635686</v>
      </c>
      <c r="J43" s="593">
        <f t="shared" si="43"/>
        <v>8305.0289223621985</v>
      </c>
      <c r="K43" s="709">
        <f t="shared" si="43"/>
        <v>7994.8947274602824</v>
      </c>
      <c r="L43" s="710">
        <f t="shared" si="43"/>
        <v>8055.7383682789605</v>
      </c>
      <c r="M43" s="710">
        <f t="shared" si="43"/>
        <v>8112.8930879093905</v>
      </c>
      <c r="N43" s="710">
        <f t="shared" si="43"/>
        <v>8148.8427121155919</v>
      </c>
      <c r="O43" s="710">
        <f t="shared" si="43"/>
        <v>8165.9400825112816</v>
      </c>
      <c r="P43" s="710">
        <f t="shared" si="43"/>
        <v>8165.0858265064289</v>
      </c>
      <c r="Q43" s="710">
        <f t="shared" si="43"/>
        <v>8141.3157357425498</v>
      </c>
      <c r="R43" s="710">
        <f t="shared" si="43"/>
        <v>8093.9511809789037</v>
      </c>
      <c r="S43" s="710">
        <f t="shared" si="43"/>
        <v>8021.2746805746492</v>
      </c>
      <c r="T43" s="710">
        <f t="shared" si="43"/>
        <v>7920.6710391278439</v>
      </c>
      <c r="U43" s="710">
        <f t="shared" si="43"/>
        <v>7790.3243514307624</v>
      </c>
      <c r="V43" s="710">
        <f t="shared" si="43"/>
        <v>7263.6858549050539</v>
      </c>
      <c r="W43" s="710">
        <f t="shared" si="43"/>
        <v>6770.8392262457364</v>
      </c>
      <c r="X43" s="710">
        <f t="shared" si="43"/>
        <v>6311.857441103426</v>
      </c>
      <c r="Y43" s="710">
        <f t="shared" si="43"/>
        <v>5886.6918198025232</v>
      </c>
      <c r="Z43" s="710">
        <f t="shared" si="43"/>
        <v>5495.65715294867</v>
      </c>
      <c r="AA43" s="710">
        <f t="shared" si="43"/>
        <v>5138.8732530469806</v>
      </c>
      <c r="AB43" s="710">
        <f t="shared" si="43"/>
        <v>4816.4757968041959</v>
      </c>
      <c r="AC43" s="710">
        <f t="shared" si="43"/>
        <v>4528.663080517741</v>
      </c>
      <c r="AD43" s="710">
        <f t="shared" si="43"/>
        <v>4275.5937295417552</v>
      </c>
      <c r="AE43" s="710">
        <f t="shared" si="43"/>
        <v>4057.4395013713711</v>
      </c>
      <c r="AF43" s="711">
        <f t="shared" si="43"/>
        <v>3874.3843553417028</v>
      </c>
      <c r="AG43" s="497"/>
      <c r="AH43" s="7"/>
      <c r="AI43" s="7"/>
      <c r="AJ43" s="7"/>
      <c r="AK43" s="11"/>
      <c r="AL43" s="11"/>
      <c r="AM43" s="11"/>
      <c r="AN43" s="11"/>
    </row>
    <row r="44" spans="1:40" ht="14.45">
      <c r="A44" s="1223"/>
      <c r="B44" s="244">
        <v>34</v>
      </c>
      <c r="C44" s="248" t="s">
        <v>302</v>
      </c>
      <c r="D44" s="576">
        <f>'Fin. Data'!D58</f>
        <v>21815</v>
      </c>
      <c r="E44" s="314">
        <f>'Fin. Data'!C58</f>
        <v>20070</v>
      </c>
      <c r="F44" s="577">
        <f>'Fin. Data'!B58</f>
        <v>20032</v>
      </c>
      <c r="G44" s="706">
        <f>G12*$D$67</f>
        <v>20249.489183913873</v>
      </c>
      <c r="H44" s="707">
        <f>H12*$D$67</f>
        <v>21064.034241872687</v>
      </c>
      <c r="I44" s="707">
        <f>I12*$D$67</f>
        <v>21905.491935228823</v>
      </c>
      <c r="J44" s="708">
        <f>J12*$D$67</f>
        <v>22774.826805544795</v>
      </c>
      <c r="K44" s="706">
        <f t="shared" ref="K44:AF44" si="44">K12*$E$67</f>
        <v>23516.322164505516</v>
      </c>
      <c r="L44" s="707">
        <f t="shared" si="44"/>
        <v>24700.508143345054</v>
      </c>
      <c r="M44" s="707">
        <f t="shared" si="44"/>
        <v>25926.09481033991</v>
      </c>
      <c r="N44" s="707">
        <f t="shared" si="44"/>
        <v>27194.413388371817</v>
      </c>
      <c r="O44" s="707">
        <f t="shared" si="44"/>
        <v>28506.835790231999</v>
      </c>
      <c r="P44" s="707">
        <f t="shared" si="44"/>
        <v>29864.775821115869</v>
      </c>
      <c r="Q44" s="707">
        <f t="shared" si="44"/>
        <v>31269.690415811241</v>
      </c>
      <c r="R44" s="707">
        <f t="shared" si="44"/>
        <v>32723.080911563324</v>
      </c>
      <c r="S44" s="707">
        <f t="shared" si="44"/>
        <v>34226.494357626922</v>
      </c>
      <c r="T44" s="707">
        <f t="shared" si="44"/>
        <v>35781.524862544858</v>
      </c>
      <c r="U44" s="707">
        <f t="shared" si="44"/>
        <v>37389.814980220239</v>
      </c>
      <c r="V44" s="707">
        <f t="shared" si="44"/>
        <v>38365.506476551527</v>
      </c>
      <c r="W44" s="707">
        <f t="shared" si="44"/>
        <v>39362.117345077902</v>
      </c>
      <c r="X44" s="707">
        <f t="shared" si="44"/>
        <v>40380.094883880418</v>
      </c>
      <c r="Y44" s="707">
        <f t="shared" si="44"/>
        <v>41419.895917786329</v>
      </c>
      <c r="Z44" s="707">
        <f t="shared" si="44"/>
        <v>42481.98700052801</v>
      </c>
      <c r="AA44" s="707">
        <f t="shared" si="44"/>
        <v>43566.844621177537</v>
      </c>
      <c r="AB44" s="707">
        <f t="shared" si="44"/>
        <v>44674.955414947071</v>
      </c>
      <c r="AC44" s="707">
        <f t="shared" si="44"/>
        <v>45806.816378447213</v>
      </c>
      <c r="AD44" s="707">
        <f t="shared" si="44"/>
        <v>46962.935089497223</v>
      </c>
      <c r="AE44" s="707">
        <f t="shared" si="44"/>
        <v>48143.829931583117</v>
      </c>
      <c r="AF44" s="708">
        <f t="shared" si="44"/>
        <v>49350.030323061641</v>
      </c>
      <c r="AG44" s="512"/>
      <c r="AH44" s="11"/>
      <c r="AI44" s="11"/>
      <c r="AJ44" s="11"/>
      <c r="AK44" s="11"/>
      <c r="AL44" s="11"/>
      <c r="AM44" s="11"/>
      <c r="AN44" s="11"/>
    </row>
    <row r="45" spans="1:40" ht="14.45">
      <c r="A45" s="1223"/>
      <c r="B45" s="244">
        <v>35</v>
      </c>
      <c r="C45" s="248" t="s">
        <v>4175</v>
      </c>
      <c r="D45" s="578"/>
      <c r="E45" s="418"/>
      <c r="F45" s="579">
        <f>1/((1+$F$50)^G50)</f>
        <v>1</v>
      </c>
      <c r="G45" s="364">
        <f t="shared" ref="G45:AF45" si="45">1/((1+$F$50)^G49)</f>
        <v>0.91628793432048095</v>
      </c>
      <c r="H45" s="309">
        <f t="shared" si="45"/>
        <v>0.83958357858129407</v>
      </c>
      <c r="I45" s="309">
        <f t="shared" si="45"/>
        <v>0.76930030290765117</v>
      </c>
      <c r="J45" s="365">
        <f t="shared" si="45"/>
        <v>0.70490058542337197</v>
      </c>
      <c r="K45" s="364">
        <f t="shared" si="45"/>
        <v>0.64589190131887919</v>
      </c>
      <c r="L45" s="309">
        <f t="shared" si="45"/>
        <v>0.59182295605380375</v>
      </c>
      <c r="M45" s="309">
        <f t="shared" si="45"/>
        <v>0.54228023388598068</v>
      </c>
      <c r="N45" s="309">
        <f t="shared" si="45"/>
        <v>0.49688483533021249</v>
      </c>
      <c r="O45" s="309">
        <f t="shared" si="45"/>
        <v>0.45528957935989278</v>
      </c>
      <c r="P45" s="309">
        <f t="shared" si="45"/>
        <v>0.41717634818931676</v>
      </c>
      <c r="Q45" s="309">
        <f t="shared" si="45"/>
        <v>0.38225365432975084</v>
      </c>
      <c r="R45" s="309">
        <f t="shared" si="45"/>
        <v>0.35025441131226254</v>
      </c>
      <c r="S45" s="309">
        <f t="shared" si="45"/>
        <v>0.32093389102794917</v>
      </c>
      <c r="T45" s="309">
        <f t="shared" si="45"/>
        <v>0.29406785206343383</v>
      </c>
      <c r="U45" s="309">
        <f t="shared" si="45"/>
        <v>0.26945082471726461</v>
      </c>
      <c r="V45" s="309">
        <f t="shared" si="45"/>
        <v>0.24689453958113236</v>
      </c>
      <c r="W45" s="309">
        <f t="shared" si="45"/>
        <v>0.22622648766780204</v>
      </c>
      <c r="X45" s="309">
        <f t="shared" si="45"/>
        <v>0.20728860107370806</v>
      </c>
      <c r="Y45" s="309">
        <f t="shared" si="45"/>
        <v>0.1899360440860102</v>
      </c>
      <c r="Z45" s="309">
        <f t="shared" si="45"/>
        <v>0.17403610548857409</v>
      </c>
      <c r="AA45" s="309">
        <f t="shared" si="45"/>
        <v>0.15946718359530687</v>
      </c>
      <c r="AB45" s="309">
        <f t="shared" si="45"/>
        <v>0.14611785624844859</v>
      </c>
      <c r="AC45" s="309">
        <f t="shared" si="45"/>
        <v>0.13388602866922797</v>
      </c>
      <c r="AD45" s="309">
        <f t="shared" si="45"/>
        <v>0.12267815264369958</v>
      </c>
      <c r="AE45" s="309">
        <f t="shared" si="45"/>
        <v>0.11240851107214817</v>
      </c>
      <c r="AF45" s="704">
        <f t="shared" si="45"/>
        <v>0.10299856241033953</v>
      </c>
      <c r="AG45" s="512"/>
      <c r="AH45" s="11"/>
      <c r="AI45" s="11"/>
      <c r="AJ45" s="11"/>
      <c r="AK45" s="11"/>
      <c r="AL45" s="11"/>
      <c r="AM45" s="11"/>
      <c r="AN45" s="11"/>
    </row>
    <row r="46" spans="1:40" ht="14.45">
      <c r="A46" s="1223"/>
      <c r="B46" s="244">
        <v>36</v>
      </c>
      <c r="C46" s="248" t="s">
        <v>4176</v>
      </c>
      <c r="D46" s="580"/>
      <c r="E46" s="581" t="s">
        <v>4177</v>
      </c>
      <c r="F46" s="365">
        <f>1/((1+$F$50+0.001)^G50)</f>
        <v>1</v>
      </c>
      <c r="G46" s="364">
        <f>1/((1+$F$50+0.001)^G49)</f>
        <v>0.91544911933794737</v>
      </c>
      <c r="H46" s="309">
        <f t="shared" ref="H46:AF46" si="46">1/((1+$F$50+0.001)^H49)</f>
        <v>0.83804709009662348</v>
      </c>
      <c r="I46" s="309">
        <f t="shared" si="46"/>
        <v>0.76718947059268339</v>
      </c>
      <c r="J46" s="365">
        <f t="shared" si="46"/>
        <v>0.70232292521941819</v>
      </c>
      <c r="K46" s="364">
        <f t="shared" si="46"/>
        <v>0.6429409033829675</v>
      </c>
      <c r="L46" s="309">
        <f t="shared" si="46"/>
        <v>0.58857968378828185</v>
      </c>
      <c r="M46" s="309">
        <f t="shared" si="46"/>
        <v>0.53881475318419014</v>
      </c>
      <c r="N46" s="309">
        <f t="shared" si="46"/>
        <v>0.49325749128876045</v>
      </c>
      <c r="O46" s="309">
        <f t="shared" si="46"/>
        <v>0.45155213600714095</v>
      </c>
      <c r="P46" s="309">
        <f t="shared" si="46"/>
        <v>0.41337300524290632</v>
      </c>
      <c r="Q46" s="309">
        <f t="shared" si="46"/>
        <v>0.3784219536076992</v>
      </c>
      <c r="R46" s="309">
        <f t="shared" si="46"/>
        <v>0.34642604416831391</v>
      </c>
      <c r="S46" s="309">
        <f t="shared" si="46"/>
        <v>0.31713541704961185</v>
      </c>
      <c r="T46" s="309">
        <f t="shared" si="46"/>
        <v>0.2903213382489398</v>
      </c>
      <c r="U46" s="309">
        <f t="shared" si="46"/>
        <v>0.2657744134250063</v>
      </c>
      <c r="V46" s="309">
        <f t="shared" si="46"/>
        <v>0.24330295271248159</v>
      </c>
      <c r="W46" s="309">
        <f t="shared" si="46"/>
        <v>0.22273147379296354</v>
      </c>
      <c r="X46" s="309">
        <f t="shared" si="46"/>
        <v>0.20389933153261158</v>
      </c>
      <c r="Y46" s="309">
        <f t="shared" si="46"/>
        <v>0.18665946348512544</v>
      </c>
      <c r="Z46" s="309">
        <f t="shared" si="46"/>
        <v>0.17087724146355182</v>
      </c>
      <c r="AA46" s="309">
        <f t="shared" si="46"/>
        <v>0.15642942021270634</v>
      </c>
      <c r="AB46" s="309">
        <f t="shared" si="46"/>
        <v>0.1432031749722677</v>
      </c>
      <c r="AC46" s="309">
        <f t="shared" si="46"/>
        <v>0.13109522041476046</v>
      </c>
      <c r="AD46" s="309">
        <f t="shared" si="46"/>
        <v>0.12001100407810657</v>
      </c>
      <c r="AE46" s="309">
        <f t="shared" si="46"/>
        <v>0.10986396799416548</v>
      </c>
      <c r="AF46" s="365">
        <f t="shared" si="46"/>
        <v>0.10057487274723123</v>
      </c>
      <c r="AG46" s="512"/>
      <c r="AH46" s="11"/>
      <c r="AI46" s="11"/>
      <c r="AJ46" s="11"/>
      <c r="AK46" s="11"/>
      <c r="AL46" s="11"/>
      <c r="AM46" s="11"/>
      <c r="AN46" s="11"/>
    </row>
    <row r="47" spans="1:40" ht="15" thickBot="1">
      <c r="A47" s="1223"/>
      <c r="B47" s="245">
        <v>37</v>
      </c>
      <c r="C47" s="243" t="s">
        <v>4178</v>
      </c>
      <c r="D47" s="580"/>
      <c r="E47" s="581" t="s">
        <v>4179</v>
      </c>
      <c r="F47" s="594">
        <f>1/((1+$F$50+0.005)^G50)</f>
        <v>1</v>
      </c>
      <c r="G47" s="595">
        <f t="shared" ref="G47:AF47" si="47">1/((1+$F$50+0.005)^G49)</f>
        <v>0.91210916122441554</v>
      </c>
      <c r="H47" s="596">
        <f t="shared" si="47"/>
        <v>0.83194312198950682</v>
      </c>
      <c r="I47" s="596">
        <f t="shared" si="47"/>
        <v>0.75882294318427068</v>
      </c>
      <c r="J47" s="594">
        <f t="shared" si="47"/>
        <v>0.69212935822564747</v>
      </c>
      <c r="K47" s="712">
        <f t="shared" si="47"/>
        <v>0.63129752838998832</v>
      </c>
      <c r="L47" s="713">
        <f t="shared" si="47"/>
        <v>0.57581225910283884</v>
      </c>
      <c r="M47" s="713">
        <f t="shared" si="47"/>
        <v>0.52520363667302616</v>
      </c>
      <c r="N47" s="713">
        <f t="shared" si="47"/>
        <v>0.47904304851784663</v>
      </c>
      <c r="O47" s="713">
        <f t="shared" si="47"/>
        <v>0.43693955317400002</v>
      </c>
      <c r="P47" s="713">
        <f t="shared" si="47"/>
        <v>0.3985365693513081</v>
      </c>
      <c r="Q47" s="713">
        <f t="shared" si="47"/>
        <v>0.36350885598827776</v>
      </c>
      <c r="R47" s="713">
        <f t="shared" si="47"/>
        <v>0.33155975773311491</v>
      </c>
      <c r="S47" s="713">
        <f t="shared" si="47"/>
        <v>0.30241869252172182</v>
      </c>
      <c r="T47" s="713">
        <f t="shared" si="47"/>
        <v>0.27583885997457208</v>
      </c>
      <c r="U47" s="713">
        <f t="shared" si="47"/>
        <v>0.25159515120450598</v>
      </c>
      <c r="V47" s="713">
        <f t="shared" si="47"/>
        <v>0.22948224233327197</v>
      </c>
      <c r="W47" s="713">
        <f t="shared" si="47"/>
        <v>0.20931285557049875</v>
      </c>
      <c r="X47" s="713">
        <f t="shared" si="47"/>
        <v>0.19091617312789486</v>
      </c>
      <c r="Y47" s="713">
        <f t="shared" si="47"/>
        <v>0.17413639053585947</v>
      </c>
      <c r="Z47" s="713">
        <f t="shared" si="47"/>
        <v>0.15883139711031002</v>
      </c>
      <c r="AA47" s="713">
        <f t="shared" si="47"/>
        <v>0.14487157239438694</v>
      </c>
      <c r="AB47" s="713">
        <f t="shared" si="47"/>
        <v>0.13213868838190646</v>
      </c>
      <c r="AC47" s="713">
        <f t="shared" si="47"/>
        <v>0.12052490822531511</v>
      </c>
      <c r="AD47" s="713">
        <f t="shared" si="47"/>
        <v>0.10993187294804184</v>
      </c>
      <c r="AE47" s="713">
        <f t="shared" si="47"/>
        <v>0.10026986842646744</v>
      </c>
      <c r="AF47" s="714">
        <f t="shared" si="47"/>
        <v>9.1457065586547731E-2</v>
      </c>
      <c r="AG47" s="512"/>
      <c r="AH47" s="11"/>
      <c r="AI47" s="11"/>
      <c r="AJ47" s="11"/>
      <c r="AK47" s="11"/>
      <c r="AL47" s="11"/>
      <c r="AM47" s="11"/>
      <c r="AN47" s="11"/>
    </row>
    <row r="48" spans="1:40" ht="15" thickBot="1">
      <c r="A48" s="1232" t="s">
        <v>4148</v>
      </c>
      <c r="B48" s="1233"/>
      <c r="C48" s="1233"/>
      <c r="D48" s="1233"/>
      <c r="E48" s="1233"/>
      <c r="F48" s="1233"/>
      <c r="G48" s="1233"/>
      <c r="H48" s="1233"/>
      <c r="I48" s="1233"/>
      <c r="J48" s="1233"/>
      <c r="K48" s="1233"/>
      <c r="L48" s="1233"/>
      <c r="M48" s="1233"/>
      <c r="N48" s="1233"/>
      <c r="O48" s="1233"/>
      <c r="P48" s="1233"/>
      <c r="Q48" s="1233"/>
      <c r="R48" s="1233"/>
      <c r="S48" s="1233"/>
      <c r="T48" s="1233"/>
      <c r="U48" s="1233"/>
      <c r="V48" s="1233"/>
      <c r="W48" s="1233"/>
      <c r="X48" s="1233"/>
      <c r="Y48" s="1233"/>
      <c r="Z48" s="1233"/>
      <c r="AA48" s="1233"/>
      <c r="AB48" s="1233"/>
      <c r="AC48" s="1233"/>
      <c r="AD48" s="1233"/>
      <c r="AE48" s="1233"/>
      <c r="AF48" s="1234"/>
      <c r="AG48" s="512"/>
      <c r="AH48" s="11"/>
      <c r="AI48" s="11"/>
      <c r="AJ48" s="514"/>
      <c r="AK48" s="11"/>
      <c r="AL48" s="11"/>
      <c r="AM48" s="11"/>
      <c r="AN48" s="11"/>
    </row>
    <row r="49" spans="1:40" ht="14.45">
      <c r="A49" s="1237" t="s">
        <v>4180</v>
      </c>
      <c r="C49" s="259" t="s">
        <v>4181</v>
      </c>
      <c r="D49" s="249" t="s">
        <v>4182</v>
      </c>
      <c r="E49" s="250" t="s">
        <v>4183</v>
      </c>
      <c r="F49" s="260" t="s">
        <v>4184</v>
      </c>
      <c r="G49" s="310">
        <v>1</v>
      </c>
      <c r="H49" s="311">
        <v>2</v>
      </c>
      <c r="I49" s="311">
        <v>3</v>
      </c>
      <c r="J49" s="310">
        <v>4</v>
      </c>
      <c r="K49" s="311">
        <v>5</v>
      </c>
      <c r="L49" s="311">
        <v>6</v>
      </c>
      <c r="M49" s="310">
        <v>7</v>
      </c>
      <c r="N49" s="311">
        <v>8</v>
      </c>
      <c r="O49" s="311">
        <v>9</v>
      </c>
      <c r="P49" s="310">
        <v>10</v>
      </c>
      <c r="Q49" s="311">
        <v>11</v>
      </c>
      <c r="R49" s="311">
        <v>12</v>
      </c>
      <c r="S49" s="310">
        <v>13</v>
      </c>
      <c r="T49" s="311">
        <v>14</v>
      </c>
      <c r="U49" s="311">
        <v>15</v>
      </c>
      <c r="V49" s="310">
        <v>16</v>
      </c>
      <c r="W49" s="311">
        <v>17</v>
      </c>
      <c r="X49" s="311">
        <v>18</v>
      </c>
      <c r="Y49" s="310">
        <v>19</v>
      </c>
      <c r="Z49" s="311">
        <v>20</v>
      </c>
      <c r="AA49" s="311">
        <v>21</v>
      </c>
      <c r="AB49" s="310">
        <v>22</v>
      </c>
      <c r="AC49" s="311">
        <v>23</v>
      </c>
      <c r="AD49" s="311">
        <v>24</v>
      </c>
      <c r="AE49" s="310">
        <v>25</v>
      </c>
      <c r="AF49" s="311">
        <v>26</v>
      </c>
      <c r="AG49" s="512"/>
      <c r="AH49" s="11"/>
      <c r="AI49" s="11"/>
      <c r="AJ49" s="11"/>
      <c r="AK49" s="11"/>
      <c r="AL49" s="11"/>
      <c r="AM49" s="11"/>
      <c r="AN49" s="11"/>
    </row>
    <row r="50" spans="1:40" ht="15" thickBot="1">
      <c r="A50" s="1238"/>
      <c r="C50" s="255">
        <v>4.1860000000000001E-2</v>
      </c>
      <c r="D50" s="256">
        <v>4.7E-2</v>
      </c>
      <c r="E50" s="257">
        <v>2.5000000000000001E-3</v>
      </c>
      <c r="F50" s="258">
        <f>E50+D50+C50</f>
        <v>9.1359999999999997E-2</v>
      </c>
      <c r="G50" s="310">
        <v>0</v>
      </c>
      <c r="H50" s="848"/>
      <c r="I50" s="848"/>
      <c r="S50" s="242"/>
      <c r="T50" s="242"/>
      <c r="U50" s="242"/>
      <c r="V50" s="242"/>
      <c r="W50" s="242"/>
      <c r="X50" s="242"/>
      <c r="Y50" s="242"/>
      <c r="Z50" s="242"/>
      <c r="AA50" s="242"/>
      <c r="AB50" s="242"/>
      <c r="AC50" s="242"/>
      <c r="AD50" s="242"/>
      <c r="AE50" s="242"/>
      <c r="AF50" s="242"/>
      <c r="AG50" s="511"/>
      <c r="AH50" s="11"/>
      <c r="AI50" s="11"/>
      <c r="AJ50" s="11"/>
      <c r="AK50" s="11"/>
      <c r="AL50" s="11"/>
      <c r="AM50" s="11"/>
      <c r="AN50" s="11"/>
    </row>
    <row r="51" spans="1:40" ht="14.45">
      <c r="A51" s="242"/>
      <c r="C51" s="242"/>
      <c r="D51" s="242"/>
      <c r="G51"/>
      <c r="H51" s="849"/>
      <c r="I51" s="242"/>
      <c r="J51" s="242"/>
      <c r="K51" s="242"/>
      <c r="S51" s="242"/>
      <c r="T51" s="242"/>
      <c r="U51" s="242"/>
      <c r="V51" s="242"/>
      <c r="W51" s="242"/>
      <c r="X51" s="242"/>
      <c r="Y51" s="242"/>
      <c r="Z51" s="242"/>
      <c r="AA51" s="242"/>
      <c r="AB51" s="242"/>
      <c r="AC51" s="242"/>
      <c r="AD51" s="242"/>
      <c r="AE51" s="242"/>
      <c r="AF51" s="242"/>
      <c r="AG51" s="511"/>
      <c r="AH51" s="11"/>
      <c r="AI51" s="11"/>
      <c r="AJ51" s="11"/>
      <c r="AK51" s="11"/>
      <c r="AL51" s="11"/>
      <c r="AM51" s="11"/>
      <c r="AN51" s="11"/>
    </row>
    <row r="52" spans="1:40" ht="15" customHeight="1">
      <c r="A52" s="1239" t="s">
        <v>4185</v>
      </c>
      <c r="C52" s="438" t="s">
        <v>4148</v>
      </c>
      <c r="D52" s="439" t="s">
        <v>4125</v>
      </c>
      <c r="E52" s="440" t="s">
        <v>4126</v>
      </c>
      <c r="F52" s="439" t="s">
        <v>4186</v>
      </c>
      <c r="G52" s="242"/>
      <c r="I52" s="474"/>
      <c r="J52" s="474"/>
      <c r="K52" s="242"/>
      <c r="S52" s="242"/>
      <c r="T52" s="242"/>
      <c r="U52" s="242"/>
      <c r="V52" s="242"/>
      <c r="W52" s="242"/>
      <c r="X52" s="242"/>
      <c r="Y52" s="242"/>
      <c r="Z52" s="242"/>
      <c r="AA52" s="242"/>
      <c r="AB52" s="242"/>
      <c r="AC52" s="242"/>
      <c r="AD52" s="242"/>
      <c r="AE52" s="242"/>
      <c r="AF52" s="242"/>
      <c r="AG52" s="511"/>
      <c r="AH52" s="11"/>
      <c r="AI52" s="11"/>
      <c r="AJ52" s="11"/>
      <c r="AK52" s="11"/>
      <c r="AL52" s="11"/>
      <c r="AM52" s="11"/>
      <c r="AN52" s="11"/>
    </row>
    <row r="53" spans="1:40" ht="15" customHeight="1">
      <c r="A53" s="1239"/>
      <c r="C53" s="441" t="s">
        <v>4187</v>
      </c>
      <c r="D53" s="407">
        <f>Assumptions!D17</f>
        <v>-6.7777451781526263E-2</v>
      </c>
      <c r="E53" s="408">
        <f>Assumptions!E17</f>
        <v>-0.06</v>
      </c>
      <c r="F53" s="442" t="str">
        <f>Assumptions!G17</f>
        <v>% PPE</v>
      </c>
      <c r="G53" s="480"/>
      <c r="I53" s="242"/>
      <c r="J53" s="242"/>
      <c r="K53" s="242"/>
      <c r="S53" s="242"/>
      <c r="T53" s="242"/>
      <c r="U53" s="242"/>
      <c r="V53" s="242"/>
      <c r="W53" s="242"/>
      <c r="X53" s="242"/>
      <c r="Y53" s="242"/>
      <c r="Z53" s="242"/>
      <c r="AA53" s="242"/>
      <c r="AB53" s="242"/>
      <c r="AC53" s="242"/>
      <c r="AD53" s="242"/>
      <c r="AE53" s="242"/>
      <c r="AF53" s="242"/>
      <c r="AG53" s="511"/>
      <c r="AH53" s="11"/>
      <c r="AI53" s="11"/>
      <c r="AJ53" s="11"/>
      <c r="AK53" s="11"/>
      <c r="AL53" s="11"/>
      <c r="AM53" s="11"/>
      <c r="AN53" s="11"/>
    </row>
    <row r="54" spans="1:40" ht="15" customHeight="1">
      <c r="A54" s="1239"/>
      <c r="C54" s="443" t="s">
        <v>4188</v>
      </c>
      <c r="D54" s="407">
        <f>Assumptions!D18</f>
        <v>-3.2156678458371913E-3</v>
      </c>
      <c r="E54" s="408">
        <f>Assumptions!E18</f>
        <v>-3.2156678458371913E-3</v>
      </c>
      <c r="F54" s="442" t="str">
        <f>Assumptions!G18</f>
        <v>% IA</v>
      </c>
      <c r="G54" s="242"/>
      <c r="I54" s="242"/>
      <c r="J54" s="242"/>
      <c r="K54" s="242"/>
      <c r="S54" s="242"/>
      <c r="T54" s="242"/>
      <c r="U54" s="242"/>
      <c r="V54" s="242"/>
      <c r="W54" s="242"/>
      <c r="X54" s="242"/>
      <c r="Y54" s="242"/>
      <c r="Z54" s="242"/>
      <c r="AA54" s="242"/>
      <c r="AB54" s="242"/>
      <c r="AC54" s="242"/>
      <c r="AD54" s="242"/>
      <c r="AE54" s="242"/>
      <c r="AF54" s="242"/>
      <c r="AG54" s="511"/>
      <c r="AH54" s="11"/>
      <c r="AI54" s="11"/>
      <c r="AJ54" s="11"/>
      <c r="AK54" s="11"/>
      <c r="AL54" s="11"/>
      <c r="AM54" s="11"/>
      <c r="AN54" s="11"/>
    </row>
    <row r="55" spans="1:40" ht="15" customHeight="1">
      <c r="A55" s="1239"/>
      <c r="C55" s="417" t="s">
        <v>4189</v>
      </c>
      <c r="D55" s="407">
        <f>Assumptions!D19</f>
        <v>-5.2489736719713307E-3</v>
      </c>
      <c r="E55" s="408">
        <f>Assumptions!E19</f>
        <v>-5.2489736719713307E-3</v>
      </c>
      <c r="F55" s="442" t="str">
        <f>Assumptions!G19</f>
        <v>% Revenue</v>
      </c>
      <c r="G55" s="242"/>
      <c r="I55" s="242"/>
      <c r="J55" s="242"/>
      <c r="K55" s="242"/>
      <c r="L55" s="242"/>
      <c r="M55" s="242"/>
      <c r="N55" s="242"/>
      <c r="O55" s="242"/>
      <c r="P55" s="242"/>
      <c r="Q55" s="242"/>
      <c r="R55" s="242"/>
      <c r="S55" s="242"/>
      <c r="T55" s="242"/>
      <c r="U55" s="242"/>
      <c r="V55" s="242"/>
      <c r="W55" s="242"/>
      <c r="X55" s="242"/>
      <c r="Y55" s="242"/>
      <c r="Z55" s="242"/>
      <c r="AA55" s="242"/>
      <c r="AB55" s="242"/>
      <c r="AC55" s="242"/>
      <c r="AD55" s="242"/>
      <c r="AE55" s="242"/>
      <c r="AF55" s="242"/>
      <c r="AG55" s="511"/>
      <c r="AH55" s="11"/>
      <c r="AI55" s="11"/>
      <c r="AJ55" s="11"/>
      <c r="AK55" s="11"/>
      <c r="AL55" s="11"/>
      <c r="AM55" s="11"/>
      <c r="AN55" s="11"/>
    </row>
    <row r="56" spans="1:40" ht="15" customHeight="1">
      <c r="A56" s="1239"/>
      <c r="C56" s="443" t="s">
        <v>4190</v>
      </c>
      <c r="D56" s="407">
        <f>Assumptions!D20</f>
        <v>0.21</v>
      </c>
      <c r="E56" s="408">
        <f>Assumptions!E20</f>
        <v>0.27</v>
      </c>
      <c r="F56" s="442" t="str">
        <f>Assumptions!G20</f>
        <v>% EBT</v>
      </c>
      <c r="G56" s="242"/>
      <c r="I56" s="242"/>
      <c r="J56" s="242"/>
      <c r="K56" s="242"/>
      <c r="L56" s="242"/>
      <c r="M56" s="242"/>
      <c r="N56" s="242"/>
      <c r="O56" s="242"/>
      <c r="P56" s="242"/>
      <c r="Q56" s="242"/>
      <c r="R56" s="242"/>
      <c r="S56" s="242"/>
      <c r="T56" s="242"/>
      <c r="U56" s="242"/>
      <c r="V56" s="242"/>
      <c r="W56" s="242"/>
      <c r="X56" s="242"/>
      <c r="Y56" s="242"/>
      <c r="Z56" s="242"/>
      <c r="AA56" s="242"/>
      <c r="AB56" s="242"/>
      <c r="AC56" s="242"/>
      <c r="AD56" s="242"/>
      <c r="AE56" s="242"/>
      <c r="AF56" s="242"/>
      <c r="AG56" s="511"/>
      <c r="AH56" s="11"/>
      <c r="AI56" s="11"/>
      <c r="AJ56" s="11"/>
      <c r="AK56" s="11"/>
      <c r="AL56" s="11"/>
      <c r="AM56" s="11"/>
      <c r="AN56" s="11"/>
    </row>
    <row r="57" spans="1:40" ht="15" customHeight="1">
      <c r="A57" s="1239"/>
      <c r="C57" s="417" t="s">
        <v>4191</v>
      </c>
      <c r="D57" s="407">
        <f>Assumptions!D21</f>
        <v>4.680087853563019E-2</v>
      </c>
      <c r="E57" s="408">
        <f>Assumptions!E21</f>
        <v>5.6559999999999999E-2</v>
      </c>
      <c r="F57" s="442" t="str">
        <f>Assumptions!G21</f>
        <v>% Debt</v>
      </c>
      <c r="G57" s="242"/>
      <c r="I57" s="242"/>
      <c r="J57" s="242"/>
      <c r="K57" s="242"/>
      <c r="L57" s="242"/>
      <c r="M57" s="242"/>
      <c r="N57" s="242"/>
      <c r="O57" s="242"/>
      <c r="P57" s="242"/>
      <c r="Q57" s="242"/>
      <c r="R57" s="242"/>
      <c r="S57" s="242"/>
      <c r="T57" s="242"/>
      <c r="U57" s="242"/>
      <c r="V57" s="242"/>
      <c r="W57" s="242"/>
      <c r="X57" s="242"/>
      <c r="Y57" s="242"/>
      <c r="Z57" s="242"/>
      <c r="AA57" s="242"/>
      <c r="AB57" s="242"/>
      <c r="AC57" s="242"/>
      <c r="AD57" s="242"/>
      <c r="AE57" s="242"/>
      <c r="AF57" s="242"/>
      <c r="AG57" s="511"/>
      <c r="AH57" s="11"/>
      <c r="AI57" s="11"/>
      <c r="AJ57" s="11"/>
      <c r="AK57" s="11"/>
      <c r="AL57" s="11"/>
      <c r="AM57" s="11"/>
      <c r="AN57" s="11"/>
    </row>
    <row r="58" spans="1:40" ht="15" customHeight="1">
      <c r="A58" s="1239"/>
      <c r="C58" s="443" t="s">
        <v>4192</v>
      </c>
      <c r="D58" s="407">
        <f>Assumptions!D22</f>
        <v>1.6517034704637008E-2</v>
      </c>
      <c r="E58" s="408">
        <f>Assumptions!E22</f>
        <v>1.4999999999999999E-2</v>
      </c>
      <c r="F58" s="442" t="str">
        <f>Assumptions!G22</f>
        <v xml:space="preserve">% Cash </v>
      </c>
      <c r="G58" s="242"/>
      <c r="H58" s="242"/>
      <c r="I58" s="243"/>
      <c r="J58" s="262"/>
      <c r="K58" s="262"/>
      <c r="L58" s="262"/>
      <c r="M58" s="262"/>
      <c r="N58" s="262"/>
      <c r="O58" s="242"/>
      <c r="P58" s="242"/>
      <c r="Q58" s="242"/>
      <c r="R58" s="242"/>
      <c r="S58" s="242"/>
      <c r="T58" s="242"/>
      <c r="U58" s="242"/>
      <c r="V58" s="242"/>
      <c r="W58" s="242"/>
      <c r="X58" s="242"/>
      <c r="Y58" s="242"/>
      <c r="Z58" s="242"/>
      <c r="AA58" s="242"/>
      <c r="AB58" s="242"/>
      <c r="AC58" s="242"/>
      <c r="AD58" s="242"/>
      <c r="AE58" s="242"/>
      <c r="AF58" s="242"/>
      <c r="AG58" s="511"/>
      <c r="AH58" s="11"/>
      <c r="AI58" s="11"/>
      <c r="AJ58" s="11"/>
      <c r="AK58" s="11"/>
      <c r="AL58" s="11"/>
      <c r="AM58" s="11"/>
      <c r="AN58" s="11"/>
    </row>
    <row r="59" spans="1:40" ht="15" customHeight="1">
      <c r="A59" s="1239"/>
      <c r="C59" s="417" t="s">
        <v>4193</v>
      </c>
      <c r="D59" s="407" t="str">
        <f>Assumptions!D23</f>
        <v>- -</v>
      </c>
      <c r="E59" s="408" t="str">
        <f>Assumptions!E23</f>
        <v>- -</v>
      </c>
      <c r="F59" s="442" t="str">
        <f>Assumptions!G23</f>
        <v>Growing with CAPEX</v>
      </c>
      <c r="G59" s="242"/>
      <c r="H59" s="242"/>
      <c r="I59" s="242"/>
      <c r="J59" s="263"/>
      <c r="K59" s="263"/>
      <c r="L59" s="263"/>
      <c r="M59" s="263"/>
      <c r="N59" s="262"/>
      <c r="O59" s="242"/>
      <c r="P59" s="242"/>
      <c r="Q59" s="242"/>
      <c r="R59" s="242"/>
      <c r="S59" s="242"/>
      <c r="T59" s="242"/>
      <c r="U59" s="242"/>
      <c r="V59" s="242"/>
      <c r="W59" s="242"/>
      <c r="X59" s="242"/>
      <c r="Y59" s="242"/>
      <c r="Z59" s="242"/>
      <c r="AA59" s="242"/>
      <c r="AB59" s="242"/>
      <c r="AC59" s="242"/>
      <c r="AD59" s="242"/>
      <c r="AE59" s="242"/>
      <c r="AF59" s="242"/>
      <c r="AG59" s="511"/>
      <c r="AH59" s="11"/>
      <c r="AI59" s="11"/>
      <c r="AJ59" s="11"/>
      <c r="AK59" s="11"/>
      <c r="AL59" s="11"/>
      <c r="AM59" s="11"/>
      <c r="AN59" s="11"/>
    </row>
    <row r="60" spans="1:40" ht="15" customHeight="1">
      <c r="A60" s="1239"/>
      <c r="C60" s="438" t="s">
        <v>4194</v>
      </c>
      <c r="D60" s="407">
        <f>Assumptions!D24</f>
        <v>1.5</v>
      </c>
      <c r="E60" s="408">
        <f>Assumptions!E24</f>
        <v>1.5</v>
      </c>
      <c r="F60" s="442" t="str">
        <f>Assumptions!G24</f>
        <v xml:space="preserve">% Change in Revenues </v>
      </c>
      <c r="G60" s="242"/>
      <c r="H60" s="242"/>
      <c r="I60" s="242"/>
      <c r="J60" s="262"/>
      <c r="K60" s="262"/>
      <c r="L60" s="262"/>
      <c r="M60" s="262"/>
      <c r="N60" s="262"/>
      <c r="O60" s="242"/>
      <c r="P60" s="242"/>
      <c r="Q60" s="242"/>
      <c r="R60" s="242"/>
      <c r="S60" s="242"/>
      <c r="T60" s="242"/>
      <c r="U60" s="242"/>
      <c r="V60" s="242"/>
      <c r="W60" s="242"/>
      <c r="X60" s="242"/>
      <c r="Y60" s="242"/>
      <c r="Z60" s="242"/>
      <c r="AA60" s="242"/>
      <c r="AB60" s="242"/>
      <c r="AC60" s="242"/>
      <c r="AD60" s="242"/>
      <c r="AE60" s="242"/>
      <c r="AF60" s="242"/>
      <c r="AG60" s="511"/>
      <c r="AH60" s="11"/>
      <c r="AI60" s="11"/>
      <c r="AJ60" s="11"/>
      <c r="AK60" s="11"/>
      <c r="AL60" s="11"/>
      <c r="AM60" s="11"/>
      <c r="AN60" s="11"/>
    </row>
    <row r="61" spans="1:40" ht="15" customHeight="1">
      <c r="A61" s="1239"/>
      <c r="C61" s="445" t="s">
        <v>4195</v>
      </c>
      <c r="D61" s="407" t="str">
        <f>Assumptions!D25</f>
        <v>- -</v>
      </c>
      <c r="E61" s="408" t="str">
        <f>Assumptions!E25</f>
        <v>- -</v>
      </c>
      <c r="F61" s="442" t="str">
        <f>Assumptions!G25</f>
        <v>Growing with Amortization</v>
      </c>
      <c r="G61" s="242"/>
      <c r="H61" s="242"/>
      <c r="I61" s="242"/>
      <c r="J61" s="242"/>
      <c r="K61" s="242"/>
      <c r="L61" s="242"/>
      <c r="M61" s="242"/>
      <c r="N61" s="242"/>
      <c r="O61" s="242"/>
      <c r="P61" s="242"/>
      <c r="Q61" s="242"/>
      <c r="R61" s="242"/>
      <c r="S61" s="242"/>
      <c r="T61" s="242"/>
      <c r="U61" s="242"/>
      <c r="V61" s="242"/>
      <c r="W61" s="242"/>
      <c r="X61" s="242"/>
      <c r="Y61" s="242"/>
      <c r="Z61" s="242"/>
      <c r="AA61" s="242"/>
      <c r="AB61" s="242"/>
      <c r="AC61" s="242"/>
      <c r="AD61" s="242"/>
      <c r="AE61" s="242"/>
      <c r="AF61" s="242"/>
      <c r="AG61" s="511"/>
      <c r="AH61" s="11"/>
      <c r="AI61" s="11"/>
      <c r="AJ61" s="11"/>
      <c r="AK61" s="11"/>
      <c r="AL61" s="11"/>
      <c r="AM61" s="11"/>
      <c r="AN61" s="11"/>
    </row>
    <row r="62" spans="1:40" ht="15" customHeight="1">
      <c r="A62" s="1239"/>
      <c r="C62" s="445" t="s">
        <v>4196</v>
      </c>
      <c r="D62" s="407">
        <f>Assumptions!D26</f>
        <v>-3.5650816741782124E-2</v>
      </c>
      <c r="E62" s="408">
        <f>Assumptions!E26</f>
        <v>-3.5000000000000003E-2</v>
      </c>
      <c r="F62" s="442" t="str">
        <f>Assumptions!G26</f>
        <v>% Revenue</v>
      </c>
      <c r="G62" s="242"/>
      <c r="H62" s="242"/>
      <c r="I62" s="242"/>
      <c r="J62" s="242"/>
      <c r="K62" s="242"/>
      <c r="L62" s="242"/>
      <c r="M62" s="242"/>
      <c r="N62" s="242"/>
      <c r="O62" s="242"/>
      <c r="P62" s="242"/>
      <c r="Q62" s="242"/>
      <c r="R62" s="242"/>
      <c r="S62" s="242"/>
      <c r="T62" s="242"/>
      <c r="U62" s="242"/>
      <c r="V62" s="242"/>
      <c r="W62" s="242"/>
      <c r="X62" s="242"/>
      <c r="Y62" s="242"/>
      <c r="Z62" s="242"/>
      <c r="AA62" s="242"/>
      <c r="AB62" s="242"/>
      <c r="AC62" s="242"/>
      <c r="AD62" s="242"/>
      <c r="AE62" s="242"/>
      <c r="AF62" s="242"/>
      <c r="AG62" s="511"/>
      <c r="AH62" s="11"/>
      <c r="AI62" s="11"/>
      <c r="AJ62" s="11"/>
      <c r="AK62" s="11"/>
      <c r="AL62" s="11"/>
      <c r="AM62" s="11"/>
      <c r="AN62" s="11"/>
    </row>
    <row r="63" spans="1:40" ht="15" customHeight="1">
      <c r="A63" s="1239"/>
      <c r="C63" s="445" t="s">
        <v>4197</v>
      </c>
      <c r="D63" s="407">
        <f>Assumptions!D27</f>
        <v>5.0000000000000001E-3</v>
      </c>
      <c r="E63" s="408">
        <f>Assumptions!E27</f>
        <v>0</v>
      </c>
      <c r="F63" s="442" t="str">
        <f>Assumptions!G27</f>
        <v>% Revenue</v>
      </c>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c r="AF63" s="242"/>
      <c r="AG63" s="511"/>
      <c r="AH63" s="11"/>
      <c r="AI63" s="11"/>
      <c r="AJ63" s="11"/>
      <c r="AK63" s="11"/>
      <c r="AL63" s="11"/>
      <c r="AM63" s="11"/>
      <c r="AN63" s="11"/>
    </row>
    <row r="64" spans="1:40" ht="15" customHeight="1">
      <c r="A64" s="1239"/>
      <c r="C64" s="445" t="s">
        <v>137</v>
      </c>
      <c r="D64" s="407">
        <f>Assumptions!D28</f>
        <v>0.8</v>
      </c>
      <c r="E64" s="408">
        <f>Assumptions!E28</f>
        <v>1</v>
      </c>
      <c r="F64" s="442" t="str">
        <f>Assumptions!G28</f>
        <v>% Net Income</v>
      </c>
      <c r="G64" s="857"/>
      <c r="I64" s="242"/>
      <c r="J64" s="242"/>
      <c r="K64" s="242"/>
      <c r="L64" s="242"/>
      <c r="M64" s="242"/>
      <c r="N64" s="242"/>
      <c r="O64" s="242"/>
      <c r="P64" s="242"/>
      <c r="Q64" s="242"/>
      <c r="R64" s="242"/>
      <c r="S64" s="242"/>
      <c r="T64" s="242"/>
      <c r="U64" s="242"/>
      <c r="V64" s="242"/>
      <c r="W64" s="242"/>
      <c r="X64" s="242"/>
      <c r="Y64" s="242"/>
      <c r="Z64" s="242"/>
      <c r="AA64" s="242"/>
      <c r="AB64" s="242"/>
      <c r="AC64" s="242"/>
      <c r="AD64" s="242"/>
      <c r="AE64" s="242"/>
      <c r="AF64" s="242"/>
      <c r="AG64" s="242"/>
    </row>
    <row r="65" spans="1:33" ht="15" customHeight="1">
      <c r="A65" s="1239"/>
      <c r="C65" s="445" t="s">
        <v>4198</v>
      </c>
      <c r="D65" s="407">
        <f>Assumptions!D29</f>
        <v>0.5</v>
      </c>
      <c r="E65" s="408">
        <f>Assumptions!E29</f>
        <v>0.7</v>
      </c>
      <c r="F65" s="442" t="str">
        <f>Assumptions!G29</f>
        <v>% Net Income</v>
      </c>
      <c r="G65" s="857">
        <v>0.8</v>
      </c>
      <c r="I65" s="242"/>
      <c r="J65" s="242"/>
      <c r="K65" s="242"/>
      <c r="L65" s="242"/>
      <c r="M65" s="242"/>
      <c r="N65" s="242"/>
      <c r="O65" s="242"/>
      <c r="P65" s="242"/>
      <c r="Q65" s="242"/>
      <c r="R65" s="242"/>
      <c r="S65" s="242"/>
      <c r="T65" s="242"/>
      <c r="U65" s="242"/>
      <c r="V65" s="242"/>
      <c r="W65" s="242"/>
      <c r="X65" s="242"/>
      <c r="Y65" s="242"/>
      <c r="Z65" s="242"/>
      <c r="AA65" s="242"/>
      <c r="AB65" s="242"/>
      <c r="AC65" s="242"/>
      <c r="AD65" s="242"/>
      <c r="AE65" s="242"/>
      <c r="AF65" s="242"/>
      <c r="AG65" s="242"/>
    </row>
    <row r="66" spans="1:33" ht="15" customHeight="1">
      <c r="A66" s="1239"/>
      <c r="C66" s="445" t="s">
        <v>4199</v>
      </c>
      <c r="D66" s="407">
        <f>Assumptions!D30</f>
        <v>0</v>
      </c>
      <c r="E66" s="408">
        <f>Assumptions!E30</f>
        <v>0</v>
      </c>
      <c r="F66" s="442" t="str">
        <f>Assumptions!G30</f>
        <v>% Revenue</v>
      </c>
      <c r="G66" s="242"/>
      <c r="I66" s="242"/>
      <c r="J66" s="242"/>
      <c r="K66" s="242"/>
      <c r="L66" s="242"/>
      <c r="M66" s="242"/>
      <c r="N66" s="242"/>
      <c r="O66" s="242"/>
      <c r="P66" s="242"/>
      <c r="Q66" s="242"/>
      <c r="R66" s="242"/>
      <c r="S66" s="242"/>
      <c r="T66" s="242"/>
      <c r="U66" s="242"/>
      <c r="V66" s="242"/>
      <c r="W66" s="242"/>
      <c r="X66" s="242"/>
      <c r="Y66" s="242"/>
      <c r="Z66" s="242"/>
      <c r="AA66" s="242"/>
      <c r="AB66" s="242"/>
      <c r="AC66" s="242"/>
      <c r="AD66" s="242"/>
      <c r="AE66" s="242"/>
      <c r="AF66" s="242"/>
      <c r="AG66" s="242"/>
    </row>
    <row r="67" spans="1:33" ht="15.75" customHeight="1">
      <c r="A67" s="1239"/>
      <c r="C67" s="443" t="s">
        <v>302</v>
      </c>
      <c r="D67" s="720">
        <f>Assumptions!D31</f>
        <v>3.5</v>
      </c>
      <c r="E67" s="720">
        <f>Assumptions!E31</f>
        <v>3.5</v>
      </c>
      <c r="F67" s="719" t="str">
        <f>Assumptions!G31</f>
        <v>% EBITDA</v>
      </c>
      <c r="G67" s="242"/>
      <c r="J67" s="242"/>
      <c r="K67" s="242"/>
      <c r="L67" s="242"/>
      <c r="M67" s="242"/>
      <c r="N67" s="242"/>
      <c r="O67" s="242"/>
      <c r="P67" s="242"/>
      <c r="Q67" s="242"/>
      <c r="R67" s="242"/>
      <c r="S67" s="242"/>
      <c r="T67" s="242"/>
      <c r="U67" s="242"/>
      <c r="V67" s="242"/>
      <c r="W67" s="242"/>
      <c r="X67" s="242"/>
      <c r="Y67" s="242"/>
      <c r="Z67" s="242"/>
      <c r="AA67" s="242"/>
      <c r="AB67" s="242"/>
      <c r="AC67" s="242"/>
      <c r="AD67" s="242"/>
      <c r="AE67" s="242"/>
      <c r="AF67" s="242"/>
      <c r="AG67" s="242"/>
    </row>
    <row r="68" spans="1:33" ht="14.45">
      <c r="A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row>
    <row r="69" spans="1:33" ht="14.45">
      <c r="A69" s="1219" t="s">
        <v>114</v>
      </c>
      <c r="C69" s="312"/>
      <c r="D69" s="411" t="s">
        <v>4200</v>
      </c>
      <c r="E69" s="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row>
    <row r="70" spans="1:33" ht="14.45">
      <c r="A70" s="1220"/>
      <c r="C70" s="312" t="s">
        <v>4201</v>
      </c>
      <c r="D70" s="412">
        <f>SUMPRODUCT(G35:AF35,G45:AF45)+((AF43-AF44)*AF45)</f>
        <v>56253.757841873201</v>
      </c>
      <c r="E70" s="366">
        <f>D70/D72</f>
        <v>0.79324867079453365</v>
      </c>
      <c r="G70" s="242"/>
      <c r="H70" s="242"/>
      <c r="I70" s="242"/>
      <c r="J70" s="242"/>
      <c r="K70" s="242"/>
      <c r="L70" s="242"/>
      <c r="M70" s="242"/>
      <c r="N70" s="242"/>
      <c r="O70" s="242"/>
      <c r="P70" s="242"/>
      <c r="Q70" s="242"/>
      <c r="R70" s="242"/>
      <c r="S70" s="242"/>
      <c r="T70" s="242"/>
      <c r="U70" s="242"/>
      <c r="V70" s="242"/>
      <c r="W70" s="242"/>
      <c r="X70" s="242"/>
      <c r="Y70" s="242"/>
      <c r="Z70" s="242"/>
      <c r="AA70" s="242"/>
      <c r="AB70" s="242"/>
      <c r="AC70" s="242"/>
      <c r="AD70" s="242"/>
      <c r="AE70" s="242"/>
      <c r="AF70" s="242"/>
      <c r="AG70" s="242"/>
    </row>
    <row r="71" spans="1:33" ht="14.45">
      <c r="A71" s="1220"/>
      <c r="C71" s="312" t="s">
        <v>4202</v>
      </c>
      <c r="D71" s="412">
        <f>(AF34/(F50-AF5))*AF45</f>
        <v>14661.908219726776</v>
      </c>
      <c r="E71" s="366">
        <f>D71/D72</f>
        <v>0.20675132920546641</v>
      </c>
      <c r="G71" s="242"/>
      <c r="H71" s="242"/>
      <c r="I71" s="242"/>
      <c r="J71" s="242"/>
      <c r="K71" s="242"/>
      <c r="L71" s="242"/>
      <c r="M71" s="242"/>
      <c r="N71" s="242"/>
      <c r="O71" s="242"/>
      <c r="P71" s="242"/>
      <c r="Q71" s="242"/>
      <c r="R71" s="242"/>
      <c r="S71" s="242"/>
      <c r="T71" s="242"/>
      <c r="U71" s="242"/>
      <c r="V71" s="242"/>
      <c r="W71" s="242"/>
      <c r="X71" s="242"/>
      <c r="Y71" s="242"/>
      <c r="Z71" s="242"/>
      <c r="AA71" s="242"/>
      <c r="AB71" s="242"/>
      <c r="AC71" s="242"/>
      <c r="AD71" s="242"/>
      <c r="AE71" s="242"/>
      <c r="AF71" s="242"/>
      <c r="AG71" s="242"/>
    </row>
    <row r="72" spans="1:33" ht="14.45">
      <c r="A72" s="1220"/>
      <c r="C72" s="312" t="s">
        <v>4203</v>
      </c>
      <c r="D72" s="412">
        <f>D70+D71</f>
        <v>70915.666061599972</v>
      </c>
      <c r="E72" s="2"/>
      <c r="G72" s="242"/>
      <c r="H72" s="242"/>
      <c r="I72" s="242"/>
      <c r="J72" s="242"/>
      <c r="K72" s="242"/>
      <c r="L72" s="242"/>
      <c r="M72" s="242"/>
      <c r="N72" s="242"/>
      <c r="O72" s="242"/>
      <c r="P72" s="242"/>
      <c r="Q72" s="242"/>
      <c r="R72" s="242"/>
      <c r="S72" s="242"/>
      <c r="T72" s="242"/>
      <c r="U72" s="242"/>
      <c r="V72" s="242"/>
      <c r="W72" s="242"/>
      <c r="X72" s="242"/>
      <c r="Y72" s="242"/>
      <c r="Z72" s="242"/>
      <c r="AA72" s="242"/>
      <c r="AB72" s="242"/>
      <c r="AC72" s="242"/>
      <c r="AD72" s="242"/>
      <c r="AE72" s="242"/>
      <c r="AF72" s="242"/>
      <c r="AG72" s="242"/>
    </row>
    <row r="73" spans="1:33" ht="14.45">
      <c r="A73" s="1220"/>
      <c r="C73" s="701" t="s">
        <v>4204</v>
      </c>
      <c r="D73" s="702">
        <f ca="1">OP!C20</f>
        <v>26.42</v>
      </c>
      <c r="E73" s="313"/>
      <c r="G73" s="242"/>
      <c r="H73" s="242"/>
      <c r="I73" s="242"/>
      <c r="J73" s="242"/>
      <c r="K73" s="242"/>
      <c r="L73" s="242"/>
      <c r="M73" s="242"/>
      <c r="N73" s="242"/>
      <c r="O73" s="242"/>
      <c r="P73" s="242"/>
      <c r="Q73" s="242"/>
      <c r="R73" s="242"/>
      <c r="S73" s="242"/>
      <c r="T73" s="242"/>
      <c r="U73" s="242"/>
      <c r="V73" s="242"/>
      <c r="W73" s="242"/>
      <c r="X73" s="242"/>
      <c r="Y73" s="242"/>
      <c r="Z73" s="242"/>
      <c r="AA73" s="242"/>
      <c r="AB73" s="242"/>
      <c r="AC73" s="242"/>
      <c r="AD73" s="242"/>
      <c r="AE73" s="242"/>
      <c r="AF73" s="242"/>
      <c r="AG73" s="242"/>
    </row>
    <row r="74" spans="1:33" ht="14.45">
      <c r="A74" s="1220"/>
      <c r="C74" s="701" t="s">
        <v>4205</v>
      </c>
      <c r="D74" s="413">
        <f ca="1">D75/D73-1</f>
        <v>1.2678001695925714</v>
      </c>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c r="AF74" s="242"/>
      <c r="AG74" s="242"/>
    </row>
    <row r="75" spans="1:33" ht="14.45">
      <c r="A75" s="1221"/>
      <c r="C75" s="414" t="s">
        <v>4206</v>
      </c>
      <c r="D75" s="415">
        <f ca="1">D72*1000000/OP!C21</f>
        <v>59.915280480635737</v>
      </c>
    </row>
    <row r="76" spans="1:33" ht="14.45">
      <c r="A76" s="394"/>
      <c r="C76" s="313"/>
      <c r="D76" s="703"/>
    </row>
    <row r="77" spans="1:33" ht="14.45">
      <c r="A77" s="1215" t="s">
        <v>4207</v>
      </c>
      <c r="C77" s="437" t="s">
        <v>4208</v>
      </c>
      <c r="D77" s="702">
        <f ca="1">(SUMPRODUCT(G35:AF35,G45:AF45)+((AF43-AF44)*AF45)+(AF34/(F50+0.001-AF5))*AF45)*1000000/OP!C21</f>
        <v>59.744086949968384</v>
      </c>
      <c r="E77" s="416">
        <f ca="1">D77/D75-1</f>
        <v>-2.8572599392684417E-3</v>
      </c>
    </row>
    <row r="78" spans="1:33" ht="14.45">
      <c r="A78" s="1216"/>
      <c r="C78" s="437" t="s">
        <v>4209</v>
      </c>
      <c r="D78" s="702">
        <f ca="1">(SUMPRODUCT(G35:AF35,G45:AF45)+((AF43-AF44)*AF45)+(AF34/(F50+0.005-AF5))*AF45)*1000000/OP!C21</f>
        <v>59.104151363356415</v>
      </c>
      <c r="E78" s="416">
        <f ca="1">D78/D75-1</f>
        <v>-1.3537934075790181E-2</v>
      </c>
    </row>
    <row r="79" spans="1:33" ht="14.45">
      <c r="A79" s="435"/>
      <c r="C79" s="436"/>
      <c r="D79" s="703"/>
      <c r="E79" s="416"/>
    </row>
    <row r="80" spans="1:33" ht="14.45">
      <c r="A80" s="756" t="s">
        <v>4210</v>
      </c>
      <c r="C80" s="721" t="s">
        <v>4211</v>
      </c>
      <c r="D80" s="415">
        <f ca="1">D75/1.15</f>
        <v>52.100243896204994</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K181"/>
  <sheetViews>
    <sheetView showGridLines="0" zoomScale="40" zoomScaleNormal="100" workbookViewId="0">
      <selection activeCell="D42" sqref="D42"/>
    </sheetView>
  </sheetViews>
  <sheetFormatPr defaultColWidth="9.140625" defaultRowHeight="12.75" customHeight="1"/>
  <cols>
    <col min="1" max="1" width="16.7109375" style="640" customWidth="1"/>
    <col min="2" max="2" width="17.7109375" style="640" customWidth="1"/>
    <col min="3" max="4" width="12.7109375" style="640" customWidth="1"/>
    <col min="5" max="5" width="13.42578125" style="640" customWidth="1"/>
    <col min="6" max="6" width="12.85546875" style="640" customWidth="1"/>
    <col min="7" max="7" width="14.140625" style="640" customWidth="1"/>
    <col min="8" max="8" width="26.7109375" style="640" customWidth="1"/>
    <col min="9" max="13" width="14.140625" style="640" customWidth="1"/>
    <col min="14" max="16" width="11.28515625" style="640" bestFit="1" customWidth="1"/>
    <col min="17" max="17" width="11.7109375" style="640" bestFit="1" customWidth="1"/>
    <col min="18" max="18" width="11.28515625" style="640" bestFit="1" customWidth="1"/>
    <col min="19" max="19" width="18.42578125" style="640" bestFit="1" customWidth="1"/>
    <col min="20" max="20" width="18.140625" style="640" bestFit="1" customWidth="1"/>
    <col min="21" max="34" width="12.28515625" style="640" bestFit="1" customWidth="1"/>
    <col min="35" max="16384" width="9.140625" style="640"/>
  </cols>
  <sheetData>
    <row r="2" spans="1:34" s="639" customFormat="1" ht="15" customHeight="1">
      <c r="A2" s="636"/>
      <c r="B2" s="637" t="s">
        <v>4212</v>
      </c>
      <c r="C2" s="638"/>
      <c r="D2" s="636"/>
      <c r="E2" s="636"/>
      <c r="F2" s="636"/>
      <c r="G2" s="636"/>
      <c r="H2" s="636"/>
      <c r="I2" s="636"/>
      <c r="J2" s="636"/>
      <c r="K2" s="636"/>
      <c r="L2" s="636"/>
      <c r="M2" s="636"/>
      <c r="N2" s="636"/>
      <c r="O2" s="636"/>
      <c r="P2" s="636"/>
      <c r="Q2" s="636"/>
      <c r="R2" s="636"/>
      <c r="S2" s="636"/>
      <c r="T2" s="636"/>
      <c r="U2" s="636"/>
      <c r="V2" s="636"/>
      <c r="W2" s="636"/>
      <c r="X2" s="636"/>
      <c r="Y2" s="636"/>
      <c r="Z2" s="636"/>
      <c r="AA2" s="636"/>
      <c r="AB2" s="636"/>
      <c r="AC2" s="636"/>
      <c r="AD2" s="636"/>
      <c r="AE2" s="636"/>
      <c r="AF2" s="636"/>
      <c r="AG2" s="636"/>
      <c r="AH2" s="636"/>
    </row>
    <row r="3" spans="1:34" ht="12.6" customHeight="1">
      <c r="C3" s="641"/>
    </row>
    <row r="4" spans="1:34" ht="13.15">
      <c r="B4" s="640" t="s">
        <v>4213</v>
      </c>
      <c r="F4" s="642"/>
      <c r="G4" s="643"/>
      <c r="H4" s="643"/>
      <c r="I4" s="643"/>
      <c r="J4" s="643"/>
      <c r="K4" s="643"/>
      <c r="L4" s="643"/>
      <c r="M4" s="643"/>
    </row>
    <row r="5" spans="1:34" ht="13.15">
      <c r="B5" s="644"/>
      <c r="G5" s="645"/>
      <c r="H5" s="645"/>
      <c r="I5" s="645"/>
      <c r="J5" s="645"/>
      <c r="K5" s="645"/>
      <c r="L5" s="645"/>
      <c r="M5" s="645"/>
    </row>
    <row r="6" spans="1:34" ht="13.15">
      <c r="B6" s="640" t="s">
        <v>4214</v>
      </c>
    </row>
    <row r="7" spans="1:34" ht="12.75" customHeight="1">
      <c r="S7" s="643"/>
      <c r="T7" s="643"/>
    </row>
    <row r="8" spans="1:34" ht="13.15">
      <c r="B8" s="643"/>
      <c r="C8" s="664">
        <v>2023</v>
      </c>
      <c r="D8" s="664">
        <f>C8-1</f>
        <v>2022</v>
      </c>
      <c r="E8" s="664">
        <f t="shared" ref="E8:G8" si="0">D8-1</f>
        <v>2021</v>
      </c>
      <c r="F8" s="664">
        <f t="shared" si="0"/>
        <v>2020</v>
      </c>
      <c r="G8" s="664">
        <f t="shared" si="0"/>
        <v>2019</v>
      </c>
      <c r="H8" s="664">
        <f t="shared" ref="H8" si="1">G8-1</f>
        <v>2018</v>
      </c>
      <c r="I8" s="664">
        <f t="shared" ref="I8" si="2">H8-1</f>
        <v>2017</v>
      </c>
      <c r="J8" s="664">
        <f t="shared" ref="J8" si="3">I8-1</f>
        <v>2016</v>
      </c>
      <c r="K8" s="664">
        <f t="shared" ref="K8:M8" si="4">J8-1</f>
        <v>2015</v>
      </c>
      <c r="L8" s="664">
        <f t="shared" si="4"/>
        <v>2014</v>
      </c>
      <c r="M8" s="664">
        <f t="shared" si="4"/>
        <v>2013</v>
      </c>
      <c r="O8" s="664" t="s">
        <v>4215</v>
      </c>
      <c r="P8" s="664" t="s">
        <v>4216</v>
      </c>
      <c r="Q8" s="664" t="s">
        <v>4217</v>
      </c>
      <c r="S8" s="899"/>
      <c r="T8" s="899"/>
    </row>
    <row r="9" spans="1:34" ht="13.15">
      <c r="B9" s="663" t="s">
        <v>4218</v>
      </c>
      <c r="C9" s="299">
        <f>(Inputs!B6-Inputs!C6)/Inputs!C6</f>
        <v>5.85236926562205E-3</v>
      </c>
      <c r="D9" s="299">
        <f>(Inputs!C6-Inputs!D6)/Inputs!D6</f>
        <v>1.7010982259427078E-2</v>
      </c>
      <c r="E9" s="299">
        <f>(Inputs!D6-Inputs!E6)/Inputs!E6</f>
        <v>-5.4611418751193434E-3</v>
      </c>
      <c r="F9" s="299">
        <f>(Inputs!E6-Inputs!F6)/Inputs!F6</f>
        <v>4.836449533570885E-2</v>
      </c>
      <c r="G9" s="299">
        <f>(Inputs!F6-Inputs!G6)/Inputs!G6</f>
        <v>-4.914725140855794E-2</v>
      </c>
      <c r="H9" s="299">
        <f>(Inputs!G6-Inputs!H6)/Inputs!H6</f>
        <v>7.3630924988495172E-3</v>
      </c>
      <c r="I9" s="299">
        <f>(Inputs!H6-Inputs!I6)/Inputs!I6</f>
        <v>-8.5171102661596963E-3</v>
      </c>
      <c r="J9" s="299">
        <f>(Inputs!I6-Inputs!J6)/Inputs!J6</f>
        <v>0.43418039044606827</v>
      </c>
      <c r="K9" s="299">
        <f>(Inputs!J6-Inputs!K6)/Inputs!K6</f>
        <v>0.67899652078373929</v>
      </c>
      <c r="L9" s="299">
        <f>(Inputs!K6-Inputs!L6)/Inputs!L6</f>
        <v>0.75032051282051282</v>
      </c>
      <c r="M9" s="299">
        <f>(Inputs!L6-Inputs!M6)/Inputs!M6</f>
        <v>-0.45776850886339937</v>
      </c>
      <c r="O9" s="645">
        <f>AVERAGE(C9:M9)</f>
        <v>0.1291994864542447</v>
      </c>
      <c r="P9" s="647">
        <f>AVERAGE(C9:G9)</f>
        <v>3.323890715416139E-3</v>
      </c>
      <c r="Q9" s="647">
        <f>AVERAGE(C9:E9)</f>
        <v>5.8007365499765937E-3</v>
      </c>
      <c r="S9" s="900"/>
      <c r="T9" s="900"/>
    </row>
    <row r="10" spans="1:34" ht="12.75" customHeight="1">
      <c r="B10" s="663" t="s">
        <v>127</v>
      </c>
      <c r="C10" s="299">
        <f>Inputs!B8/Inputs!B6</f>
        <v>0.17177177177177178</v>
      </c>
      <c r="D10" s="299">
        <f>Inputs!C8/Inputs!C6</f>
        <v>0.13815367188974892</v>
      </c>
      <c r="E10" s="299">
        <f>Inputs!D8/Inputs!D6</f>
        <v>0.13451347822747869</v>
      </c>
      <c r="F10" s="299">
        <f>Inputs!E8/Inputs!E6</f>
        <v>8.054229520717969E-2</v>
      </c>
      <c r="G10" s="299">
        <f>Inputs!F8/Inputs!F6</f>
        <v>0.12267285903030788</v>
      </c>
      <c r="H10" s="299">
        <f>Inputs!G8/Inputs!G6</f>
        <v>-0.39470077661032432</v>
      </c>
      <c r="I10" s="299">
        <f>Inputs!H8/Inputs!H6</f>
        <v>0.25974075778493633</v>
      </c>
      <c r="J10" s="299">
        <f>Inputs!I8/Inputs!I6</f>
        <v>0.21220532319391636</v>
      </c>
      <c r="K10" s="299">
        <f>Inputs!J8/Inputs!J6</f>
        <v>0.14390882320863779</v>
      </c>
      <c r="L10" s="299">
        <f>Inputs!K8/Inputs!K6</f>
        <v>0.14356344991759751</v>
      </c>
      <c r="M10" s="299">
        <f>Inputs!L8/Inputs!L6</f>
        <v>-1.2820512820512821E-3</v>
      </c>
      <c r="O10" s="645">
        <f>AVERAGE(C10:M10)</f>
        <v>9.1917236576290848E-2</v>
      </c>
      <c r="P10" s="647">
        <f>AVERAGE(C10:G10)</f>
        <v>0.12953081522529739</v>
      </c>
      <c r="Q10" s="647">
        <f>AVERAGE(C10:E10)</f>
        <v>0.14814630729633313</v>
      </c>
      <c r="S10" s="900"/>
      <c r="T10" s="900"/>
    </row>
    <row r="11" spans="1:34" ht="12.75" customHeight="1">
      <c r="S11" s="643"/>
      <c r="T11" s="643"/>
    </row>
    <row r="13" spans="1:34" s="639" customFormat="1" ht="13.9">
      <c r="A13" s="636"/>
      <c r="B13" s="638" t="s">
        <v>4219</v>
      </c>
      <c r="C13" s="638"/>
      <c r="D13" s="636"/>
      <c r="E13" s="636"/>
      <c r="F13" s="636"/>
      <c r="G13" s="636"/>
      <c r="H13" s="636"/>
      <c r="I13" s="636"/>
      <c r="J13" s="636"/>
      <c r="K13" s="636"/>
      <c r="L13" s="636"/>
      <c r="M13" s="636"/>
      <c r="N13" s="636"/>
      <c r="O13" s="636"/>
      <c r="P13" s="636"/>
      <c r="Q13" s="636"/>
      <c r="R13" s="636"/>
      <c r="S13" s="636"/>
      <c r="T13" s="636"/>
      <c r="U13" s="636"/>
      <c r="V13" s="636"/>
      <c r="W13" s="636"/>
      <c r="X13" s="636"/>
      <c r="Y13" s="636"/>
      <c r="Z13" s="636"/>
      <c r="AA13" s="636"/>
      <c r="AB13" s="636"/>
      <c r="AC13" s="636"/>
      <c r="AD13" s="636"/>
      <c r="AE13" s="636"/>
      <c r="AF13" s="636"/>
      <c r="AG13" s="636"/>
      <c r="AH13" s="636"/>
    </row>
    <row r="14" spans="1:34" ht="13.9">
      <c r="A14" s="661"/>
      <c r="B14" s="662"/>
      <c r="C14" s="662"/>
      <c r="D14" s="661"/>
      <c r="E14" s="661"/>
      <c r="F14" s="661"/>
      <c r="G14" s="661"/>
      <c r="H14" s="661"/>
      <c r="I14" s="661"/>
      <c r="J14" s="661"/>
      <c r="K14" s="661"/>
      <c r="L14" s="661"/>
      <c r="M14" s="661"/>
      <c r="N14" s="661"/>
      <c r="O14" s="661"/>
      <c r="P14" s="661"/>
      <c r="Q14" s="661"/>
      <c r="R14" s="661"/>
      <c r="S14" s="661"/>
      <c r="T14" s="661"/>
      <c r="U14" s="661"/>
      <c r="V14" s="661"/>
      <c r="W14" s="661"/>
      <c r="X14" s="661"/>
      <c r="Y14" s="661"/>
      <c r="Z14" s="661"/>
      <c r="AA14" s="661"/>
      <c r="AB14" s="661"/>
      <c r="AC14" s="661"/>
      <c r="AD14" s="661"/>
      <c r="AE14" s="661"/>
      <c r="AF14" s="661"/>
      <c r="AG14" s="661"/>
      <c r="AH14" s="661"/>
    </row>
    <row r="15" spans="1:34" ht="14.45" customHeight="1">
      <c r="C15" s="862"/>
      <c r="N15" s="643"/>
      <c r="O15" s="643"/>
      <c r="P15" s="643"/>
      <c r="Q15" s="643"/>
    </row>
    <row r="16" spans="1:34" ht="14.45" customHeight="1">
      <c r="B16" s="646"/>
      <c r="C16" s="858"/>
      <c r="D16" s="659" t="s">
        <v>4220</v>
      </c>
      <c r="E16" s="659" t="s">
        <v>4221</v>
      </c>
      <c r="G16" s="718" t="s">
        <v>4222</v>
      </c>
      <c r="N16" s="858"/>
      <c r="O16" s="858"/>
      <c r="P16" s="858"/>
      <c r="Q16" s="858"/>
    </row>
    <row r="17" spans="2:35" ht="14.45" customHeight="1">
      <c r="B17" s="663" t="s">
        <v>4187</v>
      </c>
      <c r="C17" s="859"/>
      <c r="D17" s="660">
        <f>-L115</f>
        <v>-6.7777451781526263E-2</v>
      </c>
      <c r="E17" s="660">
        <f>-M115</f>
        <v>-0.06</v>
      </c>
      <c r="G17" s="717" t="s">
        <v>4223</v>
      </c>
      <c r="N17" s="643"/>
      <c r="O17" s="859"/>
      <c r="P17" s="645"/>
      <c r="Q17" s="645"/>
      <c r="AI17" s="648"/>
    </row>
    <row r="18" spans="2:35" ht="14.45" customHeight="1">
      <c r="B18" s="663" t="s">
        <v>4188</v>
      </c>
      <c r="C18" s="859"/>
      <c r="D18" s="660">
        <f>-L119</f>
        <v>-3.2156678458371913E-3</v>
      </c>
      <c r="E18" s="660">
        <f>D18</f>
        <v>-3.2156678458371913E-3</v>
      </c>
      <c r="G18" s="717" t="s">
        <v>4224</v>
      </c>
      <c r="N18" s="643"/>
      <c r="O18" s="859"/>
      <c r="P18" s="645"/>
      <c r="Q18" s="645"/>
    </row>
    <row r="19" spans="2:35" ht="14.45" customHeight="1">
      <c r="B19" s="663" t="s">
        <v>4189</v>
      </c>
      <c r="C19" s="859"/>
      <c r="D19" s="660">
        <f>-L134</f>
        <v>-5.2489736719713307E-3</v>
      </c>
      <c r="E19" s="660">
        <f>D19</f>
        <v>-5.2489736719713307E-3</v>
      </c>
      <c r="G19" s="717" t="s">
        <v>4225</v>
      </c>
      <c r="N19" s="643"/>
      <c r="O19" s="859"/>
      <c r="P19" s="645"/>
      <c r="Q19" s="645"/>
    </row>
    <row r="20" spans="2:35" ht="12.6" customHeight="1">
      <c r="B20" s="663" t="s">
        <v>4190</v>
      </c>
      <c r="C20" s="859"/>
      <c r="D20" s="660">
        <v>0.21</v>
      </c>
      <c r="E20" s="660">
        <v>0.27</v>
      </c>
      <c r="G20" s="717" t="s">
        <v>4226</v>
      </c>
      <c r="N20" s="643"/>
      <c r="O20" s="859"/>
      <c r="P20" s="645"/>
      <c r="Q20" s="645"/>
    </row>
    <row r="21" spans="2:35" ht="14.45" customHeight="1">
      <c r="B21" s="663" t="s">
        <v>4191</v>
      </c>
      <c r="C21" s="860"/>
      <c r="D21" s="660">
        <f>L111</f>
        <v>4.680087853563019E-2</v>
      </c>
      <c r="E21" s="660">
        <f>M111</f>
        <v>5.6559999999999999E-2</v>
      </c>
      <c r="G21" s="717" t="s">
        <v>4227</v>
      </c>
      <c r="N21" s="643"/>
      <c r="O21" s="859"/>
      <c r="P21" s="645"/>
      <c r="Q21" s="645"/>
    </row>
    <row r="22" spans="2:35" ht="14.45" customHeight="1">
      <c r="B22" s="663" t="s">
        <v>4192</v>
      </c>
      <c r="C22" s="860"/>
      <c r="D22" s="660">
        <f>L110</f>
        <v>1.6517034704637008E-2</v>
      </c>
      <c r="E22" s="660">
        <f>M110</f>
        <v>1.4999999999999999E-2</v>
      </c>
      <c r="G22" s="717" t="s">
        <v>4228</v>
      </c>
      <c r="N22" s="643"/>
      <c r="O22" s="859"/>
      <c r="P22" s="645"/>
      <c r="Q22" s="645"/>
    </row>
    <row r="23" spans="2:35" ht="14.45" customHeight="1">
      <c r="B23" s="663" t="s">
        <v>4193</v>
      </c>
      <c r="C23" s="860"/>
      <c r="D23" s="660" t="s">
        <v>4229</v>
      </c>
      <c r="E23" s="660" t="s">
        <v>4229</v>
      </c>
      <c r="G23" s="717" t="s">
        <v>4230</v>
      </c>
      <c r="N23" s="643"/>
      <c r="O23" s="859"/>
      <c r="P23" s="645"/>
      <c r="Q23" s="645"/>
    </row>
    <row r="24" spans="2:35" ht="14.45" customHeight="1">
      <c r="B24" s="663" t="s">
        <v>4194</v>
      </c>
      <c r="C24" s="859"/>
      <c r="D24" s="660">
        <v>1.5</v>
      </c>
      <c r="E24" s="660">
        <v>1.5</v>
      </c>
      <c r="G24" s="717" t="s">
        <v>4231</v>
      </c>
      <c r="N24" s="643"/>
      <c r="O24" s="859"/>
      <c r="P24" s="645"/>
      <c r="Q24" s="645"/>
    </row>
    <row r="25" spans="2:35" ht="14.45" customHeight="1">
      <c r="B25" s="663" t="s">
        <v>4195</v>
      </c>
      <c r="C25" s="859"/>
      <c r="D25" s="660" t="s">
        <v>4229</v>
      </c>
      <c r="E25" s="660" t="s">
        <v>4229</v>
      </c>
      <c r="G25" s="717" t="s">
        <v>4232</v>
      </c>
      <c r="N25" s="643"/>
      <c r="O25" s="859"/>
      <c r="P25" s="645"/>
      <c r="Q25" s="645"/>
    </row>
    <row r="26" spans="2:35" ht="12.6" customHeight="1">
      <c r="B26" s="663" t="s">
        <v>4233</v>
      </c>
      <c r="C26" s="859"/>
      <c r="D26" s="660">
        <f>-L122</f>
        <v>-3.5650816741782124E-2</v>
      </c>
      <c r="E26" s="660">
        <f>-M122</f>
        <v>-3.5000000000000003E-2</v>
      </c>
      <c r="G26" s="717" t="s">
        <v>4225</v>
      </c>
      <c r="N26" s="643"/>
      <c r="O26" s="859"/>
      <c r="P26" s="645"/>
      <c r="Q26" s="645"/>
    </row>
    <row r="27" spans="2:35" ht="14.45" customHeight="1">
      <c r="B27" s="663" t="s">
        <v>4197</v>
      </c>
      <c r="C27" s="859"/>
      <c r="D27" s="660">
        <f>L128</f>
        <v>5.0000000000000001E-3</v>
      </c>
      <c r="E27" s="660">
        <f>M128</f>
        <v>0</v>
      </c>
      <c r="G27" s="717" t="s">
        <v>4225</v>
      </c>
      <c r="N27" s="643"/>
      <c r="O27" s="859"/>
      <c r="P27" s="645"/>
      <c r="Q27" s="645"/>
    </row>
    <row r="28" spans="2:35" ht="14.45" customHeight="1">
      <c r="B28" s="663" t="s">
        <v>137</v>
      </c>
      <c r="C28" s="859"/>
      <c r="D28" s="660">
        <f>L136</f>
        <v>0.8</v>
      </c>
      <c r="E28" s="660">
        <f>M136</f>
        <v>1</v>
      </c>
      <c r="G28" s="717" t="s">
        <v>4234</v>
      </c>
      <c r="N28" s="643"/>
      <c r="O28" s="859"/>
      <c r="P28" s="645"/>
      <c r="Q28" s="645"/>
    </row>
    <row r="29" spans="2:35" ht="14.45" customHeight="1">
      <c r="B29" s="663" t="s">
        <v>4198</v>
      </c>
      <c r="C29" s="859"/>
      <c r="D29" s="660">
        <v>0.5</v>
      </c>
      <c r="E29" s="660">
        <v>0.7</v>
      </c>
      <c r="G29" s="717" t="s">
        <v>4234</v>
      </c>
      <c r="N29" s="643"/>
      <c r="O29" s="859"/>
      <c r="P29" s="645"/>
      <c r="Q29" s="645"/>
    </row>
    <row r="30" spans="2:35" ht="14.45" customHeight="1">
      <c r="B30" s="663" t="s">
        <v>4199</v>
      </c>
      <c r="C30" s="859"/>
      <c r="D30" s="660"/>
      <c r="E30" s="660"/>
      <c r="G30" s="717" t="s">
        <v>4225</v>
      </c>
      <c r="N30" s="643"/>
      <c r="O30" s="859"/>
      <c r="P30" s="645"/>
      <c r="Q30" s="645"/>
    </row>
    <row r="31" spans="2:35" ht="14.45">
      <c r="B31" s="663" t="s">
        <v>302</v>
      </c>
      <c r="C31" s="861"/>
      <c r="D31" s="694">
        <v>3.5</v>
      </c>
      <c r="E31" s="694">
        <v>3.5</v>
      </c>
      <c r="G31" s="717" t="s">
        <v>4235</v>
      </c>
      <c r="I31" s="861"/>
      <c r="J31" s="861"/>
      <c r="K31" s="861"/>
      <c r="L31" s="861"/>
      <c r="M31" s="861"/>
      <c r="N31" s="643"/>
      <c r="O31" s="859"/>
      <c r="P31" s="645"/>
      <c r="Q31" s="645"/>
    </row>
    <row r="32" spans="2:35" ht="12.75" customHeight="1">
      <c r="C32" s="643"/>
      <c r="D32" s="643"/>
      <c r="E32" s="643"/>
      <c r="F32" s="643"/>
      <c r="G32" s="643"/>
      <c r="H32" s="643"/>
      <c r="I32" s="643"/>
      <c r="J32" s="643"/>
      <c r="K32" s="643"/>
      <c r="L32" s="643"/>
      <c r="M32" s="643"/>
      <c r="N32" s="643"/>
      <c r="O32" s="643"/>
      <c r="P32" s="643"/>
      <c r="Q32" s="643"/>
    </row>
    <row r="34" spans="1:37" s="639" customFormat="1" ht="13.9">
      <c r="B34" s="649" t="s">
        <v>4236</v>
      </c>
    </row>
    <row r="36" spans="1:37" ht="12.6" customHeight="1"/>
    <row r="38" spans="1:37" ht="12.6" customHeight="1"/>
    <row r="40" spans="1:37" ht="12.75" customHeight="1">
      <c r="AI40" s="902" t="s">
        <v>4237</v>
      </c>
      <c r="AJ40" s="901"/>
      <c r="AK40" s="901"/>
    </row>
    <row r="41" spans="1:37" ht="12.75" customHeight="1">
      <c r="B41" s="873">
        <v>2023</v>
      </c>
      <c r="C41" s="873">
        <f>B41+1</f>
        <v>2024</v>
      </c>
      <c r="D41" s="873">
        <f t="shared" ref="D41:E41" si="5">C41+1</f>
        <v>2025</v>
      </c>
      <c r="E41" s="873">
        <f t="shared" si="5"/>
        <v>2026</v>
      </c>
      <c r="F41" s="873">
        <f>E41+1</f>
        <v>2027</v>
      </c>
      <c r="G41" s="873">
        <f t="shared" ref="G41:AB41" si="6">F41+1</f>
        <v>2028</v>
      </c>
      <c r="H41" s="873">
        <f t="shared" si="6"/>
        <v>2029</v>
      </c>
      <c r="I41" s="873">
        <f t="shared" si="6"/>
        <v>2030</v>
      </c>
      <c r="J41" s="873">
        <f t="shared" si="6"/>
        <v>2031</v>
      </c>
      <c r="K41" s="873">
        <f t="shared" si="6"/>
        <v>2032</v>
      </c>
      <c r="L41" s="873">
        <f t="shared" si="6"/>
        <v>2033</v>
      </c>
      <c r="M41" s="873">
        <f t="shared" si="6"/>
        <v>2034</v>
      </c>
      <c r="N41" s="873">
        <f t="shared" si="6"/>
        <v>2035</v>
      </c>
      <c r="O41" s="873">
        <f t="shared" si="6"/>
        <v>2036</v>
      </c>
      <c r="P41" s="873">
        <f t="shared" si="6"/>
        <v>2037</v>
      </c>
      <c r="Q41" s="873">
        <f t="shared" si="6"/>
        <v>2038</v>
      </c>
      <c r="R41" s="873">
        <f t="shared" si="6"/>
        <v>2039</v>
      </c>
      <c r="S41" s="873">
        <f t="shared" si="6"/>
        <v>2040</v>
      </c>
      <c r="T41" s="873">
        <f t="shared" si="6"/>
        <v>2041</v>
      </c>
      <c r="U41" s="873">
        <f t="shared" si="6"/>
        <v>2042</v>
      </c>
      <c r="V41" s="873">
        <f t="shared" si="6"/>
        <v>2043</v>
      </c>
      <c r="W41" s="873">
        <f t="shared" si="6"/>
        <v>2044</v>
      </c>
      <c r="X41" s="873">
        <f t="shared" si="6"/>
        <v>2045</v>
      </c>
      <c r="Y41" s="873">
        <f t="shared" si="6"/>
        <v>2046</v>
      </c>
      <c r="Z41" s="873">
        <f t="shared" si="6"/>
        <v>2047</v>
      </c>
      <c r="AA41" s="873">
        <f t="shared" si="6"/>
        <v>2048</v>
      </c>
      <c r="AB41" s="873">
        <f t="shared" si="6"/>
        <v>2049</v>
      </c>
    </row>
    <row r="42" spans="1:37" ht="12.75" customHeight="1">
      <c r="A42" s="872" t="s">
        <v>4238</v>
      </c>
      <c r="B42" s="869">
        <f>B45*0.65</f>
        <v>17316</v>
      </c>
      <c r="C42" s="869">
        <f>B42*1.04</f>
        <v>18008.64</v>
      </c>
      <c r="D42" s="869">
        <f t="shared" ref="D42:F42" si="7">C42*1.04</f>
        <v>18728.9856</v>
      </c>
      <c r="E42" s="869">
        <f t="shared" si="7"/>
        <v>19478.145024000001</v>
      </c>
      <c r="F42" s="869">
        <f t="shared" si="7"/>
        <v>20257.270824960004</v>
      </c>
      <c r="G42" s="870"/>
      <c r="H42" s="870"/>
      <c r="I42" s="870"/>
      <c r="J42" s="870"/>
      <c r="K42" s="870"/>
      <c r="L42" s="870"/>
      <c r="M42" s="870"/>
      <c r="N42" s="870"/>
      <c r="O42" s="870"/>
      <c r="P42" s="870"/>
      <c r="Q42" s="870"/>
      <c r="R42" s="870"/>
      <c r="S42" s="870"/>
      <c r="T42" s="870"/>
      <c r="U42" s="870"/>
      <c r="V42" s="870"/>
      <c r="W42" s="870"/>
      <c r="X42" s="870"/>
      <c r="Y42" s="870"/>
      <c r="Z42" s="870"/>
      <c r="AA42" s="870"/>
      <c r="AB42" s="870"/>
    </row>
    <row r="43" spans="1:37" ht="12.6" customHeight="1">
      <c r="A43" s="872" t="s">
        <v>4239</v>
      </c>
      <c r="B43" s="865">
        <f>B45*0.11</f>
        <v>2930.4</v>
      </c>
      <c r="C43" s="865">
        <f>B43*1.02</f>
        <v>2989.0080000000003</v>
      </c>
      <c r="D43" s="865">
        <f t="shared" ref="D43:F43" si="8">C43*1.02</f>
        <v>3048.7881600000005</v>
      </c>
      <c r="E43" s="865">
        <f t="shared" si="8"/>
        <v>3109.7639232000006</v>
      </c>
      <c r="F43" s="865">
        <f t="shared" si="8"/>
        <v>3171.9592016640008</v>
      </c>
      <c r="G43" s="871"/>
      <c r="H43" s="871"/>
      <c r="I43" s="871"/>
      <c r="J43" s="871"/>
      <c r="K43" s="871"/>
      <c r="L43" s="871"/>
      <c r="M43" s="871"/>
      <c r="N43" s="871"/>
      <c r="O43" s="871"/>
      <c r="P43" s="871"/>
      <c r="Q43" s="871"/>
      <c r="R43" s="871"/>
      <c r="S43" s="871"/>
      <c r="T43" s="871"/>
      <c r="U43" s="871"/>
      <c r="V43" s="871"/>
      <c r="W43" s="871"/>
      <c r="X43" s="871"/>
      <c r="Y43" s="871"/>
      <c r="Z43" s="871"/>
      <c r="AA43" s="871"/>
      <c r="AB43" s="871"/>
    </row>
    <row r="44" spans="1:37" ht="12.75" customHeight="1">
      <c r="A44" s="872" t="s">
        <v>4240</v>
      </c>
      <c r="B44" s="865">
        <f>B45*0.24</f>
        <v>6393.5999999999995</v>
      </c>
      <c r="C44" s="865">
        <f>B44</f>
        <v>6393.5999999999995</v>
      </c>
      <c r="D44" s="865">
        <f t="shared" ref="D44:F44" si="9">C44</f>
        <v>6393.5999999999995</v>
      </c>
      <c r="E44" s="865">
        <f t="shared" si="9"/>
        <v>6393.5999999999995</v>
      </c>
      <c r="F44" s="865">
        <f t="shared" si="9"/>
        <v>6393.5999999999995</v>
      </c>
      <c r="G44" s="871"/>
      <c r="H44" s="871"/>
      <c r="I44" s="871"/>
      <c r="J44" s="871"/>
      <c r="K44" s="871"/>
      <c r="L44" s="871"/>
      <c r="M44" s="871"/>
      <c r="N44" s="871"/>
      <c r="O44" s="871"/>
      <c r="P44" s="871"/>
      <c r="Q44" s="871"/>
      <c r="R44" s="871"/>
      <c r="S44" s="871"/>
      <c r="T44" s="871"/>
      <c r="U44" s="871"/>
      <c r="V44" s="871"/>
      <c r="W44" s="871"/>
      <c r="X44" s="871"/>
      <c r="Y44" s="871"/>
      <c r="Z44" s="871"/>
      <c r="AA44" s="871"/>
      <c r="AB44" s="871"/>
    </row>
    <row r="45" spans="1:37" ht="12.75" customHeight="1">
      <c r="A45" s="872" t="s">
        <v>4241</v>
      </c>
      <c r="B45" s="866">
        <f>Inputs!B6</f>
        <v>26640</v>
      </c>
      <c r="C45" s="875">
        <f>SUM(C42:C44)</f>
        <v>27391.248</v>
      </c>
      <c r="D45" s="875">
        <f t="shared" ref="D45:F45" si="10">SUM(D42:D44)</f>
        <v>28171.373759999999</v>
      </c>
      <c r="E45" s="875">
        <f t="shared" si="10"/>
        <v>28981.5089472</v>
      </c>
      <c r="F45" s="875">
        <f t="shared" si="10"/>
        <v>29822.830026624004</v>
      </c>
      <c r="G45" s="875">
        <f>F45*(1+G46)</f>
        <v>30568.4007772896</v>
      </c>
      <c r="H45" s="875">
        <f t="shared" ref="H45:AB45" si="11">G45*(1+H46)</f>
        <v>31332.610796721838</v>
      </c>
      <c r="I45" s="875">
        <f t="shared" si="11"/>
        <v>32115.92606663988</v>
      </c>
      <c r="J45" s="875">
        <f t="shared" si="11"/>
        <v>32918.824218305876</v>
      </c>
      <c r="K45" s="875">
        <f t="shared" si="11"/>
        <v>33741.794823763521</v>
      </c>
      <c r="L45" s="875">
        <f t="shared" si="11"/>
        <v>34585.339694357608</v>
      </c>
      <c r="M45" s="875">
        <f t="shared" si="11"/>
        <v>35449.973186716546</v>
      </c>
      <c r="N45" s="875">
        <f t="shared" si="11"/>
        <v>36336.222516384456</v>
      </c>
      <c r="O45" s="875">
        <f t="shared" si="11"/>
        <v>37244.628079294067</v>
      </c>
      <c r="P45" s="875">
        <f t="shared" si="11"/>
        <v>38175.743781276418</v>
      </c>
      <c r="Q45" s="875">
        <f t="shared" si="11"/>
        <v>39130.137375808328</v>
      </c>
      <c r="R45" s="875">
        <f t="shared" si="11"/>
        <v>39912.740123324496</v>
      </c>
      <c r="S45" s="875">
        <f t="shared" si="11"/>
        <v>40710.99492579099</v>
      </c>
      <c r="T45" s="875">
        <f t="shared" si="11"/>
        <v>41525.214824306808</v>
      </c>
      <c r="U45" s="875">
        <f t="shared" si="11"/>
        <v>42355.719120792943</v>
      </c>
      <c r="V45" s="875">
        <f t="shared" si="11"/>
        <v>43202.8335032088</v>
      </c>
      <c r="W45" s="875">
        <f t="shared" si="11"/>
        <v>44066.890173272979</v>
      </c>
      <c r="X45" s="875">
        <f t="shared" si="11"/>
        <v>44948.227976738439</v>
      </c>
      <c r="Y45" s="875">
        <f t="shared" si="11"/>
        <v>45847.192536273207</v>
      </c>
      <c r="Z45" s="875">
        <f t="shared" si="11"/>
        <v>46764.136386998674</v>
      </c>
      <c r="AA45" s="875">
        <f t="shared" si="11"/>
        <v>47699.419114738652</v>
      </c>
      <c r="AB45" s="875">
        <f t="shared" si="11"/>
        <v>48653.407497033426</v>
      </c>
    </row>
    <row r="46" spans="1:37" ht="12.75" customHeight="1">
      <c r="A46" s="872" t="s">
        <v>4242</v>
      </c>
      <c r="B46" s="867">
        <f>(B45-Inputs!C6)/Inputs!C6</f>
        <v>5.85236926562205E-3</v>
      </c>
      <c r="C46" s="867">
        <f>(C45-B45)/B45</f>
        <v>2.8199999999999985E-2</v>
      </c>
      <c r="D46" s="867">
        <f t="shared" ref="D46:E46" si="12">(D45-C45)/C45</f>
        <v>2.8480840303442872E-2</v>
      </c>
      <c r="E46" s="867">
        <f t="shared" si="12"/>
        <v>2.8757390182735675E-2</v>
      </c>
      <c r="F46" s="867">
        <f>(F45-E45)/E45</f>
        <v>2.9029581618982156E-2</v>
      </c>
      <c r="G46" s="867">
        <v>2.5000000000000001E-2</v>
      </c>
      <c r="H46" s="867">
        <v>2.5000000000000001E-2</v>
      </c>
      <c r="I46" s="867">
        <v>2.5000000000000001E-2</v>
      </c>
      <c r="J46" s="867">
        <v>2.5000000000000001E-2</v>
      </c>
      <c r="K46" s="867">
        <v>2.5000000000000001E-2</v>
      </c>
      <c r="L46" s="867">
        <v>2.5000000000000001E-2</v>
      </c>
      <c r="M46" s="867">
        <v>2.5000000000000001E-2</v>
      </c>
      <c r="N46" s="867">
        <v>2.5000000000000001E-2</v>
      </c>
      <c r="O46" s="867">
        <v>2.5000000000000001E-2</v>
      </c>
      <c r="P46" s="867">
        <v>2.5000000000000001E-2</v>
      </c>
      <c r="Q46" s="867">
        <v>2.5000000000000001E-2</v>
      </c>
      <c r="R46" s="867">
        <v>0.02</v>
      </c>
      <c r="S46" s="867">
        <v>0.02</v>
      </c>
      <c r="T46" s="867">
        <v>0.02</v>
      </c>
      <c r="U46" s="867">
        <v>0.02</v>
      </c>
      <c r="V46" s="867">
        <v>0.02</v>
      </c>
      <c r="W46" s="867">
        <v>0.02</v>
      </c>
      <c r="X46" s="867">
        <v>0.02</v>
      </c>
      <c r="Y46" s="867">
        <v>0.02</v>
      </c>
      <c r="Z46" s="867">
        <v>0.02</v>
      </c>
      <c r="AA46" s="867">
        <v>0.02</v>
      </c>
      <c r="AB46" s="867">
        <v>0.02</v>
      </c>
    </row>
    <row r="53" spans="21:24" ht="12.75" customHeight="1">
      <c r="U53" s="873" t="s">
        <v>4243</v>
      </c>
      <c r="V53" s="873" t="s">
        <v>4244</v>
      </c>
      <c r="W53" s="873" t="s">
        <v>4245</v>
      </c>
      <c r="X53" s="873" t="s">
        <v>4246</v>
      </c>
    </row>
    <row r="54" spans="21:24" ht="12.75" customHeight="1">
      <c r="U54" s="868" t="s">
        <v>4247</v>
      </c>
      <c r="V54" s="868">
        <f>Segments!D5</f>
        <v>18377</v>
      </c>
      <c r="W54" s="876">
        <f>V54/$V$58</f>
        <v>0.68982732732732732</v>
      </c>
      <c r="X54" s="868">
        <f>4.6*W54</f>
        <v>3.1732057057057053</v>
      </c>
    </row>
    <row r="55" spans="21:24" ht="12.75" customHeight="1">
      <c r="U55" s="868" t="s">
        <v>4248</v>
      </c>
      <c r="V55" s="868">
        <f>Segments!D6</f>
        <v>1271</v>
      </c>
      <c r="W55" s="876">
        <f>V55/$V$58</f>
        <v>4.7710210210210213E-2</v>
      </c>
      <c r="X55" s="868">
        <f>5.48*W55</f>
        <v>0.26145195195195198</v>
      </c>
    </row>
    <row r="56" spans="21:24" ht="12.75" customHeight="1">
      <c r="U56" s="868" t="s">
        <v>4249</v>
      </c>
      <c r="V56" s="868">
        <f>Segments!D7</f>
        <v>1749</v>
      </c>
      <c r="W56" s="876">
        <f>V56/$V$58</f>
        <v>6.5653153153153149E-2</v>
      </c>
      <c r="X56" s="868">
        <f>4.6*W56</f>
        <v>0.30200450450450445</v>
      </c>
    </row>
    <row r="57" spans="21:24" ht="12.75" customHeight="1">
      <c r="U57" s="868" t="s">
        <v>4250</v>
      </c>
      <c r="V57" s="877">
        <f>Segments!D9</f>
        <v>5243</v>
      </c>
      <c r="W57" s="876">
        <f>V57/$V$58</f>
        <v>0.19680930930930932</v>
      </c>
      <c r="X57" s="877">
        <f>(4.6+4.6+5.48)/3*W57</f>
        <v>0.9630535535535536</v>
      </c>
    </row>
    <row r="58" spans="21:24" ht="12.75" customHeight="1">
      <c r="V58" s="868">
        <f>Segments!D12</f>
        <v>26640</v>
      </c>
      <c r="X58" s="879">
        <f>SUM(X54:X57)</f>
        <v>4.6997157157157154</v>
      </c>
    </row>
    <row r="60" spans="21:24" ht="12.75" customHeight="1">
      <c r="V60" s="847"/>
    </row>
    <row r="65" spans="1:15" ht="13.15">
      <c r="B65" s="872">
        <v>2015</v>
      </c>
      <c r="C65" s="872">
        <f>B65+1</f>
        <v>2016</v>
      </c>
      <c r="D65" s="872">
        <f t="shared" ref="D65:J65" si="13">C65+1</f>
        <v>2017</v>
      </c>
      <c r="E65" s="872">
        <f t="shared" si="13"/>
        <v>2018</v>
      </c>
      <c r="F65" s="872">
        <f t="shared" si="13"/>
        <v>2019</v>
      </c>
      <c r="G65" s="872">
        <f t="shared" si="13"/>
        <v>2020</v>
      </c>
      <c r="H65" s="872">
        <f t="shared" si="13"/>
        <v>2021</v>
      </c>
      <c r="I65" s="872">
        <f t="shared" si="13"/>
        <v>2022</v>
      </c>
      <c r="J65" s="872">
        <f t="shared" si="13"/>
        <v>2023</v>
      </c>
      <c r="K65" s="873" t="s">
        <v>4251</v>
      </c>
      <c r="L65" s="873" t="s">
        <v>4252</v>
      </c>
      <c r="M65" s="873" t="s">
        <v>4253</v>
      </c>
      <c r="N65" s="873" t="s">
        <v>4254</v>
      </c>
      <c r="O65" s="873" t="s">
        <v>4255</v>
      </c>
    </row>
    <row r="66" spans="1:15" ht="13.15">
      <c r="A66" s="873" t="s">
        <v>4256</v>
      </c>
      <c r="B66" s="869">
        <v>12577</v>
      </c>
      <c r="C66" s="869">
        <v>17154</v>
      </c>
      <c r="D66" s="869">
        <v>17043</v>
      </c>
      <c r="E66" s="869">
        <v>17347</v>
      </c>
      <c r="F66" s="869">
        <v>16830</v>
      </c>
      <c r="G66" s="869">
        <v>17008</v>
      </c>
      <c r="H66" s="869">
        <v>17360</v>
      </c>
      <c r="I66" s="869">
        <v>18363</v>
      </c>
      <c r="J66" s="869">
        <v>17714</v>
      </c>
      <c r="K66" s="881" t="s">
        <v>4257</v>
      </c>
      <c r="L66" s="880">
        <f>F66</f>
        <v>16830</v>
      </c>
      <c r="M66" s="880">
        <f>I66</f>
        <v>18363</v>
      </c>
      <c r="N66" s="880">
        <f>AVERAGE(C66:J66)</f>
        <v>17352.375</v>
      </c>
      <c r="O66" s="880">
        <f>N66</f>
        <v>17352.375</v>
      </c>
    </row>
    <row r="67" spans="1:15" ht="13.15">
      <c r="A67" s="873" t="s">
        <v>4258</v>
      </c>
      <c r="B67" s="865">
        <v>3122</v>
      </c>
      <c r="C67" s="865">
        <v>3527</v>
      </c>
      <c r="D67" s="865">
        <v>2927</v>
      </c>
      <c r="E67" s="865">
        <v>3190</v>
      </c>
      <c r="F67" s="865">
        <v>3178</v>
      </c>
      <c r="G67" s="865">
        <v>3650</v>
      </c>
      <c r="H67" s="865">
        <v>3588</v>
      </c>
      <c r="I67" s="865">
        <v>3575</v>
      </c>
      <c r="J67" s="865">
        <v>3692</v>
      </c>
      <c r="K67" s="878" t="s">
        <v>4257</v>
      </c>
      <c r="L67" s="868">
        <f>MIN(B67:J67)</f>
        <v>2927</v>
      </c>
      <c r="M67" s="868">
        <f>MAX(B67:J67)</f>
        <v>3692</v>
      </c>
      <c r="N67" s="868">
        <f>AVERAGE(B67:J67)</f>
        <v>3383.2222222222222</v>
      </c>
      <c r="O67" s="868">
        <f>N67</f>
        <v>3383.2222222222222</v>
      </c>
    </row>
    <row r="68" spans="1:15" ht="12.75" customHeight="1">
      <c r="A68" s="873" t="s">
        <v>4259</v>
      </c>
      <c r="B68" s="865" t="s">
        <v>72</v>
      </c>
      <c r="C68" s="865" t="s">
        <v>72</v>
      </c>
      <c r="D68" s="865" t="s">
        <v>72</v>
      </c>
      <c r="E68" s="865">
        <v>7008</v>
      </c>
      <c r="F68" s="865">
        <v>1197</v>
      </c>
      <c r="G68" s="865">
        <v>2343</v>
      </c>
      <c r="H68" s="865">
        <v>318</v>
      </c>
      <c r="I68" s="865">
        <v>444</v>
      </c>
      <c r="J68" s="865">
        <v>510</v>
      </c>
      <c r="K68" s="878" t="s">
        <v>4260</v>
      </c>
      <c r="L68" s="868">
        <f>MIN(E68:J68)</f>
        <v>318</v>
      </c>
      <c r="M68" s="868">
        <f>MAX(E68:J68)</f>
        <v>7008</v>
      </c>
      <c r="N68" s="868">
        <f>AVERAGE(E68:J68)</f>
        <v>1970</v>
      </c>
      <c r="O68" s="868">
        <f>L68</f>
        <v>318</v>
      </c>
    </row>
    <row r="69" spans="1:15" ht="12.75" customHeight="1">
      <c r="A69" s="873" t="s">
        <v>4261</v>
      </c>
      <c r="B69" s="865" t="s">
        <v>72</v>
      </c>
      <c r="C69" s="865">
        <v>18</v>
      </c>
      <c r="D69" s="865">
        <v>49</v>
      </c>
      <c r="E69" s="865">
        <v>8928</v>
      </c>
      <c r="F69" s="865">
        <v>702</v>
      </c>
      <c r="G69" s="865">
        <v>1056</v>
      </c>
      <c r="H69" s="865">
        <v>1316</v>
      </c>
      <c r="I69" s="865">
        <v>469</v>
      </c>
      <c r="J69" s="865">
        <v>152</v>
      </c>
      <c r="K69" s="878" t="s">
        <v>4260</v>
      </c>
      <c r="L69" s="868">
        <f>MIN(C69:J69)</f>
        <v>18</v>
      </c>
      <c r="M69" s="868">
        <f>MAX(C69:J69)</f>
        <v>8928</v>
      </c>
      <c r="N69" s="868">
        <f>AVERAGE(C69:J69)</f>
        <v>1586.25</v>
      </c>
      <c r="O69" s="868">
        <f>L69</f>
        <v>18</v>
      </c>
    </row>
    <row r="70" spans="1:15" ht="12.75" customHeight="1">
      <c r="A70" s="873" t="s">
        <v>4262</v>
      </c>
      <c r="B70" s="865">
        <v>2639</v>
      </c>
      <c r="C70" s="865">
        <v>5601</v>
      </c>
      <c r="D70" s="865">
        <v>6057</v>
      </c>
      <c r="E70" s="865">
        <v>-10205</v>
      </c>
      <c r="F70" s="865">
        <v>3070</v>
      </c>
      <c r="G70" s="865">
        <v>2128</v>
      </c>
      <c r="H70" s="865">
        <v>3460</v>
      </c>
      <c r="I70" s="865">
        <v>3634</v>
      </c>
      <c r="J70" s="865">
        <v>4572</v>
      </c>
      <c r="K70" s="878" t="s">
        <v>4263</v>
      </c>
      <c r="L70" s="868" t="s">
        <v>72</v>
      </c>
      <c r="M70" s="868" t="s">
        <v>72</v>
      </c>
      <c r="N70" s="877" t="s">
        <v>72</v>
      </c>
      <c r="O70" s="877">
        <f>F45-SUM(O66:O69)</f>
        <v>8751.2328044017813</v>
      </c>
    </row>
    <row r="71" spans="1:15" ht="12.75" customHeight="1">
      <c r="N71" s="878" t="s">
        <v>4264</v>
      </c>
      <c r="O71" s="885">
        <f>O70/Q45</f>
        <v>0.22364431589785605</v>
      </c>
    </row>
    <row r="77" spans="1:15" ht="12.75" customHeight="1">
      <c r="I77" s="647"/>
      <c r="J77" s="647"/>
      <c r="K77" s="647"/>
      <c r="L77" s="647"/>
      <c r="M77" s="647"/>
    </row>
    <row r="79" spans="1:15" ht="12.75" customHeight="1">
      <c r="I79" s="647"/>
      <c r="J79" s="647"/>
      <c r="K79" s="647"/>
      <c r="L79" s="647"/>
      <c r="M79" s="647"/>
    </row>
    <row r="81" spans="1:30" ht="12.75" customHeight="1">
      <c r="G81" s="647"/>
    </row>
    <row r="83" spans="1:30" ht="12.75" customHeight="1">
      <c r="B83" s="647"/>
      <c r="C83" s="647"/>
      <c r="D83" s="647"/>
      <c r="E83" s="647"/>
      <c r="F83" s="647"/>
    </row>
    <row r="84" spans="1:30" ht="12.75" customHeight="1">
      <c r="B84" s="647"/>
      <c r="C84" s="647"/>
      <c r="D84" s="647"/>
      <c r="E84" s="647"/>
    </row>
    <row r="85" spans="1:30" ht="12.75" customHeight="1">
      <c r="B85" s="873">
        <v>2023</v>
      </c>
      <c r="C85" s="873">
        <f>B85+1</f>
        <v>2024</v>
      </c>
      <c r="D85" s="873">
        <f t="shared" ref="D85:F85" si="14">C85+1</f>
        <v>2025</v>
      </c>
      <c r="E85" s="873">
        <f t="shared" si="14"/>
        <v>2026</v>
      </c>
      <c r="F85" s="873">
        <f t="shared" si="14"/>
        <v>2027</v>
      </c>
      <c r="G85" s="873">
        <v>2028</v>
      </c>
      <c r="H85" s="873">
        <f>G85+1</f>
        <v>2029</v>
      </c>
      <c r="I85" s="873">
        <f>H85+1</f>
        <v>2030</v>
      </c>
      <c r="J85" s="873">
        <f t="shared" ref="J85:AB85" si="15">I85+1</f>
        <v>2031</v>
      </c>
      <c r="K85" s="873">
        <f t="shared" si="15"/>
        <v>2032</v>
      </c>
      <c r="L85" s="873">
        <f t="shared" si="15"/>
        <v>2033</v>
      </c>
      <c r="M85" s="873">
        <f t="shared" si="15"/>
        <v>2034</v>
      </c>
      <c r="N85" s="873">
        <f t="shared" si="15"/>
        <v>2035</v>
      </c>
      <c r="O85" s="873">
        <f t="shared" si="15"/>
        <v>2036</v>
      </c>
      <c r="P85" s="873">
        <f t="shared" si="15"/>
        <v>2037</v>
      </c>
      <c r="Q85" s="873">
        <f t="shared" si="15"/>
        <v>2038</v>
      </c>
      <c r="R85" s="873">
        <f t="shared" si="15"/>
        <v>2039</v>
      </c>
      <c r="S85" s="873">
        <f t="shared" si="15"/>
        <v>2040</v>
      </c>
      <c r="T85" s="873">
        <f t="shared" si="15"/>
        <v>2041</v>
      </c>
      <c r="U85" s="873">
        <f t="shared" si="15"/>
        <v>2042</v>
      </c>
      <c r="V85" s="873">
        <f t="shared" si="15"/>
        <v>2043</v>
      </c>
      <c r="W85" s="873">
        <f t="shared" si="15"/>
        <v>2044</v>
      </c>
      <c r="X85" s="873">
        <f t="shared" si="15"/>
        <v>2045</v>
      </c>
      <c r="Y85" s="873">
        <f t="shared" si="15"/>
        <v>2046</v>
      </c>
      <c r="Z85" s="873">
        <f t="shared" si="15"/>
        <v>2047</v>
      </c>
      <c r="AA85" s="873">
        <f t="shared" si="15"/>
        <v>2048</v>
      </c>
      <c r="AB85" s="873">
        <f t="shared" si="15"/>
        <v>2049</v>
      </c>
    </row>
    <row r="86" spans="1:30" ht="12.75" customHeight="1">
      <c r="A86" s="873" t="s">
        <v>4265</v>
      </c>
      <c r="B86" s="884">
        <v>4576</v>
      </c>
      <c r="C86" s="884">
        <v>4736.16</v>
      </c>
      <c r="D86" s="884">
        <v>4901.9255999999996</v>
      </c>
      <c r="E86" s="884">
        <v>5073.492995999999</v>
      </c>
      <c r="F86" s="884">
        <v>5251.0652508599987</v>
      </c>
      <c r="G86" s="887"/>
      <c r="H86" s="887"/>
      <c r="I86" s="887"/>
      <c r="J86" s="887"/>
      <c r="K86" s="887"/>
      <c r="L86" s="887"/>
      <c r="M86" s="887"/>
      <c r="N86" s="887"/>
      <c r="O86" s="887"/>
      <c r="P86" s="887"/>
      <c r="Q86" s="886">
        <f>O70</f>
        <v>8751.2328044017813</v>
      </c>
      <c r="R86" s="887"/>
      <c r="S86" s="887"/>
      <c r="T86" s="887"/>
      <c r="U86" s="887"/>
      <c r="V86" s="887"/>
      <c r="W86" s="887"/>
      <c r="X86" s="887"/>
      <c r="Y86" s="887"/>
      <c r="Z86" s="887"/>
      <c r="AA86" s="887"/>
      <c r="AB86" s="887"/>
    </row>
    <row r="87" spans="1:30" ht="12.75" customHeight="1">
      <c r="A87" s="873" t="s">
        <v>4264</v>
      </c>
      <c r="B87" s="882">
        <v>0.17177177177177178</v>
      </c>
      <c r="C87" s="882">
        <v>0.17290778426744191</v>
      </c>
      <c r="D87" s="882">
        <v>0.17400378276760331</v>
      </c>
      <c r="E87" s="882">
        <v>0.1750596563223519</v>
      </c>
      <c r="F87" s="882">
        <v>0.17607535053421047</v>
      </c>
      <c r="G87" s="889">
        <f t="shared" ref="G87:P87" si="16">F87+$G$88</f>
        <v>0.18039980193090552</v>
      </c>
      <c r="H87" s="889">
        <f t="shared" si="16"/>
        <v>0.18472425332760056</v>
      </c>
      <c r="I87" s="889">
        <f t="shared" si="16"/>
        <v>0.18904870472429561</v>
      </c>
      <c r="J87" s="889">
        <f t="shared" si="16"/>
        <v>0.19337315612099065</v>
      </c>
      <c r="K87" s="889">
        <f t="shared" si="16"/>
        <v>0.1976976075176857</v>
      </c>
      <c r="L87" s="889">
        <f t="shared" si="16"/>
        <v>0.20202205891438074</v>
      </c>
      <c r="M87" s="889">
        <f t="shared" si="16"/>
        <v>0.20634651031107579</v>
      </c>
      <c r="N87" s="889">
        <f t="shared" si="16"/>
        <v>0.21067096170777083</v>
      </c>
      <c r="O87" s="889">
        <f t="shared" si="16"/>
        <v>0.21499541310446588</v>
      </c>
      <c r="P87" s="889">
        <f t="shared" si="16"/>
        <v>0.21931986450116092</v>
      </c>
      <c r="Q87" s="885">
        <f>Q86/Q45</f>
        <v>0.22364431589785605</v>
      </c>
      <c r="R87" s="889">
        <f t="shared" ref="R87:AA87" si="17">Q87+$R$88</f>
        <v>0.22416444819380205</v>
      </c>
      <c r="S87" s="889">
        <f t="shared" si="17"/>
        <v>0.22468458048974804</v>
      </c>
      <c r="T87" s="889">
        <f t="shared" si="17"/>
        <v>0.22520471278569404</v>
      </c>
      <c r="U87" s="889">
        <f t="shared" si="17"/>
        <v>0.22572484508164004</v>
      </c>
      <c r="V87" s="889">
        <f t="shared" si="17"/>
        <v>0.22624497737758603</v>
      </c>
      <c r="W87" s="889">
        <f t="shared" si="17"/>
        <v>0.22676510967353203</v>
      </c>
      <c r="X87" s="889">
        <f t="shared" si="17"/>
        <v>0.22728524196947802</v>
      </c>
      <c r="Y87" s="889">
        <f t="shared" si="17"/>
        <v>0.22780537426542402</v>
      </c>
      <c r="Z87" s="889">
        <f t="shared" si="17"/>
        <v>0.22832550656137002</v>
      </c>
      <c r="AA87" s="889">
        <f t="shared" si="17"/>
        <v>0.22884563885731601</v>
      </c>
      <c r="AB87" s="885">
        <f>Peers!E15</f>
        <v>0.2293657711532619</v>
      </c>
      <c r="AD87" s="888" t="s">
        <v>4266</v>
      </c>
    </row>
    <row r="88" spans="1:30" ht="12.75" customHeight="1">
      <c r="G88" s="1240">
        <f>(Q87-F87)/11</f>
        <v>4.3244513966950527E-3</v>
      </c>
      <c r="H88" s="1240"/>
      <c r="I88" s="1240"/>
      <c r="J88" s="1240"/>
      <c r="K88" s="1240"/>
      <c r="L88" s="1240"/>
      <c r="M88" s="1240"/>
      <c r="N88" s="1240"/>
      <c r="O88" s="1240"/>
      <c r="P88" s="1240"/>
      <c r="R88" s="1240">
        <f>(AB87-Q87)/11</f>
        <v>5.2013229594598633E-4</v>
      </c>
      <c r="S88" s="1240"/>
      <c r="T88" s="1240"/>
      <c r="U88" s="1240"/>
      <c r="V88" s="1240"/>
      <c r="W88" s="1240"/>
      <c r="X88" s="1240"/>
      <c r="Y88" s="1240"/>
      <c r="Z88" s="1240"/>
      <c r="AA88" s="1240"/>
    </row>
    <row r="92" spans="1:30" ht="12.75" customHeight="1">
      <c r="B92" s="847"/>
      <c r="C92" s="847"/>
      <c r="D92" s="847"/>
      <c r="E92" s="847"/>
      <c r="F92" s="847"/>
    </row>
    <row r="93" spans="1:30" ht="12.75" customHeight="1">
      <c r="B93" s="647"/>
      <c r="C93" s="647"/>
      <c r="D93" s="647"/>
      <c r="E93" s="647"/>
      <c r="F93" s="647"/>
      <c r="G93" s="647"/>
      <c r="H93" s="647"/>
      <c r="I93" s="647"/>
      <c r="J93" s="647"/>
    </row>
    <row r="106" spans="1:16" ht="12.75" customHeight="1">
      <c r="B106" s="896">
        <v>2023</v>
      </c>
      <c r="C106" s="896">
        <f>B106-1</f>
        <v>2022</v>
      </c>
      <c r="D106" s="896">
        <f t="shared" ref="D106:J106" si="18">C106-1</f>
        <v>2021</v>
      </c>
      <c r="E106" s="896">
        <f t="shared" si="18"/>
        <v>2020</v>
      </c>
      <c r="F106" s="896">
        <f t="shared" si="18"/>
        <v>2019</v>
      </c>
      <c r="G106" s="896">
        <f t="shared" si="18"/>
        <v>2018</v>
      </c>
      <c r="H106" s="896">
        <f t="shared" si="18"/>
        <v>2017</v>
      </c>
      <c r="I106" s="896">
        <f>H106-1</f>
        <v>2016</v>
      </c>
      <c r="J106" s="896">
        <f t="shared" si="18"/>
        <v>2015</v>
      </c>
      <c r="L106" s="890" t="s">
        <v>4267</v>
      </c>
      <c r="M106" s="890" t="s">
        <v>4268</v>
      </c>
    </row>
    <row r="108" spans="1:16" ht="12.75" customHeight="1">
      <c r="A108" s="873" t="s">
        <v>4269</v>
      </c>
      <c r="B108" s="865">
        <v>40</v>
      </c>
      <c r="C108" s="865">
        <v>27</v>
      </c>
      <c r="D108" s="865">
        <v>15</v>
      </c>
      <c r="E108" s="865">
        <v>27</v>
      </c>
      <c r="F108" s="865">
        <v>36</v>
      </c>
      <c r="G108" s="871"/>
      <c r="H108" s="871"/>
      <c r="I108" s="871"/>
      <c r="J108" s="871"/>
      <c r="K108" s="718"/>
      <c r="L108" s="718"/>
      <c r="M108" s="718"/>
      <c r="N108" s="718"/>
      <c r="O108" s="895" t="s">
        <v>4270</v>
      </c>
      <c r="P108" s="874" t="s">
        <v>4271</v>
      </c>
    </row>
    <row r="109" spans="1:16" ht="12.75" customHeight="1">
      <c r="A109" s="873" t="s">
        <v>4272</v>
      </c>
      <c r="B109" s="865">
        <v>912</v>
      </c>
      <c r="C109" s="865">
        <v>921</v>
      </c>
      <c r="D109" s="865">
        <v>2047</v>
      </c>
      <c r="E109" s="865">
        <v>1394</v>
      </c>
      <c r="F109" s="865">
        <v>1361</v>
      </c>
      <c r="G109" s="871"/>
      <c r="H109" s="871"/>
      <c r="I109" s="871"/>
      <c r="J109" s="871"/>
      <c r="K109" s="718"/>
      <c r="L109" s="718"/>
      <c r="M109" s="718"/>
      <c r="N109" s="718"/>
      <c r="O109" s="895" t="s">
        <v>4273</v>
      </c>
      <c r="P109" s="891">
        <v>1.47E-2</v>
      </c>
    </row>
    <row r="110" spans="1:16" ht="12.75" customHeight="1">
      <c r="A110" s="873" t="s">
        <v>4274</v>
      </c>
      <c r="B110" s="867">
        <f>B108/'Fin. Data'!B39</f>
        <v>2.8571428571428571E-2</v>
      </c>
      <c r="C110" s="867">
        <f>C108/'Fin. Data'!C39</f>
        <v>2.5961538461538463E-2</v>
      </c>
      <c r="D110" s="867">
        <f>D108/'Fin. Data'!D39</f>
        <v>4.3541364296081275E-3</v>
      </c>
      <c r="E110" s="867">
        <f>E108/'Fin. Data'!E39</f>
        <v>7.9016681299385431E-3</v>
      </c>
      <c r="F110" s="867">
        <f>F108/'Fin. Data'!F39</f>
        <v>1.5796401930671347E-2</v>
      </c>
      <c r="G110" s="871"/>
      <c r="H110" s="871"/>
      <c r="I110" s="871"/>
      <c r="J110" s="871"/>
      <c r="K110" s="718"/>
      <c r="L110" s="892">
        <f>AVERAGE(B110:F110)</f>
        <v>1.6517034704637008E-2</v>
      </c>
      <c r="M110" s="892">
        <v>1.4999999999999999E-2</v>
      </c>
      <c r="N110" s="718"/>
      <c r="O110" s="895" t="s">
        <v>4275</v>
      </c>
      <c r="P110" s="891">
        <v>4.1059999999999999E-2</v>
      </c>
    </row>
    <row r="111" spans="1:16" ht="12.75" customHeight="1">
      <c r="A111" s="873" t="s">
        <v>4276</v>
      </c>
      <c r="B111" s="867">
        <f>B109/'Fin. Data'!B58</f>
        <v>4.5527156549520768E-2</v>
      </c>
      <c r="C111" s="867">
        <f>C109/'Fin. Data'!C58</f>
        <v>4.5889387144992529E-2</v>
      </c>
      <c r="D111" s="867">
        <f>D109/'Fin. Data'!D58</f>
        <v>9.3834517533807019E-2</v>
      </c>
      <c r="E111" s="867">
        <f>E109/'Fin. Data'!E58</f>
        <v>4.9247509361972724E-2</v>
      </c>
      <c r="F111" s="867">
        <f>F109/'Fin. Data'!F58</f>
        <v>4.6539461086034739E-2</v>
      </c>
      <c r="G111" s="871"/>
      <c r="H111" s="871"/>
      <c r="I111" s="871"/>
      <c r="J111" s="871"/>
      <c r="K111" s="718"/>
      <c r="L111" s="892">
        <f>AVERAGE(E111:F111,B111:C111)</f>
        <v>4.680087853563019E-2</v>
      </c>
      <c r="M111" s="892">
        <f>P113</f>
        <v>5.6559999999999999E-2</v>
      </c>
      <c r="N111" s="718"/>
      <c r="O111" s="895" t="s">
        <v>4277</v>
      </c>
      <c r="P111" s="891">
        <v>4.1860000000000001E-2</v>
      </c>
    </row>
    <row r="112" spans="1:16" ht="12.75" customHeight="1">
      <c r="B112" s="718"/>
      <c r="C112" s="718"/>
      <c r="D112" s="718"/>
      <c r="E112" s="718"/>
      <c r="F112" s="718"/>
      <c r="G112" s="718"/>
      <c r="H112" s="718"/>
      <c r="I112" s="718"/>
      <c r="J112" s="718"/>
      <c r="K112" s="718"/>
      <c r="L112" s="718"/>
      <c r="M112" s="718"/>
      <c r="N112" s="718"/>
      <c r="O112" s="895" t="s">
        <v>4267</v>
      </c>
      <c r="P112" s="891">
        <f>P109+P110</f>
        <v>5.5759999999999997E-2</v>
      </c>
    </row>
    <row r="113" spans="1:32" ht="12.75" customHeight="1">
      <c r="A113" s="873" t="s">
        <v>4278</v>
      </c>
      <c r="B113" s="865">
        <v>710</v>
      </c>
      <c r="C113" s="865">
        <v>672</v>
      </c>
      <c r="D113" s="865">
        <v>671</v>
      </c>
      <c r="E113" s="865">
        <v>705</v>
      </c>
      <c r="F113" s="865">
        <v>708</v>
      </c>
      <c r="G113" s="865">
        <v>693</v>
      </c>
      <c r="H113" s="865">
        <v>753</v>
      </c>
      <c r="I113" s="893"/>
      <c r="J113" s="871"/>
      <c r="K113" s="718"/>
      <c r="L113" s="718"/>
      <c r="M113" s="718"/>
      <c r="N113" s="718"/>
      <c r="O113" s="895" t="s">
        <v>4268</v>
      </c>
      <c r="P113" s="892">
        <f>P109+P111</f>
        <v>5.6559999999999999E-2</v>
      </c>
    </row>
    <row r="114" spans="1:32" ht="12.75" customHeight="1">
      <c r="A114" s="873" t="s">
        <v>4279</v>
      </c>
      <c r="B114" s="865">
        <v>11925</v>
      </c>
      <c r="C114" s="865">
        <v>10952</v>
      </c>
      <c r="D114" s="865">
        <v>10674</v>
      </c>
      <c r="E114" s="865">
        <v>10439</v>
      </c>
      <c r="F114" s="865">
        <v>10242</v>
      </c>
      <c r="G114" s="865">
        <v>9662</v>
      </c>
      <c r="H114" s="865">
        <v>9150</v>
      </c>
      <c r="I114" s="871"/>
      <c r="J114" s="871"/>
      <c r="K114" s="718"/>
      <c r="L114" s="718"/>
      <c r="M114" s="718"/>
      <c r="N114" s="718"/>
      <c r="O114" s="718"/>
      <c r="P114" s="718"/>
    </row>
    <row r="115" spans="1:32" ht="12.75" customHeight="1">
      <c r="A115" s="873" t="s">
        <v>4280</v>
      </c>
      <c r="B115" s="867">
        <f>B113/B114</f>
        <v>5.9538784067085952E-2</v>
      </c>
      <c r="C115" s="867">
        <f t="shared" ref="C115:H115" si="19">C113/C114</f>
        <v>6.1358655953250546E-2</v>
      </c>
      <c r="D115" s="867">
        <f t="shared" si="19"/>
        <v>6.2863031665729804E-2</v>
      </c>
      <c r="E115" s="867">
        <f t="shared" si="19"/>
        <v>6.7535204521505895E-2</v>
      </c>
      <c r="F115" s="867">
        <f t="shared" si="19"/>
        <v>6.9127123608670182E-2</v>
      </c>
      <c r="G115" s="867">
        <f t="shared" si="19"/>
        <v>7.1724280687228317E-2</v>
      </c>
      <c r="H115" s="867">
        <f t="shared" si="19"/>
        <v>8.2295081967213121E-2</v>
      </c>
      <c r="I115" s="871"/>
      <c r="J115" s="871"/>
      <c r="K115" s="718"/>
      <c r="L115" s="892">
        <f>AVERAGE(B115:H115)</f>
        <v>6.7777451781526263E-2</v>
      </c>
      <c r="M115" s="894">
        <v>0.06</v>
      </c>
      <c r="N115" s="718"/>
      <c r="O115" s="718"/>
      <c r="P115" s="718"/>
    </row>
    <row r="116" spans="1:32" ht="12.75" customHeight="1">
      <c r="B116" s="718"/>
      <c r="C116" s="718"/>
      <c r="D116" s="718"/>
      <c r="E116" s="718"/>
      <c r="F116" s="718"/>
      <c r="G116" s="718"/>
      <c r="H116" s="718"/>
      <c r="I116" s="718"/>
      <c r="J116" s="718"/>
      <c r="K116" s="718"/>
      <c r="L116" s="718"/>
      <c r="M116" s="718"/>
      <c r="N116" s="718"/>
      <c r="O116" s="718"/>
      <c r="P116" s="718"/>
    </row>
    <row r="117" spans="1:32" ht="12.75" customHeight="1">
      <c r="A117" s="873" t="s">
        <v>4281</v>
      </c>
      <c r="B117" s="865">
        <v>251</v>
      </c>
      <c r="C117" s="865">
        <v>261</v>
      </c>
      <c r="D117" s="865">
        <v>239</v>
      </c>
      <c r="E117" s="865">
        <v>264</v>
      </c>
      <c r="F117" s="865">
        <v>286</v>
      </c>
      <c r="G117" s="865">
        <v>290</v>
      </c>
      <c r="H117" s="865">
        <v>278</v>
      </c>
      <c r="I117" s="871"/>
      <c r="J117" s="871"/>
      <c r="K117" s="718"/>
      <c r="L117" s="718"/>
      <c r="M117" s="718"/>
      <c r="N117" s="718"/>
      <c r="O117" s="718"/>
      <c r="P117" s="718"/>
      <c r="AC117" s="856"/>
      <c r="AD117" s="856"/>
      <c r="AE117" s="856"/>
      <c r="AF117" s="856"/>
    </row>
    <row r="118" spans="1:32" ht="12.75" customHeight="1">
      <c r="A118" s="873" t="s">
        <v>4282</v>
      </c>
      <c r="B118" s="865">
        <f>30459+42448+2089</f>
        <v>74996</v>
      </c>
      <c r="C118" s="865">
        <f>30883+42649+1829</f>
        <v>75361</v>
      </c>
      <c r="D118" s="865">
        <f>31296+43542+1602</f>
        <v>76440</v>
      </c>
      <c r="E118" s="865">
        <f>33089+46667+1423</f>
        <v>81179</v>
      </c>
      <c r="F118" s="865">
        <f>35546+48652+1318</f>
        <v>85516</v>
      </c>
      <c r="G118" s="865">
        <f>36503+49468+1087</f>
        <v>87058</v>
      </c>
      <c r="H118" s="865">
        <f>44825+59432+836</f>
        <v>105093</v>
      </c>
      <c r="I118" s="871"/>
      <c r="J118" s="871"/>
      <c r="K118" s="718"/>
      <c r="L118" s="718"/>
      <c r="M118" s="718"/>
      <c r="N118" s="718"/>
      <c r="O118" s="718"/>
      <c r="P118" s="718"/>
      <c r="AC118" s="647"/>
      <c r="AD118" s="647"/>
      <c r="AE118" s="647"/>
      <c r="AF118" s="647"/>
    </row>
    <row r="119" spans="1:32" ht="12.75" customHeight="1">
      <c r="A119" s="873" t="s">
        <v>4283</v>
      </c>
      <c r="B119" s="867">
        <f>B117/B118</f>
        <v>3.3468451650754709E-3</v>
      </c>
      <c r="C119" s="867">
        <f t="shared" ref="C119:H119" si="20">C117/C118</f>
        <v>3.4633298390414138E-3</v>
      </c>
      <c r="D119" s="867">
        <f t="shared" si="20"/>
        <v>3.1266352694924123E-3</v>
      </c>
      <c r="E119" s="867">
        <f t="shared" si="20"/>
        <v>3.252072580347134E-3</v>
      </c>
      <c r="F119" s="867">
        <f t="shared" si="20"/>
        <v>3.3444033865007716E-3</v>
      </c>
      <c r="G119" s="867">
        <f t="shared" si="20"/>
        <v>3.3311125916055963E-3</v>
      </c>
      <c r="H119" s="867">
        <f t="shared" si="20"/>
        <v>2.6452760887975412E-3</v>
      </c>
      <c r="I119" s="871"/>
      <c r="J119" s="871"/>
      <c r="K119" s="718"/>
      <c r="L119" s="892">
        <f>AVERAGE(B119:H119)</f>
        <v>3.2156678458371913E-3</v>
      </c>
      <c r="M119" s="892">
        <f>L119</f>
        <v>3.2156678458371913E-3</v>
      </c>
      <c r="N119" s="718"/>
      <c r="O119" s="718"/>
      <c r="P119" s="718"/>
    </row>
    <row r="120" spans="1:32" ht="12.75" customHeight="1">
      <c r="B120" s="718"/>
      <c r="C120" s="718"/>
      <c r="D120" s="718"/>
      <c r="E120" s="718"/>
      <c r="F120" s="718"/>
      <c r="G120" s="718"/>
      <c r="H120" s="718"/>
      <c r="I120" s="718"/>
      <c r="J120" s="718"/>
      <c r="K120" s="718"/>
      <c r="L120" s="718"/>
      <c r="M120" s="718"/>
      <c r="N120" s="718"/>
      <c r="O120" s="718"/>
      <c r="P120" s="718"/>
    </row>
    <row r="121" spans="1:32" ht="12.75" customHeight="1">
      <c r="A121" s="873" t="s">
        <v>4284</v>
      </c>
      <c r="B121" s="866">
        <f>Inputs!B65*-1</f>
        <v>1013</v>
      </c>
      <c r="C121" s="866">
        <f>Inputs!C65*-1</f>
        <v>916</v>
      </c>
      <c r="D121" s="866">
        <f>Inputs!D65*-1</f>
        <v>905</v>
      </c>
      <c r="E121" s="866">
        <f>Inputs!E65*-1</f>
        <v>596</v>
      </c>
      <c r="F121" s="866">
        <f>Inputs!F65*-1</f>
        <v>768</v>
      </c>
      <c r="G121" s="866">
        <f>Inputs!G65*-1</f>
        <v>826</v>
      </c>
      <c r="H121" s="866">
        <f>Inputs!H65*-1</f>
        <v>1194</v>
      </c>
      <c r="I121" s="866">
        <f>Inputs!I65*-1</f>
        <v>1247</v>
      </c>
      <c r="J121" s="866">
        <f>Inputs!J65*-1</f>
        <v>648</v>
      </c>
      <c r="K121" s="863"/>
      <c r="L121" s="863"/>
      <c r="M121" s="863"/>
      <c r="N121" s="863"/>
      <c r="O121" s="863"/>
      <c r="P121" s="718"/>
    </row>
    <row r="122" spans="1:32" ht="12.75" customHeight="1">
      <c r="A122" s="873" t="s">
        <v>4285</v>
      </c>
      <c r="B122" s="867">
        <f>B121/Inputs!B6</f>
        <v>3.8025525525525523E-2</v>
      </c>
      <c r="C122" s="867">
        <f>C121/Inputs!C6</f>
        <v>3.4585614498772892E-2</v>
      </c>
      <c r="D122" s="867">
        <f>D121/Inputs!D6</f>
        <v>3.4751555180093693E-2</v>
      </c>
      <c r="E122" s="867">
        <f>E121/Inputs!E6</f>
        <v>2.276112278021768E-2</v>
      </c>
      <c r="F122" s="867">
        <f>F121/Inputs!F6</f>
        <v>3.0748288425351322E-2</v>
      </c>
      <c r="G122" s="867">
        <f>G121/Inputs!G6</f>
        <v>3.1445104309425917E-2</v>
      </c>
      <c r="H122" s="867">
        <f>H121/Inputs!H6</f>
        <v>4.578923147722043E-2</v>
      </c>
      <c r="I122" s="867">
        <f>I121/Inputs!I6</f>
        <v>4.7414448669201519E-2</v>
      </c>
      <c r="J122" s="867">
        <f>J121/Inputs!J6</f>
        <v>3.5336459810230127E-2</v>
      </c>
      <c r="K122" s="718"/>
      <c r="L122" s="892">
        <f>AVERAGE(B122:J122)</f>
        <v>3.5650816741782124E-2</v>
      </c>
      <c r="M122" s="892">
        <v>3.5000000000000003E-2</v>
      </c>
      <c r="N122" s="718"/>
      <c r="O122" s="718"/>
      <c r="P122" s="718"/>
    </row>
    <row r="123" spans="1:32" ht="12.75" customHeight="1">
      <c r="B123" s="718"/>
      <c r="C123" s="718"/>
      <c r="D123" s="718"/>
      <c r="E123" s="718"/>
      <c r="F123" s="718"/>
      <c r="G123" s="718"/>
      <c r="H123" s="718"/>
      <c r="I123" s="718"/>
      <c r="J123" s="718"/>
      <c r="K123" s="718"/>
      <c r="L123" s="718"/>
      <c r="M123" s="718"/>
      <c r="N123" s="718"/>
      <c r="O123" s="718"/>
      <c r="P123" s="718"/>
    </row>
    <row r="124" spans="1:32" ht="12.75" customHeight="1">
      <c r="A124" s="873" t="s">
        <v>4286</v>
      </c>
      <c r="B124" s="866">
        <f>Inputs!B74*-1</f>
        <v>455</v>
      </c>
      <c r="C124" s="866">
        <f>Inputs!C74*-1</f>
        <v>280</v>
      </c>
      <c r="D124" s="866">
        <f>Inputs!D74*-1</f>
        <v>271</v>
      </c>
      <c r="E124" s="866">
        <f>Inputs!E74*-1</f>
        <v>0</v>
      </c>
      <c r="F124" s="866">
        <f>Inputs!F74*-1</f>
        <v>0</v>
      </c>
      <c r="G124" s="866">
        <f>Inputs!G74*-1</f>
        <v>0</v>
      </c>
      <c r="H124" s="866">
        <f>Inputs!H74*-1</f>
        <v>0</v>
      </c>
      <c r="I124" s="866">
        <f>Inputs!I74*-1</f>
        <v>0</v>
      </c>
      <c r="J124" s="866">
        <f>Inputs!J74*-1</f>
        <v>0</v>
      </c>
      <c r="K124" s="718"/>
      <c r="L124" s="718"/>
      <c r="M124" s="718"/>
      <c r="N124" s="718"/>
      <c r="O124" s="718"/>
      <c r="P124" s="718"/>
    </row>
    <row r="125" spans="1:32" ht="12.75" customHeight="1">
      <c r="A125" s="873" t="s">
        <v>4287</v>
      </c>
      <c r="B125" s="867">
        <f>B124/Inputs!C12</f>
        <v>0.192551840880237</v>
      </c>
      <c r="C125" s="867">
        <f>C124/Inputs!D12</f>
        <v>0.27667984189723321</v>
      </c>
      <c r="D125" s="867">
        <f>D124/Inputs!E12</f>
        <v>0.7612359550561798</v>
      </c>
      <c r="E125" s="867">
        <f>E124/Inputs!F12</f>
        <v>0</v>
      </c>
      <c r="F125" s="867">
        <f>F124/Inputs!G12</f>
        <v>0</v>
      </c>
      <c r="G125" s="867">
        <f>G124/Inputs!H12</f>
        <v>0</v>
      </c>
      <c r="H125" s="867">
        <f>H124/Inputs!I12</f>
        <v>0</v>
      </c>
      <c r="I125" s="867">
        <f>I124/Inputs!J12</f>
        <v>0</v>
      </c>
      <c r="J125" s="867">
        <f>J124/Inputs!K12</f>
        <v>0</v>
      </c>
      <c r="K125" s="718"/>
      <c r="L125" s="864"/>
      <c r="M125" s="718"/>
      <c r="N125" s="718"/>
      <c r="O125" s="718"/>
      <c r="P125" s="718"/>
    </row>
    <row r="126" spans="1:32" ht="12.75" customHeight="1">
      <c r="B126" s="718"/>
      <c r="C126" s="718"/>
      <c r="D126" s="718"/>
      <c r="E126" s="718"/>
      <c r="F126" s="718"/>
      <c r="G126" s="718"/>
      <c r="H126" s="718"/>
      <c r="I126" s="718"/>
      <c r="J126" s="718"/>
      <c r="K126" s="718"/>
      <c r="L126" s="718"/>
      <c r="M126" s="718"/>
      <c r="N126" s="718"/>
      <c r="O126" s="718"/>
      <c r="P126" s="718"/>
    </row>
    <row r="127" spans="1:32" ht="12.75" customHeight="1">
      <c r="A127" s="873" t="s">
        <v>4288</v>
      </c>
      <c r="B127" s="866">
        <f>Inputs!B66*-1</f>
        <v>0</v>
      </c>
      <c r="C127" s="866">
        <f>Inputs!C66*-1</f>
        <v>481</v>
      </c>
      <c r="D127" s="866">
        <f>Inputs!D66*-1</f>
        <v>74</v>
      </c>
      <c r="E127" s="866">
        <f>Inputs!E66*-1</f>
        <v>0</v>
      </c>
      <c r="F127" s="866">
        <f>Inputs!F66*-1</f>
        <v>199</v>
      </c>
      <c r="G127" s="866">
        <f>Inputs!G66*-1</f>
        <v>248</v>
      </c>
      <c r="H127" s="866">
        <f>Inputs!H66*-1</f>
        <v>0</v>
      </c>
      <c r="I127" s="866">
        <f>Inputs!I66*-1</f>
        <v>0</v>
      </c>
      <c r="J127" s="866">
        <f>Inputs!J66*-1</f>
        <v>9468</v>
      </c>
      <c r="K127" s="718"/>
      <c r="L127" s="718"/>
      <c r="M127" s="718"/>
      <c r="N127" s="718"/>
      <c r="O127" s="718"/>
      <c r="P127" s="718"/>
    </row>
    <row r="128" spans="1:32" ht="12.75" customHeight="1">
      <c r="A128" s="873" t="s">
        <v>4289</v>
      </c>
      <c r="B128" s="867">
        <f>B127/Inputs!B6</f>
        <v>0</v>
      </c>
      <c r="C128" s="867">
        <f>C127/Inputs!C6</f>
        <v>1.8161223333962619E-2</v>
      </c>
      <c r="D128" s="867">
        <f>D127/Inputs!D6</f>
        <v>2.8415636279855616E-3</v>
      </c>
      <c r="E128" s="867">
        <f>E127/Inputs!E6</f>
        <v>0</v>
      </c>
      <c r="F128" s="867">
        <f>F127/Inputs!F6</f>
        <v>7.9673299435480648E-3</v>
      </c>
      <c r="G128" s="867">
        <f>G127/Inputs!G6</f>
        <v>9.4411451195370796E-3</v>
      </c>
      <c r="H128" s="867">
        <f>H127/Inputs!H6</f>
        <v>0</v>
      </c>
      <c r="I128" s="867">
        <f>I127/Inputs!I6</f>
        <v>0</v>
      </c>
      <c r="J128" s="867">
        <f>J127/Inputs!J6</f>
        <v>0.51630494056058462</v>
      </c>
      <c r="K128" s="718"/>
      <c r="L128" s="892">
        <v>5.0000000000000001E-3</v>
      </c>
      <c r="M128" s="894">
        <v>0</v>
      </c>
      <c r="N128" s="718"/>
      <c r="O128" s="718"/>
      <c r="P128" s="718"/>
    </row>
    <row r="129" spans="1:16" ht="12.75" customHeight="1">
      <c r="B129" s="718"/>
      <c r="C129" s="718"/>
      <c r="D129" s="718"/>
      <c r="E129" s="718"/>
      <c r="F129" s="718"/>
      <c r="G129" s="718"/>
      <c r="H129" s="718"/>
      <c r="I129" s="718"/>
      <c r="J129" s="718"/>
      <c r="K129" s="718"/>
      <c r="L129" s="718"/>
      <c r="M129" s="718"/>
      <c r="N129" s="718"/>
      <c r="O129" s="718"/>
      <c r="P129" s="718"/>
    </row>
    <row r="130" spans="1:16" ht="12.75" customHeight="1">
      <c r="A130" s="873" t="s">
        <v>4290</v>
      </c>
      <c r="B130" s="866">
        <f>'Fin. Data'!B58</f>
        <v>20032</v>
      </c>
      <c r="C130" s="866">
        <f>'Fin. Data'!C58</f>
        <v>20070</v>
      </c>
      <c r="D130" s="866">
        <f>'Fin. Data'!D58</f>
        <v>21815</v>
      </c>
      <c r="E130" s="866">
        <f>'Fin. Data'!E58</f>
        <v>28306</v>
      </c>
      <c r="F130" s="866">
        <f>'Fin. Data'!F58</f>
        <v>29244</v>
      </c>
      <c r="G130" s="866">
        <f>'Fin. Data'!G58</f>
        <v>31168</v>
      </c>
      <c r="H130" s="866">
        <f>'Fin. Data'!H58</f>
        <v>31503</v>
      </c>
      <c r="I130" s="866">
        <f>'Fin. Data'!I58</f>
        <v>32404</v>
      </c>
      <c r="J130" s="866">
        <f>'Fin. Data'!J58</f>
        <v>25234</v>
      </c>
      <c r="K130" s="718"/>
      <c r="L130" s="718"/>
      <c r="M130" s="718"/>
      <c r="N130" s="718"/>
      <c r="O130" s="718"/>
      <c r="P130" s="718"/>
    </row>
    <row r="131" spans="1:16" ht="12.75" customHeight="1">
      <c r="A131" s="873" t="s">
        <v>4291</v>
      </c>
      <c r="B131" s="867">
        <f>B130/'Fin. Data'!B19</f>
        <v>3.6355716878402902</v>
      </c>
      <c r="C131" s="867">
        <f>C130/'Fin. Data'!C19</f>
        <v>4.1424148606811144</v>
      </c>
      <c r="D131" s="867">
        <f>D130/'Fin. Data'!D19</f>
        <v>4.6336023789294813</v>
      </c>
      <c r="E131" s="867">
        <f>E130/'Fin. Data'!E19</f>
        <v>8.389448725548311</v>
      </c>
      <c r="F131" s="867">
        <f>F130/'Fin. Data'!F19</f>
        <v>5.8371257485029941</v>
      </c>
      <c r="G131" s="867">
        <f>G130/'Fin. Data'!G19</f>
        <v>-3.381577519800369</v>
      </c>
      <c r="H131" s="867">
        <f>H130/'Fin. Data'!H19</f>
        <v>4.0414368184733807</v>
      </c>
      <c r="I131" s="867">
        <f>I130/'Fin. Data'!I19</f>
        <v>4.6738785518534547</v>
      </c>
      <c r="J131" s="867">
        <f>J130/'Fin. Data'!J19</f>
        <v>8.2088484059856857</v>
      </c>
      <c r="K131" s="718"/>
      <c r="L131" s="892">
        <v>3.5</v>
      </c>
      <c r="M131" s="894">
        <v>3.5</v>
      </c>
      <c r="N131" s="718"/>
      <c r="O131" s="718"/>
      <c r="P131" s="718"/>
    </row>
    <row r="132" spans="1:16" ht="12.75" customHeight="1">
      <c r="B132" s="863"/>
      <c r="C132" s="863"/>
      <c r="D132" s="863"/>
      <c r="E132" s="863"/>
      <c r="F132" s="863"/>
      <c r="G132" s="863"/>
      <c r="H132" s="863"/>
      <c r="I132" s="863"/>
      <c r="J132" s="863"/>
      <c r="K132" s="718"/>
      <c r="L132" s="718"/>
      <c r="M132" s="718"/>
      <c r="N132" s="718"/>
      <c r="O132" s="718"/>
      <c r="P132" s="718"/>
    </row>
    <row r="133" spans="1:16" ht="12.75" customHeight="1">
      <c r="A133" s="873" t="s">
        <v>4292</v>
      </c>
      <c r="B133" s="865">
        <v>141</v>
      </c>
      <c r="C133" s="865">
        <v>148</v>
      </c>
      <c r="D133" s="865">
        <v>197</v>
      </c>
      <c r="E133" s="865">
        <v>156</v>
      </c>
      <c r="F133" s="865">
        <v>46</v>
      </c>
      <c r="G133" s="865">
        <v>0</v>
      </c>
      <c r="H133" s="865">
        <v>0</v>
      </c>
      <c r="I133" s="865">
        <v>0</v>
      </c>
      <c r="J133" s="865">
        <v>0</v>
      </c>
      <c r="K133" s="718"/>
      <c r="L133" s="718"/>
      <c r="M133" s="718"/>
      <c r="N133" s="718"/>
      <c r="O133" s="718"/>
      <c r="P133" s="718"/>
    </row>
    <row r="134" spans="1:16" ht="12.75" customHeight="1">
      <c r="A134" s="873" t="s">
        <v>4293</v>
      </c>
      <c r="B134" s="867">
        <f>B133/Inputs!B6</f>
        <v>5.2927927927927925E-3</v>
      </c>
      <c r="C134" s="867">
        <f>C133/Inputs!C6</f>
        <v>5.5880687181423449E-3</v>
      </c>
      <c r="D134" s="867">
        <f>D133/Inputs!D6</f>
        <v>7.564703171799401E-3</v>
      </c>
      <c r="E134" s="867">
        <f>E133/Inputs!E6</f>
        <v>5.9576093183120104E-3</v>
      </c>
      <c r="F134" s="867">
        <f>F133/Inputs!F6</f>
        <v>1.8416943588101054E-3</v>
      </c>
      <c r="G134" s="867">
        <f>G133/Inputs!G6</f>
        <v>0</v>
      </c>
      <c r="H134" s="867">
        <f>H133/Inputs!H6</f>
        <v>0</v>
      </c>
      <c r="I134" s="867">
        <f>I133/Inputs!I6</f>
        <v>0</v>
      </c>
      <c r="J134" s="867">
        <f>J133/Inputs!J6</f>
        <v>0</v>
      </c>
      <c r="K134" s="718"/>
      <c r="L134" s="892">
        <f>AVERAGE(B134:F134)</f>
        <v>5.2489736719713307E-3</v>
      </c>
      <c r="M134" s="892">
        <f>L134</f>
        <v>5.2489736719713307E-3</v>
      </c>
      <c r="N134" s="718"/>
      <c r="O134" s="718"/>
      <c r="P134" s="718"/>
    </row>
    <row r="135" spans="1:16" ht="12.75" customHeight="1">
      <c r="B135" s="718"/>
      <c r="C135" s="718"/>
      <c r="D135" s="718"/>
      <c r="E135" s="718"/>
      <c r="F135" s="718"/>
      <c r="G135" s="718"/>
      <c r="H135" s="718"/>
      <c r="I135" s="718"/>
      <c r="J135" s="718"/>
      <c r="K135" s="718"/>
      <c r="L135" s="718"/>
      <c r="M135" s="718"/>
      <c r="N135" s="718"/>
      <c r="O135" s="718"/>
      <c r="P135" s="718"/>
    </row>
    <row r="136" spans="1:16" ht="12.75" customHeight="1">
      <c r="A136" s="873" t="s">
        <v>4294</v>
      </c>
      <c r="B136" s="867">
        <f>(-1*Inputs!B73)/Inputs!B12</f>
        <v>0.68826619964973734</v>
      </c>
      <c r="C136" s="867">
        <f>(-1*Inputs!C73)/Inputs!C12</f>
        <v>0.82945408379179009</v>
      </c>
      <c r="D136" s="867">
        <f>(-1*Inputs!D73)/Inputs!D12</f>
        <v>1.9357707509881423</v>
      </c>
      <c r="E136" s="867">
        <f>(-1*Inputs!E73)/Inputs!E12</f>
        <v>5.5</v>
      </c>
      <c r="F136" s="867">
        <f>(-1*Inputs!F73)/Inputs!F12</f>
        <v>1.0093023255813953</v>
      </c>
      <c r="G136" s="867">
        <f>(-1*Inputs!G73)/Inputs!G12</f>
        <v>-0.3123037676609105</v>
      </c>
      <c r="H136" s="867">
        <f>(-1*Inputs!H73)/Inputs!H12</f>
        <v>0.26396124668677451</v>
      </c>
      <c r="I136" s="867">
        <f>(-1*Inputs!I73)/Inputs!I12</f>
        <v>0.99666295884315903</v>
      </c>
      <c r="J136" s="867">
        <f>(-1*Inputs!J73)/Inputs!J12</f>
        <v>2.053627760252366</v>
      </c>
      <c r="K136" s="718"/>
      <c r="L136" s="892">
        <v>0.8</v>
      </c>
      <c r="M136" s="894">
        <v>1</v>
      </c>
      <c r="N136" s="718"/>
      <c r="O136" s="718"/>
      <c r="P136" s="718"/>
    </row>
    <row r="137" spans="1:16" ht="12.75" customHeight="1">
      <c r="B137" s="718"/>
      <c r="C137" s="718"/>
      <c r="D137" s="718"/>
      <c r="E137" s="718"/>
      <c r="F137" s="718"/>
      <c r="G137" s="718"/>
      <c r="H137" s="718"/>
      <c r="I137" s="718"/>
      <c r="J137" s="718"/>
      <c r="K137" s="718"/>
      <c r="L137" s="718"/>
      <c r="M137" s="718"/>
      <c r="N137" s="718"/>
      <c r="O137" s="718"/>
      <c r="P137" s="718"/>
    </row>
    <row r="138" spans="1:16" ht="12.75" customHeight="1">
      <c r="A138" s="873" t="s">
        <v>4295</v>
      </c>
      <c r="B138" s="866">
        <f>Inputs!B62</f>
        <v>1023</v>
      </c>
      <c r="C138" s="866">
        <f>Inputs!C62</f>
        <v>-1061</v>
      </c>
      <c r="D138" s="866">
        <f>Inputs!D62</f>
        <v>-2831</v>
      </c>
      <c r="E138" s="866">
        <f>Inputs!E62</f>
        <v>2539</v>
      </c>
      <c r="F138" s="866">
        <f>Inputs!F62</f>
        <v>-1350</v>
      </c>
      <c r="G138" s="866">
        <f>Inputs!G62</f>
        <v>4525</v>
      </c>
      <c r="H138" s="866">
        <f>Inputs!H62</f>
        <v>-2205</v>
      </c>
      <c r="I138" s="866">
        <f>Inputs!I62</f>
        <v>-3596</v>
      </c>
      <c r="J138" s="866">
        <f>Inputs!J62</f>
        <v>1025</v>
      </c>
      <c r="K138" s="718"/>
      <c r="L138" s="718"/>
      <c r="M138" s="718"/>
      <c r="N138" s="718"/>
      <c r="O138" s="718"/>
      <c r="P138" s="718"/>
    </row>
    <row r="139" spans="1:16" ht="12.75" customHeight="1">
      <c r="A139" s="873" t="s">
        <v>4296</v>
      </c>
      <c r="B139" s="866">
        <f>Inputs!B6-Inputs!C6</f>
        <v>155</v>
      </c>
      <c r="C139" s="866">
        <f>Inputs!C6-Inputs!D6</f>
        <v>443</v>
      </c>
      <c r="D139" s="866">
        <f>Inputs!D6-Inputs!E6</f>
        <v>-143</v>
      </c>
      <c r="E139" s="866">
        <f>Inputs!E6-Inputs!F6</f>
        <v>1208</v>
      </c>
      <c r="F139" s="866">
        <f>Inputs!F6-Inputs!G6</f>
        <v>-1291</v>
      </c>
      <c r="G139" s="866">
        <f>Inputs!G6-Inputs!H6</f>
        <v>192</v>
      </c>
      <c r="H139" s="866">
        <f>Inputs!H6-Inputs!I6</f>
        <v>-224</v>
      </c>
      <c r="I139" s="866">
        <f>Inputs!I6-Inputs!J6</f>
        <v>7962</v>
      </c>
      <c r="J139" s="866">
        <f>Inputs!J6-Inputs!K6</f>
        <v>7416</v>
      </c>
      <c r="K139" s="718"/>
      <c r="L139" s="718"/>
      <c r="M139" s="718"/>
      <c r="N139" s="718"/>
      <c r="O139" s="718"/>
      <c r="P139" s="718"/>
    </row>
    <row r="140" spans="1:16" ht="12.75" customHeight="1">
      <c r="A140" s="873" t="s">
        <v>4297</v>
      </c>
      <c r="B140" s="867">
        <f>B138/B139</f>
        <v>6.6</v>
      </c>
      <c r="C140" s="867">
        <f t="shared" ref="C140:J140" si="21">C138/C139</f>
        <v>-2.3950338600451468</v>
      </c>
      <c r="D140" s="867">
        <f t="shared" si="21"/>
        <v>19.797202797202797</v>
      </c>
      <c r="E140" s="867">
        <f t="shared" si="21"/>
        <v>2.1018211920529803</v>
      </c>
      <c r="F140" s="867">
        <f t="shared" si="21"/>
        <v>1.0457010069713399</v>
      </c>
      <c r="G140" s="867">
        <f t="shared" si="21"/>
        <v>23.567708333333332</v>
      </c>
      <c r="H140" s="867">
        <f t="shared" si="21"/>
        <v>9.84375</v>
      </c>
      <c r="I140" s="867">
        <f t="shared" si="21"/>
        <v>-0.45164531524742529</v>
      </c>
      <c r="J140" s="867">
        <f t="shared" si="21"/>
        <v>0.13821467098166126</v>
      </c>
      <c r="K140" s="718"/>
      <c r="L140" s="892">
        <v>1.5</v>
      </c>
      <c r="M140" s="892">
        <f>L140</f>
        <v>1.5</v>
      </c>
      <c r="N140" s="718"/>
      <c r="O140" s="718"/>
      <c r="P140" s="718"/>
    </row>
    <row r="141" spans="1:16" ht="12.75" customHeight="1">
      <c r="B141" s="718"/>
      <c r="C141" s="718"/>
      <c r="D141" s="718"/>
      <c r="E141" s="718"/>
      <c r="F141" s="718"/>
      <c r="G141" s="718"/>
      <c r="H141" s="718"/>
      <c r="I141" s="718"/>
      <c r="J141" s="718"/>
      <c r="K141" s="718"/>
      <c r="L141" s="718"/>
      <c r="M141" s="718"/>
      <c r="N141" s="718"/>
      <c r="O141" s="718"/>
      <c r="P141" s="718"/>
    </row>
    <row r="142" spans="1:16" ht="12.75" customHeight="1">
      <c r="A142" s="873" t="s">
        <v>4298</v>
      </c>
      <c r="B142" s="865">
        <f>(Inputs!B30/Assumptions!J66)*365</f>
        <v>74.467088178841593</v>
      </c>
      <c r="C142" s="865">
        <f>(Inputs!C30/Assumptions!I66)*365</f>
        <v>72.570658389152101</v>
      </c>
      <c r="D142" s="865">
        <f>(Inputs!D30/Assumptions!H66)*365</f>
        <v>57.378168202764982</v>
      </c>
      <c r="E142" s="865">
        <f>(Inputs!E30/Assumptions!G66)*365</f>
        <v>54.810089369708372</v>
      </c>
      <c r="F142" s="865">
        <f>(Inputs!F30/Assumptions!F66)*365</f>
        <v>59.011586452762927</v>
      </c>
      <c r="G142" s="865">
        <f>(Inputs!G30/Assumptions!E66)*365</f>
        <v>56.116619588401448</v>
      </c>
      <c r="H142" s="865">
        <f>(Inputs!H30/Assumptions!D66)*365</f>
        <v>59.109311740890689</v>
      </c>
      <c r="I142" s="865">
        <f>(Inputs!I30/Assumptions!C66)*365</f>
        <v>57.109712020519993</v>
      </c>
      <c r="J142" s="865">
        <f>(Inputs!J30/Assumptions!B66)*365</f>
        <v>75.977578118788259</v>
      </c>
      <c r="K142" s="718"/>
      <c r="L142" s="718"/>
      <c r="M142" s="718"/>
      <c r="N142" s="718"/>
      <c r="O142" s="718"/>
      <c r="P142" s="718"/>
    </row>
    <row r="143" spans="1:16" ht="12.75" customHeight="1">
      <c r="A143" s="873" t="s">
        <v>4299</v>
      </c>
      <c r="B143" s="865">
        <f>(Inputs!B29/Inputs!B6)*365</f>
        <v>28.936936936936934</v>
      </c>
      <c r="C143" s="865">
        <f>(Inputs!C29/Inputs!C6)*365</f>
        <v>29.216537662828017</v>
      </c>
      <c r="D143" s="865">
        <f>(Inputs!D29/Inputs!D6)*365</f>
        <v>27.428960909300361</v>
      </c>
      <c r="E143" s="865">
        <f>(Inputs!E29/Inputs!E6)*365</f>
        <v>28.756730952835593</v>
      </c>
      <c r="F143" s="865">
        <f>(Inputs!F29/Inputs!F6)*365</f>
        <v>28.832325739680503</v>
      </c>
      <c r="G143" s="865">
        <f>(Inputs!G29/Inputs!G6)*365</f>
        <v>29.582952641997867</v>
      </c>
      <c r="H143" s="865">
        <f>(Inputs!H29/Inputs!H6)*365</f>
        <v>12.891739530602853</v>
      </c>
      <c r="I143" s="865">
        <f>(Inputs!I29/Inputs!I6)*365</f>
        <v>10.672433460076046</v>
      </c>
      <c r="J143" s="865">
        <f>(Inputs!J29/Inputs!J6)*365</f>
        <v>17.336405278656343</v>
      </c>
      <c r="K143" s="718"/>
      <c r="L143" s="718"/>
      <c r="M143" s="718"/>
      <c r="N143" s="718"/>
      <c r="O143" s="718"/>
      <c r="P143" s="718"/>
    </row>
    <row r="144" spans="1:16" ht="12.75" customHeight="1">
      <c r="A144" s="873" t="s">
        <v>4300</v>
      </c>
      <c r="B144" s="865">
        <f>(Inputs!B43/Assumptions!J66)*365</f>
        <v>95.340126453652474</v>
      </c>
      <c r="C144" s="865">
        <f>(Inputs!C43/Assumptions!I66)*365</f>
        <v>96.36333932363992</v>
      </c>
      <c r="D144" s="865">
        <f>(Inputs!D43/Assumptions!H66)*365</f>
        <v>99.933467741935488</v>
      </c>
      <c r="E144" s="865">
        <f>(Inputs!E43/Assumptions!G66)*365</f>
        <v>92.365945437441212</v>
      </c>
      <c r="F144" s="865">
        <f>(Inputs!F43/Assumptions!F66)*365</f>
        <v>86.814913844325602</v>
      </c>
      <c r="G144" s="865">
        <f>(Inputs!G43/Assumptions!E66)*365</f>
        <v>87.383697469303058</v>
      </c>
      <c r="H144" s="865">
        <f>(Inputs!H43/Assumptions!D66)*365</f>
        <v>93.418412251364188</v>
      </c>
      <c r="I144" s="865">
        <f>(Inputs!I43/Assumptions!C66)*365</f>
        <v>85.026232948583413</v>
      </c>
      <c r="J144" s="865">
        <f>(Inputs!J43/Assumptions!B66)*365</f>
        <v>82.53637592430627</v>
      </c>
      <c r="K144" s="718"/>
      <c r="L144" s="718"/>
      <c r="M144" s="718"/>
      <c r="N144" s="718"/>
      <c r="O144" s="718"/>
      <c r="P144" s="718"/>
    </row>
    <row r="145" spans="1:27" ht="12.75" customHeight="1">
      <c r="A145" s="873" t="s">
        <v>4301</v>
      </c>
      <c r="B145" s="865">
        <f>B142+B143-B144</f>
        <v>8.06389866212605</v>
      </c>
      <c r="C145" s="865">
        <f t="shared" ref="C145:I145" si="22">C142+C143-C144</f>
        <v>5.4238567283401977</v>
      </c>
      <c r="D145" s="865">
        <f t="shared" si="22"/>
        <v>-15.126338629870148</v>
      </c>
      <c r="E145" s="865">
        <f t="shared" si="22"/>
        <v>-8.7991251148972509</v>
      </c>
      <c r="F145" s="865">
        <f t="shared" si="22"/>
        <v>1.028998348117824</v>
      </c>
      <c r="G145" s="865">
        <f t="shared" si="22"/>
        <v>-1.6841252389037464</v>
      </c>
      <c r="H145" s="865">
        <f t="shared" si="22"/>
        <v>-21.417360979870651</v>
      </c>
      <c r="I145" s="865">
        <f t="shared" si="22"/>
        <v>-17.24408746798737</v>
      </c>
      <c r="J145" s="865">
        <f>J142+J143-J144</f>
        <v>10.777607473138332</v>
      </c>
      <c r="K145" s="718"/>
      <c r="L145" s="718"/>
      <c r="M145" s="718"/>
      <c r="N145" s="718"/>
      <c r="O145" s="718"/>
      <c r="P145" s="718"/>
    </row>
    <row r="153" spans="1:27" ht="12.75" customHeight="1">
      <c r="B153" s="873">
        <v>2024</v>
      </c>
      <c r="C153" s="873">
        <f>B153+1</f>
        <v>2025</v>
      </c>
      <c r="D153" s="873">
        <f t="shared" ref="D153:AA153" si="23">C153+1</f>
        <v>2026</v>
      </c>
      <c r="E153" s="873">
        <f t="shared" si="23"/>
        <v>2027</v>
      </c>
      <c r="F153" s="873">
        <f t="shared" si="23"/>
        <v>2028</v>
      </c>
      <c r="G153" s="873">
        <f t="shared" si="23"/>
        <v>2029</v>
      </c>
      <c r="H153" s="873">
        <f t="shared" si="23"/>
        <v>2030</v>
      </c>
      <c r="I153" s="873">
        <f t="shared" si="23"/>
        <v>2031</v>
      </c>
      <c r="J153" s="873">
        <f t="shared" si="23"/>
        <v>2032</v>
      </c>
      <c r="K153" s="873">
        <f t="shared" si="23"/>
        <v>2033</v>
      </c>
      <c r="L153" s="873">
        <f t="shared" si="23"/>
        <v>2034</v>
      </c>
      <c r="M153" s="873">
        <f t="shared" si="23"/>
        <v>2035</v>
      </c>
      <c r="N153" s="873">
        <f t="shared" si="23"/>
        <v>2036</v>
      </c>
      <c r="O153" s="873">
        <f t="shared" si="23"/>
        <v>2037</v>
      </c>
      <c r="P153" s="873">
        <f t="shared" si="23"/>
        <v>2038</v>
      </c>
      <c r="Q153" s="873">
        <f t="shared" si="23"/>
        <v>2039</v>
      </c>
      <c r="R153" s="873">
        <f t="shared" si="23"/>
        <v>2040</v>
      </c>
      <c r="S153" s="873">
        <f t="shared" si="23"/>
        <v>2041</v>
      </c>
      <c r="T153" s="873">
        <f>S153+1</f>
        <v>2042</v>
      </c>
      <c r="U153" s="873">
        <f t="shared" si="23"/>
        <v>2043</v>
      </c>
      <c r="V153" s="873">
        <f t="shared" si="23"/>
        <v>2044</v>
      </c>
      <c r="W153" s="873">
        <f t="shared" si="23"/>
        <v>2045</v>
      </c>
      <c r="X153" s="873">
        <f t="shared" si="23"/>
        <v>2046</v>
      </c>
      <c r="Y153" s="873">
        <f t="shared" si="23"/>
        <v>2047</v>
      </c>
      <c r="Z153" s="873">
        <f t="shared" si="23"/>
        <v>2048</v>
      </c>
      <c r="AA153" s="873">
        <f t="shared" si="23"/>
        <v>2049</v>
      </c>
    </row>
    <row r="154" spans="1:27" ht="12.75" customHeight="1">
      <c r="A154" s="873" t="s">
        <v>4302</v>
      </c>
      <c r="B154" s="898">
        <f>(DCF!G44-DCF!G43)</f>
        <v>17736.011412633768</v>
      </c>
      <c r="C154" s="898">
        <f>(DCF!H44-DCF!H43)</f>
        <v>16532.045085818787</v>
      </c>
      <c r="D154" s="898">
        <f>(DCF!I44-DCF!I43)</f>
        <v>15246.421921465255</v>
      </c>
      <c r="E154" s="898">
        <f>(DCF!J44-DCF!J43)</f>
        <v>14469.797883182597</v>
      </c>
      <c r="F154" s="898">
        <f>(DCF!K44-DCF!K43)</f>
        <v>15521.427437045233</v>
      </c>
      <c r="G154" s="898">
        <f>(DCF!L44-DCF!L43)</f>
        <v>16644.769775066095</v>
      </c>
      <c r="H154" s="898">
        <f>(DCF!M44-DCF!M43)</f>
        <v>17813.20172243052</v>
      </c>
      <c r="I154" s="898">
        <f>(DCF!N44-DCF!N43)</f>
        <v>19045.570676256226</v>
      </c>
      <c r="J154" s="898">
        <f>(DCF!O44-DCF!O43)</f>
        <v>20340.895707720716</v>
      </c>
      <c r="K154" s="898">
        <f>(DCF!P44-DCF!P43)</f>
        <v>21699.689994609442</v>
      </c>
      <c r="L154" s="898">
        <f>(DCF!Q44-DCF!Q43)</f>
        <v>23128.374680068693</v>
      </c>
      <c r="M154" s="898">
        <f>(DCF!R44-DCF!R43)</f>
        <v>24629.12973058442</v>
      </c>
      <c r="N154" s="898">
        <f>(DCF!S44-DCF!S43)</f>
        <v>26205.219677052271</v>
      </c>
      <c r="O154" s="898">
        <f>(DCF!T44-DCF!T43)</f>
        <v>27860.853823417016</v>
      </c>
      <c r="P154" s="898">
        <f>(DCF!U44-DCF!U43)</f>
        <v>29599.490628789477</v>
      </c>
      <c r="Q154" s="898">
        <f>(DCF!V44-DCF!V43)</f>
        <v>31101.820621646475</v>
      </c>
      <c r="R154" s="898">
        <f>(DCF!W44-DCF!W43)</f>
        <v>32591.278118832168</v>
      </c>
      <c r="S154" s="898">
        <f>(DCF!X44-DCF!X43)</f>
        <v>34068.23744277699</v>
      </c>
      <c r="T154" s="898">
        <f>(DCF!Y44-DCF!Y43)</f>
        <v>35533.204097983806</v>
      </c>
      <c r="U154" s="898">
        <f>(DCF!Z44-DCF!Z43)</f>
        <v>36986.329847579342</v>
      </c>
      <c r="V154" s="898">
        <f>(DCF!AA44-DCF!AA43)</f>
        <v>38427.971368130558</v>
      </c>
      <c r="W154" s="898">
        <f>(DCF!AB44-DCF!AB43)</f>
        <v>39858.479618142876</v>
      </c>
      <c r="X154" s="898">
        <f>(DCF!AC44-DCF!AC43)</f>
        <v>41278.153297929472</v>
      </c>
      <c r="Y154" s="898">
        <f>(DCF!AD44-DCF!AD43)</f>
        <v>42687.34135995547</v>
      </c>
      <c r="Z154" s="898">
        <f>(DCF!AE44-DCF!AE43)</f>
        <v>44086.390430211744</v>
      </c>
      <c r="AA154" s="898">
        <f>(DCF!AF44-DCF!AF43)</f>
        <v>45475.645967719938</v>
      </c>
    </row>
    <row r="155" spans="1:27" ht="12.75" customHeight="1">
      <c r="A155" s="873" t="s">
        <v>4303</v>
      </c>
      <c r="B155" s="897">
        <f>DCF!G12</f>
        <v>5785.568338261106</v>
      </c>
      <c r="C155" s="897">
        <f>DCF!H12</f>
        <v>6018.295497677911</v>
      </c>
      <c r="D155" s="897">
        <f>DCF!I12</f>
        <v>6258.7119814939497</v>
      </c>
      <c r="E155" s="897">
        <f>DCF!J12</f>
        <v>6507.093373012799</v>
      </c>
      <c r="F155" s="897">
        <f>DCF!K12</f>
        <v>6718.9491898587185</v>
      </c>
      <c r="G155" s="897">
        <f>DCF!L12</f>
        <v>7057.2880409557292</v>
      </c>
      <c r="H155" s="897">
        <f>DCF!M12</f>
        <v>7407.4556600971173</v>
      </c>
      <c r="I155" s="897">
        <f>DCF!N12</f>
        <v>7769.8323966776616</v>
      </c>
      <c r="J155" s="897">
        <f>DCF!O12</f>
        <v>8144.8102257805713</v>
      </c>
      <c r="K155" s="897">
        <f>DCF!P12</f>
        <v>8532.7930917473914</v>
      </c>
      <c r="L155" s="897">
        <f>DCF!Q12</f>
        <v>8934.1972616603543</v>
      </c>
      <c r="M155" s="897">
        <f>DCF!R12</f>
        <v>9349.451689018093</v>
      </c>
      <c r="N155" s="897">
        <f>DCF!S12</f>
        <v>9778.9983878934054</v>
      </c>
      <c r="O155" s="897">
        <f>DCF!T12</f>
        <v>10223.292817869959</v>
      </c>
      <c r="P155" s="897">
        <f>DCF!U12</f>
        <v>10682.804280062925</v>
      </c>
      <c r="Q155" s="897">
        <f>DCF!V12</f>
        <v>10961.573279014721</v>
      </c>
      <c r="R155" s="897">
        <f>DCF!W12</f>
        <v>11246.31924145083</v>
      </c>
      <c r="S155" s="897">
        <f>DCF!X12</f>
        <v>11537.169966822978</v>
      </c>
      <c r="T155" s="897">
        <f>DCF!Y12</f>
        <v>11834.25597651038</v>
      </c>
      <c r="U155" s="897">
        <f>DCF!Z12</f>
        <v>12137.710571579431</v>
      </c>
      <c r="V155" s="897">
        <f>DCF!AA12</f>
        <v>12447.66989176501</v>
      </c>
      <c r="W155" s="897">
        <f>DCF!AB12</f>
        <v>12764.272975699163</v>
      </c>
      <c r="X155" s="897">
        <f>DCF!AC12</f>
        <v>13087.661822413489</v>
      </c>
      <c r="Y155" s="897">
        <f>DCF!AD12</f>
        <v>13417.981454142064</v>
      </c>
      <c r="Z155" s="897">
        <f>DCF!AE12</f>
        <v>13755.379980452319</v>
      </c>
      <c r="AA155" s="897">
        <f>DCF!AF12</f>
        <v>14100.008663731898</v>
      </c>
    </row>
    <row r="156" spans="1:27" ht="12.75" customHeight="1">
      <c r="A156" s="873" t="s">
        <v>4304</v>
      </c>
      <c r="B156" s="883">
        <f>B154/B155</f>
        <v>3.0655607842952994</v>
      </c>
      <c r="C156" s="883">
        <f t="shared" ref="C156:AA156" si="24">C154/C155</f>
        <v>2.746964666689677</v>
      </c>
      <c r="D156" s="883">
        <f t="shared" si="24"/>
        <v>2.4360318810877675</v>
      </c>
      <c r="E156" s="883">
        <f>E154/E155</f>
        <v>2.2236960580885361</v>
      </c>
      <c r="F156" s="883">
        <f t="shared" si="24"/>
        <v>2.310097456976246</v>
      </c>
      <c r="G156" s="883">
        <f t="shared" si="24"/>
        <v>2.3585220949564625</v>
      </c>
      <c r="H156" s="883">
        <f t="shared" si="24"/>
        <v>2.4047665676066936</v>
      </c>
      <c r="I156" s="883">
        <f t="shared" si="24"/>
        <v>2.4512202714179536</v>
      </c>
      <c r="J156" s="883">
        <f t="shared" si="24"/>
        <v>2.4974057275559556</v>
      </c>
      <c r="K156" s="883">
        <f t="shared" si="24"/>
        <v>2.5430934233711349</v>
      </c>
      <c r="L156" s="883">
        <f t="shared" si="24"/>
        <v>2.5887468121305459</v>
      </c>
      <c r="M156" s="883">
        <f t="shared" si="24"/>
        <v>2.6342860041208516</v>
      </c>
      <c r="N156" s="883">
        <f t="shared" si="24"/>
        <v>2.6797447588798926</v>
      </c>
      <c r="O156" s="883">
        <f t="shared" si="24"/>
        <v>2.7252328892230513</v>
      </c>
      <c r="P156" s="883">
        <f t="shared" si="24"/>
        <v>2.7707603596211472</v>
      </c>
      <c r="Q156" s="883">
        <f t="shared" si="24"/>
        <v>2.8373500618920331</v>
      </c>
      <c r="R156" s="883">
        <f t="shared" si="24"/>
        <v>2.897950646706676</v>
      </c>
      <c r="S156" s="883">
        <f t="shared" si="24"/>
        <v>2.9529111160488912</v>
      </c>
      <c r="T156" s="883">
        <f t="shared" si="24"/>
        <v>3.0025718700451534</v>
      </c>
      <c r="U156" s="883">
        <f t="shared" si="24"/>
        <v>3.0472245675542138</v>
      </c>
      <c r="V156" s="883">
        <f t="shared" si="24"/>
        <v>3.087161830468633</v>
      </c>
      <c r="W156" s="883">
        <f t="shared" si="24"/>
        <v>3.1226596057625935</v>
      </c>
      <c r="X156" s="883">
        <f t="shared" si="24"/>
        <v>3.1539746257225181</v>
      </c>
      <c r="Y156" s="883">
        <f t="shared" si="24"/>
        <v>3.1813534327682427</v>
      </c>
      <c r="Z156" s="883">
        <f t="shared" si="24"/>
        <v>3.2050289045349984</v>
      </c>
      <c r="AA156" s="883">
        <f t="shared" si="24"/>
        <v>3.2252211365438792</v>
      </c>
    </row>
    <row r="181" ht="13.15"/>
  </sheetData>
  <mergeCells count="2">
    <mergeCell ref="G88:P88"/>
    <mergeCell ref="R88:AA88"/>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topLeftCell="A35" zoomScale="76" workbookViewId="0">
      <selection activeCell="B58" sqref="B58"/>
    </sheetView>
  </sheetViews>
  <sheetFormatPr defaultColWidth="11.42578125" defaultRowHeight="13.15"/>
  <cols>
    <col min="1" max="1" width="36.140625" style="11" customWidth="1"/>
    <col min="2" max="10" width="12.42578125" style="44" customWidth="1"/>
    <col min="11" max="12" width="12.42578125" style="50" customWidth="1"/>
    <col min="13" max="13" width="12.140625" style="50" bestFit="1" customWidth="1"/>
    <col min="14" max="16384" width="11.42578125" style="43"/>
  </cols>
  <sheetData>
    <row r="1" spans="1:25" ht="15.6">
      <c r="A1" s="1242" t="e" vm="1">
        <f>Inputs!H3</f>
        <v>#VALUE!</v>
      </c>
      <c r="B1" s="1242"/>
      <c r="C1" s="1242"/>
      <c r="D1" s="1242"/>
      <c r="E1" s="1242"/>
      <c r="F1" s="1242"/>
      <c r="G1" s="1242"/>
      <c r="H1" s="1242"/>
      <c r="I1" s="1242"/>
      <c r="J1" s="1242"/>
      <c r="K1" s="1242"/>
      <c r="L1" s="1242"/>
      <c r="M1" s="1242"/>
    </row>
    <row r="2" spans="1:25" ht="11.45">
      <c r="A2" s="1243" t="str">
        <f>Inputs!G2</f>
        <v>Figures in Millions of USD</v>
      </c>
      <c r="B2" s="1243"/>
      <c r="C2" s="1243"/>
      <c r="D2" s="1243"/>
      <c r="E2" s="1243"/>
      <c r="F2" s="1243"/>
      <c r="G2" s="1243"/>
      <c r="H2" s="1243"/>
      <c r="I2" s="1243"/>
      <c r="J2" s="1243"/>
      <c r="K2" s="1243"/>
      <c r="L2" s="1243"/>
      <c r="M2" s="1243"/>
    </row>
    <row r="3" spans="1:25" ht="21">
      <c r="A3" s="1241" t="s">
        <v>307</v>
      </c>
      <c r="B3" s="1241"/>
      <c r="C3" s="1241"/>
      <c r="D3" s="1241"/>
      <c r="E3" s="1241"/>
      <c r="F3" s="1241"/>
      <c r="G3" s="1241"/>
      <c r="H3" s="1241"/>
      <c r="I3" s="1241"/>
      <c r="J3" s="1241"/>
      <c r="K3" s="1241"/>
      <c r="L3" s="1241"/>
      <c r="M3" s="1241"/>
    </row>
    <row r="4" spans="1:25">
      <c r="A4" s="116"/>
      <c r="B4" s="53">
        <f>OP!J20</f>
        <v>2023</v>
      </c>
      <c r="C4" s="45">
        <f>B4-1</f>
        <v>2022</v>
      </c>
      <c r="D4" s="45">
        <f t="shared" ref="D4:M4" si="0">C4-1</f>
        <v>2021</v>
      </c>
      <c r="E4" s="45">
        <f t="shared" si="0"/>
        <v>2020</v>
      </c>
      <c r="F4" s="45">
        <f t="shared" si="0"/>
        <v>2019</v>
      </c>
      <c r="G4" s="45">
        <f t="shared" si="0"/>
        <v>2018</v>
      </c>
      <c r="H4" s="45">
        <f t="shared" si="0"/>
        <v>2017</v>
      </c>
      <c r="I4" s="45">
        <f t="shared" si="0"/>
        <v>2016</v>
      </c>
      <c r="J4" s="45">
        <f>I4-1</f>
        <v>2015</v>
      </c>
      <c r="K4" s="45">
        <f t="shared" si="0"/>
        <v>2014</v>
      </c>
      <c r="L4" s="45">
        <f t="shared" si="0"/>
        <v>2013</v>
      </c>
      <c r="M4" s="45">
        <f t="shared" si="0"/>
        <v>2012</v>
      </c>
    </row>
    <row r="5" spans="1:25">
      <c r="A5" s="117" t="s">
        <v>126</v>
      </c>
      <c r="B5" s="54">
        <f>_xlfn.XLOOKUP($A5,Inputs!$A:$A,Inputs!B:B,,0)</f>
        <v>26640</v>
      </c>
      <c r="C5" s="54">
        <f>_xlfn.XLOOKUP($A5,Inputs!$A:$A,Inputs!C:C,,0)</f>
        <v>26485</v>
      </c>
      <c r="D5" s="54">
        <f>_xlfn.XLOOKUP($A5,Inputs!$A:$A,Inputs!D:D,,0)</f>
        <v>26042</v>
      </c>
      <c r="E5" s="54">
        <f>_xlfn.XLOOKUP($A5,Inputs!$A:$A,Inputs!E:E,,0)</f>
        <v>26185</v>
      </c>
      <c r="F5" s="54">
        <f>_xlfn.XLOOKUP($A5,Inputs!$A:$A,Inputs!F:F,,0)</f>
        <v>24977</v>
      </c>
      <c r="G5" s="54">
        <f>_xlfn.XLOOKUP($A5,Inputs!$A:$A,Inputs!G:G,,0)</f>
        <v>26268</v>
      </c>
      <c r="H5" s="54">
        <f>_xlfn.XLOOKUP($A5,Inputs!$A:$A,Inputs!H:H,,0)</f>
        <v>26076</v>
      </c>
      <c r="I5" s="54">
        <f>_xlfn.XLOOKUP($A5,Inputs!$A:$A,Inputs!I:I,,0)</f>
        <v>26300</v>
      </c>
      <c r="J5" s="54">
        <f>_xlfn.XLOOKUP($A5,Inputs!$A:$A,Inputs!J:J,,0)</f>
        <v>18338</v>
      </c>
      <c r="K5" s="54">
        <f>_xlfn.XLOOKUP($A5,Inputs!$A:$A,Inputs!K:K,,0)</f>
        <v>10922</v>
      </c>
      <c r="L5" s="54">
        <f>_xlfn.XLOOKUP($A5,Inputs!$A:$A,Inputs!L:L,,0)</f>
        <v>6240</v>
      </c>
      <c r="M5" s="55">
        <f>_xlfn.XLOOKUP($A5,Inputs!$A:$A,Inputs!M:M,,0)</f>
        <v>11508</v>
      </c>
    </row>
    <row r="6" spans="1:25">
      <c r="A6" s="118" t="s">
        <v>4305</v>
      </c>
      <c r="B6" s="56">
        <f t="shared" ref="B6:L6" si="1">IFERROR(B5/C5-1,"-")</f>
        <v>5.8523692656220483E-3</v>
      </c>
      <c r="C6" s="56">
        <f t="shared" si="1"/>
        <v>1.7010982259427099E-2</v>
      </c>
      <c r="D6" s="56">
        <f t="shared" si="1"/>
        <v>-5.4611418751193685E-3</v>
      </c>
      <c r="E6" s="56">
        <f t="shared" si="1"/>
        <v>4.8364495335708746E-2</v>
      </c>
      <c r="F6" s="56">
        <f t="shared" si="1"/>
        <v>-4.9147251408557913E-2</v>
      </c>
      <c r="G6" s="56">
        <f t="shared" si="1"/>
        <v>7.3630924988494773E-3</v>
      </c>
      <c r="H6" s="56">
        <f t="shared" si="1"/>
        <v>-8.5171102661596443E-3</v>
      </c>
      <c r="I6" s="56">
        <f t="shared" si="1"/>
        <v>0.43418039044606838</v>
      </c>
      <c r="J6" s="56">
        <f t="shared" si="1"/>
        <v>0.67899652078373918</v>
      </c>
      <c r="K6" s="56">
        <f t="shared" si="1"/>
        <v>0.75032051282051282</v>
      </c>
      <c r="L6" s="56">
        <f t="shared" si="1"/>
        <v>-0.45776850886339937</v>
      </c>
      <c r="M6" s="57" t="str">
        <f>IFERROR(M5/#REF!-1,"-")</f>
        <v>-</v>
      </c>
      <c r="N6" s="452"/>
    </row>
    <row r="7" spans="1:25">
      <c r="A7" s="117" t="s">
        <v>4306</v>
      </c>
      <c r="B7" s="54">
        <f>_xlfn.XLOOKUP($A7,Inputs!$A:$A,Inputs!B:B,,0)</f>
        <v>8983</v>
      </c>
      <c r="C7" s="54">
        <f>_xlfn.XLOOKUP($A7,Inputs!$A:$A,Inputs!C:C,,0)</f>
        <v>8235</v>
      </c>
      <c r="D7" s="54">
        <f>_xlfn.XLOOKUP($A7,Inputs!$A:$A,Inputs!D:D,,0)</f>
        <v>8699</v>
      </c>
      <c r="E7" s="54">
        <f>_xlfn.XLOOKUP($A7,Inputs!$A:$A,Inputs!E:E,,0)</f>
        <v>9157</v>
      </c>
      <c r="F7" s="54">
        <f>_xlfn.XLOOKUP($A7,Inputs!$A:$A,Inputs!F:F,,0)</f>
        <v>8195</v>
      </c>
      <c r="G7" s="54">
        <f>_xlfn.XLOOKUP($A7,Inputs!$A:$A,Inputs!G:G,,0)</f>
        <v>9119</v>
      </c>
      <c r="H7" s="54">
        <f>_xlfn.XLOOKUP($A7,Inputs!$A:$A,Inputs!H:H,,0)</f>
        <v>9497</v>
      </c>
      <c r="I7" s="54">
        <f>_xlfn.XLOOKUP($A7,Inputs!$A:$A,Inputs!I:I,,0)</f>
        <v>9845</v>
      </c>
      <c r="J7" s="54">
        <f>_xlfn.XLOOKUP($A7,Inputs!$A:$A,Inputs!J:J,,0)</f>
        <v>5761</v>
      </c>
      <c r="K7" s="54">
        <f>_xlfn.XLOOKUP($A7,Inputs!$A:$A,Inputs!K:K,,0)</f>
        <v>3631</v>
      </c>
      <c r="L7" s="54">
        <f>_xlfn.XLOOKUP($A7,Inputs!$A:$A,Inputs!L:L,,0)</f>
        <v>1652</v>
      </c>
      <c r="M7" s="55">
        <f>_xlfn.XLOOKUP($A7,Inputs!$A:$A,Inputs!M:M,,0)</f>
        <v>3995</v>
      </c>
    </row>
    <row r="8" spans="1:25">
      <c r="A8" s="118" t="s">
        <v>4307</v>
      </c>
      <c r="B8" s="56">
        <f>IFERROR(B7/B$5,"-")</f>
        <v>0.33719969969969971</v>
      </c>
      <c r="C8" s="56">
        <f t="shared" ref="C8:M8" si="2">IFERROR(C7/C$5,"-")</f>
        <v>0.31093071549933926</v>
      </c>
      <c r="D8" s="56">
        <f t="shared" si="2"/>
        <v>0.3340373243222487</v>
      </c>
      <c r="E8" s="56">
        <f t="shared" si="2"/>
        <v>0.34970402902425052</v>
      </c>
      <c r="F8" s="56">
        <f t="shared" si="2"/>
        <v>0.32810185370540895</v>
      </c>
      <c r="G8" s="56">
        <f t="shared" si="2"/>
        <v>0.34715242881072028</v>
      </c>
      <c r="H8" s="56">
        <f t="shared" si="2"/>
        <v>0.36420463261236385</v>
      </c>
      <c r="I8" s="56">
        <f t="shared" si="2"/>
        <v>0.37433460076045627</v>
      </c>
      <c r="J8" s="56">
        <f t="shared" si="2"/>
        <v>0.31415639655360456</v>
      </c>
      <c r="K8" s="56">
        <f t="shared" si="2"/>
        <v>0.3324482695477019</v>
      </c>
      <c r="L8" s="56">
        <f t="shared" si="2"/>
        <v>0.26474358974358975</v>
      </c>
      <c r="M8" s="57">
        <f t="shared" si="2"/>
        <v>0.34714980882864094</v>
      </c>
    </row>
    <row r="9" spans="1:25">
      <c r="A9" s="117" t="s">
        <v>4308</v>
      </c>
      <c r="B9" s="54">
        <f t="shared" ref="B9:M9" si="3">B5-B11</f>
        <v>22064</v>
      </c>
      <c r="C9" s="54">
        <f t="shared" si="3"/>
        <v>22826</v>
      </c>
      <c r="D9" s="54">
        <f t="shared" si="3"/>
        <v>22539</v>
      </c>
      <c r="E9" s="54">
        <f t="shared" si="3"/>
        <v>24076</v>
      </c>
      <c r="F9" s="54">
        <f t="shared" si="3"/>
        <v>21913</v>
      </c>
      <c r="G9" s="54">
        <f t="shared" si="3"/>
        <v>36636</v>
      </c>
      <c r="H9" s="54">
        <f t="shared" si="3"/>
        <v>19303</v>
      </c>
      <c r="I9" s="54">
        <f t="shared" si="3"/>
        <v>20719</v>
      </c>
      <c r="J9" s="54">
        <f t="shared" si="3"/>
        <v>15699</v>
      </c>
      <c r="K9" s="54">
        <f t="shared" si="3"/>
        <v>9354</v>
      </c>
      <c r="L9" s="54">
        <f t="shared" si="3"/>
        <v>6248</v>
      </c>
      <c r="M9" s="55">
        <f t="shared" si="3"/>
        <v>10005</v>
      </c>
    </row>
    <row r="10" spans="1:25">
      <c r="A10" s="118" t="s">
        <v>4307</v>
      </c>
      <c r="B10" s="56">
        <f>IFERROR(B9/B$5,"-")</f>
        <v>0.82822822822822828</v>
      </c>
      <c r="C10" s="56">
        <f t="shared" ref="C10:M10" si="4">IFERROR(C9/C$5,"-")</f>
        <v>0.86184632811025108</v>
      </c>
      <c r="D10" s="56">
        <f t="shared" si="4"/>
        <v>0.86548652177252128</v>
      </c>
      <c r="E10" s="56">
        <f t="shared" si="4"/>
        <v>0.9194577047928203</v>
      </c>
      <c r="F10" s="56">
        <f t="shared" si="4"/>
        <v>0.87732714096969211</v>
      </c>
      <c r="G10" s="56">
        <f t="shared" si="4"/>
        <v>1.3947007766103243</v>
      </c>
      <c r="H10" s="56">
        <f t="shared" si="4"/>
        <v>0.74025924221506367</v>
      </c>
      <c r="I10" s="56">
        <f t="shared" si="4"/>
        <v>0.78779467680608362</v>
      </c>
      <c r="J10" s="56">
        <f t="shared" si="4"/>
        <v>0.85609117679136215</v>
      </c>
      <c r="K10" s="56">
        <f t="shared" si="4"/>
        <v>0.85643655008240249</v>
      </c>
      <c r="L10" s="56">
        <f t="shared" si="4"/>
        <v>1.0012820512820513</v>
      </c>
      <c r="M10" s="57">
        <f t="shared" si="4"/>
        <v>0.8693952033368092</v>
      </c>
    </row>
    <row r="11" spans="1:25">
      <c r="A11" s="117" t="s">
        <v>290</v>
      </c>
      <c r="B11" s="54">
        <f>_xlfn.XLOOKUP($A11,Inputs!$A:$A,Inputs!B:B,,0)</f>
        <v>4576</v>
      </c>
      <c r="C11" s="54">
        <f>_xlfn.XLOOKUP($A11,Inputs!$A:$A,Inputs!C:C,,0)</f>
        <v>3659</v>
      </c>
      <c r="D11" s="54">
        <f>_xlfn.XLOOKUP($A11,Inputs!$A:$A,Inputs!D:D,,0)</f>
        <v>3503</v>
      </c>
      <c r="E11" s="54">
        <f>_xlfn.XLOOKUP($A11,Inputs!$A:$A,Inputs!E:E,,0)</f>
        <v>2109</v>
      </c>
      <c r="F11" s="54">
        <f>_xlfn.XLOOKUP($A11,Inputs!$A:$A,Inputs!F:F,,0)</f>
        <v>3064</v>
      </c>
      <c r="G11" s="54">
        <f>_xlfn.XLOOKUP($A11,Inputs!$A:$A,Inputs!G:G,,0)</f>
        <v>-10368</v>
      </c>
      <c r="H11" s="54">
        <f>_xlfn.XLOOKUP($A11,Inputs!$A:$A,Inputs!H:H,,0)</f>
        <v>6773</v>
      </c>
      <c r="I11" s="54">
        <f>_xlfn.XLOOKUP($A11,Inputs!$A:$A,Inputs!I:I,,0)</f>
        <v>5581</v>
      </c>
      <c r="J11" s="54">
        <f>_xlfn.XLOOKUP($A11,Inputs!$A:$A,Inputs!J:J,,0)</f>
        <v>2639</v>
      </c>
      <c r="K11" s="54">
        <f>_xlfn.XLOOKUP($A11,Inputs!$A:$A,Inputs!K:K,,0)</f>
        <v>1568</v>
      </c>
      <c r="L11" s="54">
        <f>_xlfn.XLOOKUP($A11,Inputs!$A:$A,Inputs!L:L,,0)</f>
        <v>-8</v>
      </c>
      <c r="M11" s="55">
        <f>_xlfn.XLOOKUP($A11,Inputs!$A:$A,Inputs!M:M,,0)</f>
        <v>1503</v>
      </c>
    </row>
    <row r="12" spans="1:25">
      <c r="A12" s="118" t="s">
        <v>127</v>
      </c>
      <c r="B12" s="56">
        <f t="shared" ref="B12:M12" si="5">IFERROR(B11/B$5,"-")</f>
        <v>0.17177177177177178</v>
      </c>
      <c r="C12" s="56">
        <f t="shared" si="5"/>
        <v>0.13815367188974892</v>
      </c>
      <c r="D12" s="56">
        <f t="shared" si="5"/>
        <v>0.13451347822747869</v>
      </c>
      <c r="E12" s="56">
        <f t="shared" si="5"/>
        <v>8.054229520717969E-2</v>
      </c>
      <c r="F12" s="56">
        <f t="shared" si="5"/>
        <v>0.12267285903030788</v>
      </c>
      <c r="G12" s="56">
        <f t="shared" si="5"/>
        <v>-0.39470077661032432</v>
      </c>
      <c r="H12" s="56">
        <f t="shared" si="5"/>
        <v>0.25974075778493633</v>
      </c>
      <c r="I12" s="56">
        <f t="shared" si="5"/>
        <v>0.21220532319391636</v>
      </c>
      <c r="J12" s="56">
        <f t="shared" si="5"/>
        <v>0.14390882320863779</v>
      </c>
      <c r="K12" s="56">
        <f t="shared" si="5"/>
        <v>0.14356344991759751</v>
      </c>
      <c r="L12" s="56">
        <f t="shared" si="5"/>
        <v>-1.2820512820512821E-3</v>
      </c>
      <c r="M12" s="57">
        <f t="shared" si="5"/>
        <v>0.13060479666319083</v>
      </c>
    </row>
    <row r="13" spans="1:25">
      <c r="A13" s="117" t="s">
        <v>4309</v>
      </c>
      <c r="B13" s="56">
        <f t="shared" ref="B13" si="6">IFERROR(B12/C12-1,"-")</f>
        <v>0.24333844639939195</v>
      </c>
      <c r="C13" s="56">
        <f t="shared" ref="C13" si="7">IFERROR(C12/D12-1,"-")</f>
        <v>2.7061925022221267E-2</v>
      </c>
      <c r="D13" s="56">
        <f t="shared" ref="D13" si="8">IFERROR(D12/E12-1,"-")</f>
        <v>0.6700974051145232</v>
      </c>
      <c r="E13" s="56">
        <f t="shared" ref="E13" si="9">IFERROR(E12/F12-1,"-")</f>
        <v>-0.34343834615217783</v>
      </c>
      <c r="F13" s="56">
        <f t="shared" ref="F13" si="10">IFERROR(F12/G12-1,"-")</f>
        <v>-1.3107996393719259</v>
      </c>
      <c r="G13" s="56">
        <f t="shared" ref="G13" si="11">IFERROR(G12/H12-1,"-")</f>
        <v>-2.5195950761687316</v>
      </c>
      <c r="H13" s="56">
        <f t="shared" ref="H13" si="12">IFERROR(H12/I12-1,"-")</f>
        <v>0.22400679622716813</v>
      </c>
      <c r="I13" s="56">
        <f t="shared" ref="I13" si="13">IFERROR(I12/J12-1,"-")</f>
        <v>0.47458174184541058</v>
      </c>
      <c r="J13" s="56">
        <f t="shared" ref="J13" si="14">IFERROR(J12/K12-1,"-")</f>
        <v>2.4057188040447208E-3</v>
      </c>
      <c r="K13" s="56">
        <f t="shared" ref="K13" si="15">IFERROR(K12/L12-1,"-")</f>
        <v>-112.97949093572606</v>
      </c>
      <c r="L13" s="56">
        <f t="shared" ref="L13" si="16">IFERROR(L12/M12-1,"-")</f>
        <v>-1.0098162649060853</v>
      </c>
      <c r="M13" s="57" t="str">
        <f>IFERROR(M12/#REF!-1,"-")</f>
        <v>-</v>
      </c>
    </row>
    <row r="14" spans="1:25">
      <c r="A14" s="119" t="s">
        <v>291</v>
      </c>
      <c r="B14" s="54">
        <f>_xlfn.XLOOKUP($A14,Inputs!$A:$A,Inputs!B:B,,0)</f>
        <v>907</v>
      </c>
      <c r="C14" s="54">
        <f>_xlfn.XLOOKUP($A14,Inputs!$A:$A,Inputs!C:C,,0)</f>
        <v>951</v>
      </c>
      <c r="D14" s="54">
        <f>_xlfn.XLOOKUP($A14,Inputs!$A:$A,Inputs!D:D,,0)</f>
        <v>1867</v>
      </c>
      <c r="E14" s="54">
        <f>_xlfn.XLOOKUP($A14,Inputs!$A:$A,Inputs!E:E,,0)</f>
        <v>1299</v>
      </c>
      <c r="F14" s="54">
        <f>_xlfn.XLOOKUP($A14,Inputs!$A:$A,Inputs!F:F,,0)</f>
        <v>1353</v>
      </c>
      <c r="G14" s="54">
        <f>_xlfn.XLOOKUP($A14,Inputs!$A:$A,Inputs!G:G,,0)</f>
        <v>1163</v>
      </c>
      <c r="H14" s="54">
        <f>_xlfn.XLOOKUP($A14,Inputs!$A:$A,Inputs!H:H,,0)</f>
        <v>1283</v>
      </c>
      <c r="I14" s="54">
        <f>_xlfn.XLOOKUP($A14,Inputs!$A:$A,Inputs!I:I,,0)</f>
        <v>667</v>
      </c>
      <c r="J14" s="54">
        <f>_xlfn.XLOOKUP($A14,Inputs!$A:$A,Inputs!J:J,,0)</f>
        <v>1334</v>
      </c>
      <c r="K14" s="54">
        <f>_xlfn.XLOOKUP($A14,Inputs!$A:$A,Inputs!K:K,,0)</f>
        <v>907</v>
      </c>
      <c r="L14" s="54">
        <f>_xlfn.XLOOKUP($A14,Inputs!$A:$A,Inputs!L:L,,0)</f>
        <v>200</v>
      </c>
      <c r="M14" s="55">
        <f>_xlfn.XLOOKUP($A14,Inputs!$A:$A,Inputs!M:M,,0)</f>
        <v>359</v>
      </c>
    </row>
    <row r="15" spans="1:25">
      <c r="A15" s="117" t="s">
        <v>4310</v>
      </c>
      <c r="B15" s="54">
        <f>_xlfn.XLOOKUP($A15,Inputs!$A:$A,Inputs!B:B,,0)</f>
        <v>27</v>
      </c>
      <c r="C15" s="54">
        <f>_xlfn.XLOOKUP($A15,Inputs!$A:$A,Inputs!C:C,,0)</f>
        <v>-253</v>
      </c>
      <c r="D15" s="54">
        <f>_xlfn.XLOOKUP($A15,Inputs!$A:$A,Inputs!D:D,,0)</f>
        <v>-295</v>
      </c>
      <c r="E15" s="54">
        <f>_xlfn.XLOOKUP($A15,Inputs!$A:$A,Inputs!E:E,,0)</f>
        <v>-296</v>
      </c>
      <c r="F15" s="54">
        <f>_xlfn.XLOOKUP($A15,Inputs!$A:$A,Inputs!F:F,,0)</f>
        <v>-952</v>
      </c>
      <c r="G15" s="54">
        <f>_xlfn.XLOOKUP($A15,Inputs!$A:$A,Inputs!G:G,,0)</f>
        <v>-168</v>
      </c>
      <c r="H15" s="54">
        <f>_xlfn.XLOOKUP($A15,Inputs!$A:$A,Inputs!H:H,,0)</f>
        <v>9</v>
      </c>
      <c r="I15" s="54">
        <f>_xlfn.XLOOKUP($A15,Inputs!$A:$A,Inputs!I:I,,0)</f>
        <v>-15</v>
      </c>
      <c r="J15" s="54">
        <f>_xlfn.XLOOKUP($A15,Inputs!$A:$A,Inputs!J:J,,0)</f>
        <v>305</v>
      </c>
      <c r="K15" s="54">
        <f>_xlfn.XLOOKUP($A15,Inputs!$A:$A,Inputs!K:K,,0)</f>
        <v>-127</v>
      </c>
      <c r="L15" s="54">
        <f>_xlfn.XLOOKUP($A15,Inputs!$A:$A,Inputs!L:L,,0)</f>
        <v>101</v>
      </c>
      <c r="M15" s="55">
        <f>_xlfn.XLOOKUP($A15,Inputs!$A:$A,Inputs!M:M,,0)</f>
        <v>-25</v>
      </c>
    </row>
    <row r="16" spans="1:25">
      <c r="A16" s="119" t="s">
        <v>65</v>
      </c>
      <c r="B16" s="54">
        <f>B11-B15</f>
        <v>4549</v>
      </c>
      <c r="C16" s="54">
        <f t="shared" ref="C16:M16" si="17">C11-C15</f>
        <v>3912</v>
      </c>
      <c r="D16" s="54">
        <f t="shared" si="17"/>
        <v>3798</v>
      </c>
      <c r="E16" s="54">
        <f t="shared" si="17"/>
        <v>2405</v>
      </c>
      <c r="F16" s="54">
        <f t="shared" si="17"/>
        <v>4016</v>
      </c>
      <c r="G16" s="54">
        <f t="shared" si="17"/>
        <v>-10200</v>
      </c>
      <c r="H16" s="54">
        <f t="shared" si="17"/>
        <v>6764</v>
      </c>
      <c r="I16" s="54">
        <f t="shared" si="17"/>
        <v>5596</v>
      </c>
      <c r="J16" s="54">
        <f t="shared" si="17"/>
        <v>2334</v>
      </c>
      <c r="K16" s="54">
        <f t="shared" si="17"/>
        <v>1695</v>
      </c>
      <c r="L16" s="54">
        <f t="shared" si="17"/>
        <v>-109</v>
      </c>
      <c r="M16" s="55">
        <f t="shared" si="17"/>
        <v>1528</v>
      </c>
      <c r="N16" s="52"/>
      <c r="O16" s="52"/>
      <c r="P16" s="52"/>
      <c r="Q16" s="52"/>
      <c r="R16" s="52"/>
      <c r="S16" s="52"/>
      <c r="T16" s="52"/>
      <c r="U16" s="52"/>
      <c r="V16" s="52"/>
      <c r="W16" s="52"/>
      <c r="X16" s="52"/>
      <c r="Y16" s="52"/>
    </row>
    <row r="17" spans="1:18">
      <c r="A17" s="117" t="s">
        <v>60</v>
      </c>
      <c r="B17" s="54">
        <f>_xlfn.XLOOKUP($A17,Inputs!$A:$A,Inputs!B:B,,0)</f>
        <v>961</v>
      </c>
      <c r="C17" s="54">
        <f>_xlfn.XLOOKUP($A17,Inputs!$A:$A,Inputs!C:C,,0)</f>
        <v>933</v>
      </c>
      <c r="D17" s="54">
        <f>_xlfn.XLOOKUP($A17,Inputs!$A:$A,Inputs!D:D,,0)</f>
        <v>910</v>
      </c>
      <c r="E17" s="54">
        <f>_xlfn.XLOOKUP($A17,Inputs!$A:$A,Inputs!E:E,,0)</f>
        <v>969</v>
      </c>
      <c r="F17" s="54">
        <f>_xlfn.XLOOKUP($A17,Inputs!$A:$A,Inputs!F:F,,0)</f>
        <v>994</v>
      </c>
      <c r="G17" s="54">
        <f>_xlfn.XLOOKUP($A17,Inputs!$A:$A,Inputs!G:G,,0)</f>
        <v>983</v>
      </c>
      <c r="H17" s="54">
        <f>_xlfn.XLOOKUP($A17,Inputs!$A:$A,Inputs!H:H,,0)</f>
        <v>1031</v>
      </c>
      <c r="I17" s="54">
        <f>_xlfn.XLOOKUP($A17,Inputs!$A:$A,Inputs!I:I,,0)</f>
        <v>1337</v>
      </c>
      <c r="J17" s="54">
        <f>_xlfn.XLOOKUP($A17,Inputs!$A:$A,Inputs!J:J,,0)</f>
        <v>740</v>
      </c>
      <c r="K17" s="54">
        <f>_xlfn.XLOOKUP($A17,Inputs!$A:$A,Inputs!K:K,,0)</f>
        <v>430</v>
      </c>
      <c r="L17" s="54">
        <f>_xlfn.XLOOKUP($A17,Inputs!$A:$A,Inputs!L:L,,0)</f>
        <v>231</v>
      </c>
      <c r="M17" s="55">
        <f>_xlfn.XLOOKUP($A17,Inputs!$A:$A,Inputs!M:M,,0)</f>
        <v>296</v>
      </c>
      <c r="N17" s="292"/>
    </row>
    <row r="18" spans="1:18">
      <c r="A18" s="119" t="s">
        <v>4311</v>
      </c>
      <c r="B18" s="54">
        <f>_xlfn.XLOOKUP($A18,Inputs!$A:$A,Inputs!B:B,,0)</f>
        <v>663</v>
      </c>
      <c r="C18" s="54">
        <f>_xlfn.XLOOKUP($A18,Inputs!$A:$A,Inputs!C:C,,0)</f>
        <v>1344</v>
      </c>
      <c r="D18" s="54">
        <f>_xlfn.XLOOKUP($A18,Inputs!$A:$A,Inputs!D:D,,0)</f>
        <v>-2859</v>
      </c>
      <c r="E18" s="54">
        <f>_xlfn.XLOOKUP($A18,Inputs!$A:$A,Inputs!E:E,,0)</f>
        <v>1401</v>
      </c>
      <c r="F18" s="54">
        <f>_xlfn.XLOOKUP($A18,Inputs!$A:$A,Inputs!F:F,,0)</f>
        <v>-2499</v>
      </c>
      <c r="G18" s="54">
        <f>_xlfn.XLOOKUP($A18,Inputs!$A:$A,Inputs!G:G,,0)</f>
        <v>5024</v>
      </c>
      <c r="H18" s="54">
        <f>_xlfn.XLOOKUP($A18,Inputs!$A:$A,Inputs!H:H,,0)</f>
        <v>370</v>
      </c>
      <c r="I18" s="54">
        <f>_xlfn.XLOOKUP($A18,Inputs!$A:$A,Inputs!I:I,,0)</f>
        <v>-2963</v>
      </c>
      <c r="J18" s="54">
        <f>_xlfn.XLOOKUP($A18,Inputs!$A:$A,Inputs!J:J,,0)</f>
        <v>-1514</v>
      </c>
      <c r="K18" s="54">
        <f>_xlfn.XLOOKUP($A18,Inputs!$A:$A,Inputs!K:K,,0)</f>
        <v>-535</v>
      </c>
      <c r="L18" s="54">
        <f>_xlfn.XLOOKUP($A18,Inputs!$A:$A,Inputs!L:L,,0)</f>
        <v>60</v>
      </c>
      <c r="M18" s="55">
        <f>_xlfn.XLOOKUP($A18,Inputs!$A:$A,Inputs!M:M,,0)</f>
        <v>0</v>
      </c>
    </row>
    <row r="19" spans="1:18">
      <c r="A19" s="117" t="s">
        <v>56</v>
      </c>
      <c r="B19" s="54">
        <f>B11-B15+B17</f>
        <v>5510</v>
      </c>
      <c r="C19" s="54">
        <f t="shared" ref="C19:M19" si="18">C11-C15+C17</f>
        <v>4845</v>
      </c>
      <c r="D19" s="54">
        <f t="shared" si="18"/>
        <v>4708</v>
      </c>
      <c r="E19" s="54">
        <f t="shared" si="18"/>
        <v>3374</v>
      </c>
      <c r="F19" s="54">
        <f t="shared" si="18"/>
        <v>5010</v>
      </c>
      <c r="G19" s="54">
        <f t="shared" si="18"/>
        <v>-9217</v>
      </c>
      <c r="H19" s="54">
        <f t="shared" si="18"/>
        <v>7795</v>
      </c>
      <c r="I19" s="54">
        <f t="shared" si="18"/>
        <v>6933</v>
      </c>
      <c r="J19" s="54">
        <f t="shared" si="18"/>
        <v>3074</v>
      </c>
      <c r="K19" s="54">
        <f t="shared" si="18"/>
        <v>2125</v>
      </c>
      <c r="L19" s="54">
        <f t="shared" si="18"/>
        <v>122</v>
      </c>
      <c r="M19" s="55">
        <f t="shared" si="18"/>
        <v>1824</v>
      </c>
    </row>
    <row r="20" spans="1:18">
      <c r="A20" s="118" t="s">
        <v>4312</v>
      </c>
      <c r="B20" s="56">
        <f t="shared" ref="B20" si="19">IFERROR(B19/B$5,"-")</f>
        <v>0.20683183183183182</v>
      </c>
      <c r="C20" s="56">
        <f t="shared" ref="C20" si="20">IFERROR(C19/C$5,"-")</f>
        <v>0.18293373607702473</v>
      </c>
      <c r="D20" s="56">
        <f t="shared" ref="D20" si="21">IFERROR(D19/D$5,"-")</f>
        <v>0.18078488595345979</v>
      </c>
      <c r="E20" s="56">
        <f t="shared" ref="E20" si="22">IFERROR(E19/E$5,"-")</f>
        <v>0.1288523964101585</v>
      </c>
      <c r="F20" s="56">
        <f t="shared" ref="F20" si="23">IFERROR(F19/F$5,"-")</f>
        <v>0.20058453777475277</v>
      </c>
      <c r="G20" s="56">
        <f t="shared" ref="G20" si="24">IFERROR(G19/G$5,"-")</f>
        <v>-0.35088320389827926</v>
      </c>
      <c r="H20" s="56">
        <f t="shared" ref="H20" si="25">IFERROR(H19/H$5,"-")</f>
        <v>0.29893388556527073</v>
      </c>
      <c r="I20" s="56">
        <f t="shared" ref="I20" si="26">IFERROR(I19/I$5,"-")</f>
        <v>0.26361216730038023</v>
      </c>
      <c r="J20" s="56">
        <f t="shared" ref="J20" si="27">IFERROR(J19/J$5,"-")</f>
        <v>0.16763005780346821</v>
      </c>
      <c r="K20" s="56">
        <f t="shared" ref="K20" si="28">IFERROR(K19/K$5,"-")</f>
        <v>0.19456143563449918</v>
      </c>
      <c r="L20" s="56">
        <f t="shared" ref="L20" si="29">IFERROR(L19/L$5,"-")</f>
        <v>1.9551282051282051E-2</v>
      </c>
      <c r="M20" s="57">
        <f t="shared" ref="M20" si="30">IFERROR(M19/M$5,"-")</f>
        <v>0.15849843587069865</v>
      </c>
      <c r="P20" s="292"/>
      <c r="Q20" s="292"/>
      <c r="R20" s="292"/>
    </row>
    <row r="21" spans="1:18">
      <c r="A21" s="117" t="s">
        <v>292</v>
      </c>
      <c r="B21" s="54">
        <f>_xlfn.XLOOKUP($A21,Inputs!$A:$A,Inputs!B:B,,0)</f>
        <v>787</v>
      </c>
      <c r="C21" s="54">
        <f>_xlfn.XLOOKUP($A21,Inputs!$A:$A,Inputs!C:C,,0)</f>
        <v>598</v>
      </c>
      <c r="D21" s="54">
        <f>_xlfn.XLOOKUP($A21,Inputs!$A:$A,Inputs!D:D,,0)</f>
        <v>919</v>
      </c>
      <c r="E21" s="54">
        <f>_xlfn.XLOOKUP($A21,Inputs!$A:$A,Inputs!E:E,,0)</f>
        <v>750</v>
      </c>
      <c r="F21" s="54">
        <f>_xlfn.XLOOKUP($A21,Inputs!$A:$A,Inputs!F:F,,0)</f>
        <v>728</v>
      </c>
      <c r="G21" s="54">
        <f>_xlfn.XLOOKUP($A21,Inputs!$A:$A,Inputs!G:G,,0)</f>
        <v>-1171</v>
      </c>
      <c r="H21" s="54">
        <f>_xlfn.XLOOKUP($A21,Inputs!$A:$A,Inputs!H:H,,0)</f>
        <v>-5460</v>
      </c>
      <c r="I21" s="54">
        <f>_xlfn.XLOOKUP($A21,Inputs!$A:$A,Inputs!I:I,,0)</f>
        <v>1333</v>
      </c>
      <c r="J21" s="54">
        <f>_xlfn.XLOOKUP($A21,Inputs!$A:$A,Inputs!J:J,,0)</f>
        <v>366</v>
      </c>
      <c r="K21" s="54">
        <f>_xlfn.XLOOKUP($A21,Inputs!$A:$A,Inputs!K:K,,0)</f>
        <v>131</v>
      </c>
      <c r="L21" s="54">
        <f>_xlfn.XLOOKUP($A21,Inputs!$A:$A,Inputs!L:L,,0)</f>
        <v>-232</v>
      </c>
      <c r="M21" s="55">
        <f>_xlfn.XLOOKUP($A21,Inputs!$A:$A,Inputs!M:M,,0)</f>
        <v>245</v>
      </c>
    </row>
    <row r="22" spans="1:18">
      <c r="A22" s="118" t="s">
        <v>4313</v>
      </c>
      <c r="B22" s="56">
        <f t="shared" ref="B22" si="31">IFERROR(B21/B$5,"-")</f>
        <v>2.9542042042042041E-2</v>
      </c>
      <c r="C22" s="56">
        <f t="shared" ref="C22" si="32">IFERROR(C21/C$5,"-")</f>
        <v>2.2578818198980555E-2</v>
      </c>
      <c r="D22" s="56">
        <f t="shared" ref="D22" si="33">IFERROR(D21/D$5,"-")</f>
        <v>3.5289148298901771E-2</v>
      </c>
      <c r="E22" s="56">
        <f t="shared" ref="E22" si="34">IFERROR(E21/E$5,"-")</f>
        <v>2.8642352491884668E-2</v>
      </c>
      <c r="F22" s="56">
        <f t="shared" ref="F22" si="35">IFERROR(F21/F$5,"-")</f>
        <v>2.9146815069864274E-2</v>
      </c>
      <c r="G22" s="56">
        <f t="shared" ref="G22" si="36">IFERROR(G21/G$5,"-")</f>
        <v>-4.4578955382975481E-2</v>
      </c>
      <c r="H22" s="56">
        <f t="shared" ref="H22" si="37">IFERROR(H21/H$5,"-")</f>
        <v>-0.20938794293603313</v>
      </c>
      <c r="I22" s="56">
        <f t="shared" ref="I22" si="38">IFERROR(I21/I$5,"-")</f>
        <v>5.0684410646387831E-2</v>
      </c>
      <c r="J22" s="56">
        <f t="shared" ref="J22" si="39">IFERROR(J21/J$5,"-")</f>
        <v>1.9958556003926275E-2</v>
      </c>
      <c r="K22" s="56">
        <f t="shared" ref="K22" si="40">IFERROR(K21/K$5,"-")</f>
        <v>1.1994140267350302E-2</v>
      </c>
      <c r="L22" s="56">
        <f t="shared" ref="L22" si="41">IFERROR(L21/L$5,"-")</f>
        <v>-3.7179487179487179E-2</v>
      </c>
      <c r="M22" s="57">
        <f t="shared" ref="M22" si="42">IFERROR(M21/M$5,"-")</f>
        <v>2.1289537712895375E-2</v>
      </c>
    </row>
    <row r="23" spans="1:18">
      <c r="A23" s="117" t="s">
        <v>69</v>
      </c>
      <c r="B23" s="54">
        <f>_xlfn.XLOOKUP($A23,Inputs!$A:$A,Inputs!B:B,,0)</f>
        <v>2855</v>
      </c>
      <c r="C23" s="54">
        <f>_xlfn.XLOOKUP($A23,Inputs!$A:$A,Inputs!C:C,,0)</f>
        <v>2363</v>
      </c>
      <c r="D23" s="54">
        <f>_xlfn.XLOOKUP($A23,Inputs!$A:$A,Inputs!D:D,,0)</f>
        <v>1012</v>
      </c>
      <c r="E23" s="54">
        <f>_xlfn.XLOOKUP($A23,Inputs!$A:$A,Inputs!E:E,,0)</f>
        <v>356</v>
      </c>
      <c r="F23" s="54">
        <f>_xlfn.XLOOKUP($A23,Inputs!$A:$A,Inputs!F:F,,0)</f>
        <v>1935</v>
      </c>
      <c r="G23" s="54">
        <f>_xlfn.XLOOKUP($A23,Inputs!$A:$A,Inputs!G:G,,0)</f>
        <v>-10192</v>
      </c>
      <c r="H23" s="54">
        <f>_xlfn.XLOOKUP($A23,Inputs!$A:$A,Inputs!H:H,,0)</f>
        <v>10941</v>
      </c>
      <c r="I23" s="54">
        <f>_xlfn.XLOOKUP($A23,Inputs!$A:$A,Inputs!I:I,,0)</f>
        <v>3596</v>
      </c>
      <c r="J23" s="54">
        <f>_xlfn.XLOOKUP($A23,Inputs!$A:$A,Inputs!J:J,,0)</f>
        <v>634</v>
      </c>
      <c r="K23" s="54">
        <f>_xlfn.XLOOKUP($A23,Inputs!$A:$A,Inputs!K:K,,0)</f>
        <v>657</v>
      </c>
      <c r="L23" s="54">
        <f>_xlfn.XLOOKUP($A23,Inputs!$A:$A,Inputs!L:L,,0)</f>
        <v>-77</v>
      </c>
      <c r="M23" s="55">
        <f>_xlfn.XLOOKUP($A23,Inputs!$A:$A,Inputs!M:M,,0)</f>
        <v>924</v>
      </c>
    </row>
    <row r="24" spans="1:18">
      <c r="A24" s="118" t="s">
        <v>253</v>
      </c>
      <c r="B24" s="56">
        <f t="shared" ref="B24" si="43">IFERROR(B23/B$5,"-")</f>
        <v>0.10716966966966968</v>
      </c>
      <c r="C24" s="56">
        <f t="shared" ref="C24" si="44">IFERROR(C23/C$5,"-")</f>
        <v>8.9220313384934871E-2</v>
      </c>
      <c r="D24" s="56">
        <f t="shared" ref="D24" si="45">IFERROR(D23/D$5,"-")</f>
        <v>3.8860302588126873E-2</v>
      </c>
      <c r="E24" s="56">
        <f t="shared" ref="E24" si="46">IFERROR(E23/E$5,"-")</f>
        <v>1.3595569982814588E-2</v>
      </c>
      <c r="F24" s="56">
        <f t="shared" ref="F24" si="47">IFERROR(F23/F$5,"-")</f>
        <v>7.7471273571685956E-2</v>
      </c>
      <c r="G24" s="56">
        <f t="shared" ref="G24" si="48">IFERROR(G23/G$5,"-")</f>
        <v>-0.38800060910613676</v>
      </c>
      <c r="H24" s="56">
        <f t="shared" ref="H24" si="49">IFERROR(H23/H$5,"-")</f>
        <v>0.41958122411412796</v>
      </c>
      <c r="I24" s="56">
        <f t="shared" ref="I24" si="50">IFERROR(I23/I$5,"-")</f>
        <v>0.13673003802281369</v>
      </c>
      <c r="J24" s="56">
        <f t="shared" ref="J24" si="51">IFERROR(J23/J$5,"-")</f>
        <v>3.4573017777293054E-2</v>
      </c>
      <c r="K24" s="56">
        <f t="shared" ref="K24" si="52">IFERROR(K23/K$5,"-")</f>
        <v>6.0153817982054568E-2</v>
      </c>
      <c r="L24" s="56">
        <f t="shared" ref="L24" si="53">IFERROR(L23/L$5,"-")</f>
        <v>-1.2339743589743589E-2</v>
      </c>
      <c r="M24" s="57">
        <f t="shared" ref="M24" si="54">IFERROR(M23/M$5,"-")</f>
        <v>8.0291970802919707E-2</v>
      </c>
    </row>
    <row r="25" spans="1:18">
      <c r="A25" s="117" t="s">
        <v>4305</v>
      </c>
      <c r="B25" s="56">
        <f t="shared" ref="B25" si="55">IFERROR(B24/C24-1,"-")</f>
        <v>0.20118015285704671</v>
      </c>
      <c r="C25" s="56">
        <f t="shared" ref="C25" si="56">IFERROR(C24/D24-1,"-")</f>
        <v>1.2959243094569901</v>
      </c>
      <c r="D25" s="56">
        <f t="shared" ref="D25" si="57">IFERROR(D24/E24-1,"-")</f>
        <v>1.8583062451407364</v>
      </c>
      <c r="E25" s="56">
        <f t="shared" ref="E25" si="58">IFERROR(E24/F24-1,"-")</f>
        <v>-0.82450824213914209</v>
      </c>
      <c r="F25" s="56">
        <f t="shared" ref="F25" si="59">IFERROR(F24/G24-1,"-")</f>
        <v>-1.1996679174039488</v>
      </c>
      <c r="G25" s="56">
        <f t="shared" ref="G25" si="60">IFERROR(G24/H24-1,"-")</f>
        <v>-1.9247330118866302</v>
      </c>
      <c r="H25" s="56">
        <f t="shared" ref="H25" si="61">IFERROR(H24/I24-1,"-")</f>
        <v>2.0686835912685106</v>
      </c>
      <c r="I25" s="56">
        <f t="shared" ref="I25" si="62">IFERROR(I24/J24-1,"-")</f>
        <v>2.9548193016756428</v>
      </c>
      <c r="J25" s="56">
        <f t="shared" ref="J25" si="63">IFERROR(J24/K24-1,"-")</f>
        <v>-0.42525646854856203</v>
      </c>
      <c r="K25" s="56">
        <f t="shared" ref="K25" si="64">IFERROR(K24/L24-1,"-")</f>
        <v>-5.8748029117924743</v>
      </c>
      <c r="L25" s="56">
        <f t="shared" ref="L25" si="65">IFERROR(L24/M24-1,"-")</f>
        <v>-1.1536858974358974</v>
      </c>
      <c r="M25" s="57" t="str">
        <f>IFERROR(M24/#REF!-1,"-")</f>
        <v>-</v>
      </c>
    </row>
    <row r="26" spans="1:18">
      <c r="A26" s="118" t="s">
        <v>4314</v>
      </c>
      <c r="B26" s="58">
        <f>B39-C39</f>
        <v>360</v>
      </c>
      <c r="C26" s="58">
        <f t="shared" ref="C26:M26" si="66">C39-D39</f>
        <v>-2405</v>
      </c>
      <c r="D26" s="58">
        <f t="shared" si="66"/>
        <v>28</v>
      </c>
      <c r="E26" s="58">
        <f t="shared" si="66"/>
        <v>1138</v>
      </c>
      <c r="F26" s="58">
        <f t="shared" si="66"/>
        <v>1149</v>
      </c>
      <c r="G26" s="58">
        <f t="shared" si="66"/>
        <v>-499</v>
      </c>
      <c r="H26" s="58">
        <f t="shared" si="66"/>
        <v>-2575</v>
      </c>
      <c r="I26" s="58">
        <f t="shared" si="66"/>
        <v>-633</v>
      </c>
      <c r="J26" s="58">
        <f t="shared" si="66"/>
        <v>2539</v>
      </c>
      <c r="K26" s="58">
        <f t="shared" si="66"/>
        <v>-161</v>
      </c>
      <c r="L26" s="58">
        <f t="shared" si="66"/>
        <v>2459</v>
      </c>
      <c r="M26" s="55">
        <f t="shared" si="66"/>
        <v>0</v>
      </c>
    </row>
    <row r="27" spans="1:18">
      <c r="A27" s="117" t="s">
        <v>137</v>
      </c>
      <c r="B27" s="54">
        <f>_xlfn.XLOOKUP($A27,Inputs!$A:$A,Inputs!B:B,,0)</f>
        <v>-1965</v>
      </c>
      <c r="C27" s="54">
        <f>_xlfn.XLOOKUP($A27,Inputs!$A:$A,Inputs!C:C,,0)</f>
        <v>-1960</v>
      </c>
      <c r="D27" s="54">
        <f>_xlfn.XLOOKUP($A27,Inputs!$A:$A,Inputs!D:D,,0)</f>
        <v>-1959</v>
      </c>
      <c r="E27" s="54">
        <f>_xlfn.XLOOKUP($A27,Inputs!$A:$A,Inputs!E:E,,0)</f>
        <v>-1958</v>
      </c>
      <c r="F27" s="54">
        <f>_xlfn.XLOOKUP($A27,Inputs!$A:$A,Inputs!F:F,,0)</f>
        <v>-1953</v>
      </c>
      <c r="G27" s="54">
        <f>_xlfn.XLOOKUP($A27,Inputs!$A:$A,Inputs!G:G,,0)</f>
        <v>-3183</v>
      </c>
      <c r="H27" s="54">
        <f>_xlfn.XLOOKUP($A27,Inputs!$A:$A,Inputs!H:H,,0)</f>
        <v>-2888</v>
      </c>
      <c r="I27" s="54">
        <f>_xlfn.XLOOKUP($A27,Inputs!$A:$A,Inputs!I:I,,0)</f>
        <v>-3584</v>
      </c>
      <c r="J27" s="54">
        <f>_xlfn.XLOOKUP($A27,Inputs!$A:$A,Inputs!J:J,,0)</f>
        <v>-1302</v>
      </c>
      <c r="K27" s="54">
        <f>_xlfn.XLOOKUP($A27,Inputs!$A:$A,Inputs!K:K,,0)</f>
        <v>0</v>
      </c>
      <c r="L27" s="54">
        <f>_xlfn.XLOOKUP($A27,Inputs!$A:$A,Inputs!L:L,,0)</f>
        <v>0</v>
      </c>
      <c r="M27" s="55">
        <f>_xlfn.XLOOKUP($A27,Inputs!$A:$A,Inputs!M:M,,0)</f>
        <v>0</v>
      </c>
    </row>
    <row r="28" spans="1:18">
      <c r="A28" s="119" t="s">
        <v>4315</v>
      </c>
      <c r="B28" s="54">
        <f>_xlfn.XLOOKUP($A28,Inputs!$A:$A,Inputs!B:B,,0)</f>
        <v>-455</v>
      </c>
      <c r="C28" s="54">
        <f>_xlfn.XLOOKUP($A28,Inputs!$A:$A,Inputs!C:C,,0)</f>
        <v>-280</v>
      </c>
      <c r="D28" s="54">
        <f>_xlfn.XLOOKUP($A28,Inputs!$A:$A,Inputs!D:D,,0)</f>
        <v>-271</v>
      </c>
      <c r="E28" s="54">
        <f>_xlfn.XLOOKUP($A28,Inputs!$A:$A,Inputs!E:E,,0)</f>
        <v>0</v>
      </c>
      <c r="F28" s="54">
        <f>_xlfn.XLOOKUP($A28,Inputs!$A:$A,Inputs!F:F,,0)</f>
        <v>0</v>
      </c>
      <c r="G28" s="54">
        <f>_xlfn.XLOOKUP($A28,Inputs!$A:$A,Inputs!G:G,,0)</f>
        <v>0</v>
      </c>
      <c r="H28" s="54">
        <f>_xlfn.XLOOKUP($A28,Inputs!$A:$A,Inputs!H:H,,0)</f>
        <v>0</v>
      </c>
      <c r="I28" s="54">
        <f>_xlfn.XLOOKUP($A28,Inputs!$A:$A,Inputs!I:I,,0)</f>
        <v>0</v>
      </c>
      <c r="J28" s="54">
        <f>_xlfn.XLOOKUP($A28,Inputs!$A:$A,Inputs!J:J,,0)</f>
        <v>0</v>
      </c>
      <c r="K28" s="54">
        <f>_xlfn.XLOOKUP($A28,Inputs!$A:$A,Inputs!K:K,,0)</f>
        <v>0</v>
      </c>
      <c r="L28" s="54">
        <f>_xlfn.XLOOKUP($A28,Inputs!$A:$A,Inputs!L:L,,0)</f>
        <v>0</v>
      </c>
      <c r="M28" s="55">
        <f>_xlfn.XLOOKUP($A28,Inputs!$A:$A,Inputs!M:M,,0)</f>
        <v>-202</v>
      </c>
    </row>
    <row r="29" spans="1:18">
      <c r="A29" s="117" t="s">
        <v>129</v>
      </c>
      <c r="B29" s="58">
        <f>SUM(B26:B28)</f>
        <v>-2060</v>
      </c>
      <c r="C29" s="58">
        <f t="shared" ref="C29:M29" si="67">SUM(C26:C28)</f>
        <v>-4645</v>
      </c>
      <c r="D29" s="58">
        <f t="shared" si="67"/>
        <v>-2202</v>
      </c>
      <c r="E29" s="58">
        <f t="shared" si="67"/>
        <v>-820</v>
      </c>
      <c r="F29" s="58">
        <f t="shared" si="67"/>
        <v>-804</v>
      </c>
      <c r="G29" s="58">
        <f t="shared" si="67"/>
        <v>-3682</v>
      </c>
      <c r="H29" s="58">
        <f t="shared" si="67"/>
        <v>-5463</v>
      </c>
      <c r="I29" s="58">
        <f t="shared" si="67"/>
        <v>-4217</v>
      </c>
      <c r="J29" s="58">
        <f t="shared" si="67"/>
        <v>1237</v>
      </c>
      <c r="K29" s="58">
        <f t="shared" si="67"/>
        <v>-161</v>
      </c>
      <c r="L29" s="58">
        <f t="shared" si="67"/>
        <v>2459</v>
      </c>
      <c r="M29" s="55">
        <f t="shared" si="67"/>
        <v>-202</v>
      </c>
    </row>
    <row r="30" spans="1:18">
      <c r="A30" s="119" t="s">
        <v>4316</v>
      </c>
      <c r="B30" s="58">
        <f>+B29-(B58-C29)</f>
        <v>-26737</v>
      </c>
      <c r="C30" s="58">
        <f t="shared" ref="C30:M30" si="68">+C29-(C58-D29)</f>
        <v>-26917</v>
      </c>
      <c r="D30" s="58">
        <f t="shared" si="68"/>
        <v>-24837</v>
      </c>
      <c r="E30" s="58">
        <f t="shared" si="68"/>
        <v>-29930</v>
      </c>
      <c r="F30" s="58">
        <f t="shared" si="68"/>
        <v>-33730</v>
      </c>
      <c r="G30" s="58">
        <f t="shared" si="68"/>
        <v>-40313</v>
      </c>
      <c r="H30" s="58">
        <f t="shared" si="68"/>
        <v>-41183</v>
      </c>
      <c r="I30" s="58">
        <f t="shared" si="68"/>
        <v>-35384</v>
      </c>
      <c r="J30" s="58">
        <f t="shared" si="68"/>
        <v>-24158</v>
      </c>
      <c r="K30" s="58">
        <f t="shared" si="68"/>
        <v>-11060</v>
      </c>
      <c r="L30" s="58">
        <f t="shared" si="68"/>
        <v>-12613</v>
      </c>
      <c r="M30" s="55">
        <f t="shared" si="68"/>
        <v>-202</v>
      </c>
    </row>
    <row r="31" spans="1:18">
      <c r="A31" s="117" t="s">
        <v>4317</v>
      </c>
      <c r="B31" s="58">
        <f>+B30+B33</f>
        <v>-26737</v>
      </c>
      <c r="C31" s="58">
        <f t="shared" ref="C31:L31" si="69">+C30+C33</f>
        <v>-27398</v>
      </c>
      <c r="D31" s="58">
        <f t="shared" si="69"/>
        <v>-24911</v>
      </c>
      <c r="E31" s="58">
        <f t="shared" si="69"/>
        <v>-29930</v>
      </c>
      <c r="F31" s="58">
        <f t="shared" si="69"/>
        <v>-33929</v>
      </c>
      <c r="G31" s="58">
        <f t="shared" si="69"/>
        <v>-40561</v>
      </c>
      <c r="H31" s="58">
        <f t="shared" si="69"/>
        <v>-41183</v>
      </c>
      <c r="I31" s="58">
        <f t="shared" si="69"/>
        <v>-35384</v>
      </c>
      <c r="J31" s="58">
        <f t="shared" si="69"/>
        <v>-33626</v>
      </c>
      <c r="K31" s="58">
        <f t="shared" si="69"/>
        <v>-11060</v>
      </c>
      <c r="L31" s="58">
        <f t="shared" si="69"/>
        <v>-34107</v>
      </c>
      <c r="M31" s="55">
        <f t="shared" ref="M31" si="70">+M30+M33</f>
        <v>-205</v>
      </c>
    </row>
    <row r="32" spans="1:18">
      <c r="A32" s="119" t="s">
        <v>134</v>
      </c>
      <c r="B32" s="54">
        <f>_xlfn.XLOOKUP($A32,Inputs!$A:$A,Inputs!B:B,,0)</f>
        <v>-1013</v>
      </c>
      <c r="C32" s="54">
        <f>_xlfn.XLOOKUP($A32,Inputs!$A:$A,Inputs!C:C,,0)</f>
        <v>-916</v>
      </c>
      <c r="D32" s="54">
        <f>_xlfn.XLOOKUP($A32,Inputs!$A:$A,Inputs!D:D,,0)</f>
        <v>-905</v>
      </c>
      <c r="E32" s="54">
        <f>_xlfn.XLOOKUP($A32,Inputs!$A:$A,Inputs!E:E,,0)</f>
        <v>-596</v>
      </c>
      <c r="F32" s="54">
        <f>_xlfn.XLOOKUP($A32,Inputs!$A:$A,Inputs!F:F,,0)</f>
        <v>-768</v>
      </c>
      <c r="G32" s="54">
        <f>_xlfn.XLOOKUP($A32,Inputs!$A:$A,Inputs!G:G,,0)</f>
        <v>-826</v>
      </c>
      <c r="H32" s="54">
        <f>_xlfn.XLOOKUP($A32,Inputs!$A:$A,Inputs!H:H,,0)</f>
        <v>-1194</v>
      </c>
      <c r="I32" s="54">
        <f>_xlfn.XLOOKUP($A32,Inputs!$A:$A,Inputs!I:I,,0)</f>
        <v>-1247</v>
      </c>
      <c r="J32" s="54">
        <f>_xlfn.XLOOKUP($A32,Inputs!$A:$A,Inputs!J:J,,0)</f>
        <v>-648</v>
      </c>
      <c r="K32" s="54">
        <f>_xlfn.XLOOKUP($A32,Inputs!$A:$A,Inputs!K:K,,0)</f>
        <v>-399</v>
      </c>
      <c r="L32" s="54">
        <f>_xlfn.XLOOKUP($A32,Inputs!$A:$A,Inputs!L:L,,0)</f>
        <v>-202</v>
      </c>
      <c r="M32" s="55">
        <f>_xlfn.XLOOKUP($A32,Inputs!$A:$A,Inputs!M:M,,0)</f>
        <v>-419</v>
      </c>
    </row>
    <row r="33" spans="1:13">
      <c r="A33" s="117" t="s">
        <v>135</v>
      </c>
      <c r="B33" s="54">
        <f>_xlfn.XLOOKUP($A33,Inputs!$A:$A,Inputs!B:B,,0)</f>
        <v>0</v>
      </c>
      <c r="C33" s="54">
        <f>_xlfn.XLOOKUP($A33,Inputs!$A:$A,Inputs!C:C,,0)</f>
        <v>-481</v>
      </c>
      <c r="D33" s="54">
        <f>_xlfn.XLOOKUP($A33,Inputs!$A:$A,Inputs!D:D,,0)</f>
        <v>-74</v>
      </c>
      <c r="E33" s="54">
        <f>_xlfn.XLOOKUP($A33,Inputs!$A:$A,Inputs!E:E,,0)</f>
        <v>0</v>
      </c>
      <c r="F33" s="54">
        <f>_xlfn.XLOOKUP($A33,Inputs!$A:$A,Inputs!F:F,,0)</f>
        <v>-199</v>
      </c>
      <c r="G33" s="54">
        <f>_xlfn.XLOOKUP($A33,Inputs!$A:$A,Inputs!G:G,,0)</f>
        <v>-248</v>
      </c>
      <c r="H33" s="54">
        <f>_xlfn.XLOOKUP($A33,Inputs!$A:$A,Inputs!H:H,,0)</f>
        <v>0</v>
      </c>
      <c r="I33" s="54">
        <f>_xlfn.XLOOKUP($A33,Inputs!$A:$A,Inputs!I:I,,0)</f>
        <v>0</v>
      </c>
      <c r="J33" s="54">
        <f>_xlfn.XLOOKUP($A33,Inputs!$A:$A,Inputs!J:J,,0)</f>
        <v>-9468</v>
      </c>
      <c r="K33" s="54">
        <f>_xlfn.XLOOKUP($A33,Inputs!$A:$A,Inputs!K:K,,0)</f>
        <v>0</v>
      </c>
      <c r="L33" s="54">
        <f>_xlfn.XLOOKUP($A33,Inputs!$A:$A,Inputs!L:L,,0)</f>
        <v>-21494</v>
      </c>
      <c r="M33" s="55">
        <f>_xlfn.XLOOKUP($A33,Inputs!$A:$A,Inputs!M:M,,0)</f>
        <v>-3</v>
      </c>
    </row>
    <row r="34" spans="1:13">
      <c r="A34" s="118" t="s">
        <v>130</v>
      </c>
      <c r="B34" s="58">
        <f t="shared" ref="B34:M34" si="71">+B32+B33</f>
        <v>-1013</v>
      </c>
      <c r="C34" s="58">
        <f t="shared" si="71"/>
        <v>-1397</v>
      </c>
      <c r="D34" s="58">
        <f t="shared" si="71"/>
        <v>-979</v>
      </c>
      <c r="E34" s="58">
        <f t="shared" si="71"/>
        <v>-596</v>
      </c>
      <c r="F34" s="58">
        <f t="shared" si="71"/>
        <v>-967</v>
      </c>
      <c r="G34" s="58">
        <f t="shared" si="71"/>
        <v>-1074</v>
      </c>
      <c r="H34" s="58">
        <f t="shared" si="71"/>
        <v>-1194</v>
      </c>
      <c r="I34" s="58">
        <f t="shared" si="71"/>
        <v>-1247</v>
      </c>
      <c r="J34" s="58">
        <f t="shared" si="71"/>
        <v>-10116</v>
      </c>
      <c r="K34" s="58">
        <f t="shared" si="71"/>
        <v>-399</v>
      </c>
      <c r="L34" s="58">
        <f t="shared" si="71"/>
        <v>-21696</v>
      </c>
      <c r="M34" s="59">
        <f t="shared" si="71"/>
        <v>-422</v>
      </c>
    </row>
    <row r="35" spans="1:13">
      <c r="A35" s="117" t="s">
        <v>128</v>
      </c>
      <c r="B35" s="58">
        <f t="shared" ref="B35:M35" si="72">+B27+B28</f>
        <v>-2420</v>
      </c>
      <c r="C35" s="58">
        <f t="shared" si="72"/>
        <v>-2240</v>
      </c>
      <c r="D35" s="58">
        <f t="shared" si="72"/>
        <v>-2230</v>
      </c>
      <c r="E35" s="58">
        <f t="shared" si="72"/>
        <v>-1958</v>
      </c>
      <c r="F35" s="58">
        <f t="shared" si="72"/>
        <v>-1953</v>
      </c>
      <c r="G35" s="58">
        <f t="shared" si="72"/>
        <v>-3183</v>
      </c>
      <c r="H35" s="58">
        <f t="shared" si="72"/>
        <v>-2888</v>
      </c>
      <c r="I35" s="58">
        <f t="shared" si="72"/>
        <v>-3584</v>
      </c>
      <c r="J35" s="58">
        <f t="shared" si="72"/>
        <v>-1302</v>
      </c>
      <c r="K35" s="58">
        <f t="shared" si="72"/>
        <v>0</v>
      </c>
      <c r="L35" s="58">
        <f t="shared" si="72"/>
        <v>0</v>
      </c>
      <c r="M35" s="59">
        <f t="shared" si="72"/>
        <v>-202</v>
      </c>
    </row>
    <row r="36" spans="1:13">
      <c r="A36" s="119" t="s">
        <v>4318</v>
      </c>
      <c r="B36" s="56">
        <f>IFERROR(B35/B23,"-")</f>
        <v>-0.84763572679509636</v>
      </c>
      <c r="C36" s="56">
        <f t="shared" ref="C36:M36" si="73">IFERROR(C35/C23,"-")</f>
        <v>-0.9479475243334744</v>
      </c>
      <c r="D36" s="56">
        <f t="shared" si="73"/>
        <v>-2.2035573122529644</v>
      </c>
      <c r="E36" s="56">
        <f t="shared" si="73"/>
        <v>-5.5</v>
      </c>
      <c r="F36" s="56">
        <f t="shared" si="73"/>
        <v>-1.0093023255813953</v>
      </c>
      <c r="G36" s="56">
        <f t="shared" si="73"/>
        <v>0.3123037676609105</v>
      </c>
      <c r="H36" s="56">
        <f t="shared" si="73"/>
        <v>-0.26396124668677451</v>
      </c>
      <c r="I36" s="56">
        <f t="shared" si="73"/>
        <v>-0.99666295884315903</v>
      </c>
      <c r="J36" s="56">
        <f t="shared" si="73"/>
        <v>-2.053627760252366</v>
      </c>
      <c r="K36" s="56">
        <f t="shared" si="73"/>
        <v>0</v>
      </c>
      <c r="L36" s="56">
        <f t="shared" si="73"/>
        <v>0</v>
      </c>
      <c r="M36" s="57">
        <f t="shared" si="73"/>
        <v>-0.21861471861471862</v>
      </c>
    </row>
    <row r="37" spans="1:13">
      <c r="A37" s="7"/>
      <c r="B37" s="47"/>
      <c r="C37" s="47"/>
      <c r="D37" s="47"/>
      <c r="E37" s="47"/>
      <c r="F37" s="47"/>
      <c r="G37" s="47"/>
      <c r="H37" s="47"/>
      <c r="I37" s="47"/>
      <c r="J37" s="47"/>
      <c r="K37" s="47"/>
      <c r="L37" s="47"/>
      <c r="M37" s="47"/>
    </row>
    <row r="38" spans="1:13" ht="21">
      <c r="A38" s="1241" t="s">
        <v>4319</v>
      </c>
      <c r="B38" s="1241"/>
      <c r="C38" s="1241"/>
      <c r="D38" s="1241"/>
      <c r="E38" s="1241"/>
      <c r="F38" s="1241"/>
      <c r="G38" s="1241"/>
      <c r="H38" s="1241"/>
      <c r="I38" s="1241"/>
      <c r="J38" s="1241"/>
      <c r="K38" s="1241"/>
      <c r="L38" s="1241"/>
      <c r="M38" s="1241"/>
    </row>
    <row r="39" spans="1:13">
      <c r="A39" s="120" t="s">
        <v>295</v>
      </c>
      <c r="B39" s="54">
        <f>_xlfn.XLOOKUP($A39,Inputs!$A:$A,Inputs!B:B,,0)</f>
        <v>1400</v>
      </c>
      <c r="C39" s="54">
        <f>_xlfn.XLOOKUP($A39,Inputs!$A:$A,Inputs!C:C,,0)</f>
        <v>1040</v>
      </c>
      <c r="D39" s="54">
        <f>_xlfn.XLOOKUP($A39,Inputs!$A:$A,Inputs!D:D,,0)</f>
        <v>3445</v>
      </c>
      <c r="E39" s="54">
        <f>_xlfn.XLOOKUP($A39,Inputs!$A:$A,Inputs!E:E,,0)</f>
        <v>3417</v>
      </c>
      <c r="F39" s="54">
        <f>_xlfn.XLOOKUP($A39,Inputs!$A:$A,Inputs!F:F,,0)</f>
        <v>2279</v>
      </c>
      <c r="G39" s="54">
        <f>_xlfn.XLOOKUP($A39,Inputs!$A:$A,Inputs!G:G,,0)</f>
        <v>1130</v>
      </c>
      <c r="H39" s="54">
        <f>_xlfn.XLOOKUP($A39,Inputs!$A:$A,Inputs!H:H,,0)</f>
        <v>1629</v>
      </c>
      <c r="I39" s="54">
        <f>_xlfn.XLOOKUP($A39,Inputs!$A:$A,Inputs!I:I,,0)</f>
        <v>4204</v>
      </c>
      <c r="J39" s="54">
        <f>_xlfn.XLOOKUP($A39,Inputs!$A:$A,Inputs!J:J,,0)</f>
        <v>4837</v>
      </c>
      <c r="K39" s="54">
        <f>_xlfn.XLOOKUP($A39,Inputs!$A:$A,Inputs!K:K,,0)</f>
        <v>2298</v>
      </c>
      <c r="L39" s="54">
        <f>_xlfn.XLOOKUP($A39,Inputs!$A:$A,Inputs!L:L,,0)</f>
        <v>2459</v>
      </c>
      <c r="M39" s="55">
        <f>_xlfn.XLOOKUP($A39,Inputs!$A:$A,Inputs!M:M,,0)</f>
        <v>0</v>
      </c>
    </row>
    <row r="40" spans="1:13">
      <c r="A40" s="118" t="s">
        <v>4320</v>
      </c>
      <c r="B40" s="54">
        <f>_xlfn.XLOOKUP($A40,Inputs!$A:$A,Inputs!B:B,,0)</f>
        <v>2112</v>
      </c>
      <c r="C40" s="54">
        <f>_xlfn.XLOOKUP($A40,Inputs!$A:$A,Inputs!C:C,,0)</f>
        <v>2120</v>
      </c>
      <c r="D40" s="54">
        <f>_xlfn.XLOOKUP($A40,Inputs!$A:$A,Inputs!D:D,,0)</f>
        <v>1957</v>
      </c>
      <c r="E40" s="54">
        <f>_xlfn.XLOOKUP($A40,Inputs!$A:$A,Inputs!E:E,,0)</f>
        <v>2063</v>
      </c>
      <c r="F40" s="54">
        <f>_xlfn.XLOOKUP($A40,Inputs!$A:$A,Inputs!F:F,,0)</f>
        <v>1973</v>
      </c>
      <c r="G40" s="54">
        <f>_xlfn.XLOOKUP($A40,Inputs!$A:$A,Inputs!G:G,,0)</f>
        <v>2129</v>
      </c>
      <c r="H40" s="54">
        <f>_xlfn.XLOOKUP($A40,Inputs!$A:$A,Inputs!H:H,,0)</f>
        <v>921</v>
      </c>
      <c r="I40" s="54">
        <f>_xlfn.XLOOKUP($A40,Inputs!$A:$A,Inputs!I:I,,0)</f>
        <v>769</v>
      </c>
      <c r="J40" s="54">
        <f>_xlfn.XLOOKUP($A40,Inputs!$A:$A,Inputs!J:J,,0)</f>
        <v>871</v>
      </c>
      <c r="K40" s="54">
        <f>_xlfn.XLOOKUP($A40,Inputs!$A:$A,Inputs!K:K,,0)</f>
        <v>690</v>
      </c>
      <c r="L40" s="54">
        <f>_xlfn.XLOOKUP($A40,Inputs!$A:$A,Inputs!L:L,,0)</f>
        <v>1100</v>
      </c>
      <c r="M40" s="55">
        <f>_xlfn.XLOOKUP($A40,Inputs!$A:$A,Inputs!M:M,,0)</f>
        <v>0</v>
      </c>
    </row>
    <row r="41" spans="1:13">
      <c r="A41" s="120" t="s">
        <v>297</v>
      </c>
      <c r="B41" s="54">
        <f>_xlfn.XLOOKUP($A41,Inputs!$A:$A,Inputs!B:B,,0)</f>
        <v>3614</v>
      </c>
      <c r="C41" s="54">
        <f>_xlfn.XLOOKUP($A41,Inputs!$A:$A,Inputs!C:C,,0)</f>
        <v>3651</v>
      </c>
      <c r="D41" s="54">
        <f>_xlfn.XLOOKUP($A41,Inputs!$A:$A,Inputs!D:D,,0)</f>
        <v>2729</v>
      </c>
      <c r="E41" s="54">
        <f>_xlfn.XLOOKUP($A41,Inputs!$A:$A,Inputs!E:E,,0)</f>
        <v>2554</v>
      </c>
      <c r="F41" s="54">
        <f>_xlfn.XLOOKUP($A41,Inputs!$A:$A,Inputs!F:F,,0)</f>
        <v>2721</v>
      </c>
      <c r="G41" s="54">
        <f>_xlfn.XLOOKUP($A41,Inputs!$A:$A,Inputs!G:G,,0)</f>
        <v>2667</v>
      </c>
      <c r="H41" s="54">
        <f>_xlfn.XLOOKUP($A41,Inputs!$A:$A,Inputs!H:H,,0)</f>
        <v>2760</v>
      </c>
      <c r="I41" s="54">
        <f>_xlfn.XLOOKUP($A41,Inputs!$A:$A,Inputs!I:I,,0)</f>
        <v>2684</v>
      </c>
      <c r="J41" s="54">
        <f>_xlfn.XLOOKUP($A41,Inputs!$A:$A,Inputs!J:J,,0)</f>
        <v>2618</v>
      </c>
      <c r="K41" s="54">
        <f>_xlfn.XLOOKUP($A41,Inputs!$A:$A,Inputs!K:K,,0)</f>
        <v>1185</v>
      </c>
      <c r="L41" s="54">
        <f>_xlfn.XLOOKUP($A41,Inputs!$A:$A,Inputs!L:L,,0)</f>
        <v>1435</v>
      </c>
      <c r="M41" s="55">
        <f>_xlfn.XLOOKUP($A41,Inputs!$A:$A,Inputs!M:M,,0)</f>
        <v>0</v>
      </c>
    </row>
    <row r="42" spans="1:13">
      <c r="A42" s="118" t="s">
        <v>4321</v>
      </c>
      <c r="B42" s="54">
        <f>_xlfn.XLOOKUP($A42,Inputs!$A:$A,Inputs!B:B,,0)</f>
        <v>7696</v>
      </c>
      <c r="C42" s="54">
        <f>_xlfn.XLOOKUP($A42,Inputs!$A:$A,Inputs!C:C,,0)</f>
        <v>7408</v>
      </c>
      <c r="D42" s="54">
        <f>_xlfn.XLOOKUP($A42,Inputs!$A:$A,Inputs!D:D,,0)</f>
        <v>7375</v>
      </c>
      <c r="E42" s="54">
        <f>_xlfn.XLOOKUP($A42,Inputs!$A:$A,Inputs!E:E,,0)</f>
        <v>7438</v>
      </c>
      <c r="F42" s="54">
        <f>_xlfn.XLOOKUP($A42,Inputs!$A:$A,Inputs!F:F,,0)</f>
        <v>7597</v>
      </c>
      <c r="G42" s="54">
        <f>_xlfn.XLOOKUP($A42,Inputs!$A:$A,Inputs!G:G,,0)</f>
        <v>7078</v>
      </c>
      <c r="H42" s="54">
        <f>_xlfn.XLOOKUP($A42,Inputs!$A:$A,Inputs!H:H,,0)</f>
        <v>7061</v>
      </c>
      <c r="I42" s="54">
        <f>_xlfn.XLOOKUP($A42,Inputs!$A:$A,Inputs!I:I,,0)</f>
        <v>6688</v>
      </c>
      <c r="J42" s="54">
        <f>_xlfn.XLOOKUP($A42,Inputs!$A:$A,Inputs!J:J,,0)</f>
        <v>6524</v>
      </c>
      <c r="K42" s="54">
        <f>_xlfn.XLOOKUP($A42,Inputs!$A:$A,Inputs!K:K,,0)</f>
        <v>2365</v>
      </c>
      <c r="L42" s="54">
        <f>_xlfn.XLOOKUP($A42,Inputs!$A:$A,Inputs!L:L,,0)</f>
        <v>2663</v>
      </c>
      <c r="M42" s="55">
        <f>_xlfn.XLOOKUP($A42,Inputs!$A:$A,Inputs!M:M,,0)</f>
        <v>0</v>
      </c>
    </row>
    <row r="43" spans="1:13">
      <c r="A43" s="120" t="s">
        <v>4322</v>
      </c>
      <c r="B43" s="54">
        <f>_xlfn.XLOOKUP($A43,Inputs!$A:$A,Inputs!B:B,,0)</f>
        <v>74900</v>
      </c>
      <c r="C43" s="54">
        <f>_xlfn.XLOOKUP($A43,Inputs!$A:$A,Inputs!C:C,,0)</f>
        <v>75584</v>
      </c>
      <c r="D43" s="54">
        <f>_xlfn.XLOOKUP($A43,Inputs!$A:$A,Inputs!D:D,,0)</f>
        <v>77271</v>
      </c>
      <c r="E43" s="54">
        <f>_xlfn.XLOOKUP($A43,Inputs!$A:$A,Inputs!E:E,,0)</f>
        <v>83748</v>
      </c>
      <c r="F43" s="54">
        <f>_xlfn.XLOOKUP($A43,Inputs!$A:$A,Inputs!F:F,,0)</f>
        <v>86279</v>
      </c>
      <c r="G43" s="54">
        <f>_xlfn.XLOOKUP($A43,Inputs!$A:$A,Inputs!G:G,,0)</f>
        <v>89763</v>
      </c>
      <c r="H43" s="54">
        <f>_xlfn.XLOOKUP($A43,Inputs!$A:$A,Inputs!H:H,,0)</f>
        <v>107721</v>
      </c>
      <c r="I43" s="54">
        <f>_xlfn.XLOOKUP($A43,Inputs!$A:$A,Inputs!I:I,,0)</f>
        <v>105661</v>
      </c>
      <c r="J43" s="54">
        <f>_xlfn.XLOOKUP($A43,Inputs!$A:$A,Inputs!J:J,,0)</f>
        <v>107385</v>
      </c>
      <c r="K43" s="54">
        <f>_xlfn.XLOOKUP($A43,Inputs!$A:$A,Inputs!K:K,,0)</f>
        <v>30033</v>
      </c>
      <c r="L43" s="54">
        <f>_xlfn.XLOOKUP($A43,Inputs!$A:$A,Inputs!L:L,,0)</f>
        <v>31315</v>
      </c>
      <c r="M43" s="55">
        <f>_xlfn.XLOOKUP($A43,Inputs!$A:$A,Inputs!M:M,,0)</f>
        <v>0</v>
      </c>
    </row>
    <row r="44" spans="1:13">
      <c r="A44" s="121" t="s">
        <v>45</v>
      </c>
      <c r="B44" s="60">
        <f>_xlfn.XLOOKUP($A44,Inputs!$A:$A,Inputs!B:B,,0)</f>
        <v>90339</v>
      </c>
      <c r="C44" s="60">
        <f>_xlfn.XLOOKUP($A44,Inputs!$A:$A,Inputs!C:C,,0)</f>
        <v>90513</v>
      </c>
      <c r="D44" s="60">
        <f>_xlfn.XLOOKUP($A44,Inputs!$A:$A,Inputs!D:D,,0)</f>
        <v>93394</v>
      </c>
      <c r="E44" s="60">
        <f>_xlfn.XLOOKUP($A44,Inputs!$A:$A,Inputs!E:E,,0)</f>
        <v>99830</v>
      </c>
      <c r="F44" s="60">
        <f>_xlfn.XLOOKUP($A44,Inputs!$A:$A,Inputs!F:F,,0)</f>
        <v>101450</v>
      </c>
      <c r="G44" s="60">
        <f>_xlfn.XLOOKUP($A44,Inputs!$A:$A,Inputs!G:G,,0)</f>
        <v>103461</v>
      </c>
      <c r="H44" s="60">
        <f>_xlfn.XLOOKUP($A44,Inputs!$A:$A,Inputs!H:H,,0)</f>
        <v>120092</v>
      </c>
      <c r="I44" s="60">
        <f>_xlfn.XLOOKUP($A44,Inputs!$A:$A,Inputs!I:I,,0)</f>
        <v>120480</v>
      </c>
      <c r="J44" s="60">
        <f>_xlfn.XLOOKUP($A44,Inputs!$A:$A,Inputs!J:J,,0)</f>
        <v>122973</v>
      </c>
      <c r="K44" s="60">
        <f>_xlfn.XLOOKUP($A44,Inputs!$A:$A,Inputs!K:K,,0)</f>
        <v>36571</v>
      </c>
      <c r="L44" s="60">
        <f>_xlfn.XLOOKUP($A44,Inputs!$A:$A,Inputs!L:L,,0)</f>
        <v>38972</v>
      </c>
      <c r="M44" s="60">
        <f>_xlfn.XLOOKUP($A44,Inputs!$A:$A,Inputs!M:M,,0)</f>
        <v>0</v>
      </c>
    </row>
    <row r="45" spans="1:13">
      <c r="B45"/>
      <c r="C45"/>
      <c r="D45"/>
      <c r="E45"/>
      <c r="F45"/>
      <c r="G45"/>
      <c r="H45"/>
      <c r="I45"/>
      <c r="J45"/>
      <c r="K45"/>
      <c r="L45"/>
      <c r="M45"/>
    </row>
    <row r="46" spans="1:13">
      <c r="B46"/>
      <c r="C46"/>
      <c r="D46"/>
      <c r="E46"/>
      <c r="F46"/>
      <c r="G46"/>
      <c r="H46"/>
      <c r="I46"/>
      <c r="J46"/>
      <c r="K46"/>
      <c r="L46"/>
      <c r="M46"/>
    </row>
    <row r="47" spans="1:13" ht="21">
      <c r="A47" s="1241" t="s">
        <v>4323</v>
      </c>
      <c r="B47" s="1241"/>
      <c r="C47" s="1241"/>
      <c r="D47" s="1241"/>
      <c r="E47" s="1241"/>
      <c r="F47" s="1241"/>
      <c r="G47" s="1241"/>
      <c r="H47" s="1241"/>
      <c r="I47" s="1241"/>
      <c r="J47" s="1241"/>
      <c r="K47" s="1241"/>
      <c r="L47" s="1241"/>
      <c r="M47" s="1241"/>
    </row>
    <row r="48" spans="1:13">
      <c r="A48" s="122" t="s">
        <v>301</v>
      </c>
      <c r="B48" s="60">
        <f>_xlfn.XLOOKUP($A48,Inputs!$A:$A,Inputs!B:B,,0)</f>
        <v>8037</v>
      </c>
      <c r="C48" s="60">
        <f>_xlfn.XLOOKUP($A48,Inputs!$A:$A,Inputs!C:C,,0)</f>
        <v>9028</v>
      </c>
      <c r="D48" s="60">
        <f>_xlfn.XLOOKUP($A48,Inputs!$A:$A,Inputs!D:D,,0)</f>
        <v>9064</v>
      </c>
      <c r="E48" s="60">
        <f>_xlfn.XLOOKUP($A48,Inputs!$A:$A,Inputs!E:E,,0)</f>
        <v>8061</v>
      </c>
      <c r="F48" s="60">
        <f>_xlfn.XLOOKUP($A48,Inputs!$A:$A,Inputs!F:F,,0)</f>
        <v>7875</v>
      </c>
      <c r="G48" s="60">
        <f>_xlfn.XLOOKUP($A48,Inputs!$A:$A,Inputs!G:G,,0)</f>
        <v>7503</v>
      </c>
      <c r="H48" s="60">
        <f>_xlfn.XLOOKUP($A48,Inputs!$A:$A,Inputs!H:H,,0)</f>
        <v>10154</v>
      </c>
      <c r="I48" s="60">
        <f>_xlfn.XLOOKUP($A48,Inputs!$A:$A,Inputs!I:I,,0)</f>
        <v>9501</v>
      </c>
      <c r="J48" s="60">
        <f>_xlfn.XLOOKUP($A48,Inputs!$A:$A,Inputs!J:J,,0)</f>
        <v>6932</v>
      </c>
      <c r="K48" s="60">
        <f>_xlfn.XLOOKUP($A48,Inputs!$A:$A,Inputs!K:K,,0)</f>
        <v>3092</v>
      </c>
      <c r="L48" s="60">
        <f>_xlfn.XLOOKUP($A48,Inputs!$A:$A,Inputs!L:L,,0)</f>
        <v>2925</v>
      </c>
      <c r="M48" s="60">
        <f>_xlfn.XLOOKUP($A48,Inputs!$A:$A,Inputs!M:M,,0)</f>
        <v>0</v>
      </c>
    </row>
    <row r="49" spans="1:13">
      <c r="A49" s="123" t="s">
        <v>4324</v>
      </c>
      <c r="B49" s="54">
        <f>_xlfn.XLOOKUP($A49,Inputs!$A:$A,Inputs!B:B,,0)</f>
        <v>0</v>
      </c>
      <c r="C49" s="54">
        <f>_xlfn.XLOOKUP($A49,Inputs!$A:$A,Inputs!C:C,,0)</f>
        <v>6</v>
      </c>
      <c r="D49" s="54">
        <f>_xlfn.XLOOKUP($A49,Inputs!$A:$A,Inputs!D:D,,0)</f>
        <v>14</v>
      </c>
      <c r="E49" s="54">
        <f>_xlfn.XLOOKUP($A49,Inputs!$A:$A,Inputs!E:E,,0)</f>
        <v>6</v>
      </c>
      <c r="F49" s="54">
        <f>_xlfn.XLOOKUP($A49,Inputs!$A:$A,Inputs!F:F,,0)</f>
        <v>6</v>
      </c>
      <c r="G49" s="54">
        <f>_xlfn.XLOOKUP($A49,Inputs!$A:$A,Inputs!G:G,,0)</f>
        <v>21</v>
      </c>
      <c r="H49" s="54">
        <f>_xlfn.XLOOKUP($A49,Inputs!$A:$A,Inputs!H:H,,0)</f>
        <v>462</v>
      </c>
      <c r="I49" s="54">
        <f>_xlfn.XLOOKUP($A49,Inputs!$A:$A,Inputs!I:I,,0)</f>
        <v>645</v>
      </c>
      <c r="J49" s="54">
        <f>_xlfn.XLOOKUP($A49,Inputs!$A:$A,Inputs!J:J,,0)</f>
        <v>4</v>
      </c>
      <c r="K49" s="54">
        <f>_xlfn.XLOOKUP($A49,Inputs!$A:$A,Inputs!K:K,,0)</f>
        <v>0</v>
      </c>
      <c r="L49" s="54">
        <f>_xlfn.XLOOKUP($A49,Inputs!$A:$A,Inputs!L:L,,0)</f>
        <v>144</v>
      </c>
      <c r="M49" s="54">
        <f>_xlfn.XLOOKUP($A49,Inputs!$A:$A,Inputs!M:M,,0)</f>
        <v>0</v>
      </c>
    </row>
    <row r="50" spans="1:13">
      <c r="A50" s="117" t="s">
        <v>4325</v>
      </c>
      <c r="B50" s="54">
        <f>_xlfn.XLOOKUP($A50,Inputs!$A:$A,Inputs!B:B,,0)</f>
        <v>638</v>
      </c>
      <c r="C50" s="54">
        <f>_xlfn.XLOOKUP($A50,Inputs!$A:$A,Inputs!C:C,,0)</f>
        <v>831</v>
      </c>
      <c r="D50" s="54">
        <f>_xlfn.XLOOKUP($A50,Inputs!$A:$A,Inputs!D:D,,0)</f>
        <v>740</v>
      </c>
      <c r="E50" s="54">
        <f>_xlfn.XLOOKUP($A50,Inputs!$A:$A,Inputs!E:E,,0)</f>
        <v>230</v>
      </c>
      <c r="F50" s="54">
        <f>_xlfn.XLOOKUP($A50,Inputs!$A:$A,Inputs!F:F,,0)</f>
        <v>1022</v>
      </c>
      <c r="G50" s="54">
        <f>_xlfn.XLOOKUP($A50,Inputs!$A:$A,Inputs!G:G,,0)</f>
        <v>377</v>
      </c>
      <c r="H50" s="54">
        <f>_xlfn.XLOOKUP($A50,Inputs!$A:$A,Inputs!H:H,,0)</f>
        <v>2733</v>
      </c>
      <c r="I50" s="54">
        <f>_xlfn.XLOOKUP($A50,Inputs!$A:$A,Inputs!I:I,,0)</f>
        <v>2046</v>
      </c>
      <c r="J50" s="54">
        <f>_xlfn.XLOOKUP($A50,Inputs!$A:$A,Inputs!J:J,,0)</f>
        <v>79</v>
      </c>
      <c r="K50" s="54">
        <f>_xlfn.XLOOKUP($A50,Inputs!$A:$A,Inputs!K:K,,0)</f>
        <v>0</v>
      </c>
      <c r="L50" s="54">
        <f>_xlfn.XLOOKUP($A50,Inputs!$A:$A,Inputs!L:L,,0)</f>
        <v>108</v>
      </c>
      <c r="M50" s="54">
        <f>_xlfn.XLOOKUP($A50,Inputs!$A:$A,Inputs!M:M,,0)</f>
        <v>0</v>
      </c>
    </row>
    <row r="51" spans="1:13">
      <c r="A51" s="118" t="s">
        <v>4326</v>
      </c>
      <c r="B51" s="54">
        <f>_xlfn.XLOOKUP($A51,Inputs!$A:$A,Inputs!B:B,,0)</f>
        <v>2772</v>
      </c>
      <c r="C51" s="54">
        <f>_xlfn.XLOOKUP($A51,Inputs!$A:$A,Inputs!C:C,,0)</f>
        <v>3343</v>
      </c>
      <c r="D51" s="54">
        <f>_xlfn.XLOOKUP($A51,Inputs!$A:$A,Inputs!D:D,,0)</f>
        <v>3557</v>
      </c>
      <c r="E51" s="54">
        <f>_xlfn.XLOOKUP($A51,Inputs!$A:$A,Inputs!E:E,,0)</f>
        <v>3521</v>
      </c>
      <c r="F51" s="54">
        <f>_xlfn.XLOOKUP($A51,Inputs!$A:$A,Inputs!F:F,,0)</f>
        <v>2844</v>
      </c>
      <c r="G51" s="54">
        <f>_xlfn.XLOOKUP($A51,Inputs!$A:$A,Inputs!G:G,,0)</f>
        <v>2952</v>
      </c>
      <c r="H51" s="54">
        <f>_xlfn.XLOOKUP($A51,Inputs!$A:$A,Inputs!H:H,,0)</f>
        <v>2597</v>
      </c>
      <c r="I51" s="54">
        <f>_xlfn.XLOOKUP($A51,Inputs!$A:$A,Inputs!I:I,,0)</f>
        <v>2814</v>
      </c>
      <c r="J51" s="54">
        <f>_xlfn.XLOOKUP($A51,Inputs!$A:$A,Inputs!J:J,,0)</f>
        <v>4005</v>
      </c>
      <c r="K51" s="54">
        <f>_xlfn.XLOOKUP($A51,Inputs!$A:$A,Inputs!K:K,,0)</f>
        <v>1441</v>
      </c>
      <c r="L51" s="54">
        <f>_xlfn.XLOOKUP($A51,Inputs!$A:$A,Inputs!L:L,,0)</f>
        <v>1481</v>
      </c>
      <c r="M51" s="54">
        <f>_xlfn.XLOOKUP($A51,Inputs!$A:$A,Inputs!M:M,,0)</f>
        <v>0</v>
      </c>
    </row>
    <row r="52" spans="1:13">
      <c r="A52" s="122" t="s">
        <v>4327</v>
      </c>
      <c r="B52" s="60">
        <f>_xlfn.XLOOKUP($A52,Inputs!$A:$A,Inputs!B:B,,0)</f>
        <v>32776</v>
      </c>
      <c r="C52" s="60">
        <f>_xlfn.XLOOKUP($A52,Inputs!$A:$A,Inputs!C:C,,0)</f>
        <v>32807</v>
      </c>
      <c r="D52" s="60">
        <f>_xlfn.XLOOKUP($A52,Inputs!$A:$A,Inputs!D:D,,0)</f>
        <v>35032</v>
      </c>
      <c r="E52" s="60">
        <f>_xlfn.XLOOKUP($A52,Inputs!$A:$A,Inputs!E:E,,0)</f>
        <v>41666</v>
      </c>
      <c r="F52" s="60">
        <f>_xlfn.XLOOKUP($A52,Inputs!$A:$A,Inputs!F:F,,0)</f>
        <v>41952</v>
      </c>
      <c r="G52" s="60">
        <f>_xlfn.XLOOKUP($A52,Inputs!$A:$A,Inputs!G:G,,0)</f>
        <v>44301</v>
      </c>
      <c r="H52" s="60">
        <f>_xlfn.XLOOKUP($A52,Inputs!$A:$A,Inputs!H:H,,0)</f>
        <v>44075</v>
      </c>
      <c r="I52" s="60">
        <f>_xlfn.XLOOKUP($A52,Inputs!$A:$A,Inputs!I:I,,0)</f>
        <v>53621</v>
      </c>
      <c r="J52" s="60">
        <f>_xlfn.XLOOKUP($A52,Inputs!$A:$A,Inputs!J:J,,0)</f>
        <v>50036</v>
      </c>
      <c r="K52" s="60">
        <f>_xlfn.XLOOKUP($A52,Inputs!$A:$A,Inputs!K:K,,0)</f>
        <v>18042</v>
      </c>
      <c r="L52" s="60">
        <f>_xlfn.XLOOKUP($A52,Inputs!$A:$A,Inputs!L:L,,0)</f>
        <v>19751</v>
      </c>
      <c r="M52" s="60">
        <f>_xlfn.XLOOKUP($A52,Inputs!$A:$A,Inputs!M:M,,0)</f>
        <v>0</v>
      </c>
    </row>
    <row r="53" spans="1:13">
      <c r="A53" s="123" t="s">
        <v>4328</v>
      </c>
      <c r="B53" s="54">
        <f>_xlfn.XLOOKUP($A53,Inputs!$A:$A,Inputs!B:B,,0)</f>
        <v>19276</v>
      </c>
      <c r="C53" s="54">
        <f>_xlfn.XLOOKUP($A53,Inputs!$A:$A,Inputs!C:C,,0)</f>
        <v>19140</v>
      </c>
      <c r="D53" s="54">
        <f>_xlfn.XLOOKUP($A53,Inputs!$A:$A,Inputs!D:D,,0)</f>
        <v>20963</v>
      </c>
      <c r="E53" s="54">
        <f>_xlfn.XLOOKUP($A53,Inputs!$A:$A,Inputs!E:E,,0)</f>
        <v>27954</v>
      </c>
      <c r="F53" s="54">
        <f>_xlfn.XLOOKUP($A53,Inputs!$A:$A,Inputs!F:F,,0)</f>
        <v>28058</v>
      </c>
      <c r="G53" s="54">
        <f>_xlfn.XLOOKUP($A53,Inputs!$A:$A,Inputs!G:G,,0)</f>
        <v>30720</v>
      </c>
      <c r="H53" s="54">
        <f>_xlfn.XLOOKUP($A53,Inputs!$A:$A,Inputs!H:H,,0)</f>
        <v>28252</v>
      </c>
      <c r="I53" s="54">
        <f>_xlfn.XLOOKUP($A53,Inputs!$A:$A,Inputs!I:I,,0)</f>
        <v>29632</v>
      </c>
      <c r="J53" s="54">
        <f>_xlfn.XLOOKUP($A53,Inputs!$A:$A,Inputs!J:J,,0)</f>
        <v>25044</v>
      </c>
      <c r="K53" s="54">
        <f>_xlfn.XLOOKUP($A53,Inputs!$A:$A,Inputs!K:K,,0)</f>
        <v>13358</v>
      </c>
      <c r="L53" s="54">
        <f>_xlfn.XLOOKUP($A53,Inputs!$A:$A,Inputs!L:L,,0)</f>
        <v>14618</v>
      </c>
      <c r="M53" s="54">
        <f>_xlfn.XLOOKUP($A53,Inputs!$A:$A,Inputs!M:M,,0)</f>
        <v>0</v>
      </c>
    </row>
    <row r="54" spans="1:13">
      <c r="A54" s="117" t="s">
        <v>4329</v>
      </c>
      <c r="B54" s="54">
        <f>_xlfn.XLOOKUP($A54,Inputs!$A:$A,Inputs!B:B,,0)</f>
        <v>118</v>
      </c>
      <c r="C54" s="54">
        <f>_xlfn.XLOOKUP($A54,Inputs!$A:$A,Inputs!C:C,,0)</f>
        <v>93</v>
      </c>
      <c r="D54" s="54">
        <f>_xlfn.XLOOKUP($A54,Inputs!$A:$A,Inputs!D:D,,0)</f>
        <v>98</v>
      </c>
      <c r="E54" s="54">
        <f>_xlfn.XLOOKUP($A54,Inputs!$A:$A,Inputs!E:E,,0)</f>
        <v>116</v>
      </c>
      <c r="F54" s="54">
        <f>_xlfn.XLOOKUP($A54,Inputs!$A:$A,Inputs!F:F,,0)</f>
        <v>158</v>
      </c>
      <c r="G54" s="54">
        <f>_xlfn.XLOOKUP($A54,Inputs!$A:$A,Inputs!G:G,,0)</f>
        <v>50</v>
      </c>
      <c r="H54" s="54">
        <f>_xlfn.XLOOKUP($A54,Inputs!$A:$A,Inputs!H:H,,0)</f>
        <v>56</v>
      </c>
      <c r="I54" s="54">
        <f>_xlfn.XLOOKUP($A54,Inputs!$A:$A,Inputs!I:I,,0)</f>
        <v>81</v>
      </c>
      <c r="J54" s="54">
        <f>_xlfn.XLOOKUP($A54,Inputs!$A:$A,Inputs!J:J,,0)</f>
        <v>107</v>
      </c>
      <c r="K54" s="54">
        <f>_xlfn.XLOOKUP($A54,Inputs!$A:$A,Inputs!K:K,,0)</f>
        <v>0</v>
      </c>
      <c r="L54" s="54">
        <f>_xlfn.XLOOKUP($A54,Inputs!$A:$A,Inputs!L:L,,0)</f>
        <v>0</v>
      </c>
      <c r="M54" s="54">
        <f>_xlfn.XLOOKUP($A54,Inputs!$A:$A,Inputs!M:M,,0)</f>
        <v>0</v>
      </c>
    </row>
    <row r="55" spans="1:13">
      <c r="A55" s="118" t="s">
        <v>4330</v>
      </c>
      <c r="B55" s="54">
        <f>_xlfn.XLOOKUP($A55,Inputs!$A:$A,Inputs!B:B,,0)</f>
        <v>13382</v>
      </c>
      <c r="C55" s="54">
        <f>_xlfn.XLOOKUP($A55,Inputs!$A:$A,Inputs!C:C,,0)</f>
        <v>13574</v>
      </c>
      <c r="D55" s="54">
        <f>_xlfn.XLOOKUP($A55,Inputs!$A:$A,Inputs!D:D,,0)</f>
        <v>13971</v>
      </c>
      <c r="E55" s="54">
        <f>_xlfn.XLOOKUP($A55,Inputs!$A:$A,Inputs!E:E,,0)</f>
        <v>13596</v>
      </c>
      <c r="F55" s="54">
        <f>_xlfn.XLOOKUP($A55,Inputs!$A:$A,Inputs!F:F,,0)</f>
        <v>13736</v>
      </c>
      <c r="G55" s="54">
        <f>_xlfn.XLOOKUP($A55,Inputs!$A:$A,Inputs!G:G,,0)</f>
        <v>13531</v>
      </c>
      <c r="H55" s="54">
        <f>_xlfn.XLOOKUP($A55,Inputs!$A:$A,Inputs!H:H,,0)</f>
        <v>15767</v>
      </c>
      <c r="I55" s="54">
        <f>_xlfn.XLOOKUP($A55,Inputs!$A:$A,Inputs!I:I,,0)</f>
        <v>23908</v>
      </c>
      <c r="J55" s="54">
        <f>_xlfn.XLOOKUP($A55,Inputs!$A:$A,Inputs!J:J,,0)</f>
        <v>24885</v>
      </c>
      <c r="K55" s="54">
        <f>_xlfn.XLOOKUP($A55,Inputs!$A:$A,Inputs!K:K,,0)</f>
        <v>4684</v>
      </c>
      <c r="L55" s="54">
        <f>_xlfn.XLOOKUP($A55,Inputs!$A:$A,Inputs!L:L,,0)</f>
        <v>5133</v>
      </c>
      <c r="M55" s="54">
        <f>_xlfn.XLOOKUP($A55,Inputs!$A:$A,Inputs!M:M,,0)</f>
        <v>0</v>
      </c>
    </row>
    <row r="56" spans="1:13">
      <c r="A56" s="122" t="s">
        <v>51</v>
      </c>
      <c r="B56" s="60">
        <f>_xlfn.XLOOKUP($A56,Inputs!$A:$A,Inputs!B:B,,0)</f>
        <v>40813</v>
      </c>
      <c r="C56" s="60">
        <f>_xlfn.XLOOKUP($A56,Inputs!$A:$A,Inputs!C:C,,0)</f>
        <v>41835</v>
      </c>
      <c r="D56" s="60">
        <f>_xlfn.XLOOKUP($A56,Inputs!$A:$A,Inputs!D:D,,0)</f>
        <v>44096</v>
      </c>
      <c r="E56" s="60">
        <f>_xlfn.XLOOKUP($A56,Inputs!$A:$A,Inputs!E:E,,0)</f>
        <v>49727</v>
      </c>
      <c r="F56" s="60">
        <f>_xlfn.XLOOKUP($A56,Inputs!$A:$A,Inputs!F:F,,0)</f>
        <v>49827</v>
      </c>
      <c r="G56" s="60">
        <f>_xlfn.XLOOKUP($A56,Inputs!$A:$A,Inputs!G:G,,0)</f>
        <v>51804</v>
      </c>
      <c r="H56" s="60">
        <f>_xlfn.XLOOKUP($A56,Inputs!$A:$A,Inputs!H:H,,0)</f>
        <v>54229</v>
      </c>
      <c r="I56" s="60">
        <f>_xlfn.XLOOKUP($A56,Inputs!$A:$A,Inputs!I:I,,0)</f>
        <v>63122</v>
      </c>
      <c r="J56" s="60">
        <f>_xlfn.XLOOKUP($A56,Inputs!$A:$A,Inputs!J:J,,0)</f>
        <v>56968</v>
      </c>
      <c r="K56" s="60">
        <f>_xlfn.XLOOKUP($A56,Inputs!$A:$A,Inputs!K:K,,0)</f>
        <v>21134</v>
      </c>
      <c r="L56" s="60">
        <f>_xlfn.XLOOKUP($A56,Inputs!$A:$A,Inputs!L:L,,0)</f>
        <v>22676</v>
      </c>
      <c r="M56" s="60">
        <f>_xlfn.XLOOKUP($A56,Inputs!$A:$A,Inputs!M:M,,0)</f>
        <v>0</v>
      </c>
    </row>
    <row r="57" spans="1:13">
      <c r="B57"/>
      <c r="C57"/>
      <c r="D57"/>
      <c r="E57"/>
      <c r="F57"/>
      <c r="G57"/>
      <c r="H57"/>
      <c r="I57"/>
      <c r="J57"/>
      <c r="K57"/>
      <c r="L57"/>
      <c r="M57"/>
    </row>
    <row r="58" spans="1:13">
      <c r="A58" s="122" t="s">
        <v>302</v>
      </c>
      <c r="B58" s="60">
        <f>B49+B53+B50+B54</f>
        <v>20032</v>
      </c>
      <c r="C58" s="60">
        <f t="shared" ref="C58:M58" si="74">C49+C53+C50+C54</f>
        <v>20070</v>
      </c>
      <c r="D58" s="60">
        <f t="shared" si="74"/>
        <v>21815</v>
      </c>
      <c r="E58" s="60">
        <f t="shared" si="74"/>
        <v>28306</v>
      </c>
      <c r="F58" s="60">
        <f t="shared" si="74"/>
        <v>29244</v>
      </c>
      <c r="G58" s="60">
        <f t="shared" si="74"/>
        <v>31168</v>
      </c>
      <c r="H58" s="60">
        <f t="shared" si="74"/>
        <v>31503</v>
      </c>
      <c r="I58" s="60">
        <f t="shared" si="74"/>
        <v>32404</v>
      </c>
      <c r="J58" s="60">
        <f t="shared" si="74"/>
        <v>25234</v>
      </c>
      <c r="K58" s="60">
        <f t="shared" si="74"/>
        <v>13358</v>
      </c>
      <c r="L58" s="60">
        <f t="shared" si="74"/>
        <v>14870</v>
      </c>
      <c r="M58" s="60">
        <f t="shared" si="74"/>
        <v>0</v>
      </c>
    </row>
    <row r="59" spans="1:13">
      <c r="A59" s="123" t="s">
        <v>73</v>
      </c>
      <c r="B59" s="56">
        <f>IFERROR(B58/B44,"-")</f>
        <v>0.22174254751546951</v>
      </c>
      <c r="C59" s="56">
        <f t="shared" ref="C59:M59" si="75">IFERROR(C58/C44,"-")</f>
        <v>0.22173610420602566</v>
      </c>
      <c r="D59" s="56">
        <f t="shared" si="75"/>
        <v>0.23358031565196907</v>
      </c>
      <c r="E59" s="56">
        <f t="shared" si="75"/>
        <v>0.28354202143644197</v>
      </c>
      <c r="F59" s="56">
        <f t="shared" si="75"/>
        <v>0.28826022671266632</v>
      </c>
      <c r="G59" s="56">
        <f t="shared" si="75"/>
        <v>0.30125361247233257</v>
      </c>
      <c r="H59" s="56">
        <f t="shared" si="75"/>
        <v>0.26232388502148352</v>
      </c>
      <c r="I59" s="56">
        <f t="shared" si="75"/>
        <v>0.26895750332005314</v>
      </c>
      <c r="J59" s="56">
        <f t="shared" si="75"/>
        <v>0.20519951534076586</v>
      </c>
      <c r="K59" s="56">
        <f t="shared" si="75"/>
        <v>0.36526209291515133</v>
      </c>
      <c r="L59" s="56">
        <f t="shared" si="75"/>
        <v>0.38155598891511855</v>
      </c>
      <c r="M59" s="56" t="str">
        <f t="shared" si="75"/>
        <v>-</v>
      </c>
    </row>
    <row r="60" spans="1:13">
      <c r="A60" s="122" t="s">
        <v>4331</v>
      </c>
      <c r="B60" s="60">
        <f>B58-B39</f>
        <v>18632</v>
      </c>
      <c r="C60" s="60">
        <f t="shared" ref="C60:M60" si="76">C58-C39</f>
        <v>19030</v>
      </c>
      <c r="D60" s="60">
        <f t="shared" si="76"/>
        <v>18370</v>
      </c>
      <c r="E60" s="60">
        <f t="shared" si="76"/>
        <v>24889</v>
      </c>
      <c r="F60" s="60">
        <f t="shared" si="76"/>
        <v>26965</v>
      </c>
      <c r="G60" s="60">
        <f t="shared" si="76"/>
        <v>30038</v>
      </c>
      <c r="H60" s="60">
        <f t="shared" si="76"/>
        <v>29874</v>
      </c>
      <c r="I60" s="60">
        <f t="shared" si="76"/>
        <v>28200</v>
      </c>
      <c r="J60" s="60">
        <f t="shared" si="76"/>
        <v>20397</v>
      </c>
      <c r="K60" s="60">
        <f t="shared" si="76"/>
        <v>11060</v>
      </c>
      <c r="L60" s="60">
        <f t="shared" si="76"/>
        <v>12411</v>
      </c>
      <c r="M60" s="60">
        <f t="shared" si="76"/>
        <v>0</v>
      </c>
    </row>
    <row r="61" spans="1:13">
      <c r="B61"/>
      <c r="C61"/>
      <c r="D61"/>
      <c r="E61"/>
      <c r="F61"/>
      <c r="G61"/>
      <c r="H61"/>
      <c r="I61"/>
      <c r="J61"/>
      <c r="K61"/>
      <c r="L61"/>
      <c r="M61"/>
    </row>
    <row r="62" spans="1:13" s="48" customFormat="1">
      <c r="A62" s="122" t="s">
        <v>4332</v>
      </c>
      <c r="B62" s="60">
        <f>_xlfn.XLOOKUP($A62,Inputs!$A:$A,Inputs!B:B,,0)</f>
        <v>196</v>
      </c>
      <c r="C62" s="60">
        <f>_xlfn.XLOOKUP($A62,Inputs!$A:$A,Inputs!C:C,,0)</f>
        <v>192</v>
      </c>
      <c r="D62" s="60">
        <f>_xlfn.XLOOKUP($A62,Inputs!$A:$A,Inputs!D:D,,0)</f>
        <v>154</v>
      </c>
      <c r="E62" s="60">
        <f>_xlfn.XLOOKUP($A62,Inputs!$A:$A,Inputs!E:E,,0)</f>
        <v>140</v>
      </c>
      <c r="F62" s="60">
        <f>_xlfn.XLOOKUP($A62,Inputs!$A:$A,Inputs!F:F,,0)</f>
        <v>126</v>
      </c>
      <c r="G62" s="60">
        <f>_xlfn.XLOOKUP($A62,Inputs!$A:$A,Inputs!G:G,,0)</f>
        <v>121</v>
      </c>
      <c r="H62" s="60">
        <f>_xlfn.XLOOKUP($A62,Inputs!$A:$A,Inputs!H:H,,0)</f>
        <v>213</v>
      </c>
      <c r="I62" s="60">
        <f>_xlfn.XLOOKUP($A62,Inputs!$A:$A,Inputs!I:I,,0)</f>
        <v>216</v>
      </c>
      <c r="J62" s="60">
        <f>_xlfn.XLOOKUP($A62,Inputs!$A:$A,Inputs!J:J,,0)</f>
        <v>231</v>
      </c>
      <c r="K62" s="60">
        <f>_xlfn.XLOOKUP($A62,Inputs!$A:$A,Inputs!K:K,,0)</f>
        <v>248</v>
      </c>
      <c r="L62" s="60">
        <f>_xlfn.XLOOKUP($A62,Inputs!$A:$A,Inputs!L:L,,0)</f>
        <v>246</v>
      </c>
      <c r="M62" s="60">
        <f>_xlfn.XLOOKUP($A62,Inputs!$A:$A,Inputs!M:M,,0)</f>
        <v>0</v>
      </c>
    </row>
    <row r="63" spans="1:13">
      <c r="B63"/>
      <c r="C63"/>
      <c r="D63"/>
      <c r="E63"/>
      <c r="F63"/>
      <c r="G63"/>
      <c r="H63"/>
      <c r="I63"/>
      <c r="J63"/>
      <c r="K63"/>
      <c r="L63"/>
      <c r="M63"/>
    </row>
    <row r="64" spans="1:13">
      <c r="A64" s="122" t="s">
        <v>4333</v>
      </c>
      <c r="B64" s="60">
        <f>_xlfn.XLOOKUP($A64,Inputs!$A:$A,Inputs!B:B,,0)</f>
        <v>49330</v>
      </c>
      <c r="C64" s="60">
        <f>_xlfn.XLOOKUP($A64,Inputs!$A:$A,Inputs!C:C,,0)</f>
        <v>48486</v>
      </c>
      <c r="D64" s="60">
        <f>_xlfn.XLOOKUP($A64,Inputs!$A:$A,Inputs!D:D,,0)</f>
        <v>49144</v>
      </c>
      <c r="E64" s="60">
        <f>_xlfn.XLOOKUP($A64,Inputs!$A:$A,Inputs!E:E,,0)</f>
        <v>49963</v>
      </c>
      <c r="F64" s="60">
        <f>_xlfn.XLOOKUP($A64,Inputs!$A:$A,Inputs!F:F,,0)</f>
        <v>51497</v>
      </c>
      <c r="G64" s="60">
        <f>_xlfn.XLOOKUP($A64,Inputs!$A:$A,Inputs!G:G,,0)</f>
        <v>51536</v>
      </c>
      <c r="H64" s="60">
        <f>_xlfn.XLOOKUP($A64,Inputs!$A:$A,Inputs!H:H,,0)</f>
        <v>65650</v>
      </c>
      <c r="I64" s="60">
        <f>_xlfn.XLOOKUP($A64,Inputs!$A:$A,Inputs!I:I,,0)</f>
        <v>57142</v>
      </c>
      <c r="J64" s="60">
        <f>_xlfn.XLOOKUP($A64,Inputs!$A:$A,Inputs!J:J,,0)</f>
        <v>65774</v>
      </c>
      <c r="K64" s="60">
        <f>_xlfn.XLOOKUP($A64,Inputs!$A:$A,Inputs!K:K,,0)</f>
        <v>15189</v>
      </c>
      <c r="L64" s="60">
        <f>_xlfn.XLOOKUP($A64,Inputs!$A:$A,Inputs!L:L,,0)</f>
        <v>16050</v>
      </c>
      <c r="M64" s="60">
        <f>_xlfn.XLOOKUP($A64,Inputs!$A:$A,Inputs!M:M,,0)</f>
        <v>0</v>
      </c>
    </row>
    <row r="65" spans="1:235">
      <c r="K65" s="44"/>
      <c r="L65" s="44"/>
      <c r="M65" s="44"/>
    </row>
    <row r="66" spans="1:235" ht="21">
      <c r="A66" s="1241" t="s">
        <v>131</v>
      </c>
      <c r="B66" s="1241"/>
      <c r="C66" s="1241"/>
      <c r="D66" s="1241"/>
      <c r="E66" s="1241"/>
      <c r="F66" s="1241"/>
      <c r="G66" s="1241"/>
      <c r="H66" s="1241"/>
      <c r="I66" s="1241"/>
      <c r="J66" s="1241"/>
      <c r="K66" s="1241"/>
      <c r="L66" s="1241"/>
      <c r="M66" s="1241"/>
    </row>
    <row r="67" spans="1:235">
      <c r="A67" s="122" t="s">
        <v>132</v>
      </c>
      <c r="B67" s="60">
        <f>_xlfn.XLOOKUP($A67,Inputs!$A:$A,Inputs!B:B,,0)</f>
        <v>3976</v>
      </c>
      <c r="C67" s="60">
        <f>_xlfn.XLOOKUP($A67,Inputs!$A:$A,Inputs!C:C,,0)</f>
        <v>2469</v>
      </c>
      <c r="D67" s="60">
        <f>_xlfn.XLOOKUP($A67,Inputs!$A:$A,Inputs!D:D,,0)</f>
        <v>5364</v>
      </c>
      <c r="E67" s="60">
        <f>_xlfn.XLOOKUP($A67,Inputs!$A:$A,Inputs!E:E,,0)</f>
        <v>4929</v>
      </c>
      <c r="F67" s="60">
        <f>_xlfn.XLOOKUP($A67,Inputs!$A:$A,Inputs!F:F,,0)</f>
        <v>3552</v>
      </c>
      <c r="G67" s="60">
        <f>_xlfn.XLOOKUP($A67,Inputs!$A:$A,Inputs!G:G,,0)</f>
        <v>2574</v>
      </c>
      <c r="H67" s="60">
        <f>_xlfn.XLOOKUP($A67,Inputs!$A:$A,Inputs!H:H,,0)</f>
        <v>501</v>
      </c>
      <c r="I67" s="60">
        <f>_xlfn.XLOOKUP($A67,Inputs!$A:$A,Inputs!I:I,,0)</f>
        <v>2648</v>
      </c>
      <c r="J67" s="60">
        <f>_xlfn.XLOOKUP($A67,Inputs!$A:$A,Inputs!J:J,,0)</f>
        <v>2467</v>
      </c>
      <c r="K67" s="60">
        <f>_xlfn.XLOOKUP($A67,Inputs!$A:$A,Inputs!K:K,,0)</f>
        <v>2140</v>
      </c>
      <c r="L67" s="60">
        <f>_xlfn.XLOOKUP($A67,Inputs!$A:$A,Inputs!L:L,,0)</f>
        <v>35</v>
      </c>
      <c r="M67" s="60">
        <f>_xlfn.XLOOKUP($A67,Inputs!$A:$A,Inputs!M:M,,0)</f>
        <v>1494</v>
      </c>
    </row>
    <row r="68" spans="1:235">
      <c r="A68" s="122" t="s">
        <v>133</v>
      </c>
      <c r="B68" s="60">
        <f>_xlfn.XLOOKUP($A68,Inputs!$A:$A,Inputs!B:B,,0)</f>
        <v>-916</v>
      </c>
      <c r="C68" s="60">
        <f>_xlfn.XLOOKUP($A68,Inputs!$A:$A,Inputs!C:C,,0)</f>
        <v>-1091</v>
      </c>
      <c r="D68" s="60">
        <f>_xlfn.XLOOKUP($A68,Inputs!$A:$A,Inputs!D:D,,0)</f>
        <v>4038</v>
      </c>
      <c r="E68" s="60">
        <f>_xlfn.XLOOKUP($A68,Inputs!$A:$A,Inputs!E:E,,0)</f>
        <v>-522</v>
      </c>
      <c r="F68" s="60">
        <f>_xlfn.XLOOKUP($A68,Inputs!$A:$A,Inputs!F:F,,0)</f>
        <v>1511</v>
      </c>
      <c r="G68" s="60">
        <f>_xlfn.XLOOKUP($A68,Inputs!$A:$A,Inputs!G:G,,0)</f>
        <v>288</v>
      </c>
      <c r="H68" s="60">
        <f>_xlfn.XLOOKUP($A68,Inputs!$A:$A,Inputs!H:H,,0)</f>
        <v>1177</v>
      </c>
      <c r="I68" s="60">
        <f>_xlfn.XLOOKUP($A68,Inputs!$A:$A,Inputs!I:I,,0)</f>
        <v>1452</v>
      </c>
      <c r="J68" s="60">
        <f>_xlfn.XLOOKUP($A68,Inputs!$A:$A,Inputs!J:J,,0)</f>
        <v>-9704</v>
      </c>
      <c r="K68" s="60">
        <f>_xlfn.XLOOKUP($A68,Inputs!$A:$A,Inputs!K:K,,0)</f>
        <v>-349</v>
      </c>
      <c r="L68" s="60">
        <f>_xlfn.XLOOKUP($A68,Inputs!$A:$A,Inputs!L:L,,0)</f>
        <v>-21671</v>
      </c>
      <c r="M68" s="60">
        <f>_xlfn.XLOOKUP($A68,Inputs!$A:$A,Inputs!M:M,,0)</f>
        <v>-401</v>
      </c>
    </row>
    <row r="69" spans="1:235">
      <c r="A69" s="118" t="s">
        <v>134</v>
      </c>
      <c r="B69" s="54">
        <f>_xlfn.XLOOKUP($A69,Inputs!$A:$A,Inputs!B:B,,0)</f>
        <v>-1013</v>
      </c>
      <c r="C69" s="54">
        <f>_xlfn.XLOOKUP($A69,Inputs!$A:$A,Inputs!C:C,,0)</f>
        <v>-916</v>
      </c>
      <c r="D69" s="54">
        <f>_xlfn.XLOOKUP($A69,Inputs!$A:$A,Inputs!D:D,,0)</f>
        <v>-905</v>
      </c>
      <c r="E69" s="54">
        <f>_xlfn.XLOOKUP($A69,Inputs!$A:$A,Inputs!E:E,,0)</f>
        <v>-596</v>
      </c>
      <c r="F69" s="54">
        <f>_xlfn.XLOOKUP($A69,Inputs!$A:$A,Inputs!F:F,,0)</f>
        <v>-768</v>
      </c>
      <c r="G69" s="54">
        <f>_xlfn.XLOOKUP($A69,Inputs!$A:$A,Inputs!G:G,,0)</f>
        <v>-826</v>
      </c>
      <c r="H69" s="54">
        <f>_xlfn.XLOOKUP($A69,Inputs!$A:$A,Inputs!H:H,,0)</f>
        <v>-1194</v>
      </c>
      <c r="I69" s="54">
        <f>_xlfn.XLOOKUP($A69,Inputs!$A:$A,Inputs!I:I,,0)</f>
        <v>-1247</v>
      </c>
      <c r="J69" s="54">
        <f>_xlfn.XLOOKUP($A69,Inputs!$A:$A,Inputs!J:J,,0)</f>
        <v>-648</v>
      </c>
      <c r="K69" s="54">
        <f>_xlfn.XLOOKUP($A69,Inputs!$A:$A,Inputs!K:K,,0)</f>
        <v>-399</v>
      </c>
      <c r="L69" s="54">
        <f>_xlfn.XLOOKUP($A69,Inputs!$A:$A,Inputs!L:L,,0)</f>
        <v>-202</v>
      </c>
      <c r="M69" s="54">
        <f>_xlfn.XLOOKUP($A69,Inputs!$A:$A,Inputs!M:M,,0)</f>
        <v>-419</v>
      </c>
    </row>
    <row r="70" spans="1:235">
      <c r="A70" s="118" t="s">
        <v>135</v>
      </c>
      <c r="B70" s="54">
        <f>_xlfn.XLOOKUP($A70,Inputs!$A:$A,Inputs!B:B,,0)</f>
        <v>0</v>
      </c>
      <c r="C70" s="54">
        <f>_xlfn.XLOOKUP($A70,Inputs!$A:$A,Inputs!C:C,,0)</f>
        <v>-481</v>
      </c>
      <c r="D70" s="54">
        <f>_xlfn.XLOOKUP($A70,Inputs!$A:$A,Inputs!D:D,,0)</f>
        <v>-74</v>
      </c>
      <c r="E70" s="54">
        <f>_xlfn.XLOOKUP($A70,Inputs!$A:$A,Inputs!E:E,,0)</f>
        <v>0</v>
      </c>
      <c r="F70" s="54">
        <f>_xlfn.XLOOKUP($A70,Inputs!$A:$A,Inputs!F:F,,0)</f>
        <v>-199</v>
      </c>
      <c r="G70" s="54">
        <f>_xlfn.XLOOKUP($A70,Inputs!$A:$A,Inputs!G:G,,0)</f>
        <v>-248</v>
      </c>
      <c r="H70" s="54">
        <f>_xlfn.XLOOKUP($A70,Inputs!$A:$A,Inputs!H:H,,0)</f>
        <v>0</v>
      </c>
      <c r="I70" s="54">
        <f>_xlfn.XLOOKUP($A70,Inputs!$A:$A,Inputs!I:I,,0)</f>
        <v>0</v>
      </c>
      <c r="J70" s="54">
        <f>_xlfn.XLOOKUP($A70,Inputs!$A:$A,Inputs!J:J,,0)</f>
        <v>-9468</v>
      </c>
      <c r="K70" s="54">
        <f>_xlfn.XLOOKUP($A70,Inputs!$A:$A,Inputs!K:K,,0)</f>
        <v>0</v>
      </c>
      <c r="L70" s="54">
        <f>_xlfn.XLOOKUP($A70,Inputs!$A:$A,Inputs!L:L,,0)</f>
        <v>-21494</v>
      </c>
      <c r="M70" s="54">
        <f>_xlfn.XLOOKUP($A70,Inputs!$A:$A,Inputs!M:M,,0)</f>
        <v>-3</v>
      </c>
      <c r="IA70" s="44"/>
    </row>
    <row r="71" spans="1:235">
      <c r="A71" s="122" t="s">
        <v>136</v>
      </c>
      <c r="B71" s="60">
        <f>_xlfn.XLOOKUP($A71,Inputs!$A:$A,Inputs!B:B,,0)</f>
        <v>-2678</v>
      </c>
      <c r="C71" s="60">
        <f>_xlfn.XLOOKUP($A71,Inputs!$A:$A,Inputs!C:C,,0)</f>
        <v>-3714</v>
      </c>
      <c r="D71" s="60">
        <f>_xlfn.XLOOKUP($A71,Inputs!$A:$A,Inputs!D:D,,0)</f>
        <v>-9344</v>
      </c>
      <c r="E71" s="60">
        <f>_xlfn.XLOOKUP($A71,Inputs!$A:$A,Inputs!E:E,,0)</f>
        <v>-3331</v>
      </c>
      <c r="F71" s="60">
        <f>_xlfn.XLOOKUP($A71,Inputs!$A:$A,Inputs!F:F,,0)</f>
        <v>-3913</v>
      </c>
      <c r="G71" s="60">
        <f>_xlfn.XLOOKUP($A71,Inputs!$A:$A,Inputs!G:G,,0)</f>
        <v>-3363</v>
      </c>
      <c r="H71" s="60">
        <f>_xlfn.XLOOKUP($A71,Inputs!$A:$A,Inputs!H:H,,0)</f>
        <v>-4221</v>
      </c>
      <c r="I71" s="60">
        <f>_xlfn.XLOOKUP($A71,Inputs!$A:$A,Inputs!I:I,,0)</f>
        <v>-4620</v>
      </c>
      <c r="J71" s="60">
        <f>_xlfn.XLOOKUP($A71,Inputs!$A:$A,Inputs!J:J,,0)</f>
        <v>10183</v>
      </c>
      <c r="K71" s="60">
        <f>_xlfn.XLOOKUP($A71,Inputs!$A:$A,Inputs!K:K,,0)</f>
        <v>-1820</v>
      </c>
      <c r="L71" s="60">
        <f>_xlfn.XLOOKUP($A71,Inputs!$A:$A,Inputs!L:L,,0)</f>
        <v>24109</v>
      </c>
      <c r="M71" s="60">
        <f>_xlfn.XLOOKUP($A71,Inputs!$A:$A,Inputs!M:M,,0)</f>
        <v>-364</v>
      </c>
      <c r="IA71" s="44"/>
    </row>
    <row r="72" spans="1:235">
      <c r="A72" s="118" t="s">
        <v>137</v>
      </c>
      <c r="B72" s="54">
        <f>_xlfn.XLOOKUP($A72,Inputs!$A:$A,Inputs!B:B,,0)</f>
        <v>-1965</v>
      </c>
      <c r="C72" s="54">
        <f>_xlfn.XLOOKUP($A72,Inputs!$A:$A,Inputs!C:C,,0)</f>
        <v>-1960</v>
      </c>
      <c r="D72" s="54">
        <f>_xlfn.XLOOKUP($A72,Inputs!$A:$A,Inputs!D:D,,0)</f>
        <v>-1959</v>
      </c>
      <c r="E72" s="54">
        <f>_xlfn.XLOOKUP($A72,Inputs!$A:$A,Inputs!E:E,,0)</f>
        <v>-1958</v>
      </c>
      <c r="F72" s="54">
        <f>_xlfn.XLOOKUP($A72,Inputs!$A:$A,Inputs!F:F,,0)</f>
        <v>-1953</v>
      </c>
      <c r="G72" s="54">
        <f>_xlfn.XLOOKUP($A72,Inputs!$A:$A,Inputs!G:G,,0)</f>
        <v>-3183</v>
      </c>
      <c r="H72" s="54">
        <f>_xlfn.XLOOKUP($A72,Inputs!$A:$A,Inputs!H:H,,0)</f>
        <v>-2888</v>
      </c>
      <c r="I72" s="54">
        <f>_xlfn.XLOOKUP($A72,Inputs!$A:$A,Inputs!I:I,,0)</f>
        <v>-3584</v>
      </c>
      <c r="J72" s="54">
        <f>_xlfn.XLOOKUP($A72,Inputs!$A:$A,Inputs!J:J,,0)</f>
        <v>-1302</v>
      </c>
      <c r="K72" s="54">
        <f>_xlfn.XLOOKUP($A72,Inputs!$A:$A,Inputs!K:K,,0)</f>
        <v>0</v>
      </c>
      <c r="L72" s="54">
        <f>_xlfn.XLOOKUP($A72,Inputs!$A:$A,Inputs!L:L,,0)</f>
        <v>0</v>
      </c>
      <c r="M72" s="54">
        <f>_xlfn.XLOOKUP($A72,Inputs!$A:$A,Inputs!M:M,,0)</f>
        <v>0</v>
      </c>
      <c r="IA72" s="44"/>
    </row>
    <row r="73" spans="1:235">
      <c r="A73" s="118" t="s">
        <v>4315</v>
      </c>
      <c r="B73" s="54">
        <f>_xlfn.XLOOKUP($A73,Inputs!$A:$A,Inputs!B:B,,0)</f>
        <v>-455</v>
      </c>
      <c r="C73" s="54">
        <f>_xlfn.XLOOKUP($A73,Inputs!$A:$A,Inputs!C:C,,0)</f>
        <v>-280</v>
      </c>
      <c r="D73" s="54">
        <f>_xlfn.XLOOKUP($A73,Inputs!$A:$A,Inputs!D:D,,0)</f>
        <v>-271</v>
      </c>
      <c r="E73" s="54">
        <f>_xlfn.XLOOKUP($A73,Inputs!$A:$A,Inputs!E:E,,0)</f>
        <v>0</v>
      </c>
      <c r="F73" s="54">
        <f>_xlfn.XLOOKUP($A73,Inputs!$A:$A,Inputs!F:F,,0)</f>
        <v>0</v>
      </c>
      <c r="G73" s="54">
        <f>_xlfn.XLOOKUP($A73,Inputs!$A:$A,Inputs!G:G,,0)</f>
        <v>0</v>
      </c>
      <c r="H73" s="54">
        <f>_xlfn.XLOOKUP($A73,Inputs!$A:$A,Inputs!H:H,,0)</f>
        <v>0</v>
      </c>
      <c r="I73" s="54">
        <f>_xlfn.XLOOKUP($A73,Inputs!$A:$A,Inputs!I:I,,0)</f>
        <v>0</v>
      </c>
      <c r="J73" s="54">
        <f>_xlfn.XLOOKUP($A73,Inputs!$A:$A,Inputs!J:J,,0)</f>
        <v>0</v>
      </c>
      <c r="K73" s="54">
        <f>_xlfn.XLOOKUP($A73,Inputs!$A:$A,Inputs!K:K,,0)</f>
        <v>0</v>
      </c>
      <c r="L73" s="54">
        <f>_xlfn.XLOOKUP($A73,Inputs!$A:$A,Inputs!L:L,,0)</f>
        <v>0</v>
      </c>
      <c r="M73" s="54">
        <f>_xlfn.XLOOKUP($A73,Inputs!$A:$A,Inputs!M:M,,0)</f>
        <v>-202</v>
      </c>
    </row>
    <row r="74" spans="1:235">
      <c r="A74" s="122" t="s">
        <v>140</v>
      </c>
      <c r="B74" s="60">
        <f>_xlfn.XLOOKUP($A74,Inputs!$A:$A,Inputs!B:B,,0)</f>
        <v>0</v>
      </c>
      <c r="C74" s="60">
        <f>_xlfn.XLOOKUP($A74,Inputs!$A:$A,Inputs!C:C,,0)</f>
        <v>0</v>
      </c>
      <c r="D74" s="60">
        <f>_xlfn.XLOOKUP($A74,Inputs!$A:$A,Inputs!D:D,,0)</f>
        <v>0</v>
      </c>
      <c r="E74" s="60">
        <f>_xlfn.XLOOKUP($A74,Inputs!$A:$A,Inputs!E:E,,0)</f>
        <v>0</v>
      </c>
      <c r="F74" s="60">
        <f>_xlfn.XLOOKUP($A74,Inputs!$A:$A,Inputs!F:F,,0)</f>
        <v>0</v>
      </c>
      <c r="G74" s="60">
        <f>_xlfn.XLOOKUP($A74,Inputs!$A:$A,Inputs!G:G,,0)</f>
        <v>0</v>
      </c>
      <c r="H74" s="60">
        <f>_xlfn.XLOOKUP($A74,Inputs!$A:$A,Inputs!H:H,,0)</f>
        <v>0</v>
      </c>
      <c r="I74" s="60">
        <f>_xlfn.XLOOKUP($A74,Inputs!$A:$A,Inputs!I:I,,0)</f>
        <v>0</v>
      </c>
      <c r="J74" s="60">
        <f>_xlfn.XLOOKUP($A74,Inputs!$A:$A,Inputs!J:J,,0)</f>
        <v>0</v>
      </c>
      <c r="K74" s="60">
        <f>_xlfn.XLOOKUP($A74,Inputs!$A:$A,Inputs!K:K,,0)</f>
        <v>0</v>
      </c>
      <c r="L74" s="60">
        <f>_xlfn.XLOOKUP($A74,Inputs!$A:$A,Inputs!L:L,,0)</f>
        <v>0</v>
      </c>
      <c r="M74" s="60">
        <f>_xlfn.XLOOKUP($A74,Inputs!$A:$A,Inputs!M:M,,0)</f>
        <v>0</v>
      </c>
    </row>
    <row r="75" spans="1:235">
      <c r="A75" s="122" t="s">
        <v>4334</v>
      </c>
      <c r="B75" s="60">
        <f>_xlfn.XLOOKUP($A75,Inputs!$A:$A,Inputs!B:B,,0)</f>
        <v>382</v>
      </c>
      <c r="C75" s="60">
        <f>_xlfn.XLOOKUP($A75,Inputs!$A:$A,Inputs!C:C,,0)</f>
        <v>-2336</v>
      </c>
      <c r="D75" s="60">
        <f>_xlfn.XLOOKUP($A75,Inputs!$A:$A,Inputs!D:D,,0)</f>
        <v>58</v>
      </c>
      <c r="E75" s="60">
        <f>_xlfn.XLOOKUP($A75,Inputs!$A:$A,Inputs!E:E,,0)</f>
        <v>1076</v>
      </c>
      <c r="F75" s="60">
        <f>_xlfn.XLOOKUP($A75,Inputs!$A:$A,Inputs!F:F,,0)</f>
        <v>1150</v>
      </c>
      <c r="G75" s="60">
        <f>_xlfn.XLOOKUP($A75,Inputs!$A:$A,Inputs!G:G,,0)</f>
        <v>-501</v>
      </c>
      <c r="H75" s="60">
        <f>_xlfn.XLOOKUP($A75,Inputs!$A:$A,Inputs!H:H,,0)</f>
        <v>-2543</v>
      </c>
      <c r="I75" s="60">
        <f>_xlfn.XLOOKUP($A75,Inputs!$A:$A,Inputs!I:I,,0)</f>
        <v>-520</v>
      </c>
      <c r="J75" s="60">
        <f>_xlfn.XLOOKUP($A75,Inputs!$A:$A,Inputs!J:J,,0)</f>
        <v>2946</v>
      </c>
      <c r="K75" s="60">
        <f>_xlfn.XLOOKUP($A75,Inputs!$A:$A,Inputs!K:K,,0)</f>
        <v>-29</v>
      </c>
      <c r="L75" s="60">
        <f>_xlfn.XLOOKUP($A75,Inputs!$A:$A,Inputs!L:L,,0)</f>
        <v>2473</v>
      </c>
      <c r="M75" s="60">
        <f>_xlfn.XLOOKUP($A75,Inputs!$A:$A,Inputs!M:M,,0)</f>
        <v>729</v>
      </c>
    </row>
    <row r="76" spans="1:235">
      <c r="K76" s="44"/>
      <c r="L76" s="44"/>
      <c r="M76" s="44"/>
    </row>
    <row r="77" spans="1:235" ht="21">
      <c r="A77" s="1241" t="s">
        <v>4335</v>
      </c>
      <c r="B77" s="1241"/>
      <c r="C77" s="1241"/>
      <c r="D77" s="1241"/>
      <c r="E77" s="1241"/>
      <c r="F77" s="1241"/>
      <c r="G77" s="1241"/>
      <c r="H77" s="1241"/>
      <c r="I77" s="1241"/>
      <c r="J77" s="1241"/>
      <c r="K77" s="1241"/>
      <c r="L77" s="1241"/>
      <c r="M77" s="1241"/>
    </row>
    <row r="78" spans="1:235">
      <c r="A78" s="117" t="s">
        <v>4336</v>
      </c>
      <c r="B78" s="54" t="e">
        <f>_xlfn.XLOOKUP($A78,Inputs!$A:$A,Inputs!B:B,,0)</f>
        <v>#N/A</v>
      </c>
      <c r="C78" s="54" t="e">
        <f>_xlfn.XLOOKUP($A78,Inputs!$A:$A,Inputs!C:C,,0)</f>
        <v>#N/A</v>
      </c>
      <c r="D78" s="54" t="e">
        <f>_xlfn.XLOOKUP($A78,Inputs!$A:$A,Inputs!D:D,,0)</f>
        <v>#N/A</v>
      </c>
      <c r="E78" s="54" t="e">
        <f>_xlfn.XLOOKUP($A78,Inputs!$A:$A,Inputs!E:E,,0)</f>
        <v>#N/A</v>
      </c>
      <c r="F78" s="54" t="e">
        <f>_xlfn.XLOOKUP($A78,Inputs!$A:$A,Inputs!F:F,,0)</f>
        <v>#N/A</v>
      </c>
      <c r="G78" s="54" t="e">
        <f>_xlfn.XLOOKUP($A78,Inputs!$A:$A,Inputs!G:G,,0)</f>
        <v>#N/A</v>
      </c>
      <c r="H78" s="54" t="e">
        <f>_xlfn.XLOOKUP($A78,Inputs!$A:$A,Inputs!H:H,,0)</f>
        <v>#N/A</v>
      </c>
      <c r="I78" s="54" t="e">
        <f>_xlfn.XLOOKUP($A78,Inputs!$A:$A,Inputs!I:I,,0)</f>
        <v>#N/A</v>
      </c>
      <c r="J78" s="54" t="e">
        <f>_xlfn.XLOOKUP($A78,Inputs!$A:$A,Inputs!J:J,,0)</f>
        <v>#N/A</v>
      </c>
      <c r="K78" s="54" t="e">
        <f>_xlfn.XLOOKUP($A78,Inputs!$A:$A,Inputs!K:K,,0)</f>
        <v>#N/A</v>
      </c>
      <c r="L78" s="54" t="e">
        <f>_xlfn.XLOOKUP($A78,Inputs!$A:$A,Inputs!L:L,,0)</f>
        <v>#N/A</v>
      </c>
      <c r="M78" s="54" t="e">
        <f>_xlfn.XLOOKUP($A78,Inputs!$A:$A,Inputs!M:M,,0)</f>
        <v>#N/A</v>
      </c>
    </row>
    <row r="79" spans="1:235">
      <c r="A79" s="123" t="s">
        <v>4337</v>
      </c>
      <c r="B79" s="54" t="e">
        <f>_xlfn.XLOOKUP($A79,Inputs!$A:$A,Inputs!B:B,,0)</f>
        <v>#N/A</v>
      </c>
      <c r="C79" s="54" t="e">
        <f>_xlfn.XLOOKUP($A79,Inputs!$A:$A,Inputs!C:C,,0)</f>
        <v>#N/A</v>
      </c>
      <c r="D79" s="54" t="e">
        <f>_xlfn.XLOOKUP($A79,Inputs!$A:$A,Inputs!D:D,,0)</f>
        <v>#N/A</v>
      </c>
      <c r="E79" s="54" t="e">
        <f>_xlfn.XLOOKUP($A79,Inputs!$A:$A,Inputs!E:E,,0)</f>
        <v>#N/A</v>
      </c>
      <c r="F79" s="54" t="e">
        <f>_xlfn.XLOOKUP($A79,Inputs!$A:$A,Inputs!F:F,,0)</f>
        <v>#N/A</v>
      </c>
      <c r="G79" s="54" t="e">
        <f>_xlfn.XLOOKUP($A79,Inputs!$A:$A,Inputs!G:G,,0)</f>
        <v>#N/A</v>
      </c>
      <c r="H79" s="54" t="e">
        <f>_xlfn.XLOOKUP($A79,Inputs!$A:$A,Inputs!H:H,,0)</f>
        <v>#N/A</v>
      </c>
      <c r="I79" s="54" t="e">
        <f>_xlfn.XLOOKUP($A79,Inputs!$A:$A,Inputs!I:I,,0)</f>
        <v>#N/A</v>
      </c>
      <c r="J79" s="54" t="e">
        <f>_xlfn.XLOOKUP($A79,Inputs!$A:$A,Inputs!J:J,,0)</f>
        <v>#N/A</v>
      </c>
      <c r="K79" s="54" t="e">
        <f>_xlfn.XLOOKUP($A79,Inputs!$A:$A,Inputs!K:K,,0)</f>
        <v>#N/A</v>
      </c>
      <c r="L79" s="54" t="e">
        <f>_xlfn.XLOOKUP($A79,Inputs!$A:$A,Inputs!L:L,,0)</f>
        <v>#N/A</v>
      </c>
      <c r="M79" s="54" t="e">
        <f>_xlfn.XLOOKUP($A79,Inputs!$A:$A,Inputs!M:M,,0)</f>
        <v>#N/A</v>
      </c>
    </row>
    <row r="80" spans="1:235">
      <c r="A80" s="117" t="s">
        <v>49</v>
      </c>
      <c r="B80" s="54">
        <f ca="1">_xlfn.XLOOKUP($A80,Inputs!$A:$A,Inputs!B:B,,0)</f>
        <v>0.74701820464532331</v>
      </c>
      <c r="C80" s="54" t="str">
        <f>_xlfn.XLOOKUP($A80,Inputs!$A:$A,Inputs!C:C,,0)</f>
        <v>Yahoo finance</v>
      </c>
      <c r="D80" s="54">
        <f>_xlfn.XLOOKUP($A80,Inputs!$A:$A,Inputs!D:D,,0)</f>
        <v>0</v>
      </c>
      <c r="E80" s="54">
        <f>_xlfn.XLOOKUP($A80,Inputs!$A:$A,Inputs!E:E,,0)</f>
        <v>0</v>
      </c>
      <c r="F80" s="54">
        <f>_xlfn.XLOOKUP($A80,Inputs!$A:$A,Inputs!F:F,,0)</f>
        <v>0</v>
      </c>
      <c r="G80" s="54">
        <f>_xlfn.XLOOKUP($A80,Inputs!$A:$A,Inputs!G:G,,0)</f>
        <v>0</v>
      </c>
      <c r="H80" s="54">
        <f>_xlfn.XLOOKUP($A80,Inputs!$A:$A,Inputs!H:H,,0)</f>
        <v>0</v>
      </c>
      <c r="I80" s="54">
        <f>_xlfn.XLOOKUP($A80,Inputs!$A:$A,Inputs!I:I,,0)</f>
        <v>0</v>
      </c>
      <c r="J80" s="54">
        <f>_xlfn.XLOOKUP($A80,Inputs!$A:$A,Inputs!J:J,,0)</f>
        <v>0</v>
      </c>
      <c r="K80" s="54">
        <f>_xlfn.XLOOKUP($A80,Inputs!$A:$A,Inputs!K:K,,0)</f>
        <v>0</v>
      </c>
      <c r="L80" s="54">
        <f>_xlfn.XLOOKUP($A80,Inputs!$A:$A,Inputs!L:L,,0)</f>
        <v>0</v>
      </c>
      <c r="M80" s="54">
        <f>_xlfn.XLOOKUP($A80,Inputs!$A:$A,Inputs!M:M,,0)</f>
        <v>0</v>
      </c>
    </row>
    <row r="81" spans="1:13">
      <c r="A81" s="123" t="s">
        <v>53</v>
      </c>
      <c r="B81" s="54">
        <f>_xlfn.XLOOKUP($A81,Inputs!$A:$A,Inputs!B:B,,0)</f>
        <v>0.27079999999999999</v>
      </c>
      <c r="C81" s="54" t="str">
        <f>_xlfn.XLOOKUP($A81,Inputs!$A:$A,Inputs!C:C,,0)</f>
        <v>Yahoo finance</v>
      </c>
      <c r="D81" s="54">
        <f>_xlfn.XLOOKUP($A81,Inputs!$A:$A,Inputs!D:D,,0)</f>
        <v>0</v>
      </c>
      <c r="E81" s="54">
        <f>_xlfn.XLOOKUP($A81,Inputs!$A:$A,Inputs!E:E,,0)</f>
        <v>0</v>
      </c>
      <c r="F81" s="54">
        <f>_xlfn.XLOOKUP($A81,Inputs!$A:$A,Inputs!F:F,,0)</f>
        <v>0</v>
      </c>
      <c r="G81" s="54">
        <f>_xlfn.XLOOKUP($A81,Inputs!$A:$A,Inputs!G:G,,0)</f>
        <v>0</v>
      </c>
      <c r="H81" s="54">
        <f>_xlfn.XLOOKUP($A81,Inputs!$A:$A,Inputs!H:H,,0)</f>
        <v>0</v>
      </c>
      <c r="I81" s="54">
        <f>_xlfn.XLOOKUP($A81,Inputs!$A:$A,Inputs!I:I,,0)</f>
        <v>0</v>
      </c>
      <c r="J81" s="54">
        <f>_xlfn.XLOOKUP($A81,Inputs!$A:$A,Inputs!J:J,,0)</f>
        <v>0</v>
      </c>
      <c r="K81" s="54">
        <f>_xlfn.XLOOKUP($A81,Inputs!$A:$A,Inputs!K:K,,0)</f>
        <v>0</v>
      </c>
      <c r="L81" s="54">
        <f>_xlfn.XLOOKUP($A81,Inputs!$A:$A,Inputs!L:L,,0)</f>
        <v>0</v>
      </c>
      <c r="M81" s="54">
        <f>_xlfn.XLOOKUP($A81,Inputs!$A:$A,Inputs!M:M,,0)</f>
        <v>0</v>
      </c>
    </row>
    <row r="82" spans="1:13">
      <c r="A82" s="117" t="s">
        <v>4338</v>
      </c>
      <c r="B82" s="54" t="str">
        <f>_xlfn.XLOOKUP($A82,Inputs!$A:$A,Inputs!B:B,,0)</f>
        <v>BBB/Baa2</v>
      </c>
      <c r="C82" s="54" t="str">
        <f>_xlfn.XLOOKUP($A82,Inputs!$A:$A,Inputs!C:C,,0)</f>
        <v>10-K</v>
      </c>
      <c r="D82" s="54">
        <f>_xlfn.XLOOKUP($A82,Inputs!$A:$A,Inputs!D:D,,0)</f>
        <v>0</v>
      </c>
      <c r="E82" s="54">
        <f>_xlfn.XLOOKUP($A82,Inputs!$A:$A,Inputs!E:E,,0)</f>
        <v>0</v>
      </c>
      <c r="F82" s="54">
        <f>_xlfn.XLOOKUP($A82,Inputs!$A:$A,Inputs!F:F,,0)</f>
        <v>0</v>
      </c>
      <c r="G82" s="54">
        <f>_xlfn.XLOOKUP($A82,Inputs!$A:$A,Inputs!G:G,,0)</f>
        <v>0</v>
      </c>
      <c r="H82" s="54">
        <f>_xlfn.XLOOKUP($A82,Inputs!$A:$A,Inputs!H:H,,0)</f>
        <v>0</v>
      </c>
      <c r="I82" s="54">
        <f>_xlfn.XLOOKUP($A82,Inputs!$A:$A,Inputs!I:I,,0)</f>
        <v>0</v>
      </c>
      <c r="J82" s="54">
        <f>_xlfn.XLOOKUP($A82,Inputs!$A:$A,Inputs!J:J,,0)</f>
        <v>0</v>
      </c>
      <c r="K82" s="54">
        <f>_xlfn.XLOOKUP($A82,Inputs!$A:$A,Inputs!K:K,,0)</f>
        <v>0</v>
      </c>
      <c r="L82" s="54">
        <f>_xlfn.XLOOKUP($A82,Inputs!$A:$A,Inputs!L:L,,0)</f>
        <v>0</v>
      </c>
      <c r="M82" s="54">
        <f>_xlfn.XLOOKUP($A82,Inputs!$A:$A,Inputs!M:M,,0)</f>
        <v>0</v>
      </c>
    </row>
    <row r="83" spans="1:13">
      <c r="A83" s="117" t="s">
        <v>4339</v>
      </c>
      <c r="B83" s="54" t="e">
        <f>_xlfn.XLOOKUP($A83,Inputs!$A:$A,Inputs!B:B,,0)</f>
        <v>#N/A</v>
      </c>
      <c r="C83" s="54" t="e">
        <f>_xlfn.XLOOKUP($A83,Inputs!$A:$A,Inputs!C:C,,0)</f>
        <v>#N/A</v>
      </c>
      <c r="D83" s="54" t="e">
        <f>_xlfn.XLOOKUP($A83,Inputs!$A:$A,Inputs!D:D,,0)</f>
        <v>#N/A</v>
      </c>
      <c r="E83" s="54" t="e">
        <f>_xlfn.XLOOKUP($A83,Inputs!$A:$A,Inputs!E:E,,0)</f>
        <v>#N/A</v>
      </c>
      <c r="F83" s="54" t="e">
        <f>_xlfn.XLOOKUP($A83,Inputs!$A:$A,Inputs!F:F,,0)</f>
        <v>#N/A</v>
      </c>
      <c r="G83" s="54" t="e">
        <f>_xlfn.XLOOKUP($A83,Inputs!$A:$A,Inputs!G:G,,0)</f>
        <v>#N/A</v>
      </c>
      <c r="H83" s="54" t="e">
        <f>_xlfn.XLOOKUP($A83,Inputs!$A:$A,Inputs!H:H,,0)</f>
        <v>#N/A</v>
      </c>
      <c r="I83" s="54" t="e">
        <f>_xlfn.XLOOKUP($A83,Inputs!$A:$A,Inputs!I:I,,0)</f>
        <v>#N/A</v>
      </c>
      <c r="J83" s="54" t="e">
        <f>_xlfn.XLOOKUP($A83,Inputs!$A:$A,Inputs!J:J,,0)</f>
        <v>#N/A</v>
      </c>
      <c r="K83" s="54" t="e">
        <f>_xlfn.XLOOKUP($A83,Inputs!$A:$A,Inputs!K:K,,0)</f>
        <v>#N/A</v>
      </c>
      <c r="L83" s="54" t="e">
        <f>_xlfn.XLOOKUP($A83,Inputs!$A:$A,Inputs!L:L,,0)</f>
        <v>#N/A</v>
      </c>
      <c r="M83" s="54" t="e">
        <f>_xlfn.XLOOKUP($A83,Inputs!$A:$A,Inputs!M:M,,0)</f>
        <v>#N/A</v>
      </c>
    </row>
    <row r="84" spans="1:13">
      <c r="A84" s="123" t="s">
        <v>4340</v>
      </c>
      <c r="B84" s="54">
        <f>_xlfn.XLOOKUP($A84,Inputs!$A:$A,Inputs!B:B,,0)</f>
        <v>7.641</v>
      </c>
      <c r="C84" s="54" t="str">
        <f>_xlfn.XLOOKUP($A84,Inputs!$A:$A,Inputs!C:C,,0)</f>
        <v>Yahoo Finance</v>
      </c>
      <c r="D84" s="54">
        <f>_xlfn.XLOOKUP($A84,Inputs!$A:$A,Inputs!D:D,,0)</f>
        <v>0</v>
      </c>
      <c r="E84" s="54">
        <f>_xlfn.XLOOKUP($A84,Inputs!$A:$A,Inputs!E:E,,0)</f>
        <v>0</v>
      </c>
      <c r="F84" s="54">
        <f>_xlfn.XLOOKUP($A84,Inputs!$A:$A,Inputs!F:F,,0)</f>
        <v>0</v>
      </c>
      <c r="G84" s="54">
        <f>_xlfn.XLOOKUP($A84,Inputs!$A:$A,Inputs!G:G,,0)</f>
        <v>0</v>
      </c>
      <c r="H84" s="54">
        <f>_xlfn.XLOOKUP($A84,Inputs!$A:$A,Inputs!H:H,,0)</f>
        <v>0</v>
      </c>
      <c r="I84" s="54">
        <f>_xlfn.XLOOKUP($A84,Inputs!$A:$A,Inputs!I:I,,0)</f>
        <v>0</v>
      </c>
      <c r="J84" s="54">
        <f>_xlfn.XLOOKUP($A84,Inputs!$A:$A,Inputs!J:J,,0)</f>
        <v>0</v>
      </c>
      <c r="K84" s="54">
        <f>_xlfn.XLOOKUP($A84,Inputs!$A:$A,Inputs!K:K,,0)</f>
        <v>0</v>
      </c>
      <c r="L84" s="54">
        <f>_xlfn.XLOOKUP($A84,Inputs!$A:$A,Inputs!L:L,,0)</f>
        <v>0</v>
      </c>
      <c r="M84" s="54">
        <f>_xlfn.XLOOKUP($A84,Inputs!$A:$A,Inputs!M:M,,0)</f>
        <v>0</v>
      </c>
    </row>
    <row r="85" spans="1:13">
      <c r="B85" s="46"/>
      <c r="C85" s="46"/>
      <c r="D85" s="46"/>
      <c r="E85" s="46"/>
      <c r="F85" s="46"/>
      <c r="G85" s="46"/>
      <c r="H85" s="46"/>
      <c r="I85" s="46"/>
      <c r="J85" s="46"/>
      <c r="K85" s="46"/>
      <c r="L85" s="46"/>
      <c r="M85" s="46"/>
    </row>
    <row r="86" spans="1:13">
      <c r="B86" s="45">
        <v>2020</v>
      </c>
      <c r="C86" s="45">
        <v>2021</v>
      </c>
      <c r="D86" s="45">
        <v>2022</v>
      </c>
      <c r="G86" s="45"/>
      <c r="H86" s="46"/>
      <c r="I86" s="46"/>
      <c r="J86" s="46"/>
      <c r="K86" s="46"/>
      <c r="L86" s="46"/>
      <c r="M86" s="46"/>
    </row>
    <row r="87" spans="1:13">
      <c r="A87" s="117" t="s">
        <v>4341</v>
      </c>
      <c r="B87" s="58">
        <v>0</v>
      </c>
      <c r="C87" s="58">
        <v>0</v>
      </c>
      <c r="D87" s="59">
        <v>0</v>
      </c>
      <c r="G87" s="46"/>
      <c r="H87" s="46"/>
      <c r="I87" s="46"/>
      <c r="J87" s="46"/>
      <c r="K87" s="46"/>
      <c r="L87" s="46"/>
      <c r="M87" s="46"/>
    </row>
    <row r="88" spans="1:13">
      <c r="A88" s="123" t="s">
        <v>75</v>
      </c>
      <c r="B88" s="58">
        <v>0</v>
      </c>
      <c r="C88" s="58">
        <v>0</v>
      </c>
      <c r="D88" s="59">
        <v>0</v>
      </c>
    </row>
    <row r="90" spans="1:13">
      <c r="A90" s="14" t="s">
        <v>4342</v>
      </c>
      <c r="B90" s="45" t="s">
        <v>4343</v>
      </c>
      <c r="C90" s="45" t="s">
        <v>4344</v>
      </c>
      <c r="D90" s="45" t="s">
        <v>4345</v>
      </c>
      <c r="E90" s="45" t="s">
        <v>4346</v>
      </c>
      <c r="G90" s="45"/>
    </row>
    <row r="91" spans="1:13">
      <c r="B91" s="61" t="e">
        <f>VLOOKUP($A91,Inputs!$A$5:$M$98,MATCH(B$4,Inputs!$B$5:$M$5,0)+1,FALSE)</f>
        <v>#N/A</v>
      </c>
      <c r="C91" s="61" t="e">
        <f>VLOOKUP($A91,Inputs!$A$5:$M$98,MATCH(C$4,Inputs!$B$5:$M$5,0)+1,FALSE)</f>
        <v>#N/A</v>
      </c>
      <c r="D91" s="61" t="e">
        <f>VLOOKUP($A91,Inputs!$A$5:$M$98,MATCH(D$4,Inputs!$B$5:$M$5,0)+1,FALSE)</f>
        <v>#N/A</v>
      </c>
      <c r="E91" s="61" t="e">
        <f>VLOOKUP($A91,Inputs!$A$5:$M$98,MATCH(E$4,Inputs!$B$5:$M$5,0)+1,FALSE)</f>
        <v>#N/A</v>
      </c>
    </row>
    <row r="92" spans="1:13">
      <c r="B92" s="62"/>
      <c r="C92" s="62"/>
      <c r="D92" s="2"/>
      <c r="E92" s="62"/>
      <c r="F92" s="2"/>
    </row>
    <row r="93" spans="1:13">
      <c r="B93" s="62"/>
      <c r="C93" s="62"/>
      <c r="D93" s="2"/>
      <c r="E93" s="62"/>
      <c r="F93" s="2"/>
    </row>
    <row r="94" spans="1:13">
      <c r="B94" s="62"/>
      <c r="C94" s="62"/>
      <c r="D94" s="2"/>
      <c r="E94" s="62"/>
      <c r="F94" s="2"/>
    </row>
    <row r="95" spans="1:13">
      <c r="B95" s="62"/>
      <c r="C95" s="62"/>
      <c r="D95" s="2"/>
      <c r="E95" s="62"/>
      <c r="F95" s="2"/>
    </row>
    <row r="96" spans="1:13">
      <c r="B96" s="62"/>
      <c r="C96" s="62"/>
      <c r="D96" s="2"/>
      <c r="E96" s="62"/>
      <c r="F96" s="2"/>
    </row>
    <row r="97" spans="2:6">
      <c r="B97" s="62"/>
      <c r="C97" s="62"/>
      <c r="D97" s="2"/>
      <c r="E97" s="62"/>
      <c r="F97" s="2"/>
    </row>
    <row r="98" spans="2:6">
      <c r="B98" s="62"/>
      <c r="C98" s="62"/>
      <c r="D98" s="2"/>
      <c r="E98" s="62"/>
      <c r="F98" s="2"/>
    </row>
    <row r="99" spans="2:6">
      <c r="B99" s="62"/>
      <c r="C99" s="62"/>
      <c r="D99" s="2"/>
      <c r="E99" s="62"/>
      <c r="F99" s="2"/>
    </row>
  </sheetData>
  <mergeCells count="7">
    <mergeCell ref="A77:M77"/>
    <mergeCell ref="A1:M1"/>
    <mergeCell ref="A2:M2"/>
    <mergeCell ref="A3:M3"/>
    <mergeCell ref="A38:M38"/>
    <mergeCell ref="A47:M47"/>
    <mergeCell ref="A66:M66"/>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3.15"/>
  <cols>
    <col min="1" max="9" width="0" hidden="1" customWidth="1"/>
    <col min="11" max="11" width="21.85546875" bestFit="1" customWidth="1"/>
  </cols>
  <sheetData>
    <row r="2" spans="2:27">
      <c r="E2" s="11" t="s">
        <v>4347</v>
      </c>
      <c r="F2" s="11" t="s">
        <v>4348</v>
      </c>
      <c r="H2" s="11" t="s">
        <v>4101</v>
      </c>
      <c r="K2" s="1244" t="s">
        <v>4347</v>
      </c>
      <c r="L2" s="1246" t="s">
        <v>4349</v>
      </c>
      <c r="M2" s="1247"/>
      <c r="N2" s="1247"/>
      <c r="O2" s="1247"/>
      <c r="P2" s="1248"/>
      <c r="Q2" s="1247" t="s">
        <v>4047</v>
      </c>
      <c r="R2" s="1247"/>
      <c r="S2" s="1247"/>
      <c r="T2" s="1247"/>
      <c r="U2" s="1247"/>
      <c r="V2" s="1247"/>
      <c r="W2" s="1247"/>
      <c r="X2" s="1247"/>
      <c r="Y2" s="1247"/>
      <c r="Z2" s="1247"/>
      <c r="AA2" s="1248"/>
    </row>
    <row r="3" spans="2:27">
      <c r="E3" t="s">
        <v>4350</v>
      </c>
      <c r="F3" t="s">
        <v>4351</v>
      </c>
      <c r="H3" s="11" t="s">
        <v>4026</v>
      </c>
      <c r="K3" s="1245"/>
      <c r="L3" s="71" t="s">
        <v>4352</v>
      </c>
      <c r="M3" s="88" t="s">
        <v>4353</v>
      </c>
      <c r="N3" s="88" t="s">
        <v>4354</v>
      </c>
      <c r="O3" s="88" t="s">
        <v>4355</v>
      </c>
      <c r="P3" s="89" t="s">
        <v>4356</v>
      </c>
      <c r="Q3" s="88" t="s">
        <v>4357</v>
      </c>
      <c r="R3" s="88" t="s">
        <v>4358</v>
      </c>
      <c r="S3" s="88" t="s">
        <v>4057</v>
      </c>
      <c r="T3" s="88" t="s">
        <v>4359</v>
      </c>
      <c r="U3" s="88" t="s">
        <v>4360</v>
      </c>
      <c r="V3" s="88" t="s">
        <v>4361</v>
      </c>
      <c r="W3" s="88" t="s">
        <v>4362</v>
      </c>
      <c r="X3" s="88" t="s">
        <v>4363</v>
      </c>
      <c r="Y3" s="88" t="s">
        <v>4364</v>
      </c>
      <c r="Z3" s="88" t="s">
        <v>4365</v>
      </c>
      <c r="AA3" s="89" t="s">
        <v>4091</v>
      </c>
    </row>
    <row r="4" spans="2:27">
      <c r="B4" s="72"/>
      <c r="E4" t="s">
        <v>4350</v>
      </c>
      <c r="F4" t="s">
        <v>4366</v>
      </c>
      <c r="H4" s="11" t="s">
        <v>4107</v>
      </c>
      <c r="K4" s="90" t="s">
        <v>4350</v>
      </c>
      <c r="L4" s="91" t="s">
        <v>4101</v>
      </c>
      <c r="M4" t="s">
        <v>4101</v>
      </c>
      <c r="N4" t="s">
        <v>4026</v>
      </c>
      <c r="O4" t="s">
        <v>4101</v>
      </c>
      <c r="P4" s="92" t="s">
        <v>4101</v>
      </c>
      <c r="Q4" t="s">
        <v>4026</v>
      </c>
      <c r="R4" t="s">
        <v>4026</v>
      </c>
      <c r="S4" t="s">
        <v>4101</v>
      </c>
      <c r="T4" t="s">
        <v>4101</v>
      </c>
      <c r="U4" t="s">
        <v>4107</v>
      </c>
      <c r="V4" t="s">
        <v>4101</v>
      </c>
      <c r="W4" t="s">
        <v>4101</v>
      </c>
      <c r="X4" t="s">
        <v>4101</v>
      </c>
      <c r="Y4" t="s">
        <v>4101</v>
      </c>
      <c r="Z4" t="s">
        <v>4101</v>
      </c>
      <c r="AA4" s="92" t="s">
        <v>4026</v>
      </c>
    </row>
    <row r="5" spans="2:27" ht="13.9">
      <c r="B5" s="84" t="s">
        <v>4017</v>
      </c>
      <c r="E5" t="s">
        <v>4350</v>
      </c>
      <c r="F5" t="s">
        <v>4367</v>
      </c>
      <c r="H5" s="11" t="s">
        <v>4368</v>
      </c>
      <c r="K5" s="90" t="s">
        <v>4369</v>
      </c>
      <c r="L5" s="91" t="s">
        <v>4101</v>
      </c>
      <c r="M5" t="s">
        <v>4101</v>
      </c>
      <c r="N5" t="s">
        <v>4026</v>
      </c>
      <c r="O5" t="s">
        <v>4026</v>
      </c>
      <c r="P5" s="92" t="s">
        <v>4101</v>
      </c>
      <c r="Q5" t="s">
        <v>4026</v>
      </c>
      <c r="R5" t="s">
        <v>4026</v>
      </c>
      <c r="S5" t="s">
        <v>4101</v>
      </c>
      <c r="T5" t="s">
        <v>4101</v>
      </c>
      <c r="U5" t="s">
        <v>4026</v>
      </c>
      <c r="V5" t="s">
        <v>4026</v>
      </c>
      <c r="W5" t="s">
        <v>4026</v>
      </c>
      <c r="X5" t="s">
        <v>4107</v>
      </c>
      <c r="Y5" t="s">
        <v>4101</v>
      </c>
      <c r="Z5" t="s">
        <v>4107</v>
      </c>
      <c r="AA5" s="92" t="s">
        <v>4101</v>
      </c>
    </row>
    <row r="6" spans="2:27">
      <c r="B6" s="86" t="s">
        <v>4370</v>
      </c>
      <c r="E6" t="s">
        <v>4350</v>
      </c>
      <c r="F6" t="s">
        <v>4371</v>
      </c>
      <c r="K6" s="90" t="s">
        <v>4004</v>
      </c>
      <c r="L6" s="91" t="s">
        <v>4107</v>
      </c>
      <c r="M6" t="s">
        <v>4368</v>
      </c>
      <c r="N6" t="s">
        <v>4107</v>
      </c>
      <c r="O6" t="s">
        <v>4107</v>
      </c>
      <c r="P6" s="92" t="s">
        <v>4107</v>
      </c>
      <c r="Q6" t="s">
        <v>4026</v>
      </c>
      <c r="R6" t="s">
        <v>4107</v>
      </c>
      <c r="S6" t="s">
        <v>4107</v>
      </c>
      <c r="T6" t="s">
        <v>4101</v>
      </c>
      <c r="U6" t="s">
        <v>4026</v>
      </c>
      <c r="V6" t="s">
        <v>4026</v>
      </c>
      <c r="W6" t="s">
        <v>4101</v>
      </c>
      <c r="X6" t="s">
        <v>4107</v>
      </c>
      <c r="Y6" t="s">
        <v>4101</v>
      </c>
      <c r="Z6" t="s">
        <v>4368</v>
      </c>
      <c r="AA6" s="92" t="s">
        <v>4101</v>
      </c>
    </row>
    <row r="7" spans="2:27">
      <c r="B7" s="86" t="s">
        <v>4372</v>
      </c>
      <c r="E7" t="s">
        <v>4350</v>
      </c>
      <c r="F7" t="s">
        <v>4373</v>
      </c>
      <c r="K7" s="90" t="s">
        <v>4354</v>
      </c>
      <c r="L7" s="91" t="s">
        <v>4368</v>
      </c>
      <c r="M7" t="s">
        <v>4368</v>
      </c>
      <c r="N7" t="s">
        <v>4026</v>
      </c>
      <c r="O7" t="s">
        <v>4368</v>
      </c>
      <c r="P7" s="92" t="s">
        <v>4107</v>
      </c>
      <c r="Q7" t="s">
        <v>4107</v>
      </c>
      <c r="R7" t="s">
        <v>4026</v>
      </c>
      <c r="S7" t="s">
        <v>4026</v>
      </c>
      <c r="T7" t="s">
        <v>4026</v>
      </c>
      <c r="U7" t="s">
        <v>4026</v>
      </c>
      <c r="V7" t="s">
        <v>4107</v>
      </c>
      <c r="W7" t="s">
        <v>4026</v>
      </c>
      <c r="X7" t="s">
        <v>4026</v>
      </c>
      <c r="Y7" t="s">
        <v>4107</v>
      </c>
      <c r="Z7" t="s">
        <v>4107</v>
      </c>
      <c r="AA7" s="92" t="s">
        <v>4101</v>
      </c>
    </row>
    <row r="8" spans="2:27">
      <c r="B8" s="86"/>
      <c r="K8" s="90" t="s">
        <v>4374</v>
      </c>
      <c r="L8" s="91" t="s">
        <v>4101</v>
      </c>
      <c r="M8" t="s">
        <v>4101</v>
      </c>
      <c r="N8" t="s">
        <v>4101</v>
      </c>
      <c r="O8" t="s">
        <v>4026</v>
      </c>
      <c r="P8" s="92" t="s">
        <v>4026</v>
      </c>
      <c r="Q8" t="s">
        <v>4101</v>
      </c>
      <c r="R8" t="s">
        <v>4026</v>
      </c>
      <c r="S8" t="s">
        <v>4026</v>
      </c>
      <c r="T8" t="s">
        <v>4107</v>
      </c>
      <c r="U8" t="s">
        <v>4026</v>
      </c>
      <c r="V8" t="s">
        <v>4101</v>
      </c>
      <c r="W8" t="s">
        <v>4101</v>
      </c>
      <c r="X8" t="s">
        <v>4026</v>
      </c>
      <c r="Y8" t="s">
        <v>4026</v>
      </c>
      <c r="Z8" t="s">
        <v>4107</v>
      </c>
      <c r="AA8" s="92" t="s">
        <v>4101</v>
      </c>
    </row>
    <row r="9" spans="2:27">
      <c r="B9" s="86" t="s">
        <v>4031</v>
      </c>
      <c r="E9" t="s">
        <v>4350</v>
      </c>
      <c r="F9" t="s">
        <v>4375</v>
      </c>
      <c r="K9" s="90" t="s">
        <v>4376</v>
      </c>
      <c r="L9" s="91" t="s">
        <v>4101</v>
      </c>
      <c r="M9" t="s">
        <v>4101</v>
      </c>
      <c r="N9" t="s">
        <v>4101</v>
      </c>
      <c r="O9" t="s">
        <v>4101</v>
      </c>
      <c r="P9" s="92" t="s">
        <v>4101</v>
      </c>
      <c r="Q9" t="s">
        <v>4101</v>
      </c>
      <c r="R9" t="s">
        <v>4101</v>
      </c>
      <c r="S9" t="s">
        <v>4026</v>
      </c>
      <c r="T9" t="s">
        <v>4107</v>
      </c>
      <c r="U9" t="s">
        <v>4026</v>
      </c>
      <c r="V9" t="s">
        <v>4101</v>
      </c>
      <c r="W9" t="s">
        <v>4101</v>
      </c>
      <c r="X9" t="s">
        <v>4101</v>
      </c>
      <c r="Y9" t="s">
        <v>4101</v>
      </c>
      <c r="Z9" t="s">
        <v>4026</v>
      </c>
      <c r="AA9" s="92" t="s">
        <v>4101</v>
      </c>
    </row>
    <row r="10" spans="2:27">
      <c r="B10" s="86"/>
      <c r="K10" s="90" t="s">
        <v>4377</v>
      </c>
      <c r="L10" s="91" t="s">
        <v>4101</v>
      </c>
      <c r="M10" t="s">
        <v>4026</v>
      </c>
      <c r="N10" t="s">
        <v>4101</v>
      </c>
      <c r="O10" t="s">
        <v>4026</v>
      </c>
      <c r="P10" s="92" t="s">
        <v>4107</v>
      </c>
      <c r="Q10" t="s">
        <v>4101</v>
      </c>
      <c r="R10" t="s">
        <v>4101</v>
      </c>
      <c r="S10" t="s">
        <v>4101</v>
      </c>
      <c r="T10" t="s">
        <v>4101</v>
      </c>
      <c r="U10" t="s">
        <v>4101</v>
      </c>
      <c r="V10" t="s">
        <v>4101</v>
      </c>
      <c r="W10" t="s">
        <v>4101</v>
      </c>
      <c r="X10" t="s">
        <v>4101</v>
      </c>
      <c r="Y10" t="s">
        <v>4026</v>
      </c>
      <c r="Z10" t="s">
        <v>4101</v>
      </c>
      <c r="AA10" s="92" t="s">
        <v>4101</v>
      </c>
    </row>
    <row r="11" spans="2:27">
      <c r="B11" s="86" t="s">
        <v>4036</v>
      </c>
      <c r="E11" t="s">
        <v>4350</v>
      </c>
      <c r="F11" t="s">
        <v>4378</v>
      </c>
      <c r="K11" s="90" t="s">
        <v>4379</v>
      </c>
      <c r="L11" s="91" t="s">
        <v>4101</v>
      </c>
      <c r="M11" t="s">
        <v>4026</v>
      </c>
      <c r="N11" t="s">
        <v>4101</v>
      </c>
      <c r="O11" t="s">
        <v>4101</v>
      </c>
      <c r="P11" s="92" t="s">
        <v>4101</v>
      </c>
      <c r="Q11" t="s">
        <v>4101</v>
      </c>
      <c r="R11" t="s">
        <v>4101</v>
      </c>
      <c r="S11" t="s">
        <v>4026</v>
      </c>
      <c r="T11" t="s">
        <v>4101</v>
      </c>
      <c r="U11" t="s">
        <v>4107</v>
      </c>
      <c r="V11" t="s">
        <v>4101</v>
      </c>
      <c r="W11" t="s">
        <v>4101</v>
      </c>
      <c r="X11" t="s">
        <v>4101</v>
      </c>
      <c r="Y11" t="s">
        <v>4101</v>
      </c>
      <c r="Z11" t="s">
        <v>4101</v>
      </c>
      <c r="AA11" s="92" t="s">
        <v>4101</v>
      </c>
    </row>
    <row r="12" spans="2:27">
      <c r="B12" s="85" t="s">
        <v>4380</v>
      </c>
      <c r="E12" t="s">
        <v>4350</v>
      </c>
      <c r="F12" t="s">
        <v>4381</v>
      </c>
      <c r="K12" s="90" t="s">
        <v>4382</v>
      </c>
      <c r="L12" s="91" t="s">
        <v>4368</v>
      </c>
      <c r="M12" t="s">
        <v>4368</v>
      </c>
      <c r="N12" t="s">
        <v>4368</v>
      </c>
      <c r="O12" t="s">
        <v>4107</v>
      </c>
      <c r="P12" s="92" t="s">
        <v>4107</v>
      </c>
      <c r="Q12" t="s">
        <v>4101</v>
      </c>
      <c r="R12" t="s">
        <v>4026</v>
      </c>
      <c r="S12" t="s">
        <v>4107</v>
      </c>
      <c r="T12" t="s">
        <v>4368</v>
      </c>
      <c r="U12" t="s">
        <v>4026</v>
      </c>
      <c r="V12" t="s">
        <v>4368</v>
      </c>
      <c r="W12" t="s">
        <v>4026</v>
      </c>
      <c r="X12" t="s">
        <v>4368</v>
      </c>
      <c r="Y12" t="s">
        <v>4368</v>
      </c>
      <c r="Z12" t="s">
        <v>4368</v>
      </c>
      <c r="AA12" s="92" t="s">
        <v>4107</v>
      </c>
    </row>
    <row r="13" spans="2:27" ht="13.9">
      <c r="B13" s="84" t="s">
        <v>4047</v>
      </c>
      <c r="E13" t="s">
        <v>4350</v>
      </c>
      <c r="F13" t="s">
        <v>4383</v>
      </c>
      <c r="K13" s="90" t="s">
        <v>4384</v>
      </c>
      <c r="L13" s="91" t="s">
        <v>4026</v>
      </c>
      <c r="M13" t="s">
        <v>4101</v>
      </c>
      <c r="N13" t="s">
        <v>4107</v>
      </c>
      <c r="O13" t="s">
        <v>4101</v>
      </c>
      <c r="P13" s="92" t="s">
        <v>4101</v>
      </c>
      <c r="Q13" t="s">
        <v>4101</v>
      </c>
      <c r="R13" t="s">
        <v>4101</v>
      </c>
      <c r="S13" t="s">
        <v>4101</v>
      </c>
      <c r="T13" t="s">
        <v>4101</v>
      </c>
      <c r="U13" t="s">
        <v>4107</v>
      </c>
      <c r="V13" t="s">
        <v>4101</v>
      </c>
      <c r="W13" t="s">
        <v>4101</v>
      </c>
      <c r="X13" t="s">
        <v>4101</v>
      </c>
      <c r="Y13" t="s">
        <v>4101</v>
      </c>
      <c r="Z13" t="s">
        <v>4026</v>
      </c>
      <c r="AA13" s="92" t="s">
        <v>4368</v>
      </c>
    </row>
    <row r="14" spans="2:27">
      <c r="B14" s="76" t="s">
        <v>4385</v>
      </c>
      <c r="E14" t="s">
        <v>4350</v>
      </c>
      <c r="F14" t="s">
        <v>4386</v>
      </c>
      <c r="K14" s="90" t="s">
        <v>4387</v>
      </c>
      <c r="L14" s="91" t="s">
        <v>4368</v>
      </c>
      <c r="M14" t="s">
        <v>4368</v>
      </c>
      <c r="N14" t="s">
        <v>4368</v>
      </c>
      <c r="O14" t="s">
        <v>4368</v>
      </c>
      <c r="P14" s="92" t="s">
        <v>4107</v>
      </c>
      <c r="Q14" t="s">
        <v>4107</v>
      </c>
      <c r="R14" t="s">
        <v>4107</v>
      </c>
      <c r="S14" t="s">
        <v>4026</v>
      </c>
      <c r="T14" t="s">
        <v>4107</v>
      </c>
      <c r="U14" t="s">
        <v>4101</v>
      </c>
      <c r="V14" t="s">
        <v>4368</v>
      </c>
      <c r="W14" t="s">
        <v>4026</v>
      </c>
      <c r="X14" t="s">
        <v>4026</v>
      </c>
      <c r="Y14" t="s">
        <v>4368</v>
      </c>
      <c r="Z14" t="s">
        <v>4107</v>
      </c>
      <c r="AA14" s="92" t="s">
        <v>4026</v>
      </c>
    </row>
    <row r="15" spans="2:27">
      <c r="B15" s="76" t="s">
        <v>4388</v>
      </c>
      <c r="E15" t="s">
        <v>4369</v>
      </c>
      <c r="F15" t="s">
        <v>4389</v>
      </c>
      <c r="K15" s="90" t="s">
        <v>4390</v>
      </c>
      <c r="L15" s="91" t="s">
        <v>4101</v>
      </c>
      <c r="M15" t="s">
        <v>4101</v>
      </c>
      <c r="N15" t="s">
        <v>4026</v>
      </c>
      <c r="O15" t="s">
        <v>4101</v>
      </c>
      <c r="P15" s="92" t="s">
        <v>4101</v>
      </c>
      <c r="Q15" t="s">
        <v>4026</v>
      </c>
      <c r="R15" t="s">
        <v>4101</v>
      </c>
      <c r="S15" t="s">
        <v>4101</v>
      </c>
      <c r="T15" t="s">
        <v>4101</v>
      </c>
      <c r="U15" t="s">
        <v>4107</v>
      </c>
      <c r="V15" t="s">
        <v>4101</v>
      </c>
      <c r="W15" t="s">
        <v>4026</v>
      </c>
      <c r="X15" t="s">
        <v>4101</v>
      </c>
      <c r="Y15" t="s">
        <v>4026</v>
      </c>
      <c r="Z15" t="s">
        <v>4101</v>
      </c>
      <c r="AA15" s="92" t="s">
        <v>4101</v>
      </c>
    </row>
    <row r="16" spans="2:27">
      <c r="B16" s="79" t="s">
        <v>4391</v>
      </c>
      <c r="E16" t="s">
        <v>4369</v>
      </c>
      <c r="F16" t="s">
        <v>4392</v>
      </c>
      <c r="K16" s="93" t="s">
        <v>4393</v>
      </c>
      <c r="L16" s="94" t="s">
        <v>4368</v>
      </c>
      <c r="M16" s="95" t="s">
        <v>4107</v>
      </c>
      <c r="N16" s="95" t="s">
        <v>4107</v>
      </c>
      <c r="O16" s="95" t="s">
        <v>4026</v>
      </c>
      <c r="P16" s="96" t="s">
        <v>4107</v>
      </c>
      <c r="Q16" s="95" t="s">
        <v>4101</v>
      </c>
      <c r="R16" s="95" t="s">
        <v>4026</v>
      </c>
      <c r="S16" s="95" t="s">
        <v>4026</v>
      </c>
      <c r="T16" s="95" t="s">
        <v>4101</v>
      </c>
      <c r="U16" s="95" t="s">
        <v>4026</v>
      </c>
      <c r="V16" s="95" t="s">
        <v>4026</v>
      </c>
      <c r="W16" s="95" t="s">
        <v>4026</v>
      </c>
      <c r="X16" s="95" t="s">
        <v>4026</v>
      </c>
      <c r="Y16" s="95" t="s">
        <v>4101</v>
      </c>
      <c r="Z16" s="95" t="s">
        <v>4026</v>
      </c>
      <c r="AA16" s="96" t="s">
        <v>4101</v>
      </c>
    </row>
    <row r="17" spans="2:22">
      <c r="B17" s="79" t="s">
        <v>4394</v>
      </c>
      <c r="E17" t="s">
        <v>4369</v>
      </c>
      <c r="F17" t="s">
        <v>4395</v>
      </c>
    </row>
    <row r="18" spans="2:22" hidden="1">
      <c r="B18" s="76" t="s">
        <v>4396</v>
      </c>
      <c r="E18" t="s">
        <v>4369</v>
      </c>
      <c r="F18" t="s">
        <v>4397</v>
      </c>
    </row>
    <row r="19" spans="2:22" hidden="1">
      <c r="B19" s="76" t="s">
        <v>4398</v>
      </c>
      <c r="E19" t="s">
        <v>4369</v>
      </c>
      <c r="F19" t="s">
        <v>4399</v>
      </c>
      <c r="L19" s="97" t="s">
        <v>4350</v>
      </c>
      <c r="M19" s="98" t="s">
        <v>4369</v>
      </c>
      <c r="N19" s="98" t="s">
        <v>4004</v>
      </c>
      <c r="O19" s="98" t="s">
        <v>4354</v>
      </c>
      <c r="P19" s="98" t="s">
        <v>4376</v>
      </c>
      <c r="Q19" s="98" t="s">
        <v>4379</v>
      </c>
      <c r="R19" s="98" t="s">
        <v>4382</v>
      </c>
      <c r="S19" s="98" t="s">
        <v>4384</v>
      </c>
      <c r="T19" s="98" t="s">
        <v>4387</v>
      </c>
      <c r="U19" s="98" t="s">
        <v>4390</v>
      </c>
      <c r="V19" s="99" t="s">
        <v>4393</v>
      </c>
    </row>
    <row r="20" spans="2:22" hidden="1">
      <c r="B20" s="76" t="s">
        <v>4068</v>
      </c>
      <c r="E20" t="s">
        <v>4369</v>
      </c>
      <c r="F20" t="s">
        <v>4400</v>
      </c>
      <c r="L20" s="91" t="s">
        <v>4351</v>
      </c>
      <c r="M20" t="s">
        <v>4389</v>
      </c>
      <c r="N20" t="s">
        <v>4401</v>
      </c>
      <c r="O20" t="s">
        <v>4402</v>
      </c>
      <c r="P20" t="s">
        <v>4403</v>
      </c>
      <c r="Q20" t="s">
        <v>4404</v>
      </c>
      <c r="R20" t="s">
        <v>4405</v>
      </c>
      <c r="S20" t="s">
        <v>4406</v>
      </c>
      <c r="T20" t="s">
        <v>4407</v>
      </c>
      <c r="U20" t="s">
        <v>4408</v>
      </c>
      <c r="V20" s="92" t="s">
        <v>4409</v>
      </c>
    </row>
    <row r="21" spans="2:22" hidden="1">
      <c r="B21" s="76" t="s">
        <v>4076</v>
      </c>
      <c r="E21" t="s">
        <v>4369</v>
      </c>
      <c r="F21" t="s">
        <v>4410</v>
      </c>
      <c r="L21" s="91" t="s">
        <v>4366</v>
      </c>
      <c r="M21" t="s">
        <v>4392</v>
      </c>
      <c r="N21" t="s">
        <v>4411</v>
      </c>
      <c r="O21" t="s">
        <v>4412</v>
      </c>
      <c r="P21" t="s">
        <v>4413</v>
      </c>
      <c r="Q21" t="s">
        <v>4414</v>
      </c>
      <c r="R21" t="s">
        <v>4415</v>
      </c>
      <c r="S21" t="s">
        <v>4416</v>
      </c>
      <c r="T21" t="s">
        <v>4417</v>
      </c>
      <c r="U21" t="s">
        <v>4418</v>
      </c>
      <c r="V21" s="92" t="s">
        <v>4419</v>
      </c>
    </row>
    <row r="22" spans="2:22" hidden="1">
      <c r="B22" s="76" t="s">
        <v>4082</v>
      </c>
      <c r="E22" t="s">
        <v>4369</v>
      </c>
      <c r="F22" t="s">
        <v>4420</v>
      </c>
      <c r="L22" s="91" t="s">
        <v>4367</v>
      </c>
      <c r="M22" t="s">
        <v>4395</v>
      </c>
      <c r="N22" t="s">
        <v>4421</v>
      </c>
      <c r="O22" t="s">
        <v>4422</v>
      </c>
      <c r="P22" t="s">
        <v>4423</v>
      </c>
      <c r="Q22" t="s">
        <v>4424</v>
      </c>
      <c r="R22" t="s">
        <v>4425</v>
      </c>
      <c r="S22" t="s">
        <v>4426</v>
      </c>
      <c r="T22" t="s">
        <v>4427</v>
      </c>
      <c r="U22" t="s">
        <v>4428</v>
      </c>
      <c r="V22" s="92" t="s">
        <v>4429</v>
      </c>
    </row>
    <row r="23" spans="2:22" hidden="1">
      <c r="B23" s="76" t="s">
        <v>4089</v>
      </c>
      <c r="E23" t="s">
        <v>4369</v>
      </c>
      <c r="F23" t="s">
        <v>4430</v>
      </c>
      <c r="L23" s="91" t="s">
        <v>4371</v>
      </c>
      <c r="M23" t="s">
        <v>4397</v>
      </c>
      <c r="N23" t="s">
        <v>4431</v>
      </c>
      <c r="O23" t="s">
        <v>4432</v>
      </c>
      <c r="P23" t="s">
        <v>4433</v>
      </c>
      <c r="Q23" t="s">
        <v>4434</v>
      </c>
      <c r="R23" t="s">
        <v>4435</v>
      </c>
      <c r="S23" t="s">
        <v>4436</v>
      </c>
      <c r="T23" t="s">
        <v>4437</v>
      </c>
      <c r="U23" t="s">
        <v>4438</v>
      </c>
      <c r="V23" s="92" t="s">
        <v>4439</v>
      </c>
    </row>
    <row r="24" spans="2:22" hidden="1">
      <c r="B24" s="78" t="s">
        <v>4091</v>
      </c>
      <c r="E24" t="s">
        <v>4369</v>
      </c>
      <c r="F24" t="s">
        <v>4440</v>
      </c>
      <c r="L24" s="91" t="s">
        <v>4373</v>
      </c>
      <c r="M24" t="s">
        <v>4399</v>
      </c>
      <c r="N24" t="s">
        <v>4441</v>
      </c>
      <c r="O24" t="s">
        <v>4442</v>
      </c>
      <c r="P24" t="s">
        <v>4443</v>
      </c>
      <c r="Q24" t="s">
        <v>4444</v>
      </c>
      <c r="R24" t="s">
        <v>4445</v>
      </c>
      <c r="S24" t="s">
        <v>4446</v>
      </c>
      <c r="T24" t="s">
        <v>4447</v>
      </c>
      <c r="U24" t="s">
        <v>4448</v>
      </c>
      <c r="V24" s="92" t="s">
        <v>4449</v>
      </c>
    </row>
    <row r="25" spans="2:22" hidden="1">
      <c r="E25" t="s">
        <v>4369</v>
      </c>
      <c r="F25" t="s">
        <v>4450</v>
      </c>
      <c r="L25" s="91" t="s">
        <v>4375</v>
      </c>
      <c r="M25" t="s">
        <v>4400</v>
      </c>
      <c r="N25" t="s">
        <v>4451</v>
      </c>
      <c r="P25" t="s">
        <v>4452</v>
      </c>
      <c r="Q25" t="s">
        <v>4453</v>
      </c>
      <c r="R25" t="s">
        <v>4454</v>
      </c>
      <c r="S25" t="s">
        <v>4455</v>
      </c>
      <c r="T25" t="s">
        <v>4456</v>
      </c>
      <c r="U25" t="s">
        <v>4457</v>
      </c>
      <c r="V25" s="92"/>
    </row>
    <row r="26" spans="2:22" hidden="1">
      <c r="E26" t="s">
        <v>4369</v>
      </c>
      <c r="F26" t="s">
        <v>4458</v>
      </c>
      <c r="L26" s="91" t="s">
        <v>4378</v>
      </c>
      <c r="M26" t="s">
        <v>4410</v>
      </c>
      <c r="N26" t="s">
        <v>4459</v>
      </c>
      <c r="P26" t="s">
        <v>4460</v>
      </c>
      <c r="Q26" t="s">
        <v>4461</v>
      </c>
      <c r="R26" t="s">
        <v>4462</v>
      </c>
      <c r="S26" t="s">
        <v>4463</v>
      </c>
      <c r="T26" t="s">
        <v>4464</v>
      </c>
      <c r="U26" t="s">
        <v>4465</v>
      </c>
      <c r="V26" s="92"/>
    </row>
    <row r="27" spans="2:22" hidden="1">
      <c r="E27" t="s">
        <v>4369</v>
      </c>
      <c r="F27" t="s">
        <v>4466</v>
      </c>
      <c r="L27" s="91" t="s">
        <v>4381</v>
      </c>
      <c r="M27" t="s">
        <v>4420</v>
      </c>
      <c r="N27" t="s">
        <v>4467</v>
      </c>
      <c r="P27" t="s">
        <v>4468</v>
      </c>
      <c r="Q27" t="s">
        <v>4469</v>
      </c>
      <c r="R27" t="s">
        <v>4470</v>
      </c>
      <c r="S27" t="s">
        <v>4471</v>
      </c>
      <c r="T27" t="s">
        <v>4472</v>
      </c>
      <c r="U27" t="s">
        <v>4473</v>
      </c>
      <c r="V27" s="92"/>
    </row>
    <row r="28" spans="2:22" hidden="1">
      <c r="E28" t="s">
        <v>4369</v>
      </c>
      <c r="F28" t="s">
        <v>4474</v>
      </c>
      <c r="L28" s="91" t="s">
        <v>4383</v>
      </c>
      <c r="M28" t="s">
        <v>4430</v>
      </c>
      <c r="N28" t="s">
        <v>4475</v>
      </c>
      <c r="P28" t="s">
        <v>4476</v>
      </c>
      <c r="Q28" t="s">
        <v>4477</v>
      </c>
      <c r="R28" t="s">
        <v>4478</v>
      </c>
      <c r="S28" t="s">
        <v>4479</v>
      </c>
      <c r="T28" t="s">
        <v>4480</v>
      </c>
      <c r="V28" s="92"/>
    </row>
    <row r="29" spans="2:22" hidden="1">
      <c r="E29" t="s">
        <v>4369</v>
      </c>
      <c r="F29" t="s">
        <v>4481</v>
      </c>
      <c r="L29" s="94" t="s">
        <v>4386</v>
      </c>
      <c r="M29" s="95" t="s">
        <v>4440</v>
      </c>
      <c r="N29" s="95" t="s">
        <v>4482</v>
      </c>
      <c r="O29" s="95"/>
      <c r="P29" s="95" t="s">
        <v>4483</v>
      </c>
      <c r="Q29" s="95" t="s">
        <v>4484</v>
      </c>
      <c r="R29" s="95" t="s">
        <v>4485</v>
      </c>
      <c r="S29" s="95" t="s">
        <v>4486</v>
      </c>
      <c r="T29" s="95" t="s">
        <v>4487</v>
      </c>
      <c r="U29" s="95"/>
      <c r="V29" s="96"/>
    </row>
    <row r="30" spans="2:22" hidden="1">
      <c r="E30" t="s">
        <v>4369</v>
      </c>
      <c r="F30" t="s">
        <v>4488</v>
      </c>
      <c r="M30" t="s">
        <v>4450</v>
      </c>
      <c r="N30" t="s">
        <v>4489</v>
      </c>
      <c r="P30" t="s">
        <v>4490</v>
      </c>
      <c r="R30" t="s">
        <v>4491</v>
      </c>
      <c r="S30" t="s">
        <v>4492</v>
      </c>
      <c r="T30" t="s">
        <v>4493</v>
      </c>
    </row>
    <row r="31" spans="2:22" hidden="1">
      <c r="E31" t="s">
        <v>4369</v>
      </c>
      <c r="F31" t="s">
        <v>4494</v>
      </c>
      <c r="M31" t="s">
        <v>4458</v>
      </c>
      <c r="N31" t="s">
        <v>4495</v>
      </c>
      <c r="P31" t="s">
        <v>4496</v>
      </c>
      <c r="R31" t="s">
        <v>4497</v>
      </c>
      <c r="S31" t="s">
        <v>4498</v>
      </c>
    </row>
    <row r="32" spans="2:22" hidden="1">
      <c r="E32" t="s">
        <v>4369</v>
      </c>
      <c r="F32" t="s">
        <v>4499</v>
      </c>
      <c r="M32" t="s">
        <v>4466</v>
      </c>
      <c r="P32" t="s">
        <v>4500</v>
      </c>
      <c r="R32" t="s">
        <v>4501</v>
      </c>
      <c r="S32" t="s">
        <v>4502</v>
      </c>
    </row>
    <row r="33" spans="5:18" hidden="1">
      <c r="E33" t="s">
        <v>4369</v>
      </c>
      <c r="F33" t="s">
        <v>4503</v>
      </c>
      <c r="M33" t="s">
        <v>4474</v>
      </c>
      <c r="R33" t="s">
        <v>4504</v>
      </c>
    </row>
    <row r="34" spans="5:18" hidden="1">
      <c r="E34" t="s">
        <v>4369</v>
      </c>
      <c r="F34" t="s">
        <v>4505</v>
      </c>
      <c r="M34" t="s">
        <v>4481</v>
      </c>
      <c r="R34" t="s">
        <v>4506</v>
      </c>
    </row>
    <row r="35" spans="5:18" hidden="1">
      <c r="E35" t="s">
        <v>4004</v>
      </c>
      <c r="F35" t="s">
        <v>4401</v>
      </c>
      <c r="M35" t="s">
        <v>4488</v>
      </c>
      <c r="R35" t="s">
        <v>4507</v>
      </c>
    </row>
    <row r="36" spans="5:18" hidden="1">
      <c r="E36" t="s">
        <v>4004</v>
      </c>
      <c r="F36" t="s">
        <v>4411</v>
      </c>
      <c r="M36" t="s">
        <v>4494</v>
      </c>
      <c r="R36" t="s">
        <v>4508</v>
      </c>
    </row>
    <row r="37" spans="5:18" hidden="1">
      <c r="E37" t="s">
        <v>4004</v>
      </c>
      <c r="F37" t="s">
        <v>4421</v>
      </c>
      <c r="M37" t="s">
        <v>4499</v>
      </c>
    </row>
    <row r="38" spans="5:18" hidden="1">
      <c r="E38" t="s">
        <v>4004</v>
      </c>
      <c r="F38" t="s">
        <v>4431</v>
      </c>
      <c r="M38" t="s">
        <v>4503</v>
      </c>
    </row>
    <row r="39" spans="5:18" hidden="1">
      <c r="E39" t="s">
        <v>4004</v>
      </c>
      <c r="F39" t="s">
        <v>4441</v>
      </c>
      <c r="M39" t="s">
        <v>4505</v>
      </c>
    </row>
    <row r="40" spans="5:18" hidden="1">
      <c r="E40" t="s">
        <v>4004</v>
      </c>
      <c r="F40" t="s">
        <v>4451</v>
      </c>
    </row>
    <row r="41" spans="5:18" hidden="1">
      <c r="E41" t="s">
        <v>4004</v>
      </c>
      <c r="F41" t="s">
        <v>4459</v>
      </c>
    </row>
    <row r="42" spans="5:18">
      <c r="E42" t="s">
        <v>4004</v>
      </c>
      <c r="F42" t="s">
        <v>4467</v>
      </c>
    </row>
    <row r="43" spans="5:18">
      <c r="E43" t="s">
        <v>4004</v>
      </c>
      <c r="F43" t="s">
        <v>4475</v>
      </c>
    </row>
    <row r="44" spans="5:18">
      <c r="E44" t="s">
        <v>4004</v>
      </c>
      <c r="F44" t="s">
        <v>4482</v>
      </c>
    </row>
    <row r="45" spans="5:18">
      <c r="E45" t="s">
        <v>4004</v>
      </c>
      <c r="F45" t="s">
        <v>4489</v>
      </c>
    </row>
    <row r="46" spans="5:18">
      <c r="E46" t="s">
        <v>4004</v>
      </c>
      <c r="F46" t="s">
        <v>4495</v>
      </c>
    </row>
    <row r="47" spans="5:18">
      <c r="E47" t="s">
        <v>4354</v>
      </c>
      <c r="F47" t="s">
        <v>4402</v>
      </c>
    </row>
    <row r="48" spans="5:18">
      <c r="E48" t="s">
        <v>4354</v>
      </c>
      <c r="F48" t="s">
        <v>4412</v>
      </c>
    </row>
    <row r="49" spans="5:6">
      <c r="E49" t="s">
        <v>4354</v>
      </c>
      <c r="F49" t="s">
        <v>4422</v>
      </c>
    </row>
    <row r="50" spans="5:6">
      <c r="E50" t="s">
        <v>4354</v>
      </c>
      <c r="F50" t="s">
        <v>4432</v>
      </c>
    </row>
    <row r="51" spans="5:6">
      <c r="E51" t="s">
        <v>4354</v>
      </c>
      <c r="F51" t="s">
        <v>4442</v>
      </c>
    </row>
    <row r="52" spans="5:6">
      <c r="E52" t="s">
        <v>4376</v>
      </c>
      <c r="F52" t="s">
        <v>4403</v>
      </c>
    </row>
    <row r="53" spans="5:6">
      <c r="E53" t="s">
        <v>4376</v>
      </c>
      <c r="F53" t="s">
        <v>4413</v>
      </c>
    </row>
    <row r="54" spans="5:6">
      <c r="E54" t="s">
        <v>4376</v>
      </c>
      <c r="F54" t="s">
        <v>4423</v>
      </c>
    </row>
    <row r="55" spans="5:6">
      <c r="E55" t="s">
        <v>4376</v>
      </c>
      <c r="F55" t="s">
        <v>4433</v>
      </c>
    </row>
    <row r="56" spans="5:6">
      <c r="E56" t="s">
        <v>4376</v>
      </c>
      <c r="F56" t="s">
        <v>4443</v>
      </c>
    </row>
    <row r="57" spans="5:6">
      <c r="E57" t="s">
        <v>4376</v>
      </c>
      <c r="F57" t="s">
        <v>4452</v>
      </c>
    </row>
    <row r="58" spans="5:6">
      <c r="E58" t="s">
        <v>4376</v>
      </c>
      <c r="F58" t="s">
        <v>4460</v>
      </c>
    </row>
    <row r="59" spans="5:6">
      <c r="E59" t="s">
        <v>4376</v>
      </c>
      <c r="F59" t="s">
        <v>4468</v>
      </c>
    </row>
    <row r="60" spans="5:6">
      <c r="E60" t="s">
        <v>4376</v>
      </c>
      <c r="F60" t="s">
        <v>4476</v>
      </c>
    </row>
    <row r="61" spans="5:6">
      <c r="E61" t="s">
        <v>4376</v>
      </c>
      <c r="F61" t="s">
        <v>4483</v>
      </c>
    </row>
    <row r="62" spans="5:6">
      <c r="E62" t="s">
        <v>4376</v>
      </c>
      <c r="F62" t="s">
        <v>4490</v>
      </c>
    </row>
    <row r="63" spans="5:6">
      <c r="E63" t="s">
        <v>4376</v>
      </c>
      <c r="F63" t="s">
        <v>4496</v>
      </c>
    </row>
    <row r="64" spans="5:6">
      <c r="E64" t="s">
        <v>4376</v>
      </c>
      <c r="F64" t="s">
        <v>4500</v>
      </c>
    </row>
    <row r="65" spans="5:6">
      <c r="E65" t="s">
        <v>4379</v>
      </c>
      <c r="F65" t="s">
        <v>4404</v>
      </c>
    </row>
    <row r="66" spans="5:6">
      <c r="E66" t="s">
        <v>4379</v>
      </c>
      <c r="F66" t="s">
        <v>4414</v>
      </c>
    </row>
    <row r="67" spans="5:6">
      <c r="E67" t="s">
        <v>4379</v>
      </c>
      <c r="F67" t="s">
        <v>4424</v>
      </c>
    </row>
    <row r="68" spans="5:6">
      <c r="E68" t="s">
        <v>4379</v>
      </c>
      <c r="F68" t="s">
        <v>4434</v>
      </c>
    </row>
    <row r="69" spans="5:6">
      <c r="E69" t="s">
        <v>4379</v>
      </c>
      <c r="F69" t="s">
        <v>4444</v>
      </c>
    </row>
    <row r="70" spans="5:6">
      <c r="E70" t="s">
        <v>4379</v>
      </c>
      <c r="F70" t="s">
        <v>4453</v>
      </c>
    </row>
    <row r="71" spans="5:6">
      <c r="E71" t="s">
        <v>4379</v>
      </c>
      <c r="F71" t="s">
        <v>4461</v>
      </c>
    </row>
    <row r="72" spans="5:6">
      <c r="E72" t="s">
        <v>4379</v>
      </c>
      <c r="F72" t="s">
        <v>4469</v>
      </c>
    </row>
    <row r="73" spans="5:6">
      <c r="E73" t="s">
        <v>4379</v>
      </c>
      <c r="F73" t="s">
        <v>4477</v>
      </c>
    </row>
    <row r="74" spans="5:6">
      <c r="E74" t="s">
        <v>4379</v>
      </c>
      <c r="F74" t="s">
        <v>4484</v>
      </c>
    </row>
    <row r="75" spans="5:6">
      <c r="E75" t="s">
        <v>4382</v>
      </c>
      <c r="F75" t="s">
        <v>4405</v>
      </c>
    </row>
    <row r="76" spans="5:6">
      <c r="E76" t="s">
        <v>4382</v>
      </c>
      <c r="F76" t="s">
        <v>4415</v>
      </c>
    </row>
    <row r="77" spans="5:6">
      <c r="E77" t="s">
        <v>4382</v>
      </c>
      <c r="F77" t="s">
        <v>4425</v>
      </c>
    </row>
    <row r="78" spans="5:6">
      <c r="E78" t="s">
        <v>4382</v>
      </c>
      <c r="F78" t="s">
        <v>4435</v>
      </c>
    </row>
    <row r="79" spans="5:6">
      <c r="E79" t="s">
        <v>4382</v>
      </c>
      <c r="F79" t="s">
        <v>4445</v>
      </c>
    </row>
    <row r="80" spans="5:6">
      <c r="E80" t="s">
        <v>4382</v>
      </c>
      <c r="F80" t="s">
        <v>4454</v>
      </c>
    </row>
    <row r="81" spans="5:6">
      <c r="E81" t="s">
        <v>4382</v>
      </c>
      <c r="F81" t="s">
        <v>4462</v>
      </c>
    </row>
    <row r="82" spans="5:6">
      <c r="E82" t="s">
        <v>4382</v>
      </c>
      <c r="F82" t="s">
        <v>4470</v>
      </c>
    </row>
    <row r="83" spans="5:6">
      <c r="E83" t="s">
        <v>4382</v>
      </c>
      <c r="F83" t="s">
        <v>4478</v>
      </c>
    </row>
    <row r="84" spans="5:6">
      <c r="E84" t="s">
        <v>4382</v>
      </c>
      <c r="F84" t="s">
        <v>4485</v>
      </c>
    </row>
    <row r="85" spans="5:6">
      <c r="E85" t="s">
        <v>4382</v>
      </c>
      <c r="F85" t="s">
        <v>4491</v>
      </c>
    </row>
    <row r="86" spans="5:6">
      <c r="E86" t="s">
        <v>4382</v>
      </c>
      <c r="F86" t="s">
        <v>4497</v>
      </c>
    </row>
    <row r="87" spans="5:6">
      <c r="E87" t="s">
        <v>4382</v>
      </c>
      <c r="F87" t="s">
        <v>4501</v>
      </c>
    </row>
    <row r="88" spans="5:6">
      <c r="E88" t="s">
        <v>4382</v>
      </c>
      <c r="F88" t="s">
        <v>4504</v>
      </c>
    </row>
    <row r="89" spans="5:6">
      <c r="E89" t="s">
        <v>4382</v>
      </c>
      <c r="F89" t="s">
        <v>4506</v>
      </c>
    </row>
    <row r="90" spans="5:6">
      <c r="E90" t="s">
        <v>4382</v>
      </c>
      <c r="F90" t="s">
        <v>4507</v>
      </c>
    </row>
    <row r="91" spans="5:6">
      <c r="E91" t="s">
        <v>4382</v>
      </c>
      <c r="F91" t="s">
        <v>4508</v>
      </c>
    </row>
    <row r="92" spans="5:6">
      <c r="E92" t="s">
        <v>4384</v>
      </c>
      <c r="F92" t="s">
        <v>4406</v>
      </c>
    </row>
    <row r="93" spans="5:6">
      <c r="E93" t="s">
        <v>4384</v>
      </c>
      <c r="F93" t="s">
        <v>4416</v>
      </c>
    </row>
    <row r="94" spans="5:6">
      <c r="E94" t="s">
        <v>4384</v>
      </c>
      <c r="F94" t="s">
        <v>4426</v>
      </c>
    </row>
    <row r="95" spans="5:6">
      <c r="E95" t="s">
        <v>4384</v>
      </c>
      <c r="F95" t="s">
        <v>4436</v>
      </c>
    </row>
    <row r="96" spans="5:6">
      <c r="E96" t="s">
        <v>4384</v>
      </c>
      <c r="F96" t="s">
        <v>4446</v>
      </c>
    </row>
    <row r="97" spans="5:6">
      <c r="E97" t="s">
        <v>4384</v>
      </c>
      <c r="F97" t="s">
        <v>4455</v>
      </c>
    </row>
    <row r="98" spans="5:6">
      <c r="E98" t="s">
        <v>4384</v>
      </c>
      <c r="F98" t="s">
        <v>4463</v>
      </c>
    </row>
    <row r="99" spans="5:6">
      <c r="E99" t="s">
        <v>4384</v>
      </c>
      <c r="F99" t="s">
        <v>4471</v>
      </c>
    </row>
    <row r="100" spans="5:6">
      <c r="E100" t="s">
        <v>4384</v>
      </c>
      <c r="F100" t="s">
        <v>4479</v>
      </c>
    </row>
    <row r="101" spans="5:6">
      <c r="E101" t="s">
        <v>4384</v>
      </c>
      <c r="F101" t="s">
        <v>4486</v>
      </c>
    </row>
    <row r="102" spans="5:6">
      <c r="E102" t="s">
        <v>4384</v>
      </c>
      <c r="F102" t="s">
        <v>4492</v>
      </c>
    </row>
    <row r="103" spans="5:6">
      <c r="E103" t="s">
        <v>4384</v>
      </c>
      <c r="F103" t="s">
        <v>4498</v>
      </c>
    </row>
    <row r="104" spans="5:6">
      <c r="E104" t="s">
        <v>4384</v>
      </c>
      <c r="F104" t="s">
        <v>4502</v>
      </c>
    </row>
    <row r="105" spans="5:6">
      <c r="E105" t="s">
        <v>4387</v>
      </c>
      <c r="F105" t="s">
        <v>4407</v>
      </c>
    </row>
    <row r="106" spans="5:6">
      <c r="E106" t="s">
        <v>4387</v>
      </c>
      <c r="F106" t="s">
        <v>4417</v>
      </c>
    </row>
    <row r="107" spans="5:6">
      <c r="E107" t="s">
        <v>4387</v>
      </c>
      <c r="F107" t="s">
        <v>4427</v>
      </c>
    </row>
    <row r="108" spans="5:6">
      <c r="E108" t="s">
        <v>4387</v>
      </c>
      <c r="F108" t="s">
        <v>4437</v>
      </c>
    </row>
    <row r="109" spans="5:6">
      <c r="E109" t="s">
        <v>4387</v>
      </c>
      <c r="F109" t="s">
        <v>4447</v>
      </c>
    </row>
    <row r="110" spans="5:6">
      <c r="E110" t="s">
        <v>4387</v>
      </c>
      <c r="F110" t="s">
        <v>4456</v>
      </c>
    </row>
    <row r="111" spans="5:6">
      <c r="E111" t="s">
        <v>4387</v>
      </c>
      <c r="F111" t="s">
        <v>4464</v>
      </c>
    </row>
    <row r="112" spans="5:6">
      <c r="E112" t="s">
        <v>4387</v>
      </c>
      <c r="F112" t="s">
        <v>4472</v>
      </c>
    </row>
    <row r="113" spans="5:6">
      <c r="E113" t="s">
        <v>4387</v>
      </c>
      <c r="F113" t="s">
        <v>4480</v>
      </c>
    </row>
    <row r="114" spans="5:6">
      <c r="E114" t="s">
        <v>4387</v>
      </c>
      <c r="F114" t="s">
        <v>4487</v>
      </c>
    </row>
    <row r="115" spans="5:6">
      <c r="E115" t="s">
        <v>4387</v>
      </c>
      <c r="F115" t="s">
        <v>4493</v>
      </c>
    </row>
    <row r="116" spans="5:6">
      <c r="E116" t="s">
        <v>4390</v>
      </c>
      <c r="F116" t="s">
        <v>4408</v>
      </c>
    </row>
    <row r="117" spans="5:6">
      <c r="E117" t="s">
        <v>4390</v>
      </c>
      <c r="F117" t="s">
        <v>4418</v>
      </c>
    </row>
    <row r="118" spans="5:6">
      <c r="E118" t="s">
        <v>4390</v>
      </c>
      <c r="F118" t="s">
        <v>4428</v>
      </c>
    </row>
    <row r="119" spans="5:6">
      <c r="E119" t="s">
        <v>4390</v>
      </c>
      <c r="F119" t="s">
        <v>4438</v>
      </c>
    </row>
    <row r="120" spans="5:6">
      <c r="E120" t="s">
        <v>4390</v>
      </c>
      <c r="F120" t="s">
        <v>4448</v>
      </c>
    </row>
    <row r="121" spans="5:6">
      <c r="E121" t="s">
        <v>4390</v>
      </c>
      <c r="F121" t="s">
        <v>4457</v>
      </c>
    </row>
    <row r="122" spans="5:6">
      <c r="E122" t="s">
        <v>4390</v>
      </c>
      <c r="F122" t="s">
        <v>4465</v>
      </c>
    </row>
    <row r="123" spans="5:6">
      <c r="E123" t="s">
        <v>4390</v>
      </c>
      <c r="F123" t="s">
        <v>4473</v>
      </c>
    </row>
    <row r="124" spans="5:6">
      <c r="E124" t="s">
        <v>4393</v>
      </c>
      <c r="F124" t="s">
        <v>4409</v>
      </c>
    </row>
    <row r="125" spans="5:6">
      <c r="E125" t="s">
        <v>4393</v>
      </c>
      <c r="F125" t="s">
        <v>4419</v>
      </c>
    </row>
    <row r="126" spans="5:6">
      <c r="E126" t="s">
        <v>4393</v>
      </c>
      <c r="F126" t="s">
        <v>4429</v>
      </c>
    </row>
    <row r="127" spans="5:6">
      <c r="E127" t="s">
        <v>4393</v>
      </c>
      <c r="F127" t="s">
        <v>4439</v>
      </c>
    </row>
    <row r="128" spans="5:6">
      <c r="E128" t="s">
        <v>4393</v>
      </c>
      <c r="F128" t="s">
        <v>4449</v>
      </c>
    </row>
  </sheetData>
  <mergeCells count="3">
    <mergeCell ref="K2:K3"/>
    <mergeCell ref="L2:P2"/>
    <mergeCell ref="Q2:A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topLeftCell="A12" zoomScale="50" workbookViewId="0">
      <selection activeCell="D67" sqref="D67"/>
    </sheetView>
  </sheetViews>
  <sheetFormatPr defaultColWidth="10.42578125" defaultRowHeight="13.9"/>
  <cols>
    <col min="1" max="1" width="40.140625" style="22" bestFit="1" customWidth="1"/>
    <col min="2" max="5" width="13.42578125" style="22" customWidth="1"/>
    <col min="6" max="6" width="13.140625" style="22" customWidth="1"/>
    <col min="7" max="9" width="13.85546875" style="22" customWidth="1"/>
    <col min="10" max="10" width="14.140625" style="22" customWidth="1"/>
    <col min="11" max="11" width="15.140625" style="24" customWidth="1"/>
    <col min="12" max="12" width="17" style="24" customWidth="1"/>
    <col min="13" max="13" width="14.140625" style="22" customWidth="1"/>
    <col min="14" max="14" width="21.42578125" style="22" bestFit="1" customWidth="1"/>
    <col min="15" max="15" width="32.140625" style="22" customWidth="1"/>
    <col min="16" max="16" width="11.42578125" style="22" customWidth="1"/>
    <col min="17" max="23" width="0" style="22" hidden="1" customWidth="1"/>
    <col min="24" max="24" width="15.42578125" style="22" bestFit="1" customWidth="1"/>
    <col min="25" max="25" width="17.42578125" style="22" bestFit="1" customWidth="1"/>
    <col min="26" max="33" width="0" style="22" hidden="1" customWidth="1"/>
    <col min="34" max="16384" width="10.42578125" style="22"/>
  </cols>
  <sheetData>
    <row r="1" spans="1:33">
      <c r="B1" s="49"/>
      <c r="C1" s="49"/>
      <c r="D1" s="49"/>
      <c r="E1" s="49"/>
      <c r="F1" s="49"/>
      <c r="G1" s="49"/>
      <c r="H1" s="49"/>
      <c r="I1" s="49"/>
      <c r="J1" s="49"/>
      <c r="K1" s="49"/>
      <c r="L1" s="49"/>
      <c r="M1" s="49"/>
      <c r="N1"/>
      <c r="O1"/>
    </row>
    <row r="2" spans="1:33">
      <c r="G2" s="1249" t="s">
        <v>4509</v>
      </c>
      <c r="H2" s="1249"/>
      <c r="I2" s="1249"/>
      <c r="J2" s="1249"/>
      <c r="K2" s="25"/>
      <c r="L2" s="25"/>
      <c r="M2" s="25"/>
      <c r="N2" s="25"/>
      <c r="O2" s="25"/>
    </row>
    <row r="3" spans="1:33">
      <c r="G3" s="22" t="s">
        <v>4510</v>
      </c>
      <c r="H3" s="22" t="e" vm="1">
        <v>#VALUE!</v>
      </c>
      <c r="M3"/>
      <c r="N3"/>
      <c r="O3"/>
    </row>
    <row r="4" spans="1:33">
      <c r="D4" s="1249" t="s">
        <v>4511</v>
      </c>
      <c r="E4" s="1249"/>
      <c r="F4" s="1249"/>
      <c r="G4" s="1249"/>
      <c r="H4" s="1249"/>
      <c r="I4" s="1249"/>
      <c r="J4" s="1249"/>
      <c r="K4" s="1249"/>
      <c r="L4" s="1249"/>
      <c r="M4" s="1249"/>
      <c r="N4"/>
      <c r="O4"/>
    </row>
    <row r="5" spans="1:33">
      <c r="A5" s="49" t="s">
        <v>4512</v>
      </c>
      <c r="B5" s="370">
        <v>2023</v>
      </c>
      <c r="C5" s="370">
        <f>B5-1</f>
        <v>2022</v>
      </c>
      <c r="D5" s="370">
        <f t="shared" ref="D5:M5" si="0">C5-1</f>
        <v>2021</v>
      </c>
      <c r="E5" s="370">
        <f t="shared" si="0"/>
        <v>2020</v>
      </c>
      <c r="F5" s="370">
        <f t="shared" si="0"/>
        <v>2019</v>
      </c>
      <c r="G5" s="370">
        <f t="shared" si="0"/>
        <v>2018</v>
      </c>
      <c r="H5" s="370">
        <f t="shared" si="0"/>
        <v>2017</v>
      </c>
      <c r="I5" s="370">
        <f t="shared" si="0"/>
        <v>2016</v>
      </c>
      <c r="J5" s="370">
        <f t="shared" si="0"/>
        <v>2015</v>
      </c>
      <c r="K5" s="370">
        <f t="shared" si="0"/>
        <v>2014</v>
      </c>
      <c r="L5" s="370">
        <f t="shared" si="0"/>
        <v>2013</v>
      </c>
      <c r="M5" s="370">
        <f t="shared" si="0"/>
        <v>2012</v>
      </c>
      <c r="N5"/>
      <c r="O5"/>
      <c r="Q5" s="10" t="s">
        <v>4513</v>
      </c>
      <c r="R5" s="1250" t="s">
        <v>4514</v>
      </c>
      <c r="S5" s="1250"/>
      <c r="T5" s="22" t="s">
        <v>4515</v>
      </c>
      <c r="Z5" s="49">
        <v>2016</v>
      </c>
      <c r="AA5" s="49">
        <v>2015</v>
      </c>
      <c r="AB5" s="49">
        <v>2014</v>
      </c>
      <c r="AC5" s="49">
        <v>2013</v>
      </c>
      <c r="AD5" s="49">
        <v>2012</v>
      </c>
      <c r="AE5" s="49">
        <v>2011</v>
      </c>
      <c r="AF5" s="49">
        <v>2010</v>
      </c>
      <c r="AG5" s="49">
        <v>2009</v>
      </c>
    </row>
    <row r="6" spans="1:33">
      <c r="A6" s="26" t="s">
        <v>126</v>
      </c>
      <c r="B6" s="282">
        <v>26640</v>
      </c>
      <c r="C6" s="282">
        <v>26485</v>
      </c>
      <c r="D6" s="282">
        <v>26042</v>
      </c>
      <c r="E6" s="282">
        <v>26185</v>
      </c>
      <c r="F6" s="282">
        <v>24977</v>
      </c>
      <c r="G6" s="282">
        <v>26268</v>
      </c>
      <c r="H6" s="371">
        <v>26076</v>
      </c>
      <c r="I6" s="282">
        <v>26300</v>
      </c>
      <c r="J6" s="282">
        <v>18338</v>
      </c>
      <c r="K6" s="282">
        <v>10922</v>
      </c>
      <c r="L6" s="282">
        <v>6240</v>
      </c>
      <c r="M6" s="282">
        <v>11508</v>
      </c>
      <c r="N6" s="28" t="s">
        <v>4516</v>
      </c>
      <c r="O6" t="s">
        <v>4517</v>
      </c>
      <c r="P6"/>
      <c r="Q6" s="22" t="s">
        <v>4518</v>
      </c>
      <c r="R6" s="22" t="s">
        <v>4518</v>
      </c>
      <c r="X6" s="29"/>
      <c r="Y6" s="29"/>
      <c r="Z6" s="27">
        <v>38537</v>
      </c>
      <c r="AA6" s="27">
        <v>47011</v>
      </c>
      <c r="AB6" s="27">
        <v>55184</v>
      </c>
      <c r="AC6" s="27">
        <v>55656</v>
      </c>
      <c r="AD6" s="27">
        <v>65875</v>
      </c>
      <c r="AE6" s="27">
        <v>60138</v>
      </c>
      <c r="AF6" s="27">
        <v>42588</v>
      </c>
      <c r="AG6" s="27">
        <v>32396</v>
      </c>
    </row>
    <row r="7" spans="1:33">
      <c r="A7" s="26" t="s">
        <v>4306</v>
      </c>
      <c r="B7" s="282">
        <v>8983</v>
      </c>
      <c r="C7" s="282">
        <v>8235</v>
      </c>
      <c r="D7" s="282">
        <v>8699</v>
      </c>
      <c r="E7" s="282">
        <v>9157</v>
      </c>
      <c r="F7" s="282">
        <v>8195</v>
      </c>
      <c r="G7" s="282">
        <v>9119</v>
      </c>
      <c r="H7" s="372">
        <v>9497</v>
      </c>
      <c r="I7" s="373">
        <v>9845</v>
      </c>
      <c r="J7" s="282">
        <v>5761</v>
      </c>
      <c r="K7" s="282">
        <v>3631</v>
      </c>
      <c r="L7" s="282">
        <v>1652</v>
      </c>
      <c r="M7" s="282">
        <v>3995</v>
      </c>
      <c r="N7" s="28" t="s">
        <v>4516</v>
      </c>
      <c r="O7" t="str">
        <f>+A7</f>
        <v>Gross Profit</v>
      </c>
      <c r="P7"/>
      <c r="Q7" s="22" t="s">
        <v>4518</v>
      </c>
      <c r="R7" s="22" t="s">
        <v>4519</v>
      </c>
      <c r="Z7" s="31">
        <f>Z6-28044</f>
        <v>10493</v>
      </c>
      <c r="AA7" s="31">
        <f>AA6-33546</f>
        <v>13465</v>
      </c>
      <c r="AB7" s="31">
        <f>AB6-40718</f>
        <v>14466</v>
      </c>
      <c r="AC7" s="31">
        <f>AC6-40727</f>
        <v>14929</v>
      </c>
      <c r="AD7" s="32">
        <f>+AD6-47055</f>
        <v>18820</v>
      </c>
      <c r="AE7" s="32">
        <f>+AE6-43578</f>
        <v>16560</v>
      </c>
      <c r="AF7" s="32">
        <f>+AF6-30367</f>
        <v>12221</v>
      </c>
      <c r="AG7" s="32">
        <f>+AG6-23886</f>
        <v>8510</v>
      </c>
    </row>
    <row r="8" spans="1:33">
      <c r="A8" s="26" t="s">
        <v>290</v>
      </c>
      <c r="B8" s="282">
        <v>4576</v>
      </c>
      <c r="C8" s="282">
        <v>3659</v>
      </c>
      <c r="D8" s="282">
        <v>3503</v>
      </c>
      <c r="E8" s="282">
        <v>2109</v>
      </c>
      <c r="F8" s="282">
        <v>3064</v>
      </c>
      <c r="G8" s="282">
        <v>-10368</v>
      </c>
      <c r="H8" s="372">
        <v>6773</v>
      </c>
      <c r="I8" s="373">
        <v>5581</v>
      </c>
      <c r="J8" s="373">
        <v>2639</v>
      </c>
      <c r="K8" s="373">
        <v>1568</v>
      </c>
      <c r="L8" s="373">
        <v>-8</v>
      </c>
      <c r="M8" s="373">
        <v>1503</v>
      </c>
      <c r="N8" s="28" t="s">
        <v>4516</v>
      </c>
      <c r="O8" t="s">
        <v>290</v>
      </c>
      <c r="P8"/>
      <c r="Q8" s="22" t="s">
        <v>4518</v>
      </c>
      <c r="R8" s="33" t="s">
        <v>4520</v>
      </c>
      <c r="Z8" s="31">
        <f>Z7-4383</f>
        <v>6110</v>
      </c>
      <c r="AA8" s="31">
        <f>AA7-4951</f>
        <v>8514</v>
      </c>
      <c r="AB8" s="31">
        <f>AB7-6529</f>
        <v>7937</v>
      </c>
      <c r="AC8" s="31">
        <f>AC7-5547</f>
        <v>9382</v>
      </c>
      <c r="AD8" s="32">
        <f>AD7-5919-2466-797-580-485</f>
        <v>8573</v>
      </c>
      <c r="AE8" s="32">
        <f>+AE7-5203-2297-826-1081</f>
        <v>7153</v>
      </c>
      <c r="AF8" s="32">
        <f>+AF7-4248-1905-914-1191</f>
        <v>3963</v>
      </c>
      <c r="AG8" s="32">
        <f>+AG7-3645-1421-1045-1822</f>
        <v>577</v>
      </c>
    </row>
    <row r="9" spans="1:33">
      <c r="A9" s="26" t="s">
        <v>4310</v>
      </c>
      <c r="B9" s="282">
        <v>27</v>
      </c>
      <c r="C9" s="282">
        <v>-253</v>
      </c>
      <c r="D9" s="282">
        <v>-295</v>
      </c>
      <c r="E9" s="282">
        <v>-296</v>
      </c>
      <c r="F9" s="282">
        <v>-952</v>
      </c>
      <c r="G9" s="282">
        <v>-168</v>
      </c>
      <c r="H9" s="282">
        <v>9</v>
      </c>
      <c r="I9" s="282">
        <v>-15</v>
      </c>
      <c r="J9" s="282">
        <v>305</v>
      </c>
      <c r="K9" s="282">
        <v>-127</v>
      </c>
      <c r="L9" s="282">
        <v>101</v>
      </c>
      <c r="M9" s="282">
        <v>-25</v>
      </c>
      <c r="N9" s="28" t="s">
        <v>4516</v>
      </c>
      <c r="O9" t="s">
        <v>4521</v>
      </c>
      <c r="P9"/>
      <c r="Q9" s="22" t="s">
        <v>4518</v>
      </c>
      <c r="R9" s="22" t="s">
        <v>4522</v>
      </c>
      <c r="S9" s="22" t="s">
        <v>4523</v>
      </c>
      <c r="T9" s="22" t="s">
        <v>4524</v>
      </c>
      <c r="U9" s="22" t="s">
        <v>4525</v>
      </c>
      <c r="V9" s="22" t="s">
        <v>4526</v>
      </c>
      <c r="Z9" s="31">
        <f>1853+596+595+1904+6+8</f>
        <v>4962</v>
      </c>
      <c r="AA9" s="31">
        <f>2119+587+2023+11</f>
        <v>4740</v>
      </c>
      <c r="AB9" s="31">
        <f>2380+624+1619-8+16</f>
        <v>4631</v>
      </c>
      <c r="AC9" s="31">
        <f>2046+727+981+6+14</f>
        <v>3774</v>
      </c>
      <c r="AD9" s="32">
        <f>-14+41</f>
        <v>27</v>
      </c>
      <c r="AE9" s="31">
        <v>53</v>
      </c>
      <c r="AF9" s="31">
        <f>58+24</f>
        <v>82</v>
      </c>
      <c r="AG9" s="31">
        <f>12-68</f>
        <v>-56</v>
      </c>
    </row>
    <row r="10" spans="1:33">
      <c r="A10" s="26" t="s">
        <v>291</v>
      </c>
      <c r="B10" s="282">
        <v>907</v>
      </c>
      <c r="C10" s="282">
        <v>951</v>
      </c>
      <c r="D10" s="282">
        <v>1867</v>
      </c>
      <c r="E10" s="282">
        <v>1299</v>
      </c>
      <c r="F10" s="282">
        <v>1353</v>
      </c>
      <c r="G10" s="282">
        <v>1163</v>
      </c>
      <c r="H10" s="372">
        <v>1283</v>
      </c>
      <c r="I10" s="373">
        <v>667</v>
      </c>
      <c r="J10" s="282">
        <v>1334</v>
      </c>
      <c r="K10" s="282">
        <v>907</v>
      </c>
      <c r="L10" s="282">
        <v>200</v>
      </c>
      <c r="M10" s="282">
        <v>359</v>
      </c>
      <c r="N10" s="28" t="s">
        <v>4516</v>
      </c>
      <c r="O10" t="s">
        <v>4527</v>
      </c>
      <c r="P10"/>
      <c r="Q10" s="22" t="s">
        <v>4518</v>
      </c>
      <c r="R10" s="22" t="s">
        <v>4528</v>
      </c>
      <c r="Z10" s="31">
        <f>505+518</f>
        <v>1023</v>
      </c>
      <c r="AA10" s="31">
        <f>507-161</f>
        <v>346</v>
      </c>
      <c r="AB10" s="31">
        <f>484-322</f>
        <v>162</v>
      </c>
      <c r="AC10" s="31">
        <f>465+35</f>
        <v>500</v>
      </c>
      <c r="AD10" s="32">
        <f>467-130</f>
        <v>337</v>
      </c>
      <c r="AE10" s="31">
        <f>396+32</f>
        <v>428</v>
      </c>
      <c r="AF10" s="31">
        <f>343-130</f>
        <v>213</v>
      </c>
      <c r="AG10" s="31">
        <f>389-381</f>
        <v>8</v>
      </c>
    </row>
    <row r="11" spans="1:33">
      <c r="A11" s="26" t="s">
        <v>292</v>
      </c>
      <c r="B11" s="282">
        <v>787</v>
      </c>
      <c r="C11" s="282">
        <v>598</v>
      </c>
      <c r="D11" s="282">
        <v>919</v>
      </c>
      <c r="E11" s="282">
        <v>750</v>
      </c>
      <c r="F11" s="282">
        <v>728</v>
      </c>
      <c r="G11" s="282">
        <v>-1171</v>
      </c>
      <c r="H11" s="372">
        <v>-5460</v>
      </c>
      <c r="I11" s="373">
        <v>1333</v>
      </c>
      <c r="J11" s="282">
        <v>366</v>
      </c>
      <c r="K11" s="282">
        <v>131</v>
      </c>
      <c r="L11" s="282">
        <v>-232</v>
      </c>
      <c r="M11" s="282">
        <v>245</v>
      </c>
      <c r="N11" s="28" t="s">
        <v>4516</v>
      </c>
      <c r="O11" t="s">
        <v>292</v>
      </c>
      <c r="P11"/>
      <c r="Q11" s="22" t="s">
        <v>4518</v>
      </c>
      <c r="R11" s="22" t="s">
        <v>4529</v>
      </c>
      <c r="Z11" s="27">
        <v>192</v>
      </c>
      <c r="AA11" s="27">
        <v>916</v>
      </c>
      <c r="AB11" s="27">
        <v>692</v>
      </c>
      <c r="AC11" s="27">
        <v>1319</v>
      </c>
      <c r="AD11" s="30">
        <f>2528</f>
        <v>2528</v>
      </c>
      <c r="AE11" s="27">
        <f>1720</f>
        <v>1720</v>
      </c>
      <c r="AF11" s="27">
        <f>968</f>
        <v>968</v>
      </c>
      <c r="AG11" s="27">
        <f>-270</f>
        <v>-270</v>
      </c>
    </row>
    <row r="12" spans="1:33">
      <c r="A12" s="26" t="s">
        <v>69</v>
      </c>
      <c r="B12" s="282">
        <v>2855</v>
      </c>
      <c r="C12" s="282">
        <v>2363</v>
      </c>
      <c r="D12" s="282">
        <v>1012</v>
      </c>
      <c r="E12" s="282">
        <v>356</v>
      </c>
      <c r="F12" s="282">
        <v>1935</v>
      </c>
      <c r="G12" s="282">
        <v>-10192</v>
      </c>
      <c r="H12" s="371">
        <v>10941</v>
      </c>
      <c r="I12" s="282">
        <v>3596</v>
      </c>
      <c r="J12" s="282">
        <v>634</v>
      </c>
      <c r="K12" s="282">
        <v>657</v>
      </c>
      <c r="L12" s="282">
        <v>-77</v>
      </c>
      <c r="M12" s="282">
        <v>924</v>
      </c>
      <c r="N12" s="28" t="s">
        <v>4516</v>
      </c>
      <c r="O12" t="s">
        <v>69</v>
      </c>
      <c r="P12"/>
      <c r="Q12" s="22" t="s">
        <v>4530</v>
      </c>
      <c r="R12" s="22" t="s">
        <v>4531</v>
      </c>
      <c r="Z12" s="27">
        <v>-67</v>
      </c>
      <c r="AA12" s="27">
        <v>2512</v>
      </c>
      <c r="AB12" s="27">
        <v>2452</v>
      </c>
      <c r="AC12" s="27">
        <v>3789</v>
      </c>
      <c r="AD12" s="27">
        <v>5681</v>
      </c>
      <c r="AE12" s="27">
        <f>4928+24</f>
        <v>4952</v>
      </c>
      <c r="AF12" s="27">
        <v>2700</v>
      </c>
      <c r="AG12" s="27">
        <v>895</v>
      </c>
    </row>
    <row r="13" spans="1:33">
      <c r="B13" s="374">
        <f>B8-B9-B10-B11</f>
        <v>2855</v>
      </c>
      <c r="C13" s="374">
        <f t="shared" ref="C13:M13" si="1">C8-C9-C10-C11</f>
        <v>2363</v>
      </c>
      <c r="D13" s="374">
        <f t="shared" si="1"/>
        <v>1012</v>
      </c>
      <c r="E13" s="374">
        <f t="shared" si="1"/>
        <v>356</v>
      </c>
      <c r="F13" s="374">
        <f t="shared" si="1"/>
        <v>1935</v>
      </c>
      <c r="G13" s="374">
        <f t="shared" si="1"/>
        <v>-10192</v>
      </c>
      <c r="H13" s="374">
        <f t="shared" si="1"/>
        <v>10941</v>
      </c>
      <c r="I13" s="374">
        <f t="shared" si="1"/>
        <v>3596</v>
      </c>
      <c r="J13" s="374">
        <f t="shared" si="1"/>
        <v>634</v>
      </c>
      <c r="K13" s="374">
        <f t="shared" si="1"/>
        <v>657</v>
      </c>
      <c r="L13" s="374">
        <f t="shared" si="1"/>
        <v>-77</v>
      </c>
      <c r="M13" s="374">
        <f t="shared" si="1"/>
        <v>924</v>
      </c>
      <c r="N13"/>
      <c r="O13"/>
      <c r="P13"/>
      <c r="Z13" s="24">
        <f t="shared" ref="Z13:AG13" si="2">Z8-Z10-Z9-Z11</f>
        <v>-67</v>
      </c>
      <c r="AA13" s="24">
        <f t="shared" si="2"/>
        <v>2512</v>
      </c>
      <c r="AB13" s="24">
        <f t="shared" si="2"/>
        <v>2452</v>
      </c>
      <c r="AC13" s="24">
        <f t="shared" si="2"/>
        <v>3789</v>
      </c>
      <c r="AD13" s="24">
        <f t="shared" si="2"/>
        <v>5681</v>
      </c>
      <c r="AE13" s="24">
        <f t="shared" si="2"/>
        <v>4952</v>
      </c>
      <c r="AF13" s="24">
        <f t="shared" si="2"/>
        <v>2700</v>
      </c>
      <c r="AG13" s="24">
        <f t="shared" si="2"/>
        <v>895</v>
      </c>
    </row>
    <row r="14" spans="1:33">
      <c r="A14" s="49" t="s">
        <v>4532</v>
      </c>
      <c r="B14" s="375">
        <f>B12-B13</f>
        <v>0</v>
      </c>
      <c r="C14" s="375">
        <f t="shared" ref="C14:M14" si="3">C12-C13</f>
        <v>0</v>
      </c>
      <c r="D14" s="375">
        <f t="shared" si="3"/>
        <v>0</v>
      </c>
      <c r="E14" s="375">
        <f t="shared" si="3"/>
        <v>0</v>
      </c>
      <c r="F14" s="375">
        <f t="shared" si="3"/>
        <v>0</v>
      </c>
      <c r="G14" s="375">
        <f t="shared" si="3"/>
        <v>0</v>
      </c>
      <c r="H14" s="375">
        <f t="shared" si="3"/>
        <v>0</v>
      </c>
      <c r="I14" s="375">
        <f t="shared" si="3"/>
        <v>0</v>
      </c>
      <c r="J14" s="375">
        <f t="shared" si="3"/>
        <v>0</v>
      </c>
      <c r="K14" s="375">
        <f t="shared" si="3"/>
        <v>0</v>
      </c>
      <c r="L14" s="375">
        <f t="shared" si="3"/>
        <v>0</v>
      </c>
      <c r="M14" s="375">
        <f t="shared" si="3"/>
        <v>0</v>
      </c>
      <c r="N14"/>
      <c r="O14"/>
      <c r="P14"/>
      <c r="Z14" s="35">
        <f t="shared" ref="Z14:AG14" si="4">Z12-Z13</f>
        <v>0</v>
      </c>
      <c r="AA14" s="35">
        <f t="shared" si="4"/>
        <v>0</v>
      </c>
      <c r="AB14" s="35">
        <f t="shared" si="4"/>
        <v>0</v>
      </c>
      <c r="AC14" s="35">
        <f t="shared" si="4"/>
        <v>0</v>
      </c>
      <c r="AD14" s="35">
        <f t="shared" si="4"/>
        <v>0</v>
      </c>
      <c r="AE14" s="35">
        <f t="shared" si="4"/>
        <v>0</v>
      </c>
      <c r="AF14" s="35">
        <f t="shared" si="4"/>
        <v>0</v>
      </c>
      <c r="AG14" s="35">
        <f t="shared" si="4"/>
        <v>0</v>
      </c>
    </row>
    <row r="15" spans="1:33">
      <c r="A15"/>
      <c r="B15" s="379"/>
      <c r="C15" s="379"/>
      <c r="D15" s="379"/>
      <c r="E15" s="379"/>
      <c r="F15" s="379"/>
      <c r="G15" s="379"/>
      <c r="H15" s="379"/>
      <c r="I15" s="379"/>
      <c r="J15" s="379"/>
      <c r="K15" s="379"/>
      <c r="L15" s="379"/>
      <c r="M15" s="379"/>
      <c r="N15"/>
      <c r="O15"/>
      <c r="P15"/>
      <c r="Z15" s="27"/>
      <c r="AA15" s="27"/>
      <c r="AB15" s="27"/>
      <c r="AC15" s="27"/>
      <c r="AD15" s="27"/>
      <c r="AE15" s="27"/>
      <c r="AF15" s="27"/>
      <c r="AG15" s="27"/>
    </row>
    <row r="16" spans="1:33">
      <c r="A16" s="26" t="s">
        <v>4533</v>
      </c>
      <c r="B16" s="376" t="s">
        <v>4534</v>
      </c>
      <c r="C16" s="376" t="s">
        <v>4535</v>
      </c>
      <c r="D16" s="376" t="s">
        <v>4536</v>
      </c>
      <c r="E16" s="376" t="s">
        <v>4537</v>
      </c>
      <c r="F16" s="376" t="s">
        <v>4538</v>
      </c>
      <c r="G16" s="376" t="s">
        <v>4539</v>
      </c>
      <c r="H16" s="377" t="s">
        <v>4540</v>
      </c>
      <c r="I16" s="376" t="s">
        <v>4541</v>
      </c>
      <c r="J16" s="376" t="s">
        <v>4542</v>
      </c>
      <c r="K16" s="376" t="s">
        <v>4543</v>
      </c>
      <c r="L16" s="376" t="s">
        <v>4543</v>
      </c>
      <c r="M16" s="376" t="s">
        <v>4543</v>
      </c>
      <c r="N16" s="28"/>
      <c r="O16"/>
      <c r="P16"/>
      <c r="Z16" s="27"/>
      <c r="AA16" s="27"/>
      <c r="AB16" s="27"/>
      <c r="AC16" s="27"/>
      <c r="AD16" s="27"/>
      <c r="AE16" s="27"/>
      <c r="AF16" s="27"/>
      <c r="AG16" s="27"/>
    </row>
    <row r="17" spans="1:152">
      <c r="A17" s="26" t="s">
        <v>4544</v>
      </c>
      <c r="B17" s="376" t="s">
        <v>4545</v>
      </c>
      <c r="C17" s="376" t="s">
        <v>4545</v>
      </c>
      <c r="D17" s="376" t="s">
        <v>4546</v>
      </c>
      <c r="E17" s="376" t="s">
        <v>4547</v>
      </c>
      <c r="F17" s="376" t="s">
        <v>4536</v>
      </c>
      <c r="G17" s="376" t="s">
        <v>4539</v>
      </c>
      <c r="H17" s="377" t="s">
        <v>4547</v>
      </c>
      <c r="I17" s="376" t="s">
        <v>4535</v>
      </c>
      <c r="J17" s="376" t="s">
        <v>4542</v>
      </c>
      <c r="K17" s="376" t="s">
        <v>4543</v>
      </c>
      <c r="L17" s="376" t="s">
        <v>4543</v>
      </c>
      <c r="M17" s="376" t="s">
        <v>4543</v>
      </c>
      <c r="N17" s="28"/>
      <c r="O17"/>
      <c r="P17"/>
      <c r="Z17" s="27"/>
      <c r="AA17" s="27"/>
      <c r="AB17" s="27"/>
      <c r="AC17" s="27"/>
      <c r="AD17" s="27"/>
      <c r="AE17" s="27"/>
      <c r="AF17" s="27"/>
      <c r="AG17" s="27"/>
    </row>
    <row r="18" spans="1:152" customFormat="1" ht="13.15">
      <c r="B18" s="379"/>
      <c r="C18" s="379"/>
      <c r="D18" s="379"/>
      <c r="E18" s="379"/>
      <c r="F18" s="379"/>
      <c r="G18" s="379"/>
      <c r="H18" s="379"/>
      <c r="I18" s="379"/>
      <c r="J18" s="379"/>
      <c r="K18" s="379"/>
      <c r="L18" s="379"/>
      <c r="M18" s="379"/>
    </row>
    <row r="19" spans="1:152">
      <c r="A19" s="26" t="s">
        <v>4548</v>
      </c>
      <c r="B19" s="282">
        <v>-73</v>
      </c>
      <c r="C19" s="282">
        <v>106</v>
      </c>
      <c r="D19" s="282">
        <v>101</v>
      </c>
      <c r="E19" s="282">
        <v>-162</v>
      </c>
      <c r="F19" s="282">
        <v>-10</v>
      </c>
      <c r="G19" s="282">
        <v>-166</v>
      </c>
      <c r="H19" s="371"/>
      <c r="I19" s="282"/>
      <c r="J19" s="282"/>
      <c r="K19" s="282"/>
      <c r="L19" s="282"/>
      <c r="M19" s="282"/>
      <c r="N19" s="28"/>
      <c r="O19"/>
      <c r="P19"/>
      <c r="Z19" s="27"/>
      <c r="AA19" s="27"/>
      <c r="AB19" s="27"/>
      <c r="AC19" s="27"/>
      <c r="AD19" s="27"/>
      <c r="AE19" s="27"/>
      <c r="AF19" s="27"/>
      <c r="AG19" s="27"/>
    </row>
    <row r="20" spans="1:152">
      <c r="A20" s="10" t="s">
        <v>4549</v>
      </c>
      <c r="B20" s="282">
        <v>3054</v>
      </c>
      <c r="C20" s="282">
        <v>1375</v>
      </c>
      <c r="D20" s="282">
        <v>1173</v>
      </c>
      <c r="E20" s="282">
        <v>283</v>
      </c>
      <c r="F20" s="282">
        <v>1861</v>
      </c>
      <c r="G20" s="282">
        <v>-11157</v>
      </c>
      <c r="H20" s="371">
        <v>11570</v>
      </c>
      <c r="I20" s="282">
        <v>2691</v>
      </c>
      <c r="J20" s="282">
        <v>524</v>
      </c>
      <c r="K20" s="282">
        <v>-141</v>
      </c>
      <c r="L20" s="282">
        <v>149</v>
      </c>
      <c r="M20" s="282">
        <v>682</v>
      </c>
      <c r="N20" s="28"/>
      <c r="O20"/>
      <c r="P20"/>
      <c r="Z20" s="27"/>
      <c r="AA20" s="27"/>
      <c r="AB20" s="27"/>
      <c r="AC20" s="27"/>
      <c r="AD20" s="27"/>
      <c r="AE20" s="27"/>
      <c r="AF20" s="27"/>
      <c r="AG20" s="27"/>
    </row>
    <row r="21" spans="1:152" customFormat="1" ht="13.15">
      <c r="B21" s="379"/>
      <c r="C21" s="379"/>
      <c r="D21" s="379"/>
      <c r="E21" s="379"/>
      <c r="F21" s="379"/>
      <c r="G21" s="379"/>
      <c r="H21" s="379"/>
      <c r="I21" s="379"/>
      <c r="J21" s="379"/>
      <c r="K21" s="379"/>
      <c r="L21" s="379"/>
      <c r="M21" s="379"/>
    </row>
    <row r="22" spans="1:152">
      <c r="A22" s="22" t="s">
        <v>4311</v>
      </c>
      <c r="B22" s="374">
        <f t="shared" ref="B22:J22" si="5">B23-C23</f>
        <v>663</v>
      </c>
      <c r="C22" s="374">
        <f t="shared" si="5"/>
        <v>1344</v>
      </c>
      <c r="D22" s="374">
        <f>D23-E23</f>
        <v>-2859</v>
      </c>
      <c r="E22" s="374">
        <f t="shared" si="5"/>
        <v>1401</v>
      </c>
      <c r="F22" s="374">
        <f t="shared" si="5"/>
        <v>-2499</v>
      </c>
      <c r="G22" s="374">
        <f t="shared" si="5"/>
        <v>5024</v>
      </c>
      <c r="H22" s="374">
        <f t="shared" si="5"/>
        <v>370</v>
      </c>
      <c r="I22" s="374">
        <f>I23-J23</f>
        <v>-2963</v>
      </c>
      <c r="J22" s="374">
        <f t="shared" si="5"/>
        <v>-1514</v>
      </c>
      <c r="K22" s="374">
        <f>K23-L23</f>
        <v>-535</v>
      </c>
      <c r="L22" s="374">
        <f>L23-M23</f>
        <v>60</v>
      </c>
      <c r="M22" s="374">
        <f>M23-N23</f>
        <v>0</v>
      </c>
      <c r="N22" s="34" t="s">
        <v>4550</v>
      </c>
      <c r="O22" t="s">
        <v>4551</v>
      </c>
      <c r="P22"/>
      <c r="Q22" s="22" t="s">
        <v>4530</v>
      </c>
      <c r="Z22" s="27"/>
      <c r="AA22" s="27"/>
      <c r="AB22" s="27"/>
      <c r="AC22" s="27"/>
      <c r="AD22" s="30"/>
      <c r="AE22" s="27"/>
      <c r="AF22" s="27"/>
      <c r="AG22" s="27"/>
    </row>
    <row r="23" spans="1:152">
      <c r="A23" s="26" t="s">
        <v>4552</v>
      </c>
      <c r="B23" s="282">
        <f t="shared" ref="B23" si="6">B27-B42-B28</f>
        <v>-1508</v>
      </c>
      <c r="C23" s="282">
        <f t="shared" ref="C23:M23" si="7">C27-C42-C28</f>
        <v>-2171</v>
      </c>
      <c r="D23" s="282">
        <f t="shared" si="7"/>
        <v>-3515</v>
      </c>
      <c r="E23" s="282">
        <f t="shared" si="7"/>
        <v>-656</v>
      </c>
      <c r="F23" s="282">
        <f t="shared" si="7"/>
        <v>-2057</v>
      </c>
      <c r="G23" s="282">
        <f t="shared" si="7"/>
        <v>442</v>
      </c>
      <c r="H23" s="282">
        <f t="shared" si="7"/>
        <v>-4582</v>
      </c>
      <c r="I23" s="282">
        <f t="shared" si="7"/>
        <v>-4952</v>
      </c>
      <c r="J23" s="282">
        <f t="shared" si="7"/>
        <v>-1989</v>
      </c>
      <c r="K23" s="282">
        <f t="shared" si="7"/>
        <v>-475</v>
      </c>
      <c r="L23" s="282">
        <f t="shared" si="7"/>
        <v>60</v>
      </c>
      <c r="M23" s="282">
        <f t="shared" si="7"/>
        <v>0</v>
      </c>
      <c r="N23" s="34"/>
      <c r="O23"/>
      <c r="P23"/>
      <c r="Z23" s="27"/>
      <c r="AA23" s="27"/>
      <c r="AB23" s="27"/>
      <c r="AC23" s="27"/>
      <c r="AD23" s="30"/>
      <c r="AE23" s="27"/>
      <c r="AF23" s="27"/>
      <c r="AG23" s="27"/>
    </row>
    <row r="24" spans="1:152">
      <c r="A24" s="7">
        <v>2625</v>
      </c>
      <c r="B24" s="380"/>
      <c r="C24" s="380">
        <v>2625</v>
      </c>
      <c r="D24" s="380">
        <v>2625</v>
      </c>
      <c r="E24" s="380">
        <v>2625</v>
      </c>
      <c r="F24" s="380">
        <v>2625</v>
      </c>
      <c r="G24" s="380">
        <v>2625</v>
      </c>
      <c r="H24" s="380">
        <v>2625</v>
      </c>
      <c r="I24" s="380">
        <v>2625</v>
      </c>
      <c r="J24" s="380">
        <v>2625</v>
      </c>
      <c r="K24" s="380">
        <v>2625</v>
      </c>
      <c r="L24" s="380">
        <v>2625</v>
      </c>
      <c r="M24" s="380">
        <v>2625</v>
      </c>
      <c r="N24" s="7">
        <v>2625</v>
      </c>
      <c r="O24"/>
      <c r="P24"/>
      <c r="Q24" s="22" t="s">
        <v>4530</v>
      </c>
      <c r="R24" s="22" t="s">
        <v>4553</v>
      </c>
      <c r="T24" s="22" t="s">
        <v>4554</v>
      </c>
      <c r="Z24" s="27">
        <v>1799</v>
      </c>
      <c r="AA24" s="27">
        <v>1757</v>
      </c>
      <c r="AB24" s="27">
        <v>1620</v>
      </c>
      <c r="AC24" s="27">
        <v>1111</v>
      </c>
      <c r="AD24" s="27">
        <v>1617</v>
      </c>
      <c r="AE24" s="27">
        <v>1159</v>
      </c>
      <c r="AF24" s="27">
        <v>1084</v>
      </c>
      <c r="AG24" s="27">
        <v>1029</v>
      </c>
    </row>
    <row r="25" spans="1:152">
      <c r="A25" s="49" t="s">
        <v>4168</v>
      </c>
      <c r="B25" s="380">
        <v>2625</v>
      </c>
      <c r="C25" s="380">
        <v>2625</v>
      </c>
      <c r="D25" s="380">
        <v>2625</v>
      </c>
      <c r="E25" s="380">
        <v>2625</v>
      </c>
      <c r="F25" s="380">
        <v>2625</v>
      </c>
      <c r="G25" s="380">
        <v>2625</v>
      </c>
      <c r="H25" s="380">
        <v>2625</v>
      </c>
      <c r="I25" s="380">
        <v>2625</v>
      </c>
      <c r="J25" s="380">
        <v>2625</v>
      </c>
      <c r="K25" s="380">
        <v>2625</v>
      </c>
      <c r="L25" s="380">
        <v>2625</v>
      </c>
      <c r="M25" s="380">
        <v>2625</v>
      </c>
      <c r="N25" s="7">
        <v>2625</v>
      </c>
      <c r="O25"/>
      <c r="P25"/>
      <c r="Q25" s="22" t="s">
        <v>4530</v>
      </c>
      <c r="R25" s="22" t="s">
        <v>4555</v>
      </c>
      <c r="S25" s="22" t="s">
        <v>4556</v>
      </c>
      <c r="T25" s="22" t="s">
        <v>4557</v>
      </c>
      <c r="Z25" s="27">
        <v>23</v>
      </c>
      <c r="AA25" s="27">
        <f>-33+2025</f>
        <v>1992</v>
      </c>
      <c r="AB25" s="27">
        <v>3817</v>
      </c>
      <c r="AC25" s="27">
        <v>1776</v>
      </c>
      <c r="AD25" s="27">
        <v>-244</v>
      </c>
      <c r="AE25" s="27">
        <v>-312</v>
      </c>
      <c r="AF25" s="27">
        <v>-449</v>
      </c>
      <c r="AG25" s="27">
        <v>-110</v>
      </c>
    </row>
    <row r="26" spans="1:152">
      <c r="A26" s="104" t="s">
        <v>4558</v>
      </c>
      <c r="B26" s="446"/>
      <c r="C26" s="446"/>
      <c r="D26" s="446"/>
      <c r="E26" s="446"/>
      <c r="F26" s="446"/>
      <c r="G26" s="446"/>
      <c r="H26" s="446"/>
      <c r="I26" s="446"/>
      <c r="J26" s="446"/>
      <c r="K26" s="446"/>
      <c r="L26" s="446"/>
      <c r="M26" s="446"/>
      <c r="N26" s="7">
        <v>1922</v>
      </c>
      <c r="O26" s="7">
        <v>2625</v>
      </c>
      <c r="P26"/>
      <c r="Z26" s="27"/>
      <c r="AA26" s="27"/>
      <c r="AB26" s="27"/>
      <c r="AC26" s="27"/>
      <c r="AD26" s="27"/>
      <c r="AE26" s="27"/>
      <c r="AF26" s="27"/>
      <c r="AG26" s="27"/>
    </row>
    <row r="27" spans="1:152">
      <c r="A27" s="10" t="s">
        <v>4559</v>
      </c>
      <c r="B27" s="281">
        <v>7929</v>
      </c>
      <c r="C27" s="281">
        <v>7897</v>
      </c>
      <c r="D27" s="281">
        <v>8994</v>
      </c>
      <c r="E27" s="281">
        <v>10822</v>
      </c>
      <c r="F27" s="281">
        <v>8097</v>
      </c>
      <c r="G27" s="281">
        <v>9075</v>
      </c>
      <c r="H27" s="281">
        <v>7201</v>
      </c>
      <c r="I27" s="281">
        <v>8753</v>
      </c>
      <c r="J27" s="281">
        <v>9780</v>
      </c>
      <c r="K27" s="281">
        <v>4915</v>
      </c>
      <c r="L27" s="281">
        <v>5444</v>
      </c>
      <c r="M27" s="281"/>
      <c r="N27" s="7" t="s">
        <v>4560</v>
      </c>
      <c r="O27" s="7"/>
      <c r="P27"/>
      <c r="Z27" s="27"/>
      <c r="AA27" s="27"/>
      <c r="AB27" s="27"/>
      <c r="AC27" s="27"/>
      <c r="AD27" s="27"/>
      <c r="AE27" s="27"/>
      <c r="AF27" s="27"/>
      <c r="AG27" s="27"/>
    </row>
    <row r="28" spans="1:152">
      <c r="A28" s="101" t="s">
        <v>295</v>
      </c>
      <c r="B28" s="282">
        <v>1400</v>
      </c>
      <c r="C28" s="282">
        <v>1040</v>
      </c>
      <c r="D28" s="282">
        <v>3445</v>
      </c>
      <c r="E28" s="282">
        <v>3417</v>
      </c>
      <c r="F28" s="282">
        <v>2279</v>
      </c>
      <c r="G28" s="282">
        <v>1130</v>
      </c>
      <c r="H28" s="282">
        <v>1629</v>
      </c>
      <c r="I28" s="282">
        <v>4204</v>
      </c>
      <c r="J28" s="282">
        <v>4837</v>
      </c>
      <c r="K28" s="282">
        <v>2298</v>
      </c>
      <c r="L28" s="282">
        <v>2459</v>
      </c>
      <c r="M28" s="282"/>
      <c r="N28" s="37" t="s">
        <v>4561</v>
      </c>
      <c r="O28" t="s">
        <v>295</v>
      </c>
      <c r="P28"/>
      <c r="Z28" s="36"/>
      <c r="AA28" s="36"/>
      <c r="AB28" s="36"/>
      <c r="AC28" s="36"/>
      <c r="AD28" s="36"/>
      <c r="AE28" s="35"/>
      <c r="AF28" s="35"/>
      <c r="AG28" s="35"/>
    </row>
    <row r="29" spans="1:152">
      <c r="A29" s="102" t="s">
        <v>4320</v>
      </c>
      <c r="B29" s="282">
        <v>2112</v>
      </c>
      <c r="C29" s="282">
        <v>2120</v>
      </c>
      <c r="D29" s="282">
        <v>1957</v>
      </c>
      <c r="E29" s="282">
        <v>2063</v>
      </c>
      <c r="F29" s="282">
        <v>1973</v>
      </c>
      <c r="G29" s="282">
        <v>2129</v>
      </c>
      <c r="H29" s="282">
        <v>921</v>
      </c>
      <c r="I29" s="282">
        <v>769</v>
      </c>
      <c r="J29" s="282">
        <v>871</v>
      </c>
      <c r="K29" s="282">
        <v>690</v>
      </c>
      <c r="L29" s="282">
        <v>1100</v>
      </c>
      <c r="M29" s="282"/>
      <c r="N29" s="37" t="s">
        <v>4561</v>
      </c>
      <c r="O29" t="s">
        <v>4320</v>
      </c>
      <c r="P29"/>
      <c r="Z29" s="36"/>
      <c r="AA29" s="36"/>
      <c r="AB29" s="36"/>
      <c r="AC29" s="36"/>
      <c r="AD29" s="36"/>
      <c r="AE29" s="35"/>
      <c r="AF29" s="35"/>
      <c r="AG29" s="35"/>
    </row>
    <row r="30" spans="1:152">
      <c r="A30" s="101" t="s">
        <v>297</v>
      </c>
      <c r="B30" s="282">
        <v>3614</v>
      </c>
      <c r="C30" s="282">
        <v>3651</v>
      </c>
      <c r="D30" s="282">
        <v>2729</v>
      </c>
      <c r="E30" s="282">
        <v>2554</v>
      </c>
      <c r="F30" s="282">
        <v>2721</v>
      </c>
      <c r="G30" s="282">
        <v>2667</v>
      </c>
      <c r="H30" s="282">
        <v>2760</v>
      </c>
      <c r="I30" s="282">
        <v>2684</v>
      </c>
      <c r="J30" s="282">
        <v>2618</v>
      </c>
      <c r="K30" s="282">
        <v>1185</v>
      </c>
      <c r="L30" s="282">
        <v>1435</v>
      </c>
      <c r="M30" s="282"/>
      <c r="N30" s="37" t="s">
        <v>4561</v>
      </c>
      <c r="O30" t="s">
        <v>297</v>
      </c>
      <c r="P30"/>
      <c r="Q30" s="22" t="s">
        <v>4562</v>
      </c>
      <c r="R30" s="22" t="s">
        <v>4563</v>
      </c>
      <c r="Z30" s="27">
        <v>7168</v>
      </c>
      <c r="AA30" s="27">
        <v>6460</v>
      </c>
      <c r="AB30" s="27">
        <v>7341</v>
      </c>
      <c r="AC30" s="27">
        <v>6081</v>
      </c>
      <c r="AD30" s="27">
        <v>5490</v>
      </c>
      <c r="AE30" s="27">
        <v>3057</v>
      </c>
      <c r="AF30" s="27">
        <v>3592</v>
      </c>
      <c r="AG30" s="27">
        <v>4867</v>
      </c>
    </row>
    <row r="31" spans="1:152" s="23" customFormat="1">
      <c r="A31" s="101" t="s">
        <v>4564</v>
      </c>
      <c r="B31" s="282">
        <f t="shared" ref="B31" si="8">B27-SUM(B28:B30)</f>
        <v>803</v>
      </c>
      <c r="C31" s="282">
        <f t="shared" ref="C31:M31" si="9">C27-SUM(C28:C30)</f>
        <v>1086</v>
      </c>
      <c r="D31" s="282">
        <f t="shared" si="9"/>
        <v>863</v>
      </c>
      <c r="E31" s="282">
        <f t="shared" si="9"/>
        <v>2788</v>
      </c>
      <c r="F31" s="282">
        <f t="shared" si="9"/>
        <v>1124</v>
      </c>
      <c r="G31" s="282">
        <f t="shared" si="9"/>
        <v>3149</v>
      </c>
      <c r="H31" s="282">
        <f t="shared" si="9"/>
        <v>1891</v>
      </c>
      <c r="I31" s="282">
        <f t="shared" si="9"/>
        <v>1096</v>
      </c>
      <c r="J31" s="282">
        <f t="shared" si="9"/>
        <v>1454</v>
      </c>
      <c r="K31" s="282">
        <f t="shared" si="9"/>
        <v>742</v>
      </c>
      <c r="L31" s="282">
        <f t="shared" si="9"/>
        <v>450</v>
      </c>
      <c r="M31" s="282">
        <f t="shared" si="9"/>
        <v>0</v>
      </c>
      <c r="N31" s="37" t="s">
        <v>4561</v>
      </c>
      <c r="O31" t="s">
        <v>297</v>
      </c>
      <c r="P31"/>
      <c r="Q31" s="22" t="s">
        <v>4562</v>
      </c>
      <c r="R31" s="22" t="s">
        <v>4565</v>
      </c>
      <c r="S31" s="22" t="s">
        <v>4566</v>
      </c>
      <c r="T31" s="22" t="s">
        <v>4567</v>
      </c>
      <c r="U31" s="22"/>
      <c r="V31" s="22"/>
      <c r="W31" s="22"/>
      <c r="X31" s="22"/>
      <c r="Y31" s="22"/>
      <c r="Z31" s="31">
        <f>5981+8522+1029+13556</f>
        <v>29088</v>
      </c>
      <c r="AA31" s="31">
        <f>6695+8991+1170+13651</f>
        <v>30507</v>
      </c>
      <c r="AB31" s="31">
        <f>7737+9027+1364+14644</f>
        <v>32772</v>
      </c>
      <c r="AC31" s="31">
        <v>33499</v>
      </c>
      <c r="AD31" s="31">
        <v>33911</v>
      </c>
      <c r="AE31" s="31">
        <v>31031</v>
      </c>
      <c r="AF31" s="31">
        <v>28849</v>
      </c>
      <c r="AG31" s="31">
        <v>27162</v>
      </c>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s="23" customFormat="1">
      <c r="A32" s="10" t="s">
        <v>4568</v>
      </c>
      <c r="B32" s="281">
        <f t="shared" ref="B32:M32" si="10">B38-B27</f>
        <v>82410</v>
      </c>
      <c r="C32" s="281">
        <f t="shared" si="10"/>
        <v>82616</v>
      </c>
      <c r="D32" s="281">
        <f t="shared" si="10"/>
        <v>84400</v>
      </c>
      <c r="E32" s="281">
        <f t="shared" si="10"/>
        <v>89008</v>
      </c>
      <c r="F32" s="281">
        <f t="shared" si="10"/>
        <v>93353</v>
      </c>
      <c r="G32" s="281">
        <f t="shared" si="10"/>
        <v>94386</v>
      </c>
      <c r="H32" s="281">
        <f t="shared" si="10"/>
        <v>112891</v>
      </c>
      <c r="I32" s="281">
        <f t="shared" si="10"/>
        <v>111727</v>
      </c>
      <c r="J32" s="281">
        <f t="shared" si="10"/>
        <v>113193</v>
      </c>
      <c r="K32" s="281">
        <f t="shared" si="10"/>
        <v>31656</v>
      </c>
      <c r="L32" s="281">
        <f t="shared" si="10"/>
        <v>33528</v>
      </c>
      <c r="M32" s="281">
        <f t="shared" si="10"/>
        <v>0</v>
      </c>
      <c r="N32" s="37"/>
      <c r="O32"/>
      <c r="P32"/>
      <c r="Q32" s="22"/>
      <c r="R32" s="22"/>
      <c r="S32" s="22"/>
      <c r="T32" s="22"/>
      <c r="U32" s="22"/>
      <c r="V32" s="22"/>
      <c r="W32" s="22"/>
      <c r="X32" s="22"/>
      <c r="Y32" s="22"/>
      <c r="Z32" s="31"/>
      <c r="AA32" s="31"/>
      <c r="AB32" s="31"/>
      <c r="AC32" s="31"/>
      <c r="AD32" s="31"/>
      <c r="AE32" s="31"/>
      <c r="AF32" s="31"/>
      <c r="AG32" s="31"/>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row>
    <row r="33" spans="1:33">
      <c r="A33" s="103" t="s">
        <v>4321</v>
      </c>
      <c r="B33" s="282">
        <v>7696</v>
      </c>
      <c r="C33" s="282">
        <v>7408</v>
      </c>
      <c r="D33" s="282">
        <v>7375</v>
      </c>
      <c r="E33" s="282">
        <v>7438</v>
      </c>
      <c r="F33" s="282">
        <v>7597</v>
      </c>
      <c r="G33" s="282">
        <v>7078</v>
      </c>
      <c r="H33" s="282">
        <v>7061</v>
      </c>
      <c r="I33" s="282">
        <v>6688</v>
      </c>
      <c r="J33" s="282">
        <v>6524</v>
      </c>
      <c r="K33" s="282">
        <v>2365</v>
      </c>
      <c r="L33" s="282">
        <v>2663</v>
      </c>
      <c r="M33" s="282"/>
      <c r="N33" s="37"/>
      <c r="O33"/>
      <c r="P33"/>
      <c r="Q33" s="22" t="s">
        <v>4562</v>
      </c>
      <c r="R33" s="22" t="s">
        <v>4569</v>
      </c>
      <c r="Z33" s="27">
        <v>8614</v>
      </c>
      <c r="AA33" s="27">
        <v>9700</v>
      </c>
      <c r="AB33" s="27">
        <v>12205</v>
      </c>
      <c r="AC33" s="27">
        <v>12625</v>
      </c>
      <c r="AD33" s="27">
        <v>15547</v>
      </c>
      <c r="AE33" s="27">
        <v>14544</v>
      </c>
      <c r="AF33" s="27">
        <v>9587</v>
      </c>
      <c r="AG33" s="27">
        <v>6360</v>
      </c>
    </row>
    <row r="34" spans="1:33">
      <c r="A34" s="103" t="s">
        <v>4570</v>
      </c>
      <c r="B34" s="282">
        <v>617</v>
      </c>
      <c r="C34" s="282">
        <v>710</v>
      </c>
      <c r="D34" s="282">
        <v>617</v>
      </c>
      <c r="E34" s="282">
        <v>610</v>
      </c>
      <c r="F34" s="282">
        <v>601</v>
      </c>
      <c r="G34" s="282">
        <v>694</v>
      </c>
      <c r="H34" s="282">
        <v>0</v>
      </c>
      <c r="I34" s="282">
        <v>474</v>
      </c>
      <c r="J34" s="282">
        <v>738</v>
      </c>
      <c r="K34" s="282">
        <v>0</v>
      </c>
      <c r="L34" s="282">
        <v>0</v>
      </c>
      <c r="M34" s="282"/>
      <c r="N34" s="37"/>
      <c r="O34"/>
      <c r="P34"/>
      <c r="Z34" s="27"/>
      <c r="AA34" s="27"/>
      <c r="AB34" s="27"/>
      <c r="AC34" s="27"/>
      <c r="AD34" s="27"/>
      <c r="AE34" s="27"/>
      <c r="AF34" s="27"/>
      <c r="AG34" s="27"/>
    </row>
    <row r="35" spans="1:33">
      <c r="A35" s="103" t="s">
        <v>4571</v>
      </c>
      <c r="B35" s="282"/>
      <c r="C35" s="282"/>
      <c r="D35" s="282"/>
      <c r="E35" s="282"/>
      <c r="F35" s="282"/>
      <c r="G35" s="282"/>
      <c r="H35" s="282"/>
      <c r="I35" s="282"/>
      <c r="J35" s="282"/>
      <c r="K35" s="282"/>
      <c r="L35" s="282"/>
      <c r="M35" s="282"/>
      <c r="N35" s="37"/>
      <c r="O35"/>
      <c r="P35"/>
      <c r="Z35" s="27"/>
      <c r="AA35" s="27"/>
      <c r="AB35" s="27"/>
      <c r="AC35" s="27"/>
      <c r="AD35" s="27"/>
      <c r="AE35" s="27"/>
      <c r="AF35" s="27"/>
      <c r="AG35" s="27"/>
    </row>
    <row r="36" spans="1:33">
      <c r="A36" s="103" t="s">
        <v>4572</v>
      </c>
      <c r="B36" s="282">
        <f t="shared" ref="B36" si="11">B32-SUM(B33:B35)</f>
        <v>74097</v>
      </c>
      <c r="C36" s="282">
        <f t="shared" ref="C36" si="12">C32-SUM(C33:C35)</f>
        <v>74498</v>
      </c>
      <c r="D36" s="282">
        <f t="shared" ref="D36" si="13">D32-SUM(D33:D35)</f>
        <v>76408</v>
      </c>
      <c r="E36" s="282">
        <f>E32-SUM(E33:E35)</f>
        <v>80960</v>
      </c>
      <c r="F36" s="282">
        <f t="shared" ref="F36" si="14">F32-SUM(F33:F35)</f>
        <v>85155</v>
      </c>
      <c r="G36" s="282">
        <f t="shared" ref="G36" si="15">G32-SUM(G33:G35)</f>
        <v>86614</v>
      </c>
      <c r="H36" s="282">
        <f t="shared" ref="H36" si="16">H32-SUM(H33:H35)</f>
        <v>105830</v>
      </c>
      <c r="I36" s="282">
        <f t="shared" ref="I36" si="17">I32-SUM(I33:I35)</f>
        <v>104565</v>
      </c>
      <c r="J36" s="282">
        <f t="shared" ref="J36" si="18">J32-SUM(J33:J35)</f>
        <v>105931</v>
      </c>
      <c r="K36" s="282">
        <f t="shared" ref="K36" si="19">K32-SUM(K33:K35)</f>
        <v>29291</v>
      </c>
      <c r="L36" s="282">
        <f t="shared" ref="L36" si="20">L32-SUM(L33:L35)</f>
        <v>30865</v>
      </c>
      <c r="M36" s="282">
        <f t="shared" ref="M36" si="21">M32-SUM(M33:M35)</f>
        <v>0</v>
      </c>
      <c r="N36" s="37" t="s">
        <v>4561</v>
      </c>
      <c r="O36" t="s">
        <v>4321</v>
      </c>
      <c r="P36"/>
      <c r="Z36" s="27"/>
      <c r="AA36" s="27"/>
      <c r="AB36" s="27"/>
      <c r="AC36" s="27"/>
      <c r="AD36" s="27"/>
      <c r="AE36" s="27"/>
      <c r="AF36" s="27"/>
      <c r="AG36" s="27"/>
    </row>
    <row r="37" spans="1:33">
      <c r="A37" s="22" t="s">
        <v>4322</v>
      </c>
      <c r="B37" s="374">
        <f>B31+B36</f>
        <v>74900</v>
      </c>
      <c r="C37" s="374">
        <f>C31+C36</f>
        <v>75584</v>
      </c>
      <c r="D37" s="374">
        <f t="shared" ref="D37:M37" si="22">D31+D36</f>
        <v>77271</v>
      </c>
      <c r="E37" s="374">
        <f t="shared" si="22"/>
        <v>83748</v>
      </c>
      <c r="F37" s="374">
        <f t="shared" si="22"/>
        <v>86279</v>
      </c>
      <c r="G37" s="374">
        <f t="shared" si="22"/>
        <v>89763</v>
      </c>
      <c r="H37" s="374">
        <f t="shared" si="22"/>
        <v>107721</v>
      </c>
      <c r="I37" s="374">
        <f t="shared" si="22"/>
        <v>105661</v>
      </c>
      <c r="J37" s="374">
        <f t="shared" si="22"/>
        <v>107385</v>
      </c>
      <c r="K37" s="374">
        <f t="shared" si="22"/>
        <v>30033</v>
      </c>
      <c r="L37" s="374">
        <f t="shared" si="22"/>
        <v>31315</v>
      </c>
      <c r="M37" s="374">
        <f t="shared" si="22"/>
        <v>0</v>
      </c>
      <c r="N37" s="37" t="s">
        <v>4561</v>
      </c>
      <c r="O37"/>
      <c r="P37"/>
      <c r="Z37" s="27"/>
      <c r="AA37" s="27"/>
      <c r="AB37" s="27"/>
      <c r="AC37" s="27"/>
      <c r="AD37" s="27"/>
      <c r="AE37" s="27"/>
      <c r="AF37" s="27"/>
      <c r="AG37" s="27"/>
    </row>
    <row r="38" spans="1:33">
      <c r="A38" s="10" t="s">
        <v>45</v>
      </c>
      <c r="B38" s="281">
        <v>90339</v>
      </c>
      <c r="C38" s="281">
        <v>90513</v>
      </c>
      <c r="D38" s="281">
        <v>93394</v>
      </c>
      <c r="E38" s="281">
        <v>99830</v>
      </c>
      <c r="F38" s="281">
        <v>101450</v>
      </c>
      <c r="G38" s="281">
        <v>103461</v>
      </c>
      <c r="H38" s="281">
        <v>120092</v>
      </c>
      <c r="I38" s="281">
        <v>120480</v>
      </c>
      <c r="J38" s="281">
        <v>122973</v>
      </c>
      <c r="K38" s="281">
        <v>36571</v>
      </c>
      <c r="L38" s="281">
        <v>38972</v>
      </c>
      <c r="M38" s="281"/>
      <c r="N38" s="37" t="s">
        <v>4561</v>
      </c>
      <c r="O38" t="s">
        <v>45</v>
      </c>
      <c r="P38"/>
      <c r="Q38" s="22" t="s">
        <v>4562</v>
      </c>
      <c r="R38" s="22" t="s">
        <v>4573</v>
      </c>
      <c r="Z38" s="27">
        <v>15322</v>
      </c>
      <c r="AA38" s="27">
        <v>16090</v>
      </c>
      <c r="AB38" s="27">
        <f>16577</f>
        <v>16577</v>
      </c>
      <c r="AC38" s="27">
        <v>17075</v>
      </c>
      <c r="AD38" s="27">
        <v>16461</v>
      </c>
      <c r="AE38" s="27">
        <v>14395</v>
      </c>
      <c r="AF38" s="27">
        <v>12539</v>
      </c>
      <c r="AG38" s="27">
        <v>12386</v>
      </c>
    </row>
    <row r="39" spans="1:33">
      <c r="B39" s="374"/>
      <c r="C39" s="374"/>
      <c r="D39" s="374"/>
      <c r="E39" s="374"/>
      <c r="F39" s="374"/>
      <c r="G39" s="374"/>
      <c r="H39" s="374"/>
      <c r="I39" s="374"/>
      <c r="J39" s="374"/>
      <c r="K39" s="374"/>
      <c r="L39" s="374"/>
      <c r="M39" s="374"/>
      <c r="N39" s="37" t="s">
        <v>4561</v>
      </c>
      <c r="O39"/>
      <c r="P39"/>
      <c r="Z39" s="24">
        <f t="shared" ref="Z39:AG39" si="23">Z40-SUM(Z30:Z38)</f>
        <v>14512</v>
      </c>
      <c r="AA39" s="24">
        <f t="shared" si="23"/>
        <v>15585</v>
      </c>
      <c r="AB39" s="24">
        <f t="shared" si="23"/>
        <v>15786</v>
      </c>
      <c r="AC39" s="24">
        <f t="shared" si="23"/>
        <v>15616</v>
      </c>
      <c r="AD39" s="24">
        <f t="shared" si="23"/>
        <v>17947</v>
      </c>
      <c r="AE39" s="24">
        <f t="shared" si="23"/>
        <v>18419</v>
      </c>
      <c r="AF39" s="24">
        <f t="shared" si="23"/>
        <v>9453</v>
      </c>
      <c r="AG39" s="24">
        <f t="shared" si="23"/>
        <v>9263</v>
      </c>
    </row>
    <row r="40" spans="1:33">
      <c r="B40" s="374"/>
      <c r="C40" s="374"/>
      <c r="D40" s="374"/>
      <c r="E40" s="374"/>
      <c r="F40" s="374"/>
      <c r="G40" s="374"/>
      <c r="H40" s="374"/>
      <c r="I40" s="374"/>
      <c r="J40" s="374"/>
      <c r="K40" s="374"/>
      <c r="L40" s="374"/>
      <c r="M40" s="374"/>
      <c r="N40" s="37" t="s">
        <v>4561</v>
      </c>
      <c r="O40"/>
      <c r="P40"/>
      <c r="Q40" s="22" t="s">
        <v>4562</v>
      </c>
      <c r="R40" s="22" t="s">
        <v>4574</v>
      </c>
      <c r="Z40" s="38">
        <v>74704</v>
      </c>
      <c r="AA40" s="38">
        <v>78342</v>
      </c>
      <c r="AB40" s="38">
        <v>84681</v>
      </c>
      <c r="AC40" s="38">
        <v>84896</v>
      </c>
      <c r="AD40" s="38">
        <v>89356</v>
      </c>
      <c r="AE40" s="38">
        <v>81446</v>
      </c>
      <c r="AF40" s="38">
        <v>64020</v>
      </c>
      <c r="AG40" s="38">
        <v>60038</v>
      </c>
    </row>
    <row r="41" spans="1:33">
      <c r="A41" s="104" t="s">
        <v>4575</v>
      </c>
      <c r="B41" s="281"/>
      <c r="C41" s="281"/>
      <c r="D41" s="281"/>
      <c r="E41" s="281"/>
      <c r="F41" s="281"/>
      <c r="G41" s="281"/>
      <c r="H41" s="281"/>
      <c r="I41" s="281"/>
      <c r="J41" s="281"/>
      <c r="K41" s="281"/>
      <c r="L41" s="281"/>
      <c r="M41" s="281"/>
      <c r="N41" s="37" t="s">
        <v>4561</v>
      </c>
      <c r="O41"/>
      <c r="P41"/>
      <c r="Z41" s="29"/>
      <c r="AA41" s="29"/>
      <c r="AB41" s="29"/>
      <c r="AC41" s="29"/>
      <c r="AD41" s="29"/>
      <c r="AE41" s="29"/>
      <c r="AF41" s="29"/>
      <c r="AG41" s="29"/>
    </row>
    <row r="42" spans="1:33">
      <c r="A42" s="10" t="s">
        <v>301</v>
      </c>
      <c r="B42" s="281">
        <v>8037</v>
      </c>
      <c r="C42" s="281">
        <v>9028</v>
      </c>
      <c r="D42" s="281">
        <v>9064</v>
      </c>
      <c r="E42" s="281">
        <v>8061</v>
      </c>
      <c r="F42" s="281">
        <v>7875</v>
      </c>
      <c r="G42" s="281">
        <v>7503</v>
      </c>
      <c r="H42" s="281">
        <v>10154</v>
      </c>
      <c r="I42" s="281">
        <v>9501</v>
      </c>
      <c r="J42" s="281">
        <v>6932</v>
      </c>
      <c r="K42" s="281">
        <v>3092</v>
      </c>
      <c r="L42" s="281">
        <v>2925</v>
      </c>
      <c r="M42" s="281"/>
      <c r="N42" s="37" t="s">
        <v>4561</v>
      </c>
      <c r="O42" t="s">
        <v>301</v>
      </c>
      <c r="P42"/>
      <c r="Z42" s="29"/>
      <c r="AA42" s="29"/>
      <c r="AB42" s="29"/>
      <c r="AC42" s="29"/>
      <c r="AD42" s="29"/>
      <c r="AE42" s="29"/>
      <c r="AF42" s="29"/>
      <c r="AG42" s="29"/>
    </row>
    <row r="43" spans="1:33">
      <c r="A43" s="101" t="s">
        <v>4576</v>
      </c>
      <c r="B43" s="282">
        <v>4627</v>
      </c>
      <c r="C43" s="282">
        <v>4848</v>
      </c>
      <c r="D43" s="282">
        <v>4753</v>
      </c>
      <c r="E43" s="282">
        <v>4304</v>
      </c>
      <c r="F43" s="282">
        <v>4003</v>
      </c>
      <c r="G43" s="282">
        <v>4153</v>
      </c>
      <c r="H43" s="282">
        <v>4362</v>
      </c>
      <c r="I43" s="282">
        <v>3996</v>
      </c>
      <c r="J43" s="282">
        <v>2844</v>
      </c>
      <c r="K43" s="282">
        <v>1651</v>
      </c>
      <c r="L43" s="282">
        <v>1192</v>
      </c>
      <c r="M43" s="282"/>
      <c r="N43" s="37"/>
      <c r="O43"/>
      <c r="P43"/>
      <c r="Z43" s="36"/>
      <c r="AA43" s="36"/>
      <c r="AB43" s="36"/>
      <c r="AC43" s="36"/>
      <c r="AD43" s="36"/>
      <c r="AE43" s="35"/>
      <c r="AF43" s="35"/>
      <c r="AG43" s="35"/>
    </row>
    <row r="44" spans="1:33" s="10" customFormat="1">
      <c r="A44" s="26" t="s">
        <v>4324</v>
      </c>
      <c r="B44" s="282">
        <v>0</v>
      </c>
      <c r="C44" s="282">
        <v>6</v>
      </c>
      <c r="D44" s="282">
        <v>14</v>
      </c>
      <c r="E44" s="282">
        <v>6</v>
      </c>
      <c r="F44" s="282">
        <v>6</v>
      </c>
      <c r="G44" s="282">
        <v>21</v>
      </c>
      <c r="H44" s="282">
        <v>462</v>
      </c>
      <c r="I44" s="282">
        <v>645</v>
      </c>
      <c r="J44" s="282">
        <v>4</v>
      </c>
      <c r="K44" s="282">
        <v>0</v>
      </c>
      <c r="L44" s="282">
        <v>144</v>
      </c>
      <c r="M44" s="282"/>
      <c r="N44" s="37" t="s">
        <v>4561</v>
      </c>
      <c r="O44" t="s">
        <v>4577</v>
      </c>
      <c r="P44"/>
      <c r="Q44" s="22" t="s">
        <v>4562</v>
      </c>
      <c r="R44" s="10" t="s">
        <v>4578</v>
      </c>
      <c r="Z44" s="38">
        <v>26132</v>
      </c>
      <c r="AA44" s="38">
        <v>26242</v>
      </c>
      <c r="AB44" s="38">
        <v>27877</v>
      </c>
      <c r="AC44" s="38">
        <v>27297</v>
      </c>
      <c r="AD44" s="38">
        <v>29415</v>
      </c>
      <c r="AE44" s="38">
        <f>93+3895+8161+3386+2410+2691+298+1967+558+5102</f>
        <v>28561</v>
      </c>
      <c r="AF44" s="38">
        <f>204+3852+5856+2880+1670+1831+281+1521+495+3430</f>
        <v>22020</v>
      </c>
      <c r="AG44" s="38">
        <f>433+3650+2993+3351+797+1217+262+888+302+5399</f>
        <v>19292</v>
      </c>
    </row>
    <row r="45" spans="1:33" s="10" customFormat="1">
      <c r="A45" s="26" t="s">
        <v>4325</v>
      </c>
      <c r="B45" s="282">
        <v>638</v>
      </c>
      <c r="C45" s="282">
        <v>831</v>
      </c>
      <c r="D45" s="282">
        <v>740</v>
      </c>
      <c r="E45" s="282">
        <v>230</v>
      </c>
      <c r="F45" s="282">
        <v>1022</v>
      </c>
      <c r="G45" s="282">
        <v>377</v>
      </c>
      <c r="H45" s="282">
        <v>2733</v>
      </c>
      <c r="I45" s="282">
        <v>2046</v>
      </c>
      <c r="J45" s="282">
        <v>79</v>
      </c>
      <c r="K45" s="282">
        <v>0</v>
      </c>
      <c r="L45" s="282">
        <v>108</v>
      </c>
      <c r="M45" s="282"/>
      <c r="N45" s="37"/>
      <c r="O45"/>
      <c r="P45"/>
      <c r="Q45" s="22"/>
      <c r="Z45" s="38"/>
      <c r="AA45" s="38"/>
      <c r="AB45" s="38"/>
      <c r="AC45" s="38"/>
      <c r="AD45" s="38"/>
      <c r="AE45" s="38"/>
      <c r="AF45" s="38"/>
      <c r="AG45" s="38"/>
    </row>
    <row r="46" spans="1:33">
      <c r="A46" s="101" t="s">
        <v>4326</v>
      </c>
      <c r="B46" s="282">
        <f t="shared" ref="B46" si="24">B42-SUM(B43:B45)</f>
        <v>2772</v>
      </c>
      <c r="C46" s="282">
        <f t="shared" ref="C46:M46" si="25">C42-SUM(C43:C45)</f>
        <v>3343</v>
      </c>
      <c r="D46" s="282">
        <f t="shared" si="25"/>
        <v>3557</v>
      </c>
      <c r="E46" s="282">
        <f t="shared" si="25"/>
        <v>3521</v>
      </c>
      <c r="F46" s="282">
        <f>F42-SUM(F43:F45)</f>
        <v>2844</v>
      </c>
      <c r="G46" s="282">
        <f t="shared" si="25"/>
        <v>2952</v>
      </c>
      <c r="H46" s="282">
        <f t="shared" si="25"/>
        <v>2597</v>
      </c>
      <c r="I46" s="282">
        <f t="shared" si="25"/>
        <v>2814</v>
      </c>
      <c r="J46" s="282">
        <f t="shared" si="25"/>
        <v>4005</v>
      </c>
      <c r="K46" s="282">
        <f t="shared" si="25"/>
        <v>1441</v>
      </c>
      <c r="L46" s="282">
        <f t="shared" si="25"/>
        <v>1481</v>
      </c>
      <c r="M46" s="282">
        <f t="shared" si="25"/>
        <v>0</v>
      </c>
      <c r="N46" s="37" t="s">
        <v>4561</v>
      </c>
      <c r="O46"/>
      <c r="P46"/>
      <c r="R46" s="22" t="s">
        <v>4579</v>
      </c>
      <c r="Z46" s="31">
        <v>7303</v>
      </c>
      <c r="AA46" s="31">
        <v>6967</v>
      </c>
      <c r="AB46" s="31">
        <v>4708</v>
      </c>
      <c r="AC46" s="31">
        <v>3679</v>
      </c>
      <c r="AD46" s="31">
        <v>5287</v>
      </c>
      <c r="AE46" s="31">
        <v>5660</v>
      </c>
      <c r="AF46" s="31">
        <v>3925</v>
      </c>
      <c r="AG46" s="31">
        <v>5701</v>
      </c>
    </row>
    <row r="47" spans="1:33">
      <c r="A47" s="10" t="s">
        <v>4327</v>
      </c>
      <c r="B47" s="281">
        <f t="shared" ref="B47:M47" si="26">B51-B42</f>
        <v>32776</v>
      </c>
      <c r="C47" s="281">
        <f t="shared" si="26"/>
        <v>32807</v>
      </c>
      <c r="D47" s="281">
        <f t="shared" si="26"/>
        <v>35032</v>
      </c>
      <c r="E47" s="281">
        <f t="shared" si="26"/>
        <v>41666</v>
      </c>
      <c r="F47" s="281">
        <f t="shared" si="26"/>
        <v>41952</v>
      </c>
      <c r="G47" s="281">
        <f t="shared" si="26"/>
        <v>44301</v>
      </c>
      <c r="H47" s="281">
        <f t="shared" si="26"/>
        <v>44075</v>
      </c>
      <c r="I47" s="281">
        <f t="shared" si="26"/>
        <v>53621</v>
      </c>
      <c r="J47" s="281">
        <f t="shared" si="26"/>
        <v>50036</v>
      </c>
      <c r="K47" s="281">
        <f t="shared" si="26"/>
        <v>18042</v>
      </c>
      <c r="L47" s="281">
        <f t="shared" si="26"/>
        <v>19751</v>
      </c>
      <c r="M47" s="281">
        <f t="shared" si="26"/>
        <v>0</v>
      </c>
      <c r="N47" s="37" t="s">
        <v>4561</v>
      </c>
      <c r="O47" t="s">
        <v>4580</v>
      </c>
      <c r="P47"/>
      <c r="Z47" s="31"/>
      <c r="AA47" s="31"/>
      <c r="AB47" s="31"/>
      <c r="AC47" s="31"/>
      <c r="AD47" s="31"/>
      <c r="AE47" s="31"/>
      <c r="AF47" s="31"/>
      <c r="AG47" s="31"/>
    </row>
    <row r="48" spans="1:33">
      <c r="A48" s="26" t="s">
        <v>4328</v>
      </c>
      <c r="B48" s="282">
        <v>19276</v>
      </c>
      <c r="C48" s="282">
        <v>19140</v>
      </c>
      <c r="D48" s="282">
        <v>20963</v>
      </c>
      <c r="E48" s="282">
        <v>27954</v>
      </c>
      <c r="F48" s="282">
        <v>28058</v>
      </c>
      <c r="G48" s="282">
        <v>30720</v>
      </c>
      <c r="H48" s="282">
        <v>28252</v>
      </c>
      <c r="I48" s="282">
        <v>29632</v>
      </c>
      <c r="J48" s="282">
        <v>25044</v>
      </c>
      <c r="K48" s="282">
        <v>13358</v>
      </c>
      <c r="L48" s="282">
        <v>14618</v>
      </c>
      <c r="M48" s="282"/>
      <c r="N48" s="37" t="s">
        <v>4561</v>
      </c>
      <c r="O48" t="s">
        <v>4581</v>
      </c>
      <c r="P48"/>
      <c r="Z48" s="24">
        <f t="shared" ref="Z48:AG48" si="27">Z44-Z46</f>
        <v>18829</v>
      </c>
      <c r="AA48" s="24">
        <f t="shared" si="27"/>
        <v>19275</v>
      </c>
      <c r="AB48" s="24">
        <f t="shared" si="27"/>
        <v>23169</v>
      </c>
      <c r="AC48" s="24">
        <f t="shared" si="27"/>
        <v>23618</v>
      </c>
      <c r="AD48" s="24">
        <f t="shared" si="27"/>
        <v>24128</v>
      </c>
      <c r="AE48" s="24">
        <f t="shared" si="27"/>
        <v>22901</v>
      </c>
      <c r="AF48" s="24">
        <f t="shared" si="27"/>
        <v>18095</v>
      </c>
      <c r="AG48" s="24">
        <f t="shared" si="27"/>
        <v>13591</v>
      </c>
    </row>
    <row r="49" spans="1:33" s="10" customFormat="1">
      <c r="A49" s="26" t="s">
        <v>4329</v>
      </c>
      <c r="B49" s="282">
        <v>118</v>
      </c>
      <c r="C49" s="282">
        <v>93</v>
      </c>
      <c r="D49" s="282">
        <v>98</v>
      </c>
      <c r="E49" s="282">
        <v>116</v>
      </c>
      <c r="F49" s="282">
        <v>158</v>
      </c>
      <c r="G49" s="282">
        <v>50</v>
      </c>
      <c r="H49" s="282">
        <v>56</v>
      </c>
      <c r="I49" s="282">
        <v>81</v>
      </c>
      <c r="J49" s="282">
        <v>107</v>
      </c>
      <c r="K49" s="282">
        <v>0</v>
      </c>
      <c r="L49" s="282">
        <v>0</v>
      </c>
      <c r="M49" s="282"/>
      <c r="N49" s="37"/>
      <c r="O49"/>
      <c r="P49"/>
      <c r="Q49" s="22" t="s">
        <v>4562</v>
      </c>
      <c r="R49" s="10" t="s">
        <v>4582</v>
      </c>
      <c r="Z49" s="38">
        <f>61491-Z44</f>
        <v>35359</v>
      </c>
      <c r="AA49" s="38">
        <f>63457-AA44</f>
        <v>37215</v>
      </c>
      <c r="AB49" s="38">
        <f>67855-AB44</f>
        <v>39978</v>
      </c>
      <c r="AC49" s="38">
        <v>36721</v>
      </c>
      <c r="AD49" s="38">
        <v>41973</v>
      </c>
      <c r="AE49" s="38">
        <f>8415+16529+10956+3583</f>
        <v>39483</v>
      </c>
      <c r="AF49" s="38">
        <f>4505+15932+7584+2654</f>
        <v>30675</v>
      </c>
      <c r="AG49" s="38">
        <f>5652+16195+7420+2179</f>
        <v>31446</v>
      </c>
    </row>
    <row r="50" spans="1:33">
      <c r="A50" s="101" t="s">
        <v>4330</v>
      </c>
      <c r="B50" s="282">
        <f t="shared" ref="B50" si="28">B47-SUM(B48:B49)</f>
        <v>13382</v>
      </c>
      <c r="C50" s="282">
        <f t="shared" ref="C50:M50" si="29">C47-SUM(C48:C49)</f>
        <v>13574</v>
      </c>
      <c r="D50" s="282">
        <f t="shared" si="29"/>
        <v>13971</v>
      </c>
      <c r="E50" s="282">
        <f t="shared" si="29"/>
        <v>13596</v>
      </c>
      <c r="F50" s="282">
        <f t="shared" si="29"/>
        <v>13736</v>
      </c>
      <c r="G50" s="282">
        <f t="shared" si="29"/>
        <v>13531</v>
      </c>
      <c r="H50" s="282">
        <f t="shared" si="29"/>
        <v>15767</v>
      </c>
      <c r="I50" s="282">
        <f t="shared" si="29"/>
        <v>23908</v>
      </c>
      <c r="J50" s="282">
        <f t="shared" si="29"/>
        <v>24885</v>
      </c>
      <c r="K50" s="282">
        <f>K47-SUM(K48:K49)</f>
        <v>4684</v>
      </c>
      <c r="L50" s="282">
        <f t="shared" si="29"/>
        <v>5133</v>
      </c>
      <c r="M50" s="282">
        <f t="shared" si="29"/>
        <v>0</v>
      </c>
      <c r="N50" s="37" t="s">
        <v>4561</v>
      </c>
      <c r="O50" t="s">
        <v>4583</v>
      </c>
      <c r="P50"/>
      <c r="R50" s="22" t="s">
        <v>4584</v>
      </c>
      <c r="Z50" s="27">
        <v>22818</v>
      </c>
      <c r="AA50" s="27">
        <v>25169</v>
      </c>
      <c r="AB50" s="27">
        <v>27784</v>
      </c>
      <c r="AC50" s="27">
        <v>26719</v>
      </c>
      <c r="AD50" s="27">
        <v>27752</v>
      </c>
      <c r="AE50" s="27">
        <v>24944</v>
      </c>
      <c r="AF50" s="27">
        <v>20437</v>
      </c>
      <c r="AG50" s="27">
        <v>21847</v>
      </c>
    </row>
    <row r="51" spans="1:33">
      <c r="A51" s="10" t="s">
        <v>51</v>
      </c>
      <c r="B51" s="281">
        <v>40813</v>
      </c>
      <c r="C51" s="281">
        <v>41835</v>
      </c>
      <c r="D51" s="281">
        <v>44096</v>
      </c>
      <c r="E51" s="281">
        <v>49727</v>
      </c>
      <c r="F51" s="281">
        <v>49827</v>
      </c>
      <c r="G51" s="281">
        <v>51804</v>
      </c>
      <c r="H51" s="281">
        <v>54229</v>
      </c>
      <c r="I51" s="281">
        <v>63122</v>
      </c>
      <c r="J51" s="281">
        <v>56968</v>
      </c>
      <c r="K51" s="281">
        <v>21134</v>
      </c>
      <c r="L51" s="281">
        <v>22676</v>
      </c>
      <c r="M51" s="281"/>
      <c r="N51" s="37" t="s">
        <v>4561</v>
      </c>
      <c r="O51" t="s">
        <v>51</v>
      </c>
      <c r="P51"/>
      <c r="Z51" s="27"/>
      <c r="AA51" s="27"/>
      <c r="AB51" s="27"/>
      <c r="AC51" s="27"/>
      <c r="AD51" s="27"/>
      <c r="AE51" s="27"/>
      <c r="AF51" s="27"/>
      <c r="AG51" s="27"/>
    </row>
    <row r="52" spans="1:33">
      <c r="B52" s="374"/>
      <c r="C52" s="374"/>
      <c r="D52" s="374"/>
      <c r="E52" s="374"/>
      <c r="F52" s="374"/>
      <c r="G52" s="374"/>
      <c r="H52" s="374"/>
      <c r="I52" s="374"/>
      <c r="J52" s="374"/>
      <c r="K52" s="374"/>
      <c r="L52" s="374"/>
      <c r="M52" s="374"/>
      <c r="N52" s="37" t="s">
        <v>4561</v>
      </c>
      <c r="O52"/>
      <c r="P52"/>
      <c r="Z52" s="24">
        <f t="shared" ref="Z52:AG52" si="30">Z49-Z50</f>
        <v>12541</v>
      </c>
      <c r="AA52" s="24">
        <f t="shared" si="30"/>
        <v>12046</v>
      </c>
      <c r="AB52" s="24">
        <f t="shared" si="30"/>
        <v>12194</v>
      </c>
      <c r="AC52" s="24">
        <f t="shared" si="30"/>
        <v>10002</v>
      </c>
      <c r="AD52" s="24">
        <f t="shared" si="30"/>
        <v>14221</v>
      </c>
      <c r="AE52" s="24">
        <f t="shared" si="30"/>
        <v>14539</v>
      </c>
      <c r="AF52" s="24">
        <f t="shared" si="30"/>
        <v>10238</v>
      </c>
      <c r="AG52" s="24">
        <f t="shared" si="30"/>
        <v>9599</v>
      </c>
    </row>
    <row r="53" spans="1:33" s="10" customFormat="1">
      <c r="A53" s="22"/>
      <c r="B53" s="374"/>
      <c r="C53" s="374"/>
      <c r="D53" s="374"/>
      <c r="E53" s="374"/>
      <c r="F53" s="374"/>
      <c r="G53" s="374"/>
      <c r="H53" s="374"/>
      <c r="I53" s="374"/>
      <c r="J53" s="374"/>
      <c r="K53" s="374"/>
      <c r="L53" s="374"/>
      <c r="M53" s="374"/>
      <c r="N53" s="37" t="s">
        <v>4561</v>
      </c>
      <c r="O53"/>
      <c r="P53"/>
      <c r="Z53" s="35">
        <f>+Z49+Z44</f>
        <v>61491</v>
      </c>
      <c r="AA53" s="35">
        <f>+AA49+AA44</f>
        <v>63457</v>
      </c>
      <c r="AB53" s="35">
        <f>+AB49+AB44</f>
        <v>67855</v>
      </c>
      <c r="AC53" s="35">
        <f>AC44+AC49</f>
        <v>64018</v>
      </c>
      <c r="AD53" s="35">
        <f>AD49+AD44</f>
        <v>71388</v>
      </c>
      <c r="AE53" s="35">
        <f>AE49+AE44</f>
        <v>68044</v>
      </c>
      <c r="AF53" s="35">
        <f>AF49+AF44</f>
        <v>52695</v>
      </c>
      <c r="AG53" s="35">
        <f>AG49+AG44</f>
        <v>50738</v>
      </c>
    </row>
    <row r="54" spans="1:33">
      <c r="A54" s="39" t="s">
        <v>4332</v>
      </c>
      <c r="B54" s="378">
        <v>196</v>
      </c>
      <c r="C54" s="378">
        <v>192</v>
      </c>
      <c r="D54" s="378">
        <v>154</v>
      </c>
      <c r="E54" s="378">
        <v>140</v>
      </c>
      <c r="F54" s="378">
        <v>126</v>
      </c>
      <c r="G54" s="378">
        <v>121</v>
      </c>
      <c r="H54" s="378">
        <v>213</v>
      </c>
      <c r="I54" s="378">
        <v>216</v>
      </c>
      <c r="J54" s="378">
        <v>231</v>
      </c>
      <c r="K54" s="378">
        <v>248</v>
      </c>
      <c r="L54" s="378">
        <v>246</v>
      </c>
      <c r="M54" s="378"/>
      <c r="N54" s="37" t="s">
        <v>4561</v>
      </c>
      <c r="O54" t="s">
        <v>4332</v>
      </c>
      <c r="P54"/>
    </row>
    <row r="55" spans="1:33">
      <c r="B55" s="374"/>
      <c r="C55" s="374"/>
      <c r="D55" s="374"/>
      <c r="E55" s="374"/>
      <c r="F55" s="374"/>
      <c r="G55" s="374"/>
      <c r="H55" s="374"/>
      <c r="I55" s="374"/>
      <c r="J55" s="374"/>
      <c r="K55" s="374"/>
      <c r="L55" s="374"/>
      <c r="M55" s="374"/>
      <c r="N55" s="37" t="s">
        <v>4561</v>
      </c>
      <c r="O55"/>
      <c r="P55"/>
    </row>
    <row r="56" spans="1:33" s="10" customFormat="1">
      <c r="A56" s="10" t="s">
        <v>4333</v>
      </c>
      <c r="B56" s="281">
        <f t="shared" ref="B56" si="31">B38-B51-B54</f>
        <v>49330</v>
      </c>
      <c r="C56" s="281">
        <f t="shared" ref="C56:M56" si="32">C38-C51-C54</f>
        <v>48486</v>
      </c>
      <c r="D56" s="281">
        <f t="shared" si="32"/>
        <v>49144</v>
      </c>
      <c r="E56" s="281">
        <f>E38-E51-E54</f>
        <v>49963</v>
      </c>
      <c r="F56" s="281">
        <f t="shared" si="32"/>
        <v>51497</v>
      </c>
      <c r="G56" s="281">
        <f t="shared" si="32"/>
        <v>51536</v>
      </c>
      <c r="H56" s="281">
        <f t="shared" si="32"/>
        <v>65650</v>
      </c>
      <c r="I56" s="281">
        <f t="shared" si="32"/>
        <v>57142</v>
      </c>
      <c r="J56" s="281">
        <f>J38-J51-J54</f>
        <v>65774</v>
      </c>
      <c r="K56" s="281">
        <f>K38-K51-K54</f>
        <v>15189</v>
      </c>
      <c r="L56" s="281">
        <f t="shared" si="32"/>
        <v>16050</v>
      </c>
      <c r="M56" s="281">
        <f t="shared" si="32"/>
        <v>0</v>
      </c>
      <c r="N56" s="37" t="s">
        <v>4561</v>
      </c>
      <c r="O56"/>
      <c r="P56"/>
      <c r="Q56" s="22" t="s">
        <v>4562</v>
      </c>
      <c r="R56" s="10" t="s">
        <v>4585</v>
      </c>
    </row>
    <row r="57" spans="1:33">
      <c r="A57" s="10"/>
      <c r="B57" s="281"/>
      <c r="C57" s="281"/>
      <c r="D57" s="281"/>
      <c r="E57" s="281"/>
      <c r="F57" s="281"/>
      <c r="G57" s="281"/>
      <c r="H57" s="281"/>
      <c r="I57" s="281"/>
      <c r="J57" s="281"/>
      <c r="K57" s="281"/>
      <c r="L57" s="281"/>
      <c r="M57" s="281"/>
      <c r="N57" s="37"/>
      <c r="O57"/>
      <c r="P57"/>
    </row>
    <row r="58" spans="1:33">
      <c r="A58" s="49" t="s">
        <v>4586</v>
      </c>
      <c r="B58" s="281"/>
      <c r="C58" s="281"/>
      <c r="D58" s="281"/>
      <c r="E58" s="281"/>
      <c r="F58" s="281"/>
      <c r="G58" s="281"/>
      <c r="H58" s="281"/>
      <c r="I58" s="281"/>
      <c r="J58" s="281"/>
      <c r="K58" s="281"/>
      <c r="L58" s="281"/>
      <c r="M58" s="281"/>
      <c r="N58" s="37"/>
      <c r="O58"/>
      <c r="P58"/>
    </row>
    <row r="59" spans="1:33">
      <c r="A59" s="10" t="s">
        <v>132</v>
      </c>
      <c r="B59" s="281">
        <v>3976</v>
      </c>
      <c r="C59" s="281">
        <v>2469</v>
      </c>
      <c r="D59" s="281">
        <v>5364</v>
      </c>
      <c r="E59" s="281">
        <v>4929</v>
      </c>
      <c r="F59" s="281">
        <v>3552</v>
      </c>
      <c r="G59" s="281">
        <v>2574</v>
      </c>
      <c r="H59" s="281">
        <v>501</v>
      </c>
      <c r="I59" s="281">
        <v>2648</v>
      </c>
      <c r="J59" s="281">
        <v>2467</v>
      </c>
      <c r="K59" s="281">
        <v>2140</v>
      </c>
      <c r="L59" s="281">
        <v>35</v>
      </c>
      <c r="M59" s="281">
        <v>1494</v>
      </c>
      <c r="N59" s="37"/>
      <c r="O59"/>
      <c r="P59"/>
    </row>
    <row r="60" spans="1:33">
      <c r="A60" s="26" t="s">
        <v>69</v>
      </c>
      <c r="B60" s="282">
        <f t="shared" ref="B60:M60" si="33">B12</f>
        <v>2855</v>
      </c>
      <c r="C60" s="282">
        <f t="shared" si="33"/>
        <v>2363</v>
      </c>
      <c r="D60" s="282">
        <f t="shared" si="33"/>
        <v>1012</v>
      </c>
      <c r="E60" s="282">
        <f t="shared" si="33"/>
        <v>356</v>
      </c>
      <c r="F60" s="282">
        <f t="shared" si="33"/>
        <v>1935</v>
      </c>
      <c r="G60" s="282">
        <f t="shared" si="33"/>
        <v>-10192</v>
      </c>
      <c r="H60" s="282">
        <f t="shared" si="33"/>
        <v>10941</v>
      </c>
      <c r="I60" s="282">
        <f t="shared" si="33"/>
        <v>3596</v>
      </c>
      <c r="J60" s="282">
        <f t="shared" si="33"/>
        <v>634</v>
      </c>
      <c r="K60" s="282">
        <f t="shared" si="33"/>
        <v>657</v>
      </c>
      <c r="L60" s="282">
        <f t="shared" si="33"/>
        <v>-77</v>
      </c>
      <c r="M60" s="282">
        <f t="shared" si="33"/>
        <v>924</v>
      </c>
      <c r="N60" s="37"/>
      <c r="O60"/>
      <c r="P60"/>
    </row>
    <row r="61" spans="1:33">
      <c r="A61" s="101" t="s">
        <v>60</v>
      </c>
      <c r="B61" s="282">
        <v>961</v>
      </c>
      <c r="C61" s="282">
        <v>933</v>
      </c>
      <c r="D61" s="282">
        <v>910</v>
      </c>
      <c r="E61" s="282">
        <v>969</v>
      </c>
      <c r="F61" s="282">
        <v>994</v>
      </c>
      <c r="G61" s="282">
        <v>983</v>
      </c>
      <c r="H61" s="282">
        <v>1031</v>
      </c>
      <c r="I61" s="282">
        <v>1337</v>
      </c>
      <c r="J61" s="282">
        <v>740</v>
      </c>
      <c r="K61" s="282">
        <v>430</v>
      </c>
      <c r="L61" s="282">
        <v>231</v>
      </c>
      <c r="M61" s="282">
        <v>296</v>
      </c>
      <c r="N61" s="37"/>
      <c r="O61"/>
      <c r="P61"/>
    </row>
    <row r="62" spans="1:33">
      <c r="A62" s="101" t="s">
        <v>4587</v>
      </c>
      <c r="B62" s="282">
        <v>1023</v>
      </c>
      <c r="C62" s="282">
        <v>-1061</v>
      </c>
      <c r="D62" s="282">
        <v>-2831</v>
      </c>
      <c r="E62" s="282">
        <v>2539</v>
      </c>
      <c r="F62" s="282">
        <v>-1350</v>
      </c>
      <c r="G62" s="282">
        <v>4525</v>
      </c>
      <c r="H62" s="282">
        <v>-2205</v>
      </c>
      <c r="I62" s="282">
        <v>-3596</v>
      </c>
      <c r="J62" s="282">
        <v>1025</v>
      </c>
      <c r="K62" s="282">
        <v>-696</v>
      </c>
      <c r="L62" s="282">
        <v>0</v>
      </c>
      <c r="M62" s="282">
        <v>0</v>
      </c>
      <c r="N62" s="37"/>
      <c r="O62"/>
      <c r="P62"/>
    </row>
    <row r="63" spans="1:33">
      <c r="A63" s="101" t="s">
        <v>4588</v>
      </c>
      <c r="B63" s="282">
        <f t="shared" ref="B63" si="34">B59-B60-B61-B62</f>
        <v>-863</v>
      </c>
      <c r="C63" s="282">
        <f t="shared" ref="C63" si="35">C59-C60-C61-C62</f>
        <v>234</v>
      </c>
      <c r="D63" s="282">
        <f>D59-D60-D61-D62</f>
        <v>6273</v>
      </c>
      <c r="E63" s="282">
        <f t="shared" ref="E63:M63" si="36">E59-E60-E61-E62</f>
        <v>1065</v>
      </c>
      <c r="F63" s="282">
        <f t="shared" si="36"/>
        <v>1973</v>
      </c>
      <c r="G63" s="282">
        <f t="shared" si="36"/>
        <v>7258</v>
      </c>
      <c r="H63" s="282">
        <f t="shared" si="36"/>
        <v>-9266</v>
      </c>
      <c r="I63" s="282">
        <f t="shared" si="36"/>
        <v>1311</v>
      </c>
      <c r="J63" s="282">
        <f t="shared" si="36"/>
        <v>68</v>
      </c>
      <c r="K63" s="282">
        <f t="shared" si="36"/>
        <v>1749</v>
      </c>
      <c r="L63" s="282">
        <f t="shared" si="36"/>
        <v>-119</v>
      </c>
      <c r="M63" s="282">
        <f t="shared" si="36"/>
        <v>274</v>
      </c>
      <c r="N63" s="37"/>
      <c r="O63"/>
      <c r="P63"/>
    </row>
    <row r="64" spans="1:33">
      <c r="A64" s="10" t="s">
        <v>133</v>
      </c>
      <c r="B64" s="281">
        <v>-916</v>
      </c>
      <c r="C64" s="281">
        <v>-1091</v>
      </c>
      <c r="D64" s="281">
        <v>4038</v>
      </c>
      <c r="E64" s="281">
        <v>-522</v>
      </c>
      <c r="F64" s="281">
        <v>1511</v>
      </c>
      <c r="G64" s="281">
        <v>288</v>
      </c>
      <c r="H64" s="281">
        <v>1177</v>
      </c>
      <c r="I64" s="281">
        <v>1452</v>
      </c>
      <c r="J64" s="281">
        <v>-9704</v>
      </c>
      <c r="K64" s="281">
        <v>-349</v>
      </c>
      <c r="L64" s="281">
        <v>-21671</v>
      </c>
      <c r="M64" s="281">
        <v>-401</v>
      </c>
      <c r="N64" s="37"/>
      <c r="O64"/>
      <c r="P64"/>
    </row>
    <row r="65" spans="1:16">
      <c r="A65" s="101" t="s">
        <v>134</v>
      </c>
      <c r="B65" s="282">
        <v>-1013</v>
      </c>
      <c r="C65" s="282">
        <v>-916</v>
      </c>
      <c r="D65" s="282">
        <v>-905</v>
      </c>
      <c r="E65" s="282">
        <v>-596</v>
      </c>
      <c r="F65" s="282">
        <v>-768</v>
      </c>
      <c r="G65" s="282">
        <v>-826</v>
      </c>
      <c r="H65" s="282">
        <v>-1194</v>
      </c>
      <c r="I65" s="282">
        <v>-1247</v>
      </c>
      <c r="J65" s="282">
        <v>-648</v>
      </c>
      <c r="K65" s="282">
        <v>-399</v>
      </c>
      <c r="L65" s="282">
        <v>-202</v>
      </c>
      <c r="M65" s="282">
        <v>-419</v>
      </c>
      <c r="N65" s="37"/>
      <c r="O65"/>
      <c r="P65"/>
    </row>
    <row r="66" spans="1:16">
      <c r="A66" s="101" t="s">
        <v>135</v>
      </c>
      <c r="B66" s="282">
        <v>0</v>
      </c>
      <c r="C66" s="282">
        <v>-481</v>
      </c>
      <c r="D66" s="282">
        <v>-74</v>
      </c>
      <c r="E66" s="282">
        <v>0</v>
      </c>
      <c r="F66" s="282">
        <v>-199</v>
      </c>
      <c r="G66" s="282">
        <v>-248</v>
      </c>
      <c r="H66" s="282">
        <v>0</v>
      </c>
      <c r="I66" s="282">
        <v>0</v>
      </c>
      <c r="J66" s="282">
        <v>-9468</v>
      </c>
      <c r="K66" s="282">
        <v>0</v>
      </c>
      <c r="L66" s="282">
        <v>-21494</v>
      </c>
      <c r="M66" s="282">
        <v>-3</v>
      </c>
      <c r="N66" s="37"/>
      <c r="O66"/>
      <c r="P66"/>
    </row>
    <row r="67" spans="1:16">
      <c r="A67" s="101" t="s">
        <v>4589</v>
      </c>
      <c r="B67" s="282">
        <f>B64-B65-B66</f>
        <v>97</v>
      </c>
      <c r="C67" s="282">
        <f>C64-C65-C66</f>
        <v>306</v>
      </c>
      <c r="D67" s="282">
        <f>D64-D65-D66</f>
        <v>5017</v>
      </c>
      <c r="E67" s="282">
        <f t="shared" ref="E67" si="37">E64-E65-E66</f>
        <v>74</v>
      </c>
      <c r="F67" s="282">
        <f t="shared" ref="F67:M67" si="38">F64-F65-F66</f>
        <v>2478</v>
      </c>
      <c r="G67" s="282">
        <f t="shared" si="38"/>
        <v>1362</v>
      </c>
      <c r="H67" s="282">
        <f t="shared" si="38"/>
        <v>2371</v>
      </c>
      <c r="I67" s="282">
        <f t="shared" si="38"/>
        <v>2699</v>
      </c>
      <c r="J67" s="282">
        <f t="shared" si="38"/>
        <v>412</v>
      </c>
      <c r="K67" s="282">
        <f t="shared" si="38"/>
        <v>50</v>
      </c>
      <c r="L67" s="282">
        <f t="shared" si="38"/>
        <v>25</v>
      </c>
      <c r="M67" s="282">
        <f t="shared" si="38"/>
        <v>21</v>
      </c>
      <c r="N67" s="37"/>
      <c r="O67"/>
      <c r="P67"/>
    </row>
    <row r="68" spans="1:16">
      <c r="A68" s="10" t="s">
        <v>136</v>
      </c>
      <c r="B68" s="281">
        <v>-2678</v>
      </c>
      <c r="C68" s="281">
        <v>-3714</v>
      </c>
      <c r="D68" s="281">
        <v>-9344</v>
      </c>
      <c r="E68" s="281">
        <v>-3331</v>
      </c>
      <c r="F68" s="281">
        <v>-3913</v>
      </c>
      <c r="G68" s="281">
        <v>-3363</v>
      </c>
      <c r="H68" s="281">
        <v>-4221</v>
      </c>
      <c r="I68" s="281">
        <v>-4620</v>
      </c>
      <c r="J68" s="281">
        <v>10183</v>
      </c>
      <c r="K68" s="281">
        <v>-1820</v>
      </c>
      <c r="L68" s="281">
        <v>24109</v>
      </c>
      <c r="M68" s="281">
        <v>-364</v>
      </c>
      <c r="N68" s="37"/>
      <c r="O68"/>
      <c r="P68"/>
    </row>
    <row r="69" spans="1:16">
      <c r="A69" s="101" t="s">
        <v>4590</v>
      </c>
      <c r="B69" s="282">
        <v>150</v>
      </c>
      <c r="C69" s="282">
        <v>228</v>
      </c>
      <c r="D69" s="282">
        <v>0</v>
      </c>
      <c r="E69" s="282">
        <v>4000</v>
      </c>
      <c r="F69" s="282">
        <v>557</v>
      </c>
      <c r="G69" s="282">
        <v>2784</v>
      </c>
      <c r="H69" s="282">
        <v>6043</v>
      </c>
      <c r="I69" s="282">
        <v>6680</v>
      </c>
      <c r="J69" s="282">
        <v>0</v>
      </c>
      <c r="K69" s="282">
        <v>0</v>
      </c>
      <c r="L69" s="282">
        <v>0</v>
      </c>
      <c r="M69" s="282">
        <v>0</v>
      </c>
      <c r="N69" s="37"/>
      <c r="O69"/>
      <c r="P69"/>
    </row>
    <row r="70" spans="1:16">
      <c r="A70" s="101" t="s">
        <v>4591</v>
      </c>
      <c r="B70" s="282">
        <v>-150</v>
      </c>
      <c r="C70" s="282">
        <v>-229</v>
      </c>
      <c r="D70" s="282">
        <v>0</v>
      </c>
      <c r="E70" s="282">
        <v>-4000</v>
      </c>
      <c r="F70" s="282">
        <v>-557</v>
      </c>
      <c r="G70" s="282">
        <v>-3213</v>
      </c>
      <c r="H70" s="282">
        <v>-6249</v>
      </c>
      <c r="I70" s="282">
        <v>-6043</v>
      </c>
      <c r="J70" s="282">
        <v>0</v>
      </c>
      <c r="K70" s="282">
        <v>0</v>
      </c>
      <c r="L70" s="282">
        <v>0</v>
      </c>
      <c r="M70" s="282">
        <v>0</v>
      </c>
      <c r="N70" s="37"/>
      <c r="O70"/>
      <c r="P70"/>
    </row>
    <row r="71" spans="1:16">
      <c r="A71" s="101" t="s">
        <v>4592</v>
      </c>
      <c r="B71" s="282">
        <v>657</v>
      </c>
      <c r="C71" s="282">
        <v>10</v>
      </c>
      <c r="D71" s="282">
        <v>0</v>
      </c>
      <c r="E71" s="282">
        <v>3500</v>
      </c>
      <c r="F71" s="282">
        <v>2967</v>
      </c>
      <c r="G71" s="282">
        <v>2990</v>
      </c>
      <c r="H71" s="282">
        <v>1496</v>
      </c>
      <c r="I71" s="282">
        <v>6981</v>
      </c>
      <c r="J71" s="282">
        <v>14834</v>
      </c>
      <c r="K71" s="282">
        <v>0</v>
      </c>
      <c r="L71" s="282">
        <v>12575</v>
      </c>
      <c r="M71" s="282">
        <v>1912</v>
      </c>
      <c r="N71" s="37"/>
      <c r="O71"/>
      <c r="P71"/>
    </row>
    <row r="72" spans="1:16">
      <c r="A72" s="101" t="s">
        <v>4593</v>
      </c>
      <c r="B72" s="282">
        <v>-848</v>
      </c>
      <c r="C72" s="282">
        <v>-1465</v>
      </c>
      <c r="D72" s="282">
        <v>-7126</v>
      </c>
      <c r="E72" s="282">
        <v>-4813</v>
      </c>
      <c r="F72" s="282">
        <v>-4894</v>
      </c>
      <c r="G72" s="282">
        <v>-2713</v>
      </c>
      <c r="H72" s="282">
        <v>-2641</v>
      </c>
      <c r="I72" s="282">
        <v>-85</v>
      </c>
      <c r="J72" s="282">
        <v>-12314</v>
      </c>
      <c r="K72" s="282">
        <v>-1103</v>
      </c>
      <c r="L72" s="282">
        <v>-2670</v>
      </c>
      <c r="M72" s="282">
        <v>-1441</v>
      </c>
      <c r="N72" s="37"/>
      <c r="O72"/>
      <c r="P72"/>
    </row>
    <row r="73" spans="1:16">
      <c r="A73" s="101" t="s">
        <v>137</v>
      </c>
      <c r="B73" s="282">
        <v>-1965</v>
      </c>
      <c r="C73" s="282">
        <v>-1960</v>
      </c>
      <c r="D73" s="282">
        <v>-1959</v>
      </c>
      <c r="E73" s="282">
        <v>-1958</v>
      </c>
      <c r="F73" s="282">
        <v>-1953</v>
      </c>
      <c r="G73" s="282">
        <v>-3183</v>
      </c>
      <c r="H73" s="371">
        <v>-2888</v>
      </c>
      <c r="I73" s="282">
        <v>-3584</v>
      </c>
      <c r="J73" s="371">
        <v>-1302</v>
      </c>
      <c r="K73" s="282">
        <v>0</v>
      </c>
      <c r="L73" s="282">
        <v>0</v>
      </c>
      <c r="M73" s="282">
        <v>0</v>
      </c>
      <c r="N73" s="34" t="s">
        <v>4594</v>
      </c>
      <c r="O73" t="s">
        <v>4595</v>
      </c>
      <c r="P73"/>
    </row>
    <row r="74" spans="1:16">
      <c r="A74" s="101" t="s">
        <v>4315</v>
      </c>
      <c r="B74" s="282">
        <v>-455</v>
      </c>
      <c r="C74" s="282">
        <v>-280</v>
      </c>
      <c r="D74" s="282">
        <v>-271</v>
      </c>
      <c r="E74" s="282">
        <v>0</v>
      </c>
      <c r="F74" s="282">
        <v>0</v>
      </c>
      <c r="G74" s="282">
        <v>0</v>
      </c>
      <c r="H74" s="371">
        <v>0</v>
      </c>
      <c r="I74" s="282">
        <v>0</v>
      </c>
      <c r="J74" s="371">
        <v>0</v>
      </c>
      <c r="K74" s="282">
        <v>0</v>
      </c>
      <c r="L74" s="282">
        <v>0</v>
      </c>
      <c r="M74" s="282">
        <v>-202</v>
      </c>
      <c r="N74" s="34" t="s">
        <v>4594</v>
      </c>
      <c r="O74" t="str">
        <f>+A74</f>
        <v>Share buyback</v>
      </c>
      <c r="P74"/>
    </row>
    <row r="75" spans="1:16">
      <c r="A75" s="101" t="s">
        <v>4589</v>
      </c>
      <c r="B75" s="282">
        <f t="shared" ref="B75" si="39">B68-B69-B70-B71-B72-B73-B74</f>
        <v>-67</v>
      </c>
      <c r="C75" s="282">
        <f t="shared" ref="C75:M75" si="40">C68-C69-C70-C71-C72-C73-C74</f>
        <v>-18</v>
      </c>
      <c r="D75" s="282">
        <f t="shared" si="40"/>
        <v>12</v>
      </c>
      <c r="E75" s="282">
        <f t="shared" si="40"/>
        <v>-60</v>
      </c>
      <c r="F75" s="282">
        <f t="shared" si="40"/>
        <v>-33</v>
      </c>
      <c r="G75" s="282">
        <f t="shared" si="40"/>
        <v>-28</v>
      </c>
      <c r="H75" s="282">
        <f t="shared" si="40"/>
        <v>18</v>
      </c>
      <c r="I75" s="282">
        <f t="shared" si="40"/>
        <v>-8569</v>
      </c>
      <c r="J75" s="282">
        <f t="shared" si="40"/>
        <v>8965</v>
      </c>
      <c r="K75" s="282">
        <f t="shared" si="40"/>
        <v>-717</v>
      </c>
      <c r="L75" s="282">
        <f t="shared" si="40"/>
        <v>14204</v>
      </c>
      <c r="M75" s="282">
        <f t="shared" si="40"/>
        <v>-633</v>
      </c>
      <c r="N75" s="37"/>
      <c r="O75"/>
      <c r="P75"/>
    </row>
    <row r="76" spans="1:16">
      <c r="A76" s="10" t="s">
        <v>140</v>
      </c>
      <c r="B76" s="281"/>
      <c r="C76" s="281"/>
      <c r="D76" s="281"/>
      <c r="E76" s="281"/>
      <c r="F76" s="281"/>
      <c r="G76" s="281"/>
      <c r="H76" s="281"/>
      <c r="I76" s="281"/>
      <c r="J76" s="281"/>
      <c r="K76" s="281"/>
      <c r="L76" s="281"/>
      <c r="M76" s="281"/>
      <c r="N76" s="37"/>
      <c r="O76"/>
      <c r="P76"/>
    </row>
    <row r="77" spans="1:16">
      <c r="A77" s="10" t="s">
        <v>4334</v>
      </c>
      <c r="B77" s="281">
        <f t="shared" ref="B77" si="41">B59+B64+B68+B76</f>
        <v>382</v>
      </c>
      <c r="C77" s="281">
        <f t="shared" ref="C77:M77" si="42">C59+C64+C68+C76</f>
        <v>-2336</v>
      </c>
      <c r="D77" s="281">
        <f t="shared" si="42"/>
        <v>58</v>
      </c>
      <c r="E77" s="281">
        <f t="shared" si="42"/>
        <v>1076</v>
      </c>
      <c r="F77" s="281">
        <f t="shared" si="42"/>
        <v>1150</v>
      </c>
      <c r="G77" s="281">
        <f t="shared" si="42"/>
        <v>-501</v>
      </c>
      <c r="H77" s="281">
        <f t="shared" si="42"/>
        <v>-2543</v>
      </c>
      <c r="I77" s="281">
        <f t="shared" si="42"/>
        <v>-520</v>
      </c>
      <c r="J77" s="281">
        <f t="shared" si="42"/>
        <v>2946</v>
      </c>
      <c r="K77" s="281">
        <f t="shared" si="42"/>
        <v>-29</v>
      </c>
      <c r="L77" s="281">
        <f t="shared" si="42"/>
        <v>2473</v>
      </c>
      <c r="M77" s="281">
        <f t="shared" si="42"/>
        <v>729</v>
      </c>
      <c r="N77" s="37"/>
      <c r="O77"/>
      <c r="P77"/>
    </row>
    <row r="78" spans="1:16">
      <c r="M78" s="24"/>
      <c r="N78"/>
      <c r="O78" t="s">
        <v>4596</v>
      </c>
      <c r="P78"/>
    </row>
    <row r="79" spans="1:16">
      <c r="A79" s="49" t="s">
        <v>4597</v>
      </c>
      <c r="B79" s="49"/>
      <c r="C79" s="49"/>
      <c r="D79" s="49"/>
      <c r="E79" s="1250" t="s">
        <v>4342</v>
      </c>
      <c r="F79" s="1250"/>
      <c r="G79" s="1250"/>
      <c r="H79" s="1250" t="s">
        <v>4598</v>
      </c>
      <c r="I79" s="1250"/>
      <c r="J79" s="49" t="s">
        <v>4344</v>
      </c>
      <c r="K79" s="49" t="s">
        <v>4345</v>
      </c>
      <c r="L79" s="49" t="s">
        <v>4346</v>
      </c>
      <c r="M79" s="35"/>
      <c r="N79"/>
      <c r="O79"/>
      <c r="P79"/>
    </row>
    <row r="80" spans="1:16">
      <c r="A80" s="26" t="s">
        <v>4599</v>
      </c>
      <c r="B80" s="27">
        <v>36000</v>
      </c>
      <c r="C80" s="40" t="s">
        <v>4600</v>
      </c>
      <c r="D80" s="24"/>
      <c r="E80" s="1251"/>
      <c r="F80" s="1251"/>
      <c r="G80" s="1251"/>
      <c r="H80" s="1252"/>
      <c r="I80" s="1252"/>
      <c r="J80" s="65"/>
      <c r="K80" s="64"/>
      <c r="L80" s="64"/>
      <c r="M80" s="24"/>
      <c r="N80" s="40" t="s">
        <v>4601</v>
      </c>
      <c r="O80"/>
      <c r="P80"/>
    </row>
    <row r="81" spans="1:38">
      <c r="A81" s="26" t="s">
        <v>4602</v>
      </c>
      <c r="B81" s="27">
        <f ca="1">OP!C21/1000</f>
        <v>1183599</v>
      </c>
      <c r="C81" s="40" t="s">
        <v>4603</v>
      </c>
      <c r="D81" s="24"/>
      <c r="E81" s="1251"/>
      <c r="F81" s="1251"/>
      <c r="G81" s="1251"/>
      <c r="H81" s="1252"/>
      <c r="I81" s="1252"/>
      <c r="J81" s="65"/>
      <c r="K81" s="64"/>
      <c r="L81" s="64"/>
      <c r="M81" s="24"/>
      <c r="N81" s="40" t="s">
        <v>4601</v>
      </c>
      <c r="O81"/>
      <c r="P81"/>
    </row>
    <row r="82" spans="1:38">
      <c r="A82" s="26" t="s">
        <v>49</v>
      </c>
      <c r="B82" s="698">
        <f ca="1">884170/B81</f>
        <v>0.74701820464532331</v>
      </c>
      <c r="C82" s="40" t="s">
        <v>4603</v>
      </c>
      <c r="D82" s="66"/>
      <c r="E82" s="1251"/>
      <c r="F82" s="1251"/>
      <c r="G82" s="1251"/>
      <c r="H82" s="1252"/>
      <c r="I82" s="1252"/>
      <c r="J82" s="65"/>
      <c r="K82" s="64"/>
      <c r="L82" s="64"/>
      <c r="M82" s="68"/>
      <c r="N82" s="40" t="s">
        <v>4601</v>
      </c>
      <c r="O82"/>
      <c r="P82"/>
    </row>
    <row r="83" spans="1:38">
      <c r="A83" s="26" t="s">
        <v>53</v>
      </c>
      <c r="B83" s="699">
        <v>0.27079999999999999</v>
      </c>
      <c r="C83" s="40" t="s">
        <v>4603</v>
      </c>
      <c r="D83" s="67"/>
      <c r="E83" s="1251"/>
      <c r="F83" s="1251"/>
      <c r="G83" s="1251"/>
      <c r="H83" s="1252"/>
      <c r="I83" s="1252"/>
      <c r="J83" s="65"/>
      <c r="K83" s="64"/>
      <c r="L83" s="64"/>
      <c r="M83" s="68"/>
      <c r="N83" s="40" t="s">
        <v>4601</v>
      </c>
      <c r="O83"/>
      <c r="P83"/>
    </row>
    <row r="84" spans="1:38">
      <c r="A84" s="26" t="s">
        <v>4338</v>
      </c>
      <c r="B84" s="27" t="s">
        <v>4271</v>
      </c>
      <c r="C84" s="40" t="s">
        <v>4600</v>
      </c>
      <c r="D84" s="24"/>
      <c r="E84" s="1251"/>
      <c r="F84" s="1251"/>
      <c r="G84" s="1251"/>
      <c r="H84" s="1252"/>
      <c r="I84" s="1252"/>
      <c r="J84" s="65"/>
      <c r="K84" s="64"/>
      <c r="L84" s="64"/>
      <c r="M84" s="24"/>
      <c r="N84" s="40" t="s">
        <v>4601</v>
      </c>
      <c r="O84"/>
      <c r="P84"/>
    </row>
    <row r="85" spans="1:38">
      <c r="A85" s="26" t="s">
        <v>4604</v>
      </c>
      <c r="B85" s="700">
        <v>5.0099999999999999E-2</v>
      </c>
      <c r="C85" s="40" t="s">
        <v>4603</v>
      </c>
      <c r="D85" s="24"/>
      <c r="E85" s="1251"/>
      <c r="F85" s="1251"/>
      <c r="G85" s="1251"/>
      <c r="H85" s="1252"/>
      <c r="I85" s="1252"/>
      <c r="J85" s="64"/>
      <c r="K85" s="64"/>
      <c r="L85" s="64"/>
      <c r="M85" s="24"/>
      <c r="N85" s="40" t="s">
        <v>4601</v>
      </c>
      <c r="O85"/>
    </row>
    <row r="86" spans="1:38">
      <c r="A86" s="26" t="s">
        <v>4340</v>
      </c>
      <c r="B86" s="27">
        <v>7.641</v>
      </c>
      <c r="C86" s="40" t="s">
        <v>4605</v>
      </c>
      <c r="D86" s="24"/>
      <c r="E86" s="1251"/>
      <c r="F86" s="1251"/>
      <c r="G86" s="1251"/>
      <c r="H86" s="1252"/>
      <c r="I86" s="1252"/>
      <c r="J86" s="64"/>
      <c r="K86" s="64"/>
      <c r="L86" s="64"/>
      <c r="M86" s="24"/>
      <c r="N86" s="40" t="s">
        <v>4601</v>
      </c>
    </row>
    <row r="87" spans="1:38">
      <c r="B87" s="49">
        <f>B5</f>
        <v>2023</v>
      </c>
      <c r="C87" s="49">
        <f t="shared" ref="C87:D87" si="43">C5</f>
        <v>2022</v>
      </c>
      <c r="D87" s="49">
        <f t="shared" si="43"/>
        <v>2021</v>
      </c>
      <c r="E87" s="41"/>
      <c r="G87" s="41"/>
      <c r="H87" s="41"/>
      <c r="I87" s="41"/>
      <c r="J87" s="41"/>
      <c r="K87" s="41"/>
      <c r="L87" s="41"/>
      <c r="M87" s="41"/>
      <c r="N87"/>
    </row>
    <row r="88" spans="1:38">
      <c r="A88" s="26" t="s">
        <v>4341</v>
      </c>
      <c r="B88" s="855">
        <v>2.63E-2</v>
      </c>
      <c r="E88" s="40" t="s">
        <v>4605</v>
      </c>
      <c r="K88" s="22"/>
      <c r="L88" s="22"/>
      <c r="O88"/>
      <c r="P88"/>
    </row>
    <row r="89" spans="1:38">
      <c r="A89" s="26" t="s">
        <v>75</v>
      </c>
      <c r="B89" s="63">
        <v>0.79</v>
      </c>
      <c r="C89" s="63"/>
      <c r="D89" s="63"/>
      <c r="E89" s="40" t="s">
        <v>4605</v>
      </c>
      <c r="K89" s="22"/>
      <c r="L89" s="22"/>
      <c r="O89" s="49"/>
    </row>
    <row r="90" spans="1:38">
      <c r="M90"/>
      <c r="N90" s="100"/>
      <c r="O90" s="49"/>
    </row>
    <row r="91" spans="1:38">
      <c r="J91" s="24"/>
      <c r="L91"/>
      <c r="M91"/>
      <c r="N91"/>
    </row>
    <row r="92" spans="1:38">
      <c r="A92" s="22" t="s">
        <v>4606</v>
      </c>
      <c r="B92" s="29">
        <f>B27-B42</f>
        <v>-108</v>
      </c>
      <c r="C92" s="29">
        <f t="shared" ref="C92:K92" si="44">C27-C42</f>
        <v>-1131</v>
      </c>
      <c r="D92" s="29">
        <f t="shared" si="44"/>
        <v>-70</v>
      </c>
      <c r="E92" s="29">
        <f t="shared" si="44"/>
        <v>2761</v>
      </c>
      <c r="F92" s="29">
        <f t="shared" si="44"/>
        <v>222</v>
      </c>
      <c r="G92" s="29">
        <f t="shared" si="44"/>
        <v>1572</v>
      </c>
      <c r="H92" s="29">
        <f t="shared" si="44"/>
        <v>-2953</v>
      </c>
      <c r="I92" s="29">
        <f t="shared" si="44"/>
        <v>-748</v>
      </c>
      <c r="J92" s="29">
        <f t="shared" si="44"/>
        <v>2848</v>
      </c>
      <c r="K92" s="29">
        <f t="shared" si="44"/>
        <v>1823</v>
      </c>
      <c r="L92" s="29">
        <f>L27-L42</f>
        <v>2519</v>
      </c>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row>
    <row r="93" spans="1:38">
      <c r="A93" s="22" t="s">
        <v>4607</v>
      </c>
      <c r="B93" s="29">
        <f>B92-C92</f>
        <v>1023</v>
      </c>
      <c r="C93" s="29">
        <f t="shared" ref="C93:J93" si="45">C92-D92</f>
        <v>-1061</v>
      </c>
      <c r="D93" s="29">
        <f t="shared" si="45"/>
        <v>-2831</v>
      </c>
      <c r="E93" s="29">
        <f t="shared" si="45"/>
        <v>2539</v>
      </c>
      <c r="F93" s="29">
        <f t="shared" si="45"/>
        <v>-1350</v>
      </c>
      <c r="G93" s="29">
        <f t="shared" si="45"/>
        <v>4525</v>
      </c>
      <c r="H93" s="29">
        <f t="shared" si="45"/>
        <v>-2205</v>
      </c>
      <c r="I93" s="29">
        <f t="shared" si="45"/>
        <v>-3596</v>
      </c>
      <c r="J93" s="29">
        <f t="shared" si="45"/>
        <v>1025</v>
      </c>
      <c r="K93" s="29">
        <f>K92-L92</f>
        <v>-696</v>
      </c>
      <c r="L93"/>
      <c r="M93"/>
      <c r="N93"/>
    </row>
    <row r="94" spans="1:38">
      <c r="J94" s="24"/>
      <c r="L94"/>
      <c r="M94"/>
      <c r="N94"/>
    </row>
    <row r="95" spans="1:38">
      <c r="J95" s="24"/>
      <c r="L95"/>
      <c r="M95"/>
      <c r="N95"/>
    </row>
    <row r="96" spans="1:38">
      <c r="J96" s="24"/>
      <c r="L96"/>
      <c r="M96"/>
      <c r="N96"/>
      <c r="O96"/>
    </row>
    <row r="97" spans="1:14">
      <c r="J97" s="24"/>
      <c r="L97"/>
      <c r="M97"/>
      <c r="N97"/>
    </row>
    <row r="98" spans="1:14">
      <c r="G98"/>
      <c r="M98"/>
      <c r="N98"/>
    </row>
    <row r="99" spans="1:14">
      <c r="A99"/>
      <c r="B99"/>
      <c r="C99"/>
      <c r="D99"/>
      <c r="E99"/>
      <c r="F99"/>
      <c r="G99"/>
    </row>
    <row r="100" spans="1:14">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G2:J2"/>
    <mergeCell ref="D4:M4"/>
    <mergeCell ref="R5:S5"/>
    <mergeCell ref="H79:I79"/>
    <mergeCell ref="E79:G79"/>
  </mergeCells>
  <pageMargins left="0.75" right="0.75" top="1" bottom="1" header="0" footer="0"/>
  <pageSetup orientation="portrait" horizontalDpi="4294967292"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81089C-6E2A-4FD7-A402-55E9C86C97B5}"/>
</file>

<file path=customXml/itemProps2.xml><?xml version="1.0" encoding="utf-8"?>
<ds:datastoreItem xmlns:ds="http://schemas.openxmlformats.org/officeDocument/2006/customXml" ds:itemID="{196175B6-C887-497B-BF15-7A32ECA9C4E0}"/>
</file>

<file path=customXml/itemProps3.xml><?xml version="1.0" encoding="utf-8"?>
<ds:datastoreItem xmlns:ds="http://schemas.openxmlformats.org/officeDocument/2006/customXml" ds:itemID="{E4E33FEE-1117-4802-A5BB-FA073D1C6E04}"/>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ARNAUD PETER M. VAN HEES</cp:lastModifiedBy>
  <cp:revision/>
  <dcterms:created xsi:type="dcterms:W3CDTF">2000-04-19T14:51:26Z</dcterms:created>
  <dcterms:modified xsi:type="dcterms:W3CDTF">2025-09-22T12:51:54Z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